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715" activeTab="30"/>
  </bookViews>
  <sheets>
    <sheet name="SUMMARY" sheetId="7" r:id="rId1"/>
    <sheet name="Revenue Comparison" sheetId="35" r:id="rId2"/>
    <sheet name="Reconciliation" sheetId="33" state="hidden" r:id="rId3"/>
    <sheet name="ATR" sheetId="34" r:id="rId4"/>
    <sheet name="RS" sheetId="4" r:id="rId5"/>
    <sheet name="RSLMTOD" sheetId="5" r:id="rId6"/>
    <sheet name="RSTOD" sheetId="28" r:id="rId7"/>
    <sheet name="SGS" sheetId="1" r:id="rId8"/>
    <sheet name="SGSLMTOD" sheetId="3" r:id="rId9"/>
    <sheet name="SGSEXPTOD" sheetId="32" r:id="rId10"/>
    <sheet name="SGS-NM" sheetId="6" r:id="rId11"/>
    <sheet name="MGS RL" sheetId="18" r:id="rId12"/>
    <sheet name="MGS-SEC" sheetId="25" r:id="rId13"/>
    <sheet name="MGSLMTOD" sheetId="16" r:id="rId14"/>
    <sheet name="MGSTOD" sheetId="15" r:id="rId15"/>
    <sheet name="MGS-PRI" sheetId="14" r:id="rId16"/>
    <sheet name="MGS-SUB" sheetId="13" r:id="rId17"/>
    <sheet name="LGS-SEC" sheetId="12" r:id="rId18"/>
    <sheet name="LGSLMTOD" sheetId="11" r:id="rId19"/>
    <sheet name="LGS-PRI" sheetId="10" r:id="rId20"/>
    <sheet name="LGS-SUB" sheetId="9" r:id="rId21"/>
    <sheet name="LGS-TRAN" sheetId="31" r:id="rId22"/>
    <sheet name="QP-SEC" sheetId="27" r:id="rId23"/>
    <sheet name="QP-PRI" sheetId="8" r:id="rId24"/>
    <sheet name="QP-SUB" sheetId="24" r:id="rId25"/>
    <sheet name="QP-TRAN" sheetId="23" r:id="rId26"/>
    <sheet name="CIPTOD-SUB" sheetId="22" r:id="rId27"/>
    <sheet name="CIPTOD-TRAN" sheetId="21" r:id="rId28"/>
    <sheet name="MW" sheetId="19" r:id="rId29"/>
    <sheet name="OL" sheetId="2" r:id="rId30"/>
    <sheet name="SL" sheetId="20" r:id="rId31"/>
  </sheets>
  <calcPr calcId="145621"/>
</workbook>
</file>

<file path=xl/calcChain.xml><?xml version="1.0" encoding="utf-8"?>
<calcChain xmlns="http://schemas.openxmlformats.org/spreadsheetml/2006/main">
  <c r="G62" i="7" l="1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G28" i="7"/>
  <c r="G26" i="7"/>
  <c r="G24" i="7"/>
  <c r="G22" i="7"/>
  <c r="G20" i="7"/>
  <c r="G18" i="7"/>
  <c r="G14" i="7"/>
  <c r="G12" i="7"/>
  <c r="G10" i="7"/>
  <c r="E35" i="28" l="1"/>
  <c r="E41" i="33" l="1"/>
  <c r="B7" i="35" l="1"/>
  <c r="Q23" i="35" l="1"/>
  <c r="Q17" i="35"/>
  <c r="Q14" i="35"/>
  <c r="F47" i="20"/>
  <c r="F45" i="20"/>
  <c r="F66" i="2"/>
  <c r="F64" i="2"/>
  <c r="F33" i="19"/>
  <c r="F31" i="19"/>
  <c r="F40" i="21"/>
  <c r="F38" i="21"/>
  <c r="F40" i="22"/>
  <c r="F38" i="22"/>
  <c r="F39" i="23"/>
  <c r="F37" i="23"/>
  <c r="F39" i="24"/>
  <c r="F37" i="24"/>
  <c r="F42" i="8"/>
  <c r="F40" i="8"/>
  <c r="F39" i="27"/>
  <c r="F37" i="27"/>
  <c r="F36" i="31"/>
  <c r="F34" i="31"/>
  <c r="F36" i="9"/>
  <c r="F34" i="9"/>
  <c r="F36" i="10"/>
  <c r="F34" i="10"/>
  <c r="F34" i="11"/>
  <c r="F32" i="11"/>
  <c r="F36" i="12"/>
  <c r="F34" i="12"/>
  <c r="F38" i="13"/>
  <c r="F36" i="13"/>
  <c r="F39" i="14"/>
  <c r="F37" i="14"/>
  <c r="F32" i="15"/>
  <c r="F30" i="15"/>
  <c r="F32" i="16"/>
  <c r="F30" i="16"/>
  <c r="F38" i="25"/>
  <c r="F36" i="25"/>
  <c r="F30" i="18"/>
  <c r="F28" i="18"/>
  <c r="F32" i="6"/>
  <c r="F30" i="6"/>
  <c r="F33" i="32"/>
  <c r="F31" i="32"/>
  <c r="F32" i="3"/>
  <c r="F30" i="3"/>
  <c r="F35" i="28"/>
  <c r="F33" i="28"/>
  <c r="F38" i="5"/>
  <c r="F36" i="5"/>
  <c r="G45" i="14"/>
  <c r="Q24" i="35" s="1"/>
  <c r="G44" i="13"/>
  <c r="Q25" i="35" s="1"/>
  <c r="G42" i="10"/>
  <c r="Q30" i="35" s="1"/>
  <c r="G42" i="9"/>
  <c r="G48" i="8"/>
  <c r="Q36" i="35" s="1"/>
  <c r="G45" i="24"/>
  <c r="G46" i="21"/>
  <c r="Q42" i="35" s="1"/>
  <c r="G39" i="19"/>
  <c r="F53" i="20"/>
  <c r="G53" i="20" s="1"/>
  <c r="F72" i="2"/>
  <c r="G72" i="2" s="1"/>
  <c r="F39" i="19"/>
  <c r="F46" i="21"/>
  <c r="F46" i="22"/>
  <c r="G46" i="22" s="1"/>
  <c r="F45" i="23"/>
  <c r="G45" i="23" s="1"/>
  <c r="F45" i="24"/>
  <c r="F48" i="8"/>
  <c r="F45" i="27"/>
  <c r="G45" i="27" s="1"/>
  <c r="F42" i="31"/>
  <c r="G42" i="31" s="1"/>
  <c r="F42" i="9"/>
  <c r="F42" i="10"/>
  <c r="F40" i="11"/>
  <c r="G40" i="11" s="1"/>
  <c r="F42" i="12"/>
  <c r="G42" i="12" s="1"/>
  <c r="F44" i="13"/>
  <c r="F45" i="14"/>
  <c r="F38" i="15"/>
  <c r="G38" i="15" s="1"/>
  <c r="F38" i="16"/>
  <c r="G38" i="16" s="1"/>
  <c r="Q22" i="35" s="1"/>
  <c r="F44" i="25"/>
  <c r="G44" i="25" s="1"/>
  <c r="F36" i="18"/>
  <c r="G36" i="18" s="1"/>
  <c r="Q20" i="35" s="1"/>
  <c r="F38" i="6"/>
  <c r="G38" i="6" s="1"/>
  <c r="F39" i="32"/>
  <c r="G39" i="32" s="1"/>
  <c r="Q16" i="35" s="1"/>
  <c r="F38" i="3"/>
  <c r="G38" i="3" s="1"/>
  <c r="Q15" i="35" s="1"/>
  <c r="G38" i="1"/>
  <c r="G36" i="21"/>
  <c r="G36" i="22"/>
  <c r="G34" i="13"/>
  <c r="G35" i="14"/>
  <c r="G34" i="25"/>
  <c r="Q29" i="35" l="1"/>
  <c r="Q41" i="35"/>
  <c r="Q35" i="35"/>
  <c r="Q45" i="35"/>
  <c r="Q21" i="35"/>
  <c r="Q28" i="35"/>
  <c r="Q32" i="35"/>
  <c r="Q38" i="35"/>
  <c r="Q12" i="35"/>
  <c r="Q37" i="35"/>
  <c r="Q31" i="35"/>
  <c r="Q47" i="35"/>
  <c r="Q18" i="35"/>
  <c r="Q33" i="35"/>
  <c r="Q26" i="35"/>
  <c r="Q43" i="35"/>
  <c r="G22" i="5"/>
  <c r="E22" i="5"/>
  <c r="F22" i="5"/>
  <c r="Q39" i="35" l="1"/>
  <c r="Q49" i="35"/>
  <c r="Q52" i="35" s="1"/>
  <c r="E47" i="33"/>
  <c r="C47" i="33"/>
  <c r="F22" i="15"/>
  <c r="F22" i="16"/>
  <c r="F20" i="18"/>
  <c r="F22" i="6"/>
  <c r="F23" i="32"/>
  <c r="F22" i="3"/>
  <c r="F22" i="1"/>
  <c r="F26" i="4"/>
  <c r="G20" i="4"/>
  <c r="E20" i="4"/>
  <c r="F20" i="4"/>
  <c r="G19" i="28"/>
  <c r="E19" i="28"/>
  <c r="F19" i="28"/>
  <c r="G26" i="5"/>
  <c r="G24" i="4"/>
  <c r="G19" i="23"/>
  <c r="G19" i="24"/>
  <c r="G19" i="8"/>
  <c r="G19" i="27"/>
  <c r="G20" i="5"/>
  <c r="G43" i="20" l="1"/>
  <c r="L45" i="35" s="1"/>
  <c r="D49" i="20"/>
  <c r="G39" i="20"/>
  <c r="A45" i="20"/>
  <c r="A43" i="20"/>
  <c r="L47" i="35"/>
  <c r="G29" i="19"/>
  <c r="A31" i="19"/>
  <c r="A29" i="19"/>
  <c r="G34" i="21"/>
  <c r="F36" i="21"/>
  <c r="F34" i="21"/>
  <c r="A36" i="21"/>
  <c r="A34" i="21"/>
  <c r="A40" i="21"/>
  <c r="A38" i="21"/>
  <c r="F36" i="22"/>
  <c r="F34" i="22"/>
  <c r="A36" i="22"/>
  <c r="A38" i="22"/>
  <c r="F35" i="23"/>
  <c r="G35" i="23" s="1"/>
  <c r="F33" i="23"/>
  <c r="G33" i="23" s="1"/>
  <c r="A35" i="23"/>
  <c r="A33" i="23"/>
  <c r="A39" i="23"/>
  <c r="A37" i="23"/>
  <c r="F35" i="24"/>
  <c r="G35" i="24" s="1"/>
  <c r="F33" i="24"/>
  <c r="G33" i="24" s="1"/>
  <c r="A33" i="24"/>
  <c r="A39" i="24"/>
  <c r="A37" i="24"/>
  <c r="F38" i="8"/>
  <c r="G38" i="8" s="1"/>
  <c r="F36" i="8"/>
  <c r="G36" i="8" s="1"/>
  <c r="A38" i="8"/>
  <c r="A42" i="8"/>
  <c r="A40" i="8"/>
  <c r="G35" i="27"/>
  <c r="G33" i="27"/>
  <c r="A35" i="27"/>
  <c r="A35" i="24" s="1"/>
  <c r="A33" i="27"/>
  <c r="A34" i="22" s="1"/>
  <c r="A39" i="27"/>
  <c r="A37" i="27"/>
  <c r="G28" i="1"/>
  <c r="G30" i="31"/>
  <c r="F32" i="31"/>
  <c r="G32" i="31" s="1"/>
  <c r="F30" i="31"/>
  <c r="A36" i="31"/>
  <c r="A34" i="31"/>
  <c r="A32" i="31"/>
  <c r="A30" i="31"/>
  <c r="D38" i="31"/>
  <c r="G30" i="9"/>
  <c r="F32" i="9"/>
  <c r="G32" i="9" s="1"/>
  <c r="F30" i="9"/>
  <c r="D38" i="9"/>
  <c r="A36" i="9"/>
  <c r="A34" i="9"/>
  <c r="A32" i="9"/>
  <c r="A30" i="9"/>
  <c r="D38" i="10"/>
  <c r="G30" i="10"/>
  <c r="F32" i="10"/>
  <c r="G32" i="10" s="1"/>
  <c r="L30" i="35" s="1"/>
  <c r="F30" i="10"/>
  <c r="A32" i="10"/>
  <c r="A30" i="10"/>
  <c r="A34" i="10"/>
  <c r="A36" i="10"/>
  <c r="D38" i="12"/>
  <c r="G32" i="12"/>
  <c r="G30" i="12"/>
  <c r="A36" i="12"/>
  <c r="A34" i="12"/>
  <c r="A32" i="12"/>
  <c r="A30" i="12"/>
  <c r="G30" i="11"/>
  <c r="L29" i="35"/>
  <c r="A32" i="11"/>
  <c r="A30" i="11"/>
  <c r="G32" i="13"/>
  <c r="F34" i="13"/>
  <c r="F32" i="13"/>
  <c r="A36" i="13"/>
  <c r="A34" i="13"/>
  <c r="A32" i="13"/>
  <c r="F35" i="14"/>
  <c r="F33" i="14"/>
  <c r="G33" i="14" s="1"/>
  <c r="A37" i="14"/>
  <c r="A35" i="14"/>
  <c r="A33" i="14"/>
  <c r="A39" i="14"/>
  <c r="F28" i="15"/>
  <c r="G28" i="15" s="1"/>
  <c r="L23" i="35" s="1"/>
  <c r="A30" i="15"/>
  <c r="A28" i="15"/>
  <c r="F28" i="16"/>
  <c r="G28" i="16" s="1"/>
  <c r="G24" i="16"/>
  <c r="A30" i="16"/>
  <c r="A28" i="16"/>
  <c r="G32" i="25"/>
  <c r="A36" i="25"/>
  <c r="D32" i="18"/>
  <c r="G26" i="18"/>
  <c r="B20" i="35"/>
  <c r="B16" i="35"/>
  <c r="B15" i="35"/>
  <c r="B14" i="35"/>
  <c r="B8" i="35"/>
  <c r="L20" i="35"/>
  <c r="A28" i="18"/>
  <c r="A26" i="18"/>
  <c r="F29" i="32"/>
  <c r="G29" i="32" s="1"/>
  <c r="A31" i="32"/>
  <c r="A29" i="32"/>
  <c r="F28" i="6"/>
  <c r="G28" i="6" s="1"/>
  <c r="L17" i="35" s="1"/>
  <c r="F28" i="3"/>
  <c r="G28" i="3" s="1"/>
  <c r="L15" i="35" s="1"/>
  <c r="A30" i="6"/>
  <c r="A28" i="6"/>
  <c r="A30" i="3"/>
  <c r="A28" i="3"/>
  <c r="A30" i="1"/>
  <c r="A28" i="1"/>
  <c r="L12" i="35"/>
  <c r="G62" i="2"/>
  <c r="G60" i="2"/>
  <c r="A64" i="2"/>
  <c r="A62" i="2"/>
  <c r="F31" i="28"/>
  <c r="A33" i="28"/>
  <c r="A31" i="28"/>
  <c r="D40" i="5"/>
  <c r="F34" i="5"/>
  <c r="G34" i="5" s="1"/>
  <c r="L8" i="35" s="1"/>
  <c r="E34" i="5"/>
  <c r="A36" i="5"/>
  <c r="A34" i="5"/>
  <c r="G32" i="4"/>
  <c r="L7" i="35" s="1"/>
  <c r="E32" i="4"/>
  <c r="L31" i="35" l="1"/>
  <c r="L32" i="35"/>
  <c r="L28" i="35"/>
  <c r="L25" i="35"/>
  <c r="L21" i="35"/>
  <c r="L36" i="35"/>
  <c r="L38" i="35"/>
  <c r="L37" i="35"/>
  <c r="A36" i="8"/>
  <c r="L42" i="35"/>
  <c r="L35" i="35"/>
  <c r="L24" i="35"/>
  <c r="L22" i="35"/>
  <c r="L16" i="35"/>
  <c r="F41" i="20"/>
  <c r="A41" i="20"/>
  <c r="B35" i="20"/>
  <c r="E35" i="20" s="1"/>
  <c r="E41" i="20" s="1"/>
  <c r="A2" i="35"/>
  <c r="A1" i="35"/>
  <c r="F27" i="19"/>
  <c r="A27" i="19"/>
  <c r="F32" i="21"/>
  <c r="A32" i="21"/>
  <c r="F32" i="22"/>
  <c r="A32" i="22"/>
  <c r="F31" i="23"/>
  <c r="A31" i="23"/>
  <c r="F31" i="24"/>
  <c r="A31" i="24"/>
  <c r="F34" i="8"/>
  <c r="A34" i="8"/>
  <c r="F31" i="27"/>
  <c r="A31" i="27"/>
  <c r="F28" i="31"/>
  <c r="A28" i="31"/>
  <c r="F28" i="9"/>
  <c r="A28" i="9"/>
  <c r="F28" i="10"/>
  <c r="A28" i="10"/>
  <c r="F28" i="11"/>
  <c r="A28" i="11"/>
  <c r="F28" i="12"/>
  <c r="A28" i="12"/>
  <c r="F30" i="13"/>
  <c r="A30" i="13"/>
  <c r="F31" i="14"/>
  <c r="A31" i="14"/>
  <c r="F26" i="15"/>
  <c r="A26" i="15"/>
  <c r="F26" i="16"/>
  <c r="A26" i="16"/>
  <c r="F30" i="25"/>
  <c r="A30" i="25"/>
  <c r="F24" i="18"/>
  <c r="A24" i="18"/>
  <c r="F27" i="32"/>
  <c r="A27" i="32"/>
  <c r="F26" i="6"/>
  <c r="A26" i="6"/>
  <c r="F26" i="3"/>
  <c r="A26" i="3"/>
  <c r="F26" i="1"/>
  <c r="A26" i="1"/>
  <c r="F29" i="28"/>
  <c r="A29" i="28"/>
  <c r="F32" i="5"/>
  <c r="A32" i="5"/>
  <c r="L33" i="35" l="1"/>
  <c r="L26" i="35"/>
  <c r="L39" i="35"/>
  <c r="G41" i="20"/>
  <c r="J45" i="35" s="1"/>
  <c r="D39" i="20"/>
  <c r="C45" i="35" s="1"/>
  <c r="D60" i="2"/>
  <c r="C12" i="35" s="1"/>
  <c r="D25" i="19"/>
  <c r="C47" i="35" s="1"/>
  <c r="D30" i="21"/>
  <c r="C42" i="35" s="1"/>
  <c r="D30" i="22"/>
  <c r="C41" i="35" s="1"/>
  <c r="D29" i="23"/>
  <c r="C38" i="35" s="1"/>
  <c r="D29" i="24"/>
  <c r="C37" i="35" s="1"/>
  <c r="D32" i="8"/>
  <c r="C36" i="35" s="1"/>
  <c r="D29" i="27"/>
  <c r="C35" i="35" s="1"/>
  <c r="D26" i="31"/>
  <c r="C32" i="35" s="1"/>
  <c r="D26" i="9"/>
  <c r="C31" i="35" s="1"/>
  <c r="D26" i="10"/>
  <c r="C30" i="35" s="1"/>
  <c r="D26" i="11"/>
  <c r="C29" i="35" s="1"/>
  <c r="D26" i="12"/>
  <c r="C28" i="35" s="1"/>
  <c r="D28" i="13"/>
  <c r="C25" i="35" s="1"/>
  <c r="D29" i="14"/>
  <c r="C24" i="35" s="1"/>
  <c r="D24" i="15"/>
  <c r="C23" i="35" s="1"/>
  <c r="D24" i="16"/>
  <c r="C22" i="35" s="1"/>
  <c r="D28" i="25"/>
  <c r="C21" i="35" s="1"/>
  <c r="D22" i="18"/>
  <c r="C20" i="35" s="1"/>
  <c r="D25" i="32"/>
  <c r="C16" i="35" s="1"/>
  <c r="D24" i="6"/>
  <c r="C17" i="35" s="1"/>
  <c r="D24" i="3"/>
  <c r="C15" i="35" s="1"/>
  <c r="D24" i="1"/>
  <c r="C14" i="35" s="1"/>
  <c r="D27" i="28"/>
  <c r="C9" i="35" s="1"/>
  <c r="D30" i="5"/>
  <c r="C8" i="35" s="1"/>
  <c r="D28" i="4"/>
  <c r="C7" i="35" s="1"/>
  <c r="B39" i="34"/>
  <c r="A40" i="22"/>
  <c r="A29" i="23"/>
  <c r="A29" i="24"/>
  <c r="G24" i="8"/>
  <c r="A32" i="8"/>
  <c r="A29" i="27"/>
  <c r="A26" i="31"/>
  <c r="A26" i="9"/>
  <c r="A26" i="10"/>
  <c r="A26" i="12"/>
  <c r="A29" i="14"/>
  <c r="C10" i="35" l="1"/>
  <c r="C33" i="35"/>
  <c r="C39" i="35"/>
  <c r="C43" i="35"/>
  <c r="C18" i="35"/>
  <c r="C26" i="35"/>
  <c r="A25" i="19"/>
  <c r="A30" i="21"/>
  <c r="A30" i="22"/>
  <c r="A26" i="11"/>
  <c r="A28" i="13"/>
  <c r="A24" i="15"/>
  <c r="A24" i="16"/>
  <c r="A28" i="25"/>
  <c r="A22" i="18"/>
  <c r="A27" i="28"/>
  <c r="C49" i="35" l="1"/>
  <c r="A25" i="32"/>
  <c r="A24" i="3"/>
  <c r="A24" i="6"/>
  <c r="A24" i="1"/>
  <c r="A39" i="20"/>
  <c r="A60" i="2"/>
  <c r="A30" i="5"/>
  <c r="B43" i="34" l="1"/>
  <c r="B26" i="34"/>
  <c r="B18" i="34"/>
  <c r="B10" i="34"/>
  <c r="E34" i="2"/>
  <c r="G34" i="2" s="1"/>
  <c r="E35" i="2"/>
  <c r="E33" i="2"/>
  <c r="D17" i="2"/>
  <c r="C18" i="28"/>
  <c r="E49" i="2"/>
  <c r="G49" i="2"/>
  <c r="D49" i="2"/>
  <c r="E48" i="2"/>
  <c r="G48" i="2"/>
  <c r="D48" i="2"/>
  <c r="G35" i="2"/>
  <c r="D35" i="2"/>
  <c r="D34" i="2"/>
  <c r="G33" i="2"/>
  <c r="D33" i="2"/>
  <c r="E17" i="2"/>
  <c r="G17" i="2"/>
  <c r="A33" i="32"/>
  <c r="A23" i="32"/>
  <c r="G10" i="32"/>
  <c r="F10" i="32"/>
  <c r="E10" i="32"/>
  <c r="D10" i="32"/>
  <c r="C10" i="32"/>
  <c r="B10" i="32"/>
  <c r="G9" i="32"/>
  <c r="F9" i="32"/>
  <c r="E9" i="32"/>
  <c r="D9" i="32"/>
  <c r="C9" i="32"/>
  <c r="B9" i="32"/>
  <c r="E8" i="32"/>
  <c r="B8" i="32"/>
  <c r="A3" i="32"/>
  <c r="A2" i="32"/>
  <c r="A1" i="32"/>
  <c r="A24" i="31"/>
  <c r="G10" i="31"/>
  <c r="F10" i="31"/>
  <c r="E10" i="31"/>
  <c r="D10" i="31"/>
  <c r="C10" i="31"/>
  <c r="B10" i="31"/>
  <c r="G9" i="31"/>
  <c r="F9" i="31"/>
  <c r="E9" i="31"/>
  <c r="D9" i="31"/>
  <c r="C9" i="31"/>
  <c r="B9" i="31"/>
  <c r="E8" i="31"/>
  <c r="B8" i="31"/>
  <c r="A3" i="31"/>
  <c r="A2" i="31"/>
  <c r="A1" i="31"/>
  <c r="C14" i="15"/>
  <c r="C13" i="15"/>
  <c r="C14" i="5"/>
  <c r="E33" i="20"/>
  <c r="E14" i="20"/>
  <c r="G14" i="20" s="1"/>
  <c r="E15" i="20"/>
  <c r="G15" i="20" s="1"/>
  <c r="E16" i="20"/>
  <c r="G16" i="20" s="1"/>
  <c r="E17" i="20"/>
  <c r="G17" i="20" s="1"/>
  <c r="E21" i="20"/>
  <c r="G21" i="20" s="1"/>
  <c r="E22" i="20"/>
  <c r="G22" i="20" s="1"/>
  <c r="E23" i="20"/>
  <c r="G23" i="20" s="1"/>
  <c r="E24" i="20"/>
  <c r="G24" i="20" s="1"/>
  <c r="E28" i="20"/>
  <c r="G28" i="20" s="1"/>
  <c r="E29" i="20"/>
  <c r="G29" i="20"/>
  <c r="E30" i="20"/>
  <c r="G30" i="20" s="1"/>
  <c r="E31" i="20"/>
  <c r="G31" i="20"/>
  <c r="E20" i="8"/>
  <c r="G20" i="8"/>
  <c r="F13" i="15"/>
  <c r="F14" i="15"/>
  <c r="E51" i="2"/>
  <c r="E14" i="2"/>
  <c r="G14" i="2" s="1"/>
  <c r="E15" i="2"/>
  <c r="G15" i="2" s="1"/>
  <c r="E16" i="2"/>
  <c r="G16" i="2" s="1"/>
  <c r="E18" i="2"/>
  <c r="G18" i="2" s="1"/>
  <c r="E21" i="2"/>
  <c r="G21" i="2" s="1"/>
  <c r="E22" i="2"/>
  <c r="G22" i="2" s="1"/>
  <c r="E26" i="2"/>
  <c r="G26" i="2" s="1"/>
  <c r="E27" i="2"/>
  <c r="G27" i="2"/>
  <c r="E30" i="2"/>
  <c r="G30" i="2"/>
  <c r="E39" i="2"/>
  <c r="G39" i="2" s="1"/>
  <c r="E40" i="2"/>
  <c r="G40" i="2" s="1"/>
  <c r="E43" i="2"/>
  <c r="G43" i="2" s="1"/>
  <c r="E44" i="2"/>
  <c r="G44" i="2" s="1"/>
  <c r="E45" i="2"/>
  <c r="G45" i="2" s="1"/>
  <c r="E54" i="2"/>
  <c r="G54" i="2" s="1"/>
  <c r="E55" i="2"/>
  <c r="G55" i="2" s="1"/>
  <c r="E56" i="2"/>
  <c r="G56" i="2" s="1"/>
  <c r="F14" i="28"/>
  <c r="F13" i="28"/>
  <c r="F18" i="28"/>
  <c r="E18" i="5"/>
  <c r="G18" i="5" s="1"/>
  <c r="D18" i="5"/>
  <c r="C13" i="28"/>
  <c r="D14" i="2"/>
  <c r="D15" i="2"/>
  <c r="D16" i="2"/>
  <c r="D18" i="2"/>
  <c r="D21" i="2"/>
  <c r="D22" i="2"/>
  <c r="D26" i="2"/>
  <c r="D27" i="2"/>
  <c r="D30" i="2"/>
  <c r="D39" i="2"/>
  <c r="D40" i="2"/>
  <c r="D43" i="2"/>
  <c r="D44" i="2"/>
  <c r="D45" i="2"/>
  <c r="D54" i="2"/>
  <c r="D55" i="2"/>
  <c r="D56" i="2"/>
  <c r="C13" i="6"/>
  <c r="C14" i="6"/>
  <c r="D20" i="8"/>
  <c r="D14" i="20"/>
  <c r="D15" i="20"/>
  <c r="D16" i="20"/>
  <c r="D17" i="20"/>
  <c r="D21" i="20"/>
  <c r="D22" i="20"/>
  <c r="D23" i="20"/>
  <c r="D24" i="20"/>
  <c r="D28" i="20"/>
  <c r="D29" i="20"/>
  <c r="D30" i="20"/>
  <c r="D31" i="20"/>
  <c r="A24" i="9"/>
  <c r="A1" i="28"/>
  <c r="A2" i="28"/>
  <c r="A3" i="28"/>
  <c r="B8" i="28"/>
  <c r="E8" i="28"/>
  <c r="B9" i="28"/>
  <c r="C9" i="28"/>
  <c r="D9" i="28"/>
  <c r="E9" i="28"/>
  <c r="F9" i="28"/>
  <c r="G9" i="28"/>
  <c r="B10" i="28"/>
  <c r="C10" i="28"/>
  <c r="D10" i="28"/>
  <c r="E10" i="28"/>
  <c r="F10" i="28"/>
  <c r="G10" i="28"/>
  <c r="A25" i="28"/>
  <c r="A35" i="28"/>
  <c r="A1" i="27"/>
  <c r="A2" i="27"/>
  <c r="A3" i="27"/>
  <c r="B8" i="27"/>
  <c r="E8" i="27"/>
  <c r="B9" i="27"/>
  <c r="C9" i="27"/>
  <c r="D9" i="27"/>
  <c r="E9" i="27"/>
  <c r="F9" i="27"/>
  <c r="G9" i="27"/>
  <c r="B10" i="27"/>
  <c r="C10" i="27"/>
  <c r="D10" i="27"/>
  <c r="E10" i="27"/>
  <c r="F10" i="27"/>
  <c r="G10" i="27"/>
  <c r="A27" i="27"/>
  <c r="A28" i="22"/>
  <c r="G10" i="22"/>
  <c r="F10" i="22"/>
  <c r="E10" i="22"/>
  <c r="D10" i="22"/>
  <c r="C10" i="22"/>
  <c r="B10" i="22"/>
  <c r="G9" i="22"/>
  <c r="F9" i="22"/>
  <c r="E9" i="22"/>
  <c r="D9" i="22"/>
  <c r="C9" i="22"/>
  <c r="B9" i="22"/>
  <c r="E8" i="22"/>
  <c r="B8" i="22"/>
  <c r="A3" i="22"/>
  <c r="A2" i="22"/>
  <c r="A1" i="22"/>
  <c r="A28" i="21"/>
  <c r="G10" i="21"/>
  <c r="F10" i="21"/>
  <c r="E10" i="21"/>
  <c r="D10" i="21"/>
  <c r="C10" i="21"/>
  <c r="B10" i="21"/>
  <c r="G9" i="21"/>
  <c r="F9" i="21"/>
  <c r="E9" i="21"/>
  <c r="D9" i="21"/>
  <c r="C9" i="21"/>
  <c r="B9" i="21"/>
  <c r="E8" i="21"/>
  <c r="B8" i="21"/>
  <c r="A3" i="21"/>
  <c r="A2" i="21"/>
  <c r="A1" i="21"/>
  <c r="A34" i="11"/>
  <c r="A22" i="11"/>
  <c r="G10" i="11"/>
  <c r="F10" i="11"/>
  <c r="E10" i="11"/>
  <c r="D10" i="11"/>
  <c r="C10" i="11"/>
  <c r="B10" i="11"/>
  <c r="G9" i="11"/>
  <c r="F9" i="11"/>
  <c r="E9" i="11"/>
  <c r="D9" i="11"/>
  <c r="C9" i="11"/>
  <c r="B9" i="11"/>
  <c r="E8" i="11"/>
  <c r="B8" i="11"/>
  <c r="A3" i="11"/>
  <c r="A2" i="11"/>
  <c r="A1" i="11"/>
  <c r="A24" i="10"/>
  <c r="G10" i="10"/>
  <c r="F10" i="10"/>
  <c r="E10" i="10"/>
  <c r="D10" i="10"/>
  <c r="C10" i="10"/>
  <c r="B10" i="10"/>
  <c r="G9" i="10"/>
  <c r="F9" i="10"/>
  <c r="E9" i="10"/>
  <c r="D9" i="10"/>
  <c r="C9" i="10"/>
  <c r="B9" i="10"/>
  <c r="E8" i="10"/>
  <c r="B8" i="10"/>
  <c r="A3" i="10"/>
  <c r="A2" i="10"/>
  <c r="A1" i="10"/>
  <c r="A24" i="12"/>
  <c r="G10" i="12"/>
  <c r="F10" i="12"/>
  <c r="E10" i="12"/>
  <c r="D10" i="12"/>
  <c r="C10" i="12"/>
  <c r="B10" i="12"/>
  <c r="G9" i="12"/>
  <c r="F9" i="12"/>
  <c r="E9" i="12"/>
  <c r="D9" i="12"/>
  <c r="C9" i="12"/>
  <c r="B9" i="12"/>
  <c r="E8" i="12"/>
  <c r="B8" i="12"/>
  <c r="A3" i="12"/>
  <c r="A2" i="12"/>
  <c r="A1" i="12"/>
  <c r="G10" i="9"/>
  <c r="F10" i="9"/>
  <c r="E10" i="9"/>
  <c r="D10" i="9"/>
  <c r="C10" i="9"/>
  <c r="B10" i="9"/>
  <c r="G9" i="9"/>
  <c r="F9" i="9"/>
  <c r="E9" i="9"/>
  <c r="D9" i="9"/>
  <c r="C9" i="9"/>
  <c r="B9" i="9"/>
  <c r="E8" i="9"/>
  <c r="B8" i="9"/>
  <c r="A3" i="9"/>
  <c r="A2" i="9"/>
  <c r="A1" i="9"/>
  <c r="A38" i="25"/>
  <c r="A26" i="25"/>
  <c r="G10" i="25"/>
  <c r="F10" i="25"/>
  <c r="E10" i="25"/>
  <c r="D10" i="25"/>
  <c r="C10" i="25"/>
  <c r="B10" i="25"/>
  <c r="G9" i="25"/>
  <c r="F9" i="25"/>
  <c r="E9" i="25"/>
  <c r="D9" i="25"/>
  <c r="C9" i="25"/>
  <c r="B9" i="25"/>
  <c r="E8" i="25"/>
  <c r="B8" i="25"/>
  <c r="A3" i="25"/>
  <c r="A2" i="25"/>
  <c r="A1" i="25"/>
  <c r="A32" i="16"/>
  <c r="A22" i="16"/>
  <c r="G10" i="16"/>
  <c r="F10" i="16"/>
  <c r="E10" i="16"/>
  <c r="D10" i="16"/>
  <c r="C10" i="16"/>
  <c r="B10" i="16"/>
  <c r="G9" i="16"/>
  <c r="F9" i="16"/>
  <c r="E9" i="16"/>
  <c r="D9" i="16"/>
  <c r="C9" i="16"/>
  <c r="B9" i="16"/>
  <c r="E8" i="16"/>
  <c r="B8" i="16"/>
  <c r="A3" i="16"/>
  <c r="A2" i="16"/>
  <c r="A1" i="16"/>
  <c r="A27" i="14"/>
  <c r="G10" i="14"/>
  <c r="F10" i="14"/>
  <c r="E10" i="14"/>
  <c r="D10" i="14"/>
  <c r="C10" i="14"/>
  <c r="B10" i="14"/>
  <c r="G9" i="14"/>
  <c r="F9" i="14"/>
  <c r="E9" i="14"/>
  <c r="D9" i="14"/>
  <c r="C9" i="14"/>
  <c r="B9" i="14"/>
  <c r="E8" i="14"/>
  <c r="B8" i="14"/>
  <c r="A3" i="14"/>
  <c r="A2" i="14"/>
  <c r="A1" i="14"/>
  <c r="A30" i="18"/>
  <c r="A20" i="18"/>
  <c r="G10" i="18"/>
  <c r="F10" i="18"/>
  <c r="E10" i="18"/>
  <c r="D10" i="18"/>
  <c r="C10" i="18"/>
  <c r="B10" i="18"/>
  <c r="G9" i="18"/>
  <c r="F9" i="18"/>
  <c r="E9" i="18"/>
  <c r="D9" i="18"/>
  <c r="C9" i="18"/>
  <c r="B9" i="18"/>
  <c r="E8" i="18"/>
  <c r="B8" i="18"/>
  <c r="A3" i="18"/>
  <c r="A2" i="18"/>
  <c r="A1" i="18"/>
  <c r="A38" i="13"/>
  <c r="A26" i="13"/>
  <c r="G10" i="13"/>
  <c r="F10" i="13"/>
  <c r="E10" i="13"/>
  <c r="D10" i="13"/>
  <c r="C10" i="13"/>
  <c r="B10" i="13"/>
  <c r="G9" i="13"/>
  <c r="F9" i="13"/>
  <c r="E9" i="13"/>
  <c r="D9" i="13"/>
  <c r="C9" i="13"/>
  <c r="B9" i="13"/>
  <c r="E8" i="13"/>
  <c r="B8" i="13"/>
  <c r="A3" i="13"/>
  <c r="A2" i="13"/>
  <c r="A1" i="13"/>
  <c r="A32" i="15"/>
  <c r="A22" i="15"/>
  <c r="G10" i="15"/>
  <c r="F10" i="15"/>
  <c r="E10" i="15"/>
  <c r="D10" i="15"/>
  <c r="C10" i="15"/>
  <c r="B10" i="15"/>
  <c r="G9" i="15"/>
  <c r="F9" i="15"/>
  <c r="E9" i="15"/>
  <c r="D9" i="15"/>
  <c r="C9" i="15"/>
  <c r="B9" i="15"/>
  <c r="E8" i="15"/>
  <c r="B8" i="15"/>
  <c r="A3" i="15"/>
  <c r="A2" i="15"/>
  <c r="A1" i="15"/>
  <c r="A33" i="19"/>
  <c r="A23" i="19"/>
  <c r="G10" i="19"/>
  <c r="F10" i="19"/>
  <c r="E10" i="19"/>
  <c r="D10" i="19"/>
  <c r="C10" i="19"/>
  <c r="B10" i="19"/>
  <c r="G9" i="19"/>
  <c r="F9" i="19"/>
  <c r="E9" i="19"/>
  <c r="D9" i="19"/>
  <c r="C9" i="19"/>
  <c r="B9" i="19"/>
  <c r="E8" i="19"/>
  <c r="B8" i="19"/>
  <c r="A3" i="19"/>
  <c r="A2" i="19"/>
  <c r="A1" i="19"/>
  <c r="A66" i="2"/>
  <c r="A58" i="2"/>
  <c r="G10" i="2"/>
  <c r="F10" i="2"/>
  <c r="E10" i="2"/>
  <c r="D10" i="2"/>
  <c r="C10" i="2"/>
  <c r="B10" i="2"/>
  <c r="G9" i="2"/>
  <c r="F9" i="2"/>
  <c r="E9" i="2"/>
  <c r="D9" i="2"/>
  <c r="C9" i="2"/>
  <c r="B9" i="2"/>
  <c r="E8" i="2"/>
  <c r="B8" i="2"/>
  <c r="A3" i="2"/>
  <c r="A2" i="2"/>
  <c r="A1" i="2"/>
  <c r="A30" i="8"/>
  <c r="G10" i="8"/>
  <c r="F10" i="8"/>
  <c r="E10" i="8"/>
  <c r="D10" i="8"/>
  <c r="C10" i="8"/>
  <c r="B10" i="8"/>
  <c r="G9" i="8"/>
  <c r="F9" i="8"/>
  <c r="E9" i="8"/>
  <c r="D9" i="8"/>
  <c r="C9" i="8"/>
  <c r="B9" i="8"/>
  <c r="E8" i="8"/>
  <c r="B8" i="8"/>
  <c r="A3" i="8"/>
  <c r="A2" i="8"/>
  <c r="A1" i="8"/>
  <c r="A27" i="24"/>
  <c r="G10" i="24"/>
  <c r="F10" i="24"/>
  <c r="E10" i="24"/>
  <c r="D10" i="24"/>
  <c r="C10" i="24"/>
  <c r="B10" i="24"/>
  <c r="G9" i="24"/>
  <c r="F9" i="24"/>
  <c r="E9" i="24"/>
  <c r="D9" i="24"/>
  <c r="C9" i="24"/>
  <c r="B9" i="24"/>
  <c r="E8" i="24"/>
  <c r="B8" i="24"/>
  <c r="A3" i="24"/>
  <c r="A2" i="24"/>
  <c r="A1" i="24"/>
  <c r="A27" i="23"/>
  <c r="G10" i="23"/>
  <c r="F10" i="23"/>
  <c r="E10" i="23"/>
  <c r="D10" i="23"/>
  <c r="C10" i="23"/>
  <c r="B10" i="23"/>
  <c r="G9" i="23"/>
  <c r="F9" i="23"/>
  <c r="E9" i="23"/>
  <c r="D9" i="23"/>
  <c r="C9" i="23"/>
  <c r="B9" i="23"/>
  <c r="E8" i="23"/>
  <c r="B8" i="23"/>
  <c r="A3" i="23"/>
  <c r="A2" i="23"/>
  <c r="A1" i="23"/>
  <c r="A38" i="5"/>
  <c r="A28" i="5"/>
  <c r="G10" i="5"/>
  <c r="F10" i="5"/>
  <c r="E10" i="5"/>
  <c r="D10" i="5"/>
  <c r="C10" i="5"/>
  <c r="B10" i="5"/>
  <c r="G9" i="5"/>
  <c r="F9" i="5"/>
  <c r="E9" i="5"/>
  <c r="D9" i="5"/>
  <c r="C9" i="5"/>
  <c r="B9" i="5"/>
  <c r="E8" i="5"/>
  <c r="B8" i="5"/>
  <c r="A3" i="5"/>
  <c r="A2" i="5"/>
  <c r="A1" i="5"/>
  <c r="A32" i="1"/>
  <c r="A22" i="1"/>
  <c r="A3" i="1"/>
  <c r="A2" i="1"/>
  <c r="A1" i="1"/>
  <c r="G10" i="1"/>
  <c r="F10" i="1"/>
  <c r="E10" i="1"/>
  <c r="D10" i="1"/>
  <c r="C10" i="1"/>
  <c r="G9" i="1"/>
  <c r="F9" i="1"/>
  <c r="E9" i="1"/>
  <c r="D9" i="1"/>
  <c r="C9" i="1"/>
  <c r="E8" i="1"/>
  <c r="B10" i="1"/>
  <c r="B9" i="1"/>
  <c r="B8" i="1"/>
  <c r="A32" i="6"/>
  <c r="A22" i="6"/>
  <c r="G10" i="6"/>
  <c r="F10" i="6"/>
  <c r="E10" i="6"/>
  <c r="D10" i="6"/>
  <c r="C10" i="6"/>
  <c r="B10" i="6"/>
  <c r="G9" i="6"/>
  <c r="F9" i="6"/>
  <c r="E9" i="6"/>
  <c r="D9" i="6"/>
  <c r="C9" i="6"/>
  <c r="B9" i="6"/>
  <c r="E8" i="6"/>
  <c r="B8" i="6"/>
  <c r="A3" i="6"/>
  <c r="A2" i="6"/>
  <c r="A1" i="6"/>
  <c r="A32" i="3"/>
  <c r="A22" i="3"/>
  <c r="G10" i="3"/>
  <c r="F10" i="3"/>
  <c r="E10" i="3"/>
  <c r="D10" i="3"/>
  <c r="C10" i="3"/>
  <c r="B10" i="3"/>
  <c r="G9" i="3"/>
  <c r="F9" i="3"/>
  <c r="E9" i="3"/>
  <c r="D9" i="3"/>
  <c r="C9" i="3"/>
  <c r="B9" i="3"/>
  <c r="E8" i="3"/>
  <c r="B8" i="3"/>
  <c r="A3" i="3"/>
  <c r="A2" i="3"/>
  <c r="A1" i="3"/>
  <c r="A47" i="20"/>
  <c r="A37" i="20"/>
  <c r="G10" i="20"/>
  <c r="F10" i="20"/>
  <c r="E10" i="20"/>
  <c r="D10" i="20"/>
  <c r="C10" i="20"/>
  <c r="B10" i="20"/>
  <c r="G9" i="20"/>
  <c r="F9" i="20"/>
  <c r="E9" i="20"/>
  <c r="D9" i="20"/>
  <c r="C9" i="20"/>
  <c r="B9" i="20"/>
  <c r="E8" i="20"/>
  <c r="B8" i="20"/>
  <c r="A3" i="20"/>
  <c r="A2" i="20"/>
  <c r="A1" i="20"/>
  <c r="A2" i="7"/>
  <c r="A1" i="7"/>
  <c r="B33" i="34"/>
  <c r="F45" i="35" l="1"/>
  <c r="F12" i="35"/>
  <c r="E45" i="20"/>
  <c r="E64" i="2"/>
  <c r="D68" i="2"/>
  <c r="B12" i="35"/>
  <c r="C14" i="28"/>
  <c r="B49" i="34"/>
  <c r="C28" i="34" l="1"/>
  <c r="C7" i="34"/>
  <c r="C20" i="34"/>
  <c r="C14" i="34"/>
  <c r="C45" i="34"/>
  <c r="D45" i="34" s="1"/>
  <c r="C37" i="34"/>
  <c r="D37" i="34" s="1"/>
  <c r="C31" i="34"/>
  <c r="D31" i="34" s="1"/>
  <c r="C12" i="34"/>
  <c r="D12" i="34" s="1"/>
  <c r="C29" i="34"/>
  <c r="D29" i="34" s="1"/>
  <c r="C23" i="34"/>
  <c r="D23" i="34" s="1"/>
  <c r="C17" i="34"/>
  <c r="D17" i="34" s="1"/>
  <c r="C9" i="34"/>
  <c r="D9" i="34" s="1"/>
  <c r="C42" i="34"/>
  <c r="D42" i="34" s="1"/>
  <c r="C36" i="34"/>
  <c r="D36" i="34" s="1"/>
  <c r="C30" i="34"/>
  <c r="D30" i="34" s="1"/>
  <c r="C22" i="34"/>
  <c r="D22" i="34" s="1"/>
  <c r="C16" i="34"/>
  <c r="D16" i="34" s="1"/>
  <c r="C8" i="34"/>
  <c r="D8" i="34" s="1"/>
  <c r="C41" i="34"/>
  <c r="C35" i="34"/>
  <c r="C25" i="34"/>
  <c r="D25" i="34" s="1"/>
  <c r="C21" i="34"/>
  <c r="D21" i="34" s="1"/>
  <c r="C15" i="34"/>
  <c r="D15" i="34" s="1"/>
  <c r="C47" i="34"/>
  <c r="D47" i="34" s="1"/>
  <c r="C38" i="34"/>
  <c r="D38" i="34" s="1"/>
  <c r="C32" i="34"/>
  <c r="D32" i="34" s="1"/>
  <c r="C24" i="34"/>
  <c r="D24" i="34" s="1"/>
  <c r="D41" i="34" l="1"/>
  <c r="C43" i="34"/>
  <c r="D43" i="34" s="1"/>
  <c r="D20" i="34"/>
  <c r="C26" i="34"/>
  <c r="D26" i="34" s="1"/>
  <c r="D7" i="34"/>
  <c r="C10" i="34"/>
  <c r="D28" i="34"/>
  <c r="C33" i="34"/>
  <c r="D33" i="34" s="1"/>
  <c r="D35" i="34"/>
  <c r="C39" i="34"/>
  <c r="D39" i="34" s="1"/>
  <c r="D14" i="34"/>
  <c r="C18" i="34"/>
  <c r="D18" i="34" s="1"/>
  <c r="C49" i="34" l="1"/>
  <c r="D10" i="34"/>
  <c r="D49" i="34" s="1"/>
  <c r="E26" i="21" l="1"/>
  <c r="E25" i="23"/>
  <c r="E21" i="28" l="1"/>
  <c r="E20" i="1"/>
  <c r="E20" i="16"/>
  <c r="E20" i="11"/>
  <c r="E22" i="9"/>
  <c r="E25" i="24"/>
  <c r="E26" i="22"/>
  <c r="E21" i="32" l="1"/>
  <c r="E22" i="31"/>
  <c r="E20" i="15"/>
  <c r="E20" i="3"/>
  <c r="E25" i="14"/>
  <c r="E21" i="19"/>
  <c r="E22" i="12"/>
  <c r="E24" i="25"/>
  <c r="E18" i="18"/>
  <c r="E22" i="10"/>
  <c r="E24" i="5"/>
  <c r="E28" i="8" l="1"/>
  <c r="E20" i="6"/>
  <c r="E22" i="4"/>
  <c r="C24" i="31" l="1"/>
  <c r="C25" i="28"/>
  <c r="C22" i="6"/>
  <c r="C26" i="25"/>
  <c r="C27" i="24"/>
  <c r="C27" i="27"/>
  <c r="C23" i="19"/>
  <c r="C20" i="18"/>
  <c r="C23" i="32"/>
  <c r="C22" i="1"/>
  <c r="C22" i="3"/>
  <c r="C24" i="12"/>
  <c r="C37" i="20"/>
  <c r="D37" i="20" s="1"/>
  <c r="B45" i="35" s="1"/>
  <c r="C22" i="11"/>
  <c r="C27" i="23"/>
  <c r="C22" i="16"/>
  <c r="C24" i="9"/>
  <c r="C28" i="22"/>
  <c r="C30" i="8"/>
  <c r="C28" i="5"/>
  <c r="C24" i="10"/>
  <c r="C22" i="15"/>
  <c r="C26" i="13"/>
  <c r="C58" i="2"/>
  <c r="D58" i="2" s="1"/>
  <c r="C27" i="14"/>
  <c r="C28" i="21"/>
  <c r="B60" i="7" l="1"/>
  <c r="F24" i="31"/>
  <c r="F28" i="22"/>
  <c r="F26" i="25"/>
  <c r="F27" i="27"/>
  <c r="F23" i="19"/>
  <c r="F25" i="28"/>
  <c r="F27" i="24"/>
  <c r="F58" i="2"/>
  <c r="G58" i="2" s="1"/>
  <c r="F26" i="13"/>
  <c r="F28" i="21"/>
  <c r="F24" i="12"/>
  <c r="F37" i="20"/>
  <c r="G37" i="20" s="1"/>
  <c r="F24" i="10"/>
  <c r="F28" i="5"/>
  <c r="F22" i="11"/>
  <c r="F24" i="9"/>
  <c r="F30" i="8"/>
  <c r="F27" i="23"/>
  <c r="F27" i="14"/>
  <c r="B16" i="7"/>
  <c r="D12" i="35" l="1"/>
  <c r="D45" i="35"/>
  <c r="P45" i="35" l="1"/>
  <c r="R45" i="35" s="1"/>
  <c r="B43" i="33"/>
  <c r="G12" i="35"/>
  <c r="P12" i="35"/>
  <c r="R12" i="35" s="1"/>
  <c r="B12" i="33"/>
  <c r="G45" i="35"/>
  <c r="H45" i="35"/>
  <c r="H12" i="35"/>
  <c r="E24" i="13"/>
  <c r="E25" i="27" l="1"/>
  <c r="E21" i="5" l="1"/>
  <c r="G21" i="5" s="1"/>
  <c r="D21" i="5"/>
  <c r="E17" i="4" l="1"/>
  <c r="G26" i="4" s="1"/>
  <c r="D26" i="4"/>
  <c r="D24" i="22" l="1"/>
  <c r="E24" i="22"/>
  <c r="E32" i="22" l="1"/>
  <c r="G32" i="22" s="1"/>
  <c r="J41" i="35" s="1"/>
  <c r="G24" i="22"/>
  <c r="E15" i="14" l="1"/>
  <c r="E20" i="21"/>
  <c r="E13" i="19"/>
  <c r="E20" i="22"/>
  <c r="E15" i="13"/>
  <c r="E16" i="14"/>
  <c r="E15" i="25"/>
  <c r="E26" i="8" l="1"/>
  <c r="D26" i="8"/>
  <c r="E14" i="25"/>
  <c r="G14" i="25" s="1"/>
  <c r="D14" i="25"/>
  <c r="D18" i="11"/>
  <c r="E18" i="11"/>
  <c r="E18" i="3"/>
  <c r="D18" i="3"/>
  <c r="D18" i="15"/>
  <c r="E18" i="15"/>
  <c r="D18" i="16"/>
  <c r="E18" i="16"/>
  <c r="E20" i="10"/>
  <c r="D20" i="10"/>
  <c r="E22" i="13"/>
  <c r="D22" i="13"/>
  <c r="D18" i="1"/>
  <c r="E18" i="1"/>
  <c r="E20" i="9"/>
  <c r="D20" i="9"/>
  <c r="E23" i="23"/>
  <c r="D23" i="23"/>
  <c r="B19" i="28"/>
  <c r="D19" i="28" s="1"/>
  <c r="E18" i="28"/>
  <c r="D18" i="28"/>
  <c r="E23" i="24"/>
  <c r="D23" i="24"/>
  <c r="D23" i="14"/>
  <c r="E23" i="14"/>
  <c r="E18" i="6"/>
  <c r="D18" i="6"/>
  <c r="D20" i="31"/>
  <c r="E20" i="31"/>
  <c r="E19" i="32"/>
  <c r="D19" i="32"/>
  <c r="E20" i="12"/>
  <c r="D20" i="12"/>
  <c r="E23" i="27"/>
  <c r="D23" i="27"/>
  <c r="D19" i="25"/>
  <c r="E19" i="25"/>
  <c r="G19" i="25" s="1"/>
  <c r="E13" i="25"/>
  <c r="D13" i="25"/>
  <c r="B16" i="25"/>
  <c r="D26" i="25" s="1"/>
  <c r="B14" i="18"/>
  <c r="D12" i="18"/>
  <c r="E12" i="18"/>
  <c r="G12" i="18" s="1"/>
  <c r="E28" i="18" s="1"/>
  <c r="E16" i="18"/>
  <c r="D16" i="18"/>
  <c r="E19" i="19"/>
  <c r="D19" i="19"/>
  <c r="E24" i="21"/>
  <c r="D24" i="21"/>
  <c r="D22" i="8" l="1"/>
  <c r="E22" i="8"/>
  <c r="G22" i="8" s="1"/>
  <c r="B16" i="15"/>
  <c r="E13" i="15"/>
  <c r="G13" i="15" s="1"/>
  <c r="D13" i="15"/>
  <c r="E14" i="14"/>
  <c r="G14" i="14" s="1"/>
  <c r="D14" i="14"/>
  <c r="D14" i="3"/>
  <c r="E14" i="3"/>
  <c r="G14" i="3" s="1"/>
  <c r="E12" i="22"/>
  <c r="G12" i="22" s="1"/>
  <c r="D12" i="22"/>
  <c r="B14" i="22"/>
  <c r="D13" i="11"/>
  <c r="B16" i="11"/>
  <c r="E13" i="11"/>
  <c r="G13" i="11" s="1"/>
  <c r="E18" i="9"/>
  <c r="G18" i="9" s="1"/>
  <c r="D18" i="9"/>
  <c r="D21" i="24"/>
  <c r="E21" i="24"/>
  <c r="G21" i="24" s="1"/>
  <c r="B14" i="21"/>
  <c r="D12" i="21"/>
  <c r="E12" i="21"/>
  <c r="G12" i="21" s="1"/>
  <c r="E17" i="23"/>
  <c r="G17" i="23" s="1"/>
  <c r="D17" i="23"/>
  <c r="E14" i="1"/>
  <c r="G14" i="1" s="1"/>
  <c r="D14" i="1"/>
  <c r="E17" i="22"/>
  <c r="G17" i="22" s="1"/>
  <c r="D17" i="22"/>
  <c r="B15" i="19"/>
  <c r="E12" i="19"/>
  <c r="G12" i="19" s="1"/>
  <c r="E31" i="19" s="1"/>
  <c r="D12" i="19"/>
  <c r="E13" i="6"/>
  <c r="G13" i="6" s="1"/>
  <c r="B16" i="6"/>
  <c r="D13" i="6"/>
  <c r="E18" i="27"/>
  <c r="D18" i="27"/>
  <c r="G19" i="19"/>
  <c r="E27" i="19"/>
  <c r="G27" i="19" s="1"/>
  <c r="J47" i="35" s="1"/>
  <c r="G13" i="25"/>
  <c r="E36" i="25" s="1"/>
  <c r="E16" i="25"/>
  <c r="G26" i="25" s="1"/>
  <c r="E31" i="27"/>
  <c r="G31" i="27" s="1"/>
  <c r="J35" i="35" s="1"/>
  <c r="G23" i="27"/>
  <c r="G19" i="32"/>
  <c r="E27" i="32"/>
  <c r="G27" i="32" s="1"/>
  <c r="J16" i="35" s="1"/>
  <c r="G18" i="6"/>
  <c r="E26" i="6"/>
  <c r="G26" i="6" s="1"/>
  <c r="J17" i="35" s="1"/>
  <c r="E31" i="24"/>
  <c r="G31" i="24" s="1"/>
  <c r="J37" i="35" s="1"/>
  <c r="G23" i="24"/>
  <c r="E26" i="1"/>
  <c r="G26" i="1" s="1"/>
  <c r="J14" i="35" s="1"/>
  <c r="G18" i="1"/>
  <c r="E26" i="16"/>
  <c r="G26" i="16" s="1"/>
  <c r="J22" i="35" s="1"/>
  <c r="G18" i="16"/>
  <c r="E22" i="22"/>
  <c r="G22" i="22" s="1"/>
  <c r="D22" i="22"/>
  <c r="D21" i="23"/>
  <c r="E21" i="23"/>
  <c r="G21" i="23" s="1"/>
  <c r="E14" i="28"/>
  <c r="G14" i="28" s="1"/>
  <c r="D14" i="28"/>
  <c r="E16" i="12"/>
  <c r="G16" i="12" s="1"/>
  <c r="D16" i="12"/>
  <c r="E18" i="24"/>
  <c r="D18" i="24"/>
  <c r="D12" i="12"/>
  <c r="E12" i="12"/>
  <c r="G12" i="12" s="1"/>
  <c r="E34" i="12" s="1"/>
  <c r="D18" i="22"/>
  <c r="E18" i="22"/>
  <c r="G18" i="22" s="1"/>
  <c r="E14" i="11"/>
  <c r="G14" i="11" s="1"/>
  <c r="D14" i="11"/>
  <c r="E18" i="8"/>
  <c r="D18" i="8"/>
  <c r="E16" i="10"/>
  <c r="G16" i="10" s="1"/>
  <c r="D16" i="10"/>
  <c r="E17" i="27"/>
  <c r="G17" i="27" s="1"/>
  <c r="D17" i="27"/>
  <c r="E16" i="9"/>
  <c r="G16" i="9" s="1"/>
  <c r="D16" i="9"/>
  <c r="E14" i="15"/>
  <c r="G14" i="15" s="1"/>
  <c r="D14" i="15"/>
  <c r="D14" i="13"/>
  <c r="E14" i="13"/>
  <c r="G14" i="13" s="1"/>
  <c r="E17" i="19"/>
  <c r="G17" i="19" s="1"/>
  <c r="D17" i="19"/>
  <c r="E14" i="18"/>
  <c r="G20" i="18" s="1"/>
  <c r="F20" i="35" s="1"/>
  <c r="D20" i="18"/>
  <c r="B26" i="7" s="1"/>
  <c r="G20" i="31"/>
  <c r="E28" i="31"/>
  <c r="G28" i="31" s="1"/>
  <c r="J32" i="35" s="1"/>
  <c r="G23" i="14"/>
  <c r="E31" i="14"/>
  <c r="G31" i="14" s="1"/>
  <c r="J24" i="35" s="1"/>
  <c r="G23" i="23"/>
  <c r="E31" i="23"/>
  <c r="G31" i="23" s="1"/>
  <c r="J38" i="35" s="1"/>
  <c r="G22" i="13"/>
  <c r="E30" i="13"/>
  <c r="G30" i="13" s="1"/>
  <c r="J25" i="35" s="1"/>
  <c r="G18" i="3"/>
  <c r="E26" i="3"/>
  <c r="G26" i="3" s="1"/>
  <c r="J15" i="35" s="1"/>
  <c r="E19" i="13"/>
  <c r="G19" i="13" s="1"/>
  <c r="D19" i="13"/>
  <c r="E18" i="10"/>
  <c r="G18" i="10" s="1"/>
  <c r="D18" i="10"/>
  <c r="E14" i="16"/>
  <c r="G14" i="16" s="1"/>
  <c r="D14" i="16"/>
  <c r="E19" i="21"/>
  <c r="G19" i="21" s="1"/>
  <c r="D19" i="21"/>
  <c r="D17" i="8"/>
  <c r="E17" i="8"/>
  <c r="G17" i="8" s="1"/>
  <c r="E21" i="14"/>
  <c r="G21" i="14" s="1"/>
  <c r="D21" i="14"/>
  <c r="D22" i="21"/>
  <c r="E22" i="21"/>
  <c r="G22" i="21" s="1"/>
  <c r="E12" i="27"/>
  <c r="G12" i="27" s="1"/>
  <c r="E37" i="27" s="1"/>
  <c r="D12" i="27"/>
  <c r="B14" i="27"/>
  <c r="D18" i="31"/>
  <c r="E18" i="31"/>
  <c r="G18" i="31" s="1"/>
  <c r="D18" i="12"/>
  <c r="E18" i="12"/>
  <c r="G18" i="12" s="1"/>
  <c r="B16" i="28"/>
  <c r="E13" i="28"/>
  <c r="G13" i="28" s="1"/>
  <c r="E33" i="28" s="1"/>
  <c r="G33" i="28" s="1"/>
  <c r="D13" i="28"/>
  <c r="B9" i="35" s="1"/>
  <c r="D17" i="24"/>
  <c r="E17" i="24"/>
  <c r="G17" i="24" s="1"/>
  <c r="G24" i="21"/>
  <c r="E32" i="21"/>
  <c r="G32" i="21" s="1"/>
  <c r="J42" i="35" s="1"/>
  <c r="E24" i="18"/>
  <c r="G24" i="18" s="1"/>
  <c r="J20" i="35" s="1"/>
  <c r="G16" i="18"/>
  <c r="E28" i="12"/>
  <c r="G28" i="12" s="1"/>
  <c r="J28" i="35" s="1"/>
  <c r="G20" i="12"/>
  <c r="G18" i="28"/>
  <c r="E29" i="28"/>
  <c r="G29" i="28" s="1"/>
  <c r="J9" i="35" s="1"/>
  <c r="E22" i="25"/>
  <c r="D22" i="25"/>
  <c r="G18" i="15"/>
  <c r="E26" i="15"/>
  <c r="G26" i="15" s="1"/>
  <c r="J23" i="35" s="1"/>
  <c r="E28" i="11"/>
  <c r="G28" i="11" s="1"/>
  <c r="J29" i="35" s="1"/>
  <c r="G18" i="11"/>
  <c r="E12" i="10"/>
  <c r="G12" i="10" s="1"/>
  <c r="E34" i="10" s="1"/>
  <c r="D12" i="10"/>
  <c r="E13" i="3"/>
  <c r="G13" i="3" s="1"/>
  <c r="E30" i="3" s="1"/>
  <c r="B16" i="3"/>
  <c r="D13" i="3"/>
  <c r="D20" i="14"/>
  <c r="E20" i="14"/>
  <c r="G20" i="14" s="1"/>
  <c r="E14" i="6"/>
  <c r="G14" i="6" s="1"/>
  <c r="D14" i="6"/>
  <c r="D12" i="9"/>
  <c r="E12" i="9"/>
  <c r="G12" i="9" s="1"/>
  <c r="E17" i="21"/>
  <c r="G17" i="21" s="1"/>
  <c r="D17" i="21"/>
  <c r="E19" i="22"/>
  <c r="G19" i="22" s="1"/>
  <c r="D19" i="22"/>
  <c r="D21" i="27"/>
  <c r="E21" i="27"/>
  <c r="G21" i="27" s="1"/>
  <c r="B16" i="16"/>
  <c r="D13" i="16"/>
  <c r="E13" i="16"/>
  <c r="G13" i="16" s="1"/>
  <c r="D18" i="21"/>
  <c r="E18" i="21"/>
  <c r="G18" i="21" s="1"/>
  <c r="B16" i="1"/>
  <c r="E13" i="1"/>
  <c r="G13" i="1" s="1"/>
  <c r="E30" i="1" s="1"/>
  <c r="D13" i="1"/>
  <c r="D18" i="23"/>
  <c r="E18" i="23"/>
  <c r="D20" i="13"/>
  <c r="E20" i="13"/>
  <c r="G20" i="13" s="1"/>
  <c r="G20" i="9"/>
  <c r="E28" i="9"/>
  <c r="G28" i="9" s="1"/>
  <c r="J31" i="35" s="1"/>
  <c r="E28" i="10"/>
  <c r="G28" i="10" s="1"/>
  <c r="J30" i="35" s="1"/>
  <c r="G20" i="10"/>
  <c r="G26" i="8"/>
  <c r="E34" i="8"/>
  <c r="G34" i="8" s="1"/>
  <c r="J36" i="35" s="1"/>
  <c r="E13" i="12"/>
  <c r="E14" i="12" s="1"/>
  <c r="G24" i="12" s="1"/>
  <c r="E13" i="10"/>
  <c r="E13" i="9"/>
  <c r="E38" i="21" l="1"/>
  <c r="E38" i="22"/>
  <c r="G38" i="22" s="1"/>
  <c r="K41" i="35" s="1"/>
  <c r="E40" i="22"/>
  <c r="G40" i="22" s="1"/>
  <c r="M41" i="35" s="1"/>
  <c r="E34" i="9"/>
  <c r="E36" i="9"/>
  <c r="G36" i="9" s="1"/>
  <c r="M31" i="35" s="1"/>
  <c r="G34" i="9"/>
  <c r="K31" i="35" s="1"/>
  <c r="E32" i="11"/>
  <c r="E30" i="16"/>
  <c r="E30" i="15"/>
  <c r="B20" i="33"/>
  <c r="P20" i="35"/>
  <c r="B17" i="35"/>
  <c r="E30" i="6"/>
  <c r="G35" i="28"/>
  <c r="M9" i="35" s="1"/>
  <c r="K9" i="35"/>
  <c r="F29" i="35"/>
  <c r="F28" i="35"/>
  <c r="D35" i="19"/>
  <c r="B47" i="35"/>
  <c r="D42" i="21"/>
  <c r="J43" i="35"/>
  <c r="B29" i="35"/>
  <c r="G20" i="35"/>
  <c r="D37" i="28"/>
  <c r="E12" i="24"/>
  <c r="G12" i="24" s="1"/>
  <c r="E37" i="24" s="1"/>
  <c r="D12" i="24"/>
  <c r="D12" i="31"/>
  <c r="E12" i="31"/>
  <c r="G12" i="31" s="1"/>
  <c r="E34" i="31" s="1"/>
  <c r="D15" i="32"/>
  <c r="E15" i="32"/>
  <c r="G15" i="32" s="1"/>
  <c r="D16" i="31"/>
  <c r="E16" i="31"/>
  <c r="G16" i="31" s="1"/>
  <c r="E16" i="1"/>
  <c r="D22" i="1"/>
  <c r="D34" i="1" s="1"/>
  <c r="B18" i="7" s="1"/>
  <c r="E20" i="25"/>
  <c r="G20" i="25" s="1"/>
  <c r="D20" i="25"/>
  <c r="B21" i="35" s="1"/>
  <c r="G22" i="25"/>
  <c r="E30" i="25"/>
  <c r="G30" i="25" s="1"/>
  <c r="J21" i="35" s="1"/>
  <c r="J33" i="35"/>
  <c r="E14" i="21"/>
  <c r="G28" i="21" s="1"/>
  <c r="F42" i="35" s="1"/>
  <c r="D28" i="21"/>
  <c r="B42" i="35" s="1"/>
  <c r="E14" i="22"/>
  <c r="D28" i="22"/>
  <c r="B41" i="35" s="1"/>
  <c r="B17" i="14"/>
  <c r="D27" i="14" s="1"/>
  <c r="D13" i="14"/>
  <c r="E13" i="14"/>
  <c r="D14" i="32"/>
  <c r="E14" i="32"/>
  <c r="G14" i="32" s="1"/>
  <c r="E14" i="5"/>
  <c r="G14" i="5" s="1"/>
  <c r="D14" i="5"/>
  <c r="E12" i="23"/>
  <c r="G12" i="23" s="1"/>
  <c r="E37" i="23" s="1"/>
  <c r="D12" i="23"/>
  <c r="B16" i="13"/>
  <c r="D26" i="13" s="1"/>
  <c r="E13" i="13"/>
  <c r="D13" i="13"/>
  <c r="E12" i="8"/>
  <c r="G12" i="8" s="1"/>
  <c r="E40" i="8" s="1"/>
  <c r="D12" i="8"/>
  <c r="E16" i="16"/>
  <c r="G22" i="16" s="1"/>
  <c r="D22" i="16"/>
  <c r="D34" i="16" s="1"/>
  <c r="B30" i="7" s="1"/>
  <c r="E16" i="28"/>
  <c r="D25" i="28"/>
  <c r="D9" i="35" s="1"/>
  <c r="B14" i="12"/>
  <c r="J18" i="35"/>
  <c r="J39" i="35"/>
  <c r="E16" i="15"/>
  <c r="G22" i="15" s="1"/>
  <c r="F23" i="35" s="1"/>
  <c r="P23" i="35" s="1"/>
  <c r="R23" i="35" s="1"/>
  <c r="D22" i="15"/>
  <c r="D34" i="15" s="1"/>
  <c r="B32" i="7" s="1"/>
  <c r="E15" i="4"/>
  <c r="G15" i="4" s="1"/>
  <c r="D15" i="4"/>
  <c r="B14" i="9"/>
  <c r="E16" i="3"/>
  <c r="G22" i="3" s="1"/>
  <c r="D22" i="3"/>
  <c r="B14" i="10"/>
  <c r="E14" i="27"/>
  <c r="G27" i="27" s="1"/>
  <c r="D27" i="27"/>
  <c r="E16" i="11"/>
  <c r="G22" i="11" s="1"/>
  <c r="D22" i="11"/>
  <c r="D13" i="5"/>
  <c r="B16" i="5"/>
  <c r="E13" i="5"/>
  <c r="G13" i="5" s="1"/>
  <c r="E36" i="5" s="1"/>
  <c r="E13" i="32"/>
  <c r="G13" i="32" s="1"/>
  <c r="B17" i="32"/>
  <c r="D13" i="32"/>
  <c r="E16" i="6"/>
  <c r="G22" i="6" s="1"/>
  <c r="D22" i="6"/>
  <c r="D34" i="6" s="1"/>
  <c r="B24" i="7" s="1"/>
  <c r="E15" i="19"/>
  <c r="G23" i="19" s="1"/>
  <c r="F47" i="35" s="1"/>
  <c r="P47" i="35" s="1"/>
  <c r="R47" i="35" s="1"/>
  <c r="D23" i="19"/>
  <c r="D36" i="11"/>
  <c r="B40" i="7" s="1"/>
  <c r="D29" i="35"/>
  <c r="E13" i="23"/>
  <c r="E13" i="31"/>
  <c r="P42" i="35" l="1"/>
  <c r="R42" i="35" s="1"/>
  <c r="B40" i="33"/>
  <c r="P28" i="35"/>
  <c r="R28" i="35" s="1"/>
  <c r="B28" i="33"/>
  <c r="P29" i="35"/>
  <c r="B29" i="33"/>
  <c r="R20" i="35"/>
  <c r="E31" i="32"/>
  <c r="E38" i="5"/>
  <c r="G38" i="5" s="1"/>
  <c r="M8" i="35" s="1"/>
  <c r="G36" i="5"/>
  <c r="K8" i="35" s="1"/>
  <c r="B23" i="33"/>
  <c r="F22" i="35"/>
  <c r="P22" i="35" s="1"/>
  <c r="R22" i="35" s="1"/>
  <c r="B45" i="33"/>
  <c r="F15" i="35"/>
  <c r="P15" i="35" s="1"/>
  <c r="F17" i="35"/>
  <c r="P17" i="35" s="1"/>
  <c r="R17" i="35" s="1"/>
  <c r="B35" i="35"/>
  <c r="D41" i="27"/>
  <c r="F35" i="35"/>
  <c r="P35" i="35" s="1"/>
  <c r="F21" i="35"/>
  <c r="D42" i="35"/>
  <c r="H42" i="35"/>
  <c r="G42" i="35"/>
  <c r="G28" i="22"/>
  <c r="G34" i="22"/>
  <c r="L41" i="35" s="1"/>
  <c r="L43" i="35" s="1"/>
  <c r="D42" i="22"/>
  <c r="B56" i="7" s="1"/>
  <c r="B14" i="31"/>
  <c r="D24" i="31" s="1"/>
  <c r="D24" i="12"/>
  <c r="B28" i="35" s="1"/>
  <c r="G29" i="35"/>
  <c r="H29" i="35"/>
  <c r="B25" i="35"/>
  <c r="D25" i="35" s="1"/>
  <c r="B23" i="35"/>
  <c r="D23" i="35" s="1"/>
  <c r="B22" i="35"/>
  <c r="G23" i="35"/>
  <c r="J26" i="35"/>
  <c r="D20" i="35"/>
  <c r="H20" i="35"/>
  <c r="D15" i="35"/>
  <c r="G22" i="1"/>
  <c r="L14" i="35"/>
  <c r="L18" i="35" s="1"/>
  <c r="G25" i="28"/>
  <c r="F9" i="35" s="1"/>
  <c r="E31" i="28"/>
  <c r="G31" i="28" s="1"/>
  <c r="L9" i="35" s="1"/>
  <c r="L10" i="35" s="1"/>
  <c r="B14" i="7"/>
  <c r="B58" i="7"/>
  <c r="B38" i="7"/>
  <c r="D14" i="35"/>
  <c r="D34" i="3"/>
  <c r="B20" i="7" s="1"/>
  <c r="D19" i="4"/>
  <c r="B20" i="4"/>
  <c r="D20" i="4" s="1"/>
  <c r="E19" i="4"/>
  <c r="E14" i="10"/>
  <c r="G24" i="10" s="1"/>
  <c r="D24" i="10"/>
  <c r="D40" i="13"/>
  <c r="B36" i="7" s="1"/>
  <c r="B24" i="35"/>
  <c r="D41" i="14"/>
  <c r="B34" i="7" s="1"/>
  <c r="E14" i="31"/>
  <c r="G24" i="31" s="1"/>
  <c r="E13" i="4"/>
  <c r="G13" i="4" s="1"/>
  <c r="E34" i="4" s="1"/>
  <c r="D13" i="4"/>
  <c r="B48" i="7"/>
  <c r="E16" i="5"/>
  <c r="G28" i="5" s="1"/>
  <c r="D28" i="5"/>
  <c r="B62" i="7"/>
  <c r="G13" i="13"/>
  <c r="E36" i="13" s="1"/>
  <c r="E16" i="13"/>
  <c r="G26" i="13" s="1"/>
  <c r="B14" i="23"/>
  <c r="E17" i="32"/>
  <c r="G23" i="32" s="1"/>
  <c r="D23" i="32"/>
  <c r="D35" i="32" s="1"/>
  <c r="B22" i="7" s="1"/>
  <c r="D35" i="35"/>
  <c r="B43" i="35"/>
  <c r="D41" i="35"/>
  <c r="D20" i="5"/>
  <c r="B22" i="5"/>
  <c r="D22" i="5" s="1"/>
  <c r="E20" i="5"/>
  <c r="H47" i="35"/>
  <c r="D47" i="35"/>
  <c r="G47" i="35"/>
  <c r="E14" i="9"/>
  <c r="G24" i="9" s="1"/>
  <c r="G38" i="9" s="1"/>
  <c r="D24" i="9"/>
  <c r="G13" i="14"/>
  <c r="E37" i="14" s="1"/>
  <c r="E17" i="14"/>
  <c r="G27" i="14" s="1"/>
  <c r="D40" i="25"/>
  <c r="B28" i="7" s="1"/>
  <c r="R35" i="35" l="1"/>
  <c r="R29" i="35"/>
  <c r="P21" i="35"/>
  <c r="R21" i="35" s="1"/>
  <c r="B21" i="33"/>
  <c r="R15" i="35"/>
  <c r="B9" i="33"/>
  <c r="P9" i="35"/>
  <c r="H9" i="35"/>
  <c r="G34" i="4"/>
  <c r="K7" i="35" s="1"/>
  <c r="K10" i="35" s="1"/>
  <c r="E36" i="4"/>
  <c r="G36" i="4" s="1"/>
  <c r="M7" i="35" s="1"/>
  <c r="M10" i="35" s="1"/>
  <c r="L49" i="35"/>
  <c r="B35" i="33"/>
  <c r="D45" i="33"/>
  <c r="F45" i="33" s="1"/>
  <c r="B22" i="33"/>
  <c r="B17" i="33"/>
  <c r="B15" i="33"/>
  <c r="H15" i="35"/>
  <c r="F32" i="35"/>
  <c r="G35" i="35"/>
  <c r="F30" i="35"/>
  <c r="G15" i="35"/>
  <c r="H35" i="35"/>
  <c r="F25" i="35"/>
  <c r="F24" i="35"/>
  <c r="P24" i="35" s="1"/>
  <c r="R24" i="35" s="1"/>
  <c r="G42" i="22"/>
  <c r="C56" i="7" s="1"/>
  <c r="F41" i="35"/>
  <c r="B32" i="35"/>
  <c r="B46" i="7"/>
  <c r="C44" i="7"/>
  <c r="F31" i="35"/>
  <c r="H28" i="35"/>
  <c r="G28" i="35"/>
  <c r="D28" i="35"/>
  <c r="D24" i="35"/>
  <c r="H23" i="35"/>
  <c r="D22" i="35"/>
  <c r="H22" i="35"/>
  <c r="G22" i="35"/>
  <c r="H21" i="35"/>
  <c r="G21" i="35"/>
  <c r="F16" i="35"/>
  <c r="P16" i="35" s="1"/>
  <c r="R16" i="35" s="1"/>
  <c r="D16" i="35"/>
  <c r="D17" i="35"/>
  <c r="G17" i="35"/>
  <c r="H17" i="35"/>
  <c r="F14" i="35"/>
  <c r="N9" i="35"/>
  <c r="G9" i="35"/>
  <c r="G37" i="28"/>
  <c r="C14" i="7" s="1"/>
  <c r="D8" i="35"/>
  <c r="B12" i="7"/>
  <c r="D38" i="4"/>
  <c r="D21" i="35"/>
  <c r="B26" i="35"/>
  <c r="E13" i="24"/>
  <c r="B14" i="24"/>
  <c r="B44" i="7"/>
  <c r="B31" i="35"/>
  <c r="D31" i="35" s="1"/>
  <c r="E13" i="8"/>
  <c r="B14" i="8"/>
  <c r="B10" i="7"/>
  <c r="B42" i="7"/>
  <c r="B30" i="35"/>
  <c r="D43" i="35"/>
  <c r="G19" i="4"/>
  <c r="E30" i="4"/>
  <c r="G30" i="4" s="1"/>
  <c r="J7" i="35" s="1"/>
  <c r="E32" i="5"/>
  <c r="G32" i="5" s="1"/>
  <c r="J8" i="35" s="1"/>
  <c r="F8" i="35"/>
  <c r="D27" i="23"/>
  <c r="D41" i="23" s="1"/>
  <c r="E14" i="23"/>
  <c r="G27" i="23" s="1"/>
  <c r="P41" i="35" l="1"/>
  <c r="B39" i="33"/>
  <c r="F43" i="35"/>
  <c r="P32" i="35"/>
  <c r="R32" i="35" s="1"/>
  <c r="B32" i="33"/>
  <c r="P31" i="35"/>
  <c r="R31" i="35" s="1"/>
  <c r="B31" i="33"/>
  <c r="P30" i="35"/>
  <c r="B30" i="33"/>
  <c r="F33" i="35"/>
  <c r="P25" i="35"/>
  <c r="R25" i="35" s="1"/>
  <c r="R26" i="35" s="1"/>
  <c r="B25" i="33"/>
  <c r="F26" i="35"/>
  <c r="H26" i="35" s="1"/>
  <c r="B14" i="33"/>
  <c r="P14" i="35"/>
  <c r="R14" i="35" s="1"/>
  <c r="R18" i="35" s="1"/>
  <c r="B8" i="33"/>
  <c r="H8" i="35"/>
  <c r="P8" i="35"/>
  <c r="B24" i="33"/>
  <c r="B16" i="33"/>
  <c r="B18" i="33" s="1"/>
  <c r="D18" i="33" s="1"/>
  <c r="F18" i="33" s="1"/>
  <c r="G25" i="35"/>
  <c r="F38" i="35"/>
  <c r="P38" i="35" s="1"/>
  <c r="R38" i="35" s="1"/>
  <c r="H25" i="35"/>
  <c r="H24" i="35"/>
  <c r="G24" i="35"/>
  <c r="G40" i="5"/>
  <c r="C12" i="7" s="1"/>
  <c r="D12" i="7" s="1"/>
  <c r="E12" i="7" s="1"/>
  <c r="G38" i="4"/>
  <c r="C10" i="7" s="1"/>
  <c r="F7" i="35"/>
  <c r="D56" i="7"/>
  <c r="E56" i="7" s="1"/>
  <c r="N41" i="35"/>
  <c r="H41" i="35"/>
  <c r="G41" i="35"/>
  <c r="D32" i="35"/>
  <c r="H32" i="35"/>
  <c r="G32" i="35"/>
  <c r="D44" i="7"/>
  <c r="E44" i="7" s="1"/>
  <c r="N31" i="35"/>
  <c r="G31" i="35"/>
  <c r="H31" i="35"/>
  <c r="G30" i="35"/>
  <c r="H30" i="35"/>
  <c r="G16" i="35"/>
  <c r="B18" i="35"/>
  <c r="D18" i="35" s="1"/>
  <c r="H16" i="35"/>
  <c r="F18" i="35"/>
  <c r="H14" i="35"/>
  <c r="G14" i="35"/>
  <c r="G8" i="35"/>
  <c r="N8" i="35"/>
  <c r="D14" i="7"/>
  <c r="E14" i="7" s="1"/>
  <c r="E14" i="24"/>
  <c r="G27" i="24" s="1"/>
  <c r="D27" i="24"/>
  <c r="D41" i="24" s="1"/>
  <c r="D7" i="35"/>
  <c r="D10" i="35" s="1"/>
  <c r="B10" i="35"/>
  <c r="G26" i="35"/>
  <c r="D26" i="35"/>
  <c r="D30" i="35"/>
  <c r="B33" i="35"/>
  <c r="E14" i="8"/>
  <c r="G30" i="8" s="1"/>
  <c r="D30" i="8"/>
  <c r="D44" i="8" s="1"/>
  <c r="B38" i="35"/>
  <c r="B54" i="7"/>
  <c r="J10" i="35"/>
  <c r="J49" i="35" s="1"/>
  <c r="G43" i="35" l="1"/>
  <c r="H43" i="35"/>
  <c r="P43" i="35"/>
  <c r="R41" i="35"/>
  <c r="R43" i="35" s="1"/>
  <c r="B33" i="33"/>
  <c r="D33" i="33" s="1"/>
  <c r="F33" i="33" s="1"/>
  <c r="R30" i="35"/>
  <c r="R33" i="35" s="1"/>
  <c r="P33" i="35"/>
  <c r="P26" i="35"/>
  <c r="P18" i="35"/>
  <c r="H7" i="35"/>
  <c r="P7" i="35"/>
  <c r="P10" i="35" s="1"/>
  <c r="B7" i="33"/>
  <c r="B10" i="33" s="1"/>
  <c r="F10" i="35"/>
  <c r="H10" i="35" s="1"/>
  <c r="B38" i="33"/>
  <c r="F37" i="35"/>
  <c r="P37" i="35" s="1"/>
  <c r="R37" i="35" s="1"/>
  <c r="F36" i="35"/>
  <c r="P36" i="35" s="1"/>
  <c r="N7" i="35"/>
  <c r="N10" i="35" s="1"/>
  <c r="G7" i="35"/>
  <c r="D38" i="35"/>
  <c r="H38" i="35"/>
  <c r="G38" i="35"/>
  <c r="G18" i="35"/>
  <c r="H18" i="35"/>
  <c r="D10" i="7"/>
  <c r="E10" i="7" s="1"/>
  <c r="B26" i="33"/>
  <c r="D26" i="33" s="1"/>
  <c r="F26" i="33" s="1"/>
  <c r="G33" i="35"/>
  <c r="H33" i="35"/>
  <c r="D33" i="35"/>
  <c r="B36" i="35"/>
  <c r="B50" i="7"/>
  <c r="B64" i="7" s="1"/>
  <c r="B37" i="35"/>
  <c r="B52" i="7"/>
  <c r="R36" i="35" l="1"/>
  <c r="R39" i="35" s="1"/>
  <c r="R49" i="35" s="1"/>
  <c r="R52" i="35" s="1"/>
  <c r="P39" i="35"/>
  <c r="P49" i="35" s="1"/>
  <c r="P52" i="35" s="1"/>
  <c r="G10" i="35"/>
  <c r="P51" i="35"/>
  <c r="B37" i="33"/>
  <c r="B36" i="33"/>
  <c r="F39" i="35"/>
  <c r="F49" i="35" s="1"/>
  <c r="D10" i="33"/>
  <c r="F10" i="33" s="1"/>
  <c r="D37" i="35"/>
  <c r="H37" i="35"/>
  <c r="G37" i="35"/>
  <c r="H36" i="35"/>
  <c r="G36" i="35"/>
  <c r="D36" i="35"/>
  <c r="B39" i="35"/>
  <c r="B41" i="33" l="1"/>
  <c r="D41" i="33" s="1"/>
  <c r="F41" i="33" s="1"/>
  <c r="G39" i="35"/>
  <c r="H39" i="35"/>
  <c r="D39" i="35"/>
  <c r="D49" i="35" s="1"/>
  <c r="B49" i="35"/>
  <c r="B47" i="33" l="1"/>
  <c r="G49" i="35"/>
  <c r="H49" i="35"/>
  <c r="D12" i="33"/>
  <c r="D43" i="33"/>
  <c r="F43" i="33" s="1"/>
  <c r="G30" i="1"/>
  <c r="K14" i="35" s="1"/>
  <c r="E32" i="1"/>
  <c r="G32" i="1" s="1"/>
  <c r="M14" i="35" s="1"/>
  <c r="D47" i="33" l="1"/>
  <c r="F12" i="33"/>
  <c r="F47" i="33" s="1"/>
  <c r="G34" i="1"/>
  <c r="C18" i="7" s="1"/>
  <c r="D18" i="7" s="1"/>
  <c r="E18" i="7" s="1"/>
  <c r="N14" i="35"/>
  <c r="G30" i="3"/>
  <c r="K15" i="35" s="1"/>
  <c r="E32" i="3"/>
  <c r="G32" i="3" s="1"/>
  <c r="M15" i="35" s="1"/>
  <c r="G34" i="3" l="1"/>
  <c r="C20" i="7" s="1"/>
  <c r="D20" i="7" s="1"/>
  <c r="E20" i="7" s="1"/>
  <c r="N15" i="35"/>
  <c r="G31" i="32"/>
  <c r="E33" i="32"/>
  <c r="G33" i="32" s="1"/>
  <c r="M16" i="35" s="1"/>
  <c r="G35" i="32" l="1"/>
  <c r="C22" i="7" s="1"/>
  <c r="D22" i="7" s="1"/>
  <c r="E22" i="7" s="1"/>
  <c r="K16" i="35"/>
  <c r="N16" i="35" l="1"/>
  <c r="G30" i="6"/>
  <c r="K17" i="35" s="1"/>
  <c r="E32" i="6"/>
  <c r="G32" i="6" s="1"/>
  <c r="M17" i="35" s="1"/>
  <c r="M18" i="35" s="1"/>
  <c r="G34" i="6" l="1"/>
  <c r="C24" i="7" s="1"/>
  <c r="D24" i="7" s="1"/>
  <c r="E24" i="7" s="1"/>
  <c r="N17" i="35"/>
  <c r="N18" i="35" s="1"/>
  <c r="K18" i="35"/>
  <c r="G28" i="18"/>
  <c r="E30" i="18"/>
  <c r="G30" i="18"/>
  <c r="M20" i="35" s="1"/>
  <c r="G36" i="25"/>
  <c r="K21" i="35" s="1"/>
  <c r="E38" i="25"/>
  <c r="G38" i="25" s="1"/>
  <c r="G32" i="18" l="1"/>
  <c r="C26" i="7" s="1"/>
  <c r="D26" i="7" s="1"/>
  <c r="E26" i="7" s="1"/>
  <c r="G40" i="25"/>
  <c r="C28" i="7" s="1"/>
  <c r="D28" i="7" s="1"/>
  <c r="E28" i="7" s="1"/>
  <c r="K20" i="35"/>
  <c r="N20" i="35" s="1"/>
  <c r="M21" i="35"/>
  <c r="N21" i="35" l="1"/>
  <c r="G30" i="16"/>
  <c r="E32" i="16"/>
  <c r="G32" i="16" s="1"/>
  <c r="M22" i="35" s="1"/>
  <c r="G30" i="15"/>
  <c r="E32" i="15"/>
  <c r="G32" i="15"/>
  <c r="M23" i="35" s="1"/>
  <c r="G34" i="16" l="1"/>
  <c r="C30" i="7" s="1"/>
  <c r="D30" i="7" s="1"/>
  <c r="E30" i="7" s="1"/>
  <c r="K23" i="35"/>
  <c r="N23" i="35" s="1"/>
  <c r="G34" i="15"/>
  <c r="C32" i="7" s="1"/>
  <c r="D32" i="7" s="1"/>
  <c r="E32" i="7" s="1"/>
  <c r="K22" i="35"/>
  <c r="N22" i="35" s="1"/>
  <c r="G37" i="14"/>
  <c r="K24" i="35" s="1"/>
  <c r="E39" i="14"/>
  <c r="G39" i="14" s="1"/>
  <c r="G41" i="14" l="1"/>
  <c r="C34" i="7" s="1"/>
  <c r="D34" i="7" s="1"/>
  <c r="E34" i="7" s="1"/>
  <c r="M24" i="35"/>
  <c r="N24" i="35" l="1"/>
  <c r="G36" i="13"/>
  <c r="E38" i="13"/>
  <c r="G38" i="13" s="1"/>
  <c r="M25" i="35" s="1"/>
  <c r="M26" i="35" s="1"/>
  <c r="G40" i="13" l="1"/>
  <c r="C36" i="7" s="1"/>
  <c r="D36" i="7" s="1"/>
  <c r="E36" i="7" s="1"/>
  <c r="K25" i="35"/>
  <c r="N25" i="35" s="1"/>
  <c r="N26" i="35" s="1"/>
  <c r="G34" i="12"/>
  <c r="K28" i="35" s="1"/>
  <c r="E36" i="12"/>
  <c r="G36" i="12" s="1"/>
  <c r="K26" i="35" l="1"/>
  <c r="M28" i="35"/>
  <c r="N28" i="35" s="1"/>
  <c r="G38" i="12"/>
  <c r="C38" i="7" s="1"/>
  <c r="D38" i="7" s="1"/>
  <c r="E38" i="7" s="1"/>
  <c r="G32" i="11"/>
  <c r="E34" i="11"/>
  <c r="G34" i="11"/>
  <c r="M29" i="35" s="1"/>
  <c r="K29" i="35" l="1"/>
  <c r="N29" i="35" s="1"/>
  <c r="G36" i="11"/>
  <c r="C40" i="7" s="1"/>
  <c r="D40" i="7" s="1"/>
  <c r="E40" i="7" s="1"/>
  <c r="G34" i="10"/>
  <c r="K30" i="35" s="1"/>
  <c r="E36" i="10"/>
  <c r="G36" i="10" s="1"/>
  <c r="M30" i="35" s="1"/>
  <c r="N30" i="35" l="1"/>
  <c r="G38" i="10"/>
  <c r="C42" i="7" s="1"/>
  <c r="D42" i="7" s="1"/>
  <c r="E42" i="7" s="1"/>
  <c r="G34" i="31"/>
  <c r="K32" i="35" s="1"/>
  <c r="K33" i="35" s="1"/>
  <c r="E36" i="31"/>
  <c r="G36" i="31" s="1"/>
  <c r="G38" i="31" l="1"/>
  <c r="C46" i="7" s="1"/>
  <c r="D46" i="7" s="1"/>
  <c r="E46" i="7" s="1"/>
  <c r="M32" i="35"/>
  <c r="N32" i="35" l="1"/>
  <c r="N33" i="35" s="1"/>
  <c r="M33" i="35"/>
  <c r="G37" i="27"/>
  <c r="K35" i="35" s="1"/>
  <c r="E39" i="27"/>
  <c r="G39" i="27" s="1"/>
  <c r="G41" i="27" l="1"/>
  <c r="C48" i="7" s="1"/>
  <c r="D48" i="7" s="1"/>
  <c r="E48" i="7" s="1"/>
  <c r="M35" i="35"/>
  <c r="N35" i="35" s="1"/>
  <c r="G40" i="8"/>
  <c r="K36" i="35" s="1"/>
  <c r="E42" i="8"/>
  <c r="G42" i="8" s="1"/>
  <c r="M36" i="35" s="1"/>
  <c r="N36" i="35" l="1"/>
  <c r="G44" i="8"/>
  <c r="C50" i="7" s="1"/>
  <c r="D50" i="7" s="1"/>
  <c r="E50" i="7" s="1"/>
  <c r="G37" i="24"/>
  <c r="K37" i="35" s="1"/>
  <c r="E39" i="24"/>
  <c r="G39" i="24" s="1"/>
  <c r="M37" i="35" l="1"/>
  <c r="N37" i="35" s="1"/>
  <c r="G41" i="24"/>
  <c r="C52" i="7" s="1"/>
  <c r="D52" i="7" s="1"/>
  <c r="E52" i="7" s="1"/>
  <c r="G37" i="23"/>
  <c r="E39" i="23"/>
  <c r="G39" i="23" s="1"/>
  <c r="M38" i="35" s="1"/>
  <c r="M39" i="35" s="1"/>
  <c r="G41" i="23" l="1"/>
  <c r="C54" i="7" s="1"/>
  <c r="D54" i="7" s="1"/>
  <c r="E54" i="7" s="1"/>
  <c r="K38" i="35"/>
  <c r="N38" i="35" l="1"/>
  <c r="N39" i="35" s="1"/>
  <c r="K39" i="35"/>
  <c r="G38" i="21"/>
  <c r="K42" i="35" s="1"/>
  <c r="E40" i="21"/>
  <c r="G40" i="21" s="1"/>
  <c r="M42" i="35" s="1"/>
  <c r="M43" i="35" s="1"/>
  <c r="G42" i="21" l="1"/>
  <c r="C58" i="7" s="1"/>
  <c r="D58" i="7" s="1"/>
  <c r="E58" i="7" s="1"/>
  <c r="N42" i="35"/>
  <c r="N43" i="35" s="1"/>
  <c r="K43" i="35"/>
  <c r="G31" i="19"/>
  <c r="E33" i="19"/>
  <c r="G33" i="19" s="1"/>
  <c r="M47" i="35" s="1"/>
  <c r="G35" i="19" l="1"/>
  <c r="C62" i="7" s="1"/>
  <c r="D62" i="7" s="1"/>
  <c r="E62" i="7" s="1"/>
  <c r="K47" i="35"/>
  <c r="N47" i="35" s="1"/>
  <c r="G64" i="2"/>
  <c r="E66" i="2"/>
  <c r="G66" i="2" s="1"/>
  <c r="M12" i="35" s="1"/>
  <c r="G68" i="2" l="1"/>
  <c r="C16" i="7" s="1"/>
  <c r="D16" i="7" s="1"/>
  <c r="E16" i="7" s="1"/>
  <c r="K12" i="35"/>
  <c r="N12" i="35" s="1"/>
  <c r="G45" i="20"/>
  <c r="E47" i="20"/>
  <c r="G47" i="20" s="1"/>
  <c r="M45" i="35" s="1"/>
  <c r="M49" i="35" s="1"/>
  <c r="G49" i="20" l="1"/>
  <c r="C60" i="7" s="1"/>
  <c r="C64" i="7" s="1"/>
  <c r="D64" i="7" s="1"/>
  <c r="E64" i="7" s="1"/>
  <c r="K45" i="35"/>
  <c r="D60" i="7" l="1"/>
  <c r="E60" i="7" s="1"/>
  <c r="N45" i="35"/>
  <c r="N49" i="35" s="1"/>
  <c r="K49" i="35"/>
</calcChain>
</file>

<file path=xl/sharedStrings.xml><?xml version="1.0" encoding="utf-8"?>
<sst xmlns="http://schemas.openxmlformats.org/spreadsheetml/2006/main" count="538" uniqueCount="225">
  <si>
    <t>SMALL GENERAL SERVICE (211, 212)</t>
  </si>
  <si>
    <t xml:space="preserve">Current </t>
  </si>
  <si>
    <t>Proposed</t>
  </si>
  <si>
    <t xml:space="preserve">Billing </t>
  </si>
  <si>
    <t>Current</t>
  </si>
  <si>
    <t>Units</t>
  </si>
  <si>
    <t>Rate</t>
  </si>
  <si>
    <t>Revenue</t>
  </si>
  <si>
    <t>Billing kWh</t>
  </si>
  <si>
    <t xml:space="preserve">  First 500 kWh</t>
  </si>
  <si>
    <t xml:space="preserve">  Over 500 kWh</t>
  </si>
  <si>
    <t>Metered kWh</t>
  </si>
  <si>
    <t>Customer Charge</t>
  </si>
  <si>
    <t>Number of Customers</t>
  </si>
  <si>
    <t>Total</t>
  </si>
  <si>
    <t>Storage Water Heating</t>
  </si>
  <si>
    <t>Employee Discount</t>
  </si>
  <si>
    <t xml:space="preserve">Fuel </t>
  </si>
  <si>
    <t>Environmental Surcharge</t>
  </si>
  <si>
    <t>KENTUCKY POWER BILLING ANALYSIS</t>
  </si>
  <si>
    <t>RESIDENTIAL SERVICE (011, 012, 013, 014, 015, 017, 022, 054)</t>
  </si>
  <si>
    <t xml:space="preserve">  On-peak kWh</t>
  </si>
  <si>
    <t xml:space="preserve">  Off-peak kWh</t>
  </si>
  <si>
    <t>C&amp;LM Credit</t>
  </si>
  <si>
    <t>Overhead Lighting Service</t>
  </si>
  <si>
    <t>High Pressure Sodium</t>
  </si>
  <si>
    <t xml:space="preserve">  100 watts, 9,500 Lumens (094)</t>
  </si>
  <si>
    <t xml:space="preserve">  150 watts, 16,000 Lumens (113)</t>
  </si>
  <si>
    <t xml:space="preserve">  200 watts, 22,000 Lumens (097)</t>
  </si>
  <si>
    <t xml:space="preserve">  400 watts, 50,000 Lumens (098)</t>
  </si>
  <si>
    <t>Mercury Vapor</t>
  </si>
  <si>
    <t xml:space="preserve">  175 watts, 7,000 Lumens (093)</t>
  </si>
  <si>
    <t xml:space="preserve">  400 watts, 20,000 Lumens (095)</t>
  </si>
  <si>
    <t>Post Top Lighting Service</t>
  </si>
  <si>
    <t xml:space="preserve">  100 watts, 9,500 Lumens (111)</t>
  </si>
  <si>
    <t xml:space="preserve">  150 watts, 16,000 Lumens (122)</t>
  </si>
  <si>
    <t xml:space="preserve">  175 watts, 7,000 Lumens (099)</t>
  </si>
  <si>
    <t>Flood Lighting Service</t>
  </si>
  <si>
    <t xml:space="preserve">  200 watts, 22,000 Lumens (107)</t>
  </si>
  <si>
    <t xml:space="preserve">  400 watts, 50,000 Lumens (109)</t>
  </si>
  <si>
    <t xml:space="preserve">  250 watts, 20,500 Lumens (110)</t>
  </si>
  <si>
    <t xml:space="preserve">  400 watts, 36,000 Lumens (116)</t>
  </si>
  <si>
    <t xml:space="preserve">  1000 watts, 110,000 Lumens (131)</t>
  </si>
  <si>
    <t>Facilities Charge</t>
  </si>
  <si>
    <t xml:space="preserve">  Pole</t>
  </si>
  <si>
    <t xml:space="preserve">  Span</t>
  </si>
  <si>
    <t xml:space="preserve">  Lateral</t>
  </si>
  <si>
    <t xml:space="preserve">  On-Peak</t>
  </si>
  <si>
    <t xml:space="preserve">  Off-Peak</t>
  </si>
  <si>
    <t xml:space="preserve">Total </t>
  </si>
  <si>
    <t>SMALL GENERAL SERVICE - NON METERED (204, 213)</t>
  </si>
  <si>
    <t>MEDIUM GENERAL SERVICE - RECREATIONAL LIGHTING (214)</t>
  </si>
  <si>
    <t>All kWh</t>
  </si>
  <si>
    <t xml:space="preserve">  First 200 kWh per kW</t>
  </si>
  <si>
    <t xml:space="preserve">  Over 200 kWh per kW</t>
  </si>
  <si>
    <t xml:space="preserve">  Minimum kWh</t>
  </si>
  <si>
    <t>Billing kW</t>
  </si>
  <si>
    <t xml:space="preserve"> Standard</t>
  </si>
  <si>
    <t xml:space="preserve"> Mining Minimum</t>
  </si>
  <si>
    <t>MEDIUM GENERAL SERVICE TIME-OF-DAY (229)</t>
  </si>
  <si>
    <t>MEDIUM GENERAL SERVICE - PRIMARY (217, 220)</t>
  </si>
  <si>
    <t>MEDIUM GENERAL SERVICE - SUBTRANSMISSION (236)</t>
  </si>
  <si>
    <t>LARGE GENERAL SERVICE - SECONDARY (240, 242)</t>
  </si>
  <si>
    <t>LARGE GENERAL SERVICE - PRIMARY (244, 246)</t>
  </si>
  <si>
    <t>LARGE GENERAL SERVICE - SUBTRANSMISSION (248)</t>
  </si>
  <si>
    <t xml:space="preserve">  Off-Peak Excess</t>
  </si>
  <si>
    <t>Billing KVAR</t>
  </si>
  <si>
    <t>QUANTITY POWER - SUBTRANSMISSION (359)</t>
  </si>
  <si>
    <t>QUANTITY POWER - TRANSMISSION (360)</t>
  </si>
  <si>
    <t>COMMERCIAL AND INDUSTRIAL POWER TIME-OF-DAY - SUBTRANSMISSION (371)</t>
  </si>
  <si>
    <t xml:space="preserve">  Off-Peak </t>
  </si>
  <si>
    <t xml:space="preserve">  Minimum</t>
  </si>
  <si>
    <t xml:space="preserve">Number of Customers </t>
  </si>
  <si>
    <t>COMMERCIAL AND INDUSTRIAL POWER TIME-OF-DAY - TRANSMISSION (372)</t>
  </si>
  <si>
    <t>STREET LIGHTING (528)</t>
  </si>
  <si>
    <t>OH Service on Distribution Poles</t>
  </si>
  <si>
    <t xml:space="preserve">  100 watts, 9,500 Lumens </t>
  </si>
  <si>
    <t xml:space="preserve">  150 watts, 16,000 Lumens </t>
  </si>
  <si>
    <t xml:space="preserve">  200 watts, 22,000 Lumens </t>
  </si>
  <si>
    <t xml:space="preserve">  400 watts, 50,000 Lumens </t>
  </si>
  <si>
    <t>Service on New Wood Distribution Poles</t>
  </si>
  <si>
    <t>Service on New Metal or Concrete Poles</t>
  </si>
  <si>
    <t>MUNICIPAL WATERWORKS (540)</t>
  </si>
  <si>
    <t>Minimum kWh</t>
  </si>
  <si>
    <t>Minimum kW</t>
  </si>
  <si>
    <t>Tariff</t>
  </si>
  <si>
    <t>RS Total</t>
  </si>
  <si>
    <t>RSLMTOD Total</t>
  </si>
  <si>
    <t>OL Total</t>
  </si>
  <si>
    <t>SGS Metered Total</t>
  </si>
  <si>
    <t>SGS NM Total</t>
  </si>
  <si>
    <t>MGS RL (214)</t>
  </si>
  <si>
    <t>MGSLMTOD (223)</t>
  </si>
  <si>
    <t>MGSTOD (229)</t>
  </si>
  <si>
    <t>MGS Pri Total</t>
  </si>
  <si>
    <t>MGS Sub (236)</t>
  </si>
  <si>
    <t>LGS Sec Total</t>
  </si>
  <si>
    <t>LGSLMTOD (251)</t>
  </si>
  <si>
    <t>LGS Pri Total</t>
  </si>
  <si>
    <t>LGS Sub (248)</t>
  </si>
  <si>
    <t>QP Sub (359)</t>
  </si>
  <si>
    <t>QP Tran (360)</t>
  </si>
  <si>
    <t>CIP Sub (371)</t>
  </si>
  <si>
    <t>CIP Tran (372)</t>
  </si>
  <si>
    <t>SL (528)</t>
  </si>
  <si>
    <t>MW (540)</t>
  </si>
  <si>
    <t>Difference</t>
  </si>
  <si>
    <t>%</t>
  </si>
  <si>
    <t>QP Sec (356)</t>
  </si>
  <si>
    <t>QP Pri (358)</t>
  </si>
  <si>
    <t>QUANTITY POWER - SECONDARY (356)</t>
  </si>
  <si>
    <t xml:space="preserve">  All kWh</t>
  </si>
  <si>
    <t>RESIDENTIAL LOAD MANAGEMENT TIME-OF-DAY SERVICE (028, 030, 032, 034)</t>
  </si>
  <si>
    <t>RESIDENTIAL TIME-OF-DAY SERVICE (036)</t>
  </si>
  <si>
    <t>RSTOD Total</t>
  </si>
  <si>
    <t>MEDIUM GENERAL SERVICE - SECONDARY (215, 216, 218)</t>
  </si>
  <si>
    <t xml:space="preserve">  Metered Voltage Adj.</t>
  </si>
  <si>
    <t>Excess kVA</t>
  </si>
  <si>
    <t>Metered Voltage Adj.</t>
  </si>
  <si>
    <t>LARGE GENERAL SERVICE LOAD MANAGEMENT TIME-OF-DAY (251)</t>
  </si>
  <si>
    <t xml:space="preserve">  Alternate Feed</t>
  </si>
  <si>
    <t xml:space="preserve">  Maximum</t>
  </si>
  <si>
    <t>MGS Sec Total</t>
  </si>
  <si>
    <t>SGSLMTOD (225)</t>
  </si>
  <si>
    <t>SMALL GENERAL SERVICE LOAD MANAGEMENT TIME-OF-DAY (225)</t>
  </si>
  <si>
    <t>MEDIUM GENERAL SERVICE LOAD MANAGEMENT TIME-OF-DAY (223)</t>
  </si>
  <si>
    <t>Rate Design</t>
  </si>
  <si>
    <t>QUANTITY POWER - PRIMARY (358)</t>
  </si>
  <si>
    <t xml:space="preserve">  On-Peak - Summer</t>
  </si>
  <si>
    <t xml:space="preserve">  On-Peak - Winter</t>
  </si>
  <si>
    <t>SGSEXPTOD (227)</t>
  </si>
  <si>
    <t>SMALL GENERAL SERVICE LOAD MANAGEMENT EXPERIMENTAL TIME-OF-DAY (227)</t>
  </si>
  <si>
    <t>LARGE GENERAL SERVICE - TRANSMISSION (250)</t>
  </si>
  <si>
    <t>PROFORMA</t>
  </si>
  <si>
    <t xml:space="preserve">  250 watts, 28,000 Lumens (120)</t>
  </si>
  <si>
    <t>OUTDOOR LIGHTING (093, 094, 095, 097, 098, 099, 107, 109, 110, 111, 113, 116, 120, 122, 131)</t>
  </si>
  <si>
    <t>High Pressure Sodium - Floodlight, existing pole</t>
  </si>
  <si>
    <t>Metal Halide - Floodlight, existing pole</t>
  </si>
  <si>
    <t>Metal Halide - Mongoose Light, existing pole</t>
  </si>
  <si>
    <t xml:space="preserve">  250 watts, 28,000 Lumens (103)</t>
  </si>
  <si>
    <t>High Pressure Sodium - PT - UG Circuit</t>
  </si>
  <si>
    <t>High Pressure Sodium - Shoebox with Decorative Pole</t>
  </si>
  <si>
    <t>Mercury Vapor - PT - UG Circuit</t>
  </si>
  <si>
    <t xml:space="preserve">  100 watts, 9,500 Lumens (121)</t>
  </si>
  <si>
    <t xml:space="preserve">  400 watts, 50,000 Lumens (126)</t>
  </si>
  <si>
    <t xml:space="preserve">  250 watts, 20,500 Lumens (130)</t>
  </si>
  <si>
    <t xml:space="preserve">  400 watts, 36,000 Lumens (136)</t>
  </si>
  <si>
    <t>LGS Tran (250)</t>
  </si>
  <si>
    <t>This sheet contains data from the rate design process.</t>
  </si>
  <si>
    <t xml:space="preserve">It is set up to identify revenue differences between Class Cost of Service Study and the application of </t>
  </si>
  <si>
    <t>new rates to the test year billing determinants</t>
  </si>
  <si>
    <t>Calculated</t>
  </si>
  <si>
    <t>Tariff Sheet</t>
  </si>
  <si>
    <t>Base Revs</t>
  </si>
  <si>
    <t>Subtotal</t>
  </si>
  <si>
    <t>CCOS Revenue</t>
  </si>
  <si>
    <t>Variance</t>
  </si>
  <si>
    <t>RS</t>
  </si>
  <si>
    <t>Total Residential</t>
  </si>
  <si>
    <t>MGS</t>
  </si>
  <si>
    <t>LGS</t>
  </si>
  <si>
    <t>SL</t>
  </si>
  <si>
    <t>RS TOD</t>
  </si>
  <si>
    <t>RS LM TOD</t>
  </si>
  <si>
    <t>SGS Metered</t>
  </si>
  <si>
    <t>SGS LM TOD</t>
  </si>
  <si>
    <t>SGS EXP TOD</t>
  </si>
  <si>
    <t>SGS NM</t>
  </si>
  <si>
    <t>Total SGS</t>
  </si>
  <si>
    <t>QP</t>
  </si>
  <si>
    <t>MW</t>
  </si>
  <si>
    <t>CIP TOD</t>
  </si>
  <si>
    <t>MGS RL</t>
  </si>
  <si>
    <t>MGS SEC</t>
  </si>
  <si>
    <t>MGS LM TOD</t>
  </si>
  <si>
    <t>MGS TOD</t>
  </si>
  <si>
    <t>MGS PRI</t>
  </si>
  <si>
    <t>MGS SUB</t>
  </si>
  <si>
    <t>LGS SEC</t>
  </si>
  <si>
    <t>LGS LM TOD</t>
  </si>
  <si>
    <t>LGS PRI</t>
  </si>
  <si>
    <t>LGS SUB</t>
  </si>
  <si>
    <t>LGS TRAN</t>
  </si>
  <si>
    <t>QP SEC</t>
  </si>
  <si>
    <t>QP PRI</t>
  </si>
  <si>
    <t>QP SUB</t>
  </si>
  <si>
    <t>QP TRAN</t>
  </si>
  <si>
    <t>CIP TOD SUB</t>
  </si>
  <si>
    <t>CIP TOD TRAN</t>
  </si>
  <si>
    <t>Adjusted</t>
  </si>
  <si>
    <t>TEST YEAR ENDED SEPTEMBER 30, 2014</t>
  </si>
  <si>
    <t>Asset Transfer Rider</t>
  </si>
  <si>
    <t>ALLOCATION OF ASSET TRANSFER RIDER OVER/UNDER COLLECTION</t>
  </si>
  <si>
    <t>Asset Transfer</t>
  </si>
  <si>
    <t>Rider</t>
  </si>
  <si>
    <t>Over/Under</t>
  </si>
  <si>
    <t>MGS AF</t>
  </si>
  <si>
    <t>Current Base*</t>
  </si>
  <si>
    <t>ATR</t>
  </si>
  <si>
    <t>Current Total</t>
  </si>
  <si>
    <t>Proposed Base**</t>
  </si>
  <si>
    <t>Base Increase</t>
  </si>
  <si>
    <t>% Increase</t>
  </si>
  <si>
    <t>Proposed Total</t>
  </si>
  <si>
    <t>Economic Development Rider</t>
  </si>
  <si>
    <t>PROFORMA SUMMARY WITH PROPOSED RIDERS</t>
  </si>
  <si>
    <t>HEAP Charge</t>
  </si>
  <si>
    <t>Big Sandy Retirement Rider</t>
  </si>
  <si>
    <t>Big Sandy Unit 1 Operations Rider</t>
  </si>
  <si>
    <t>Big Sandy 1 Operations Rider</t>
  </si>
  <si>
    <t>Big Sandy 1 Operations Rider - Energy</t>
  </si>
  <si>
    <t>Big Sandy 1 Operations Rider - Demand</t>
  </si>
  <si>
    <t>PROFORMA SUMMARY</t>
  </si>
  <si>
    <t>* Current Base includes both Base Revenues and Current Annualized FAC</t>
  </si>
  <si>
    <t>**  Proposed Base includes Base Revenues, ATR and FAC</t>
  </si>
  <si>
    <t>QP/CIP TOD</t>
  </si>
  <si>
    <t>Embedded (Base) Fuel</t>
  </si>
  <si>
    <t>Revenue Before % Surcharges</t>
  </si>
  <si>
    <t>Res</t>
  </si>
  <si>
    <t>C&amp;I</t>
  </si>
  <si>
    <t>Non-Fuel C&amp;I Revenue Before % Surcharges</t>
  </si>
  <si>
    <t>C&amp;I Fuel Revenue</t>
  </si>
  <si>
    <t>Number of</t>
  </si>
  <si>
    <t>Customers</t>
  </si>
  <si>
    <t>Separate Meter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</si>
</sst>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#,##0.00000"/>
    <numFmt numFmtId="165" formatCode="&quot;$&quot;#,##0.00"/>
    <numFmt numFmtId="166" formatCode="&quot;$&quot;#,##0.0000000_);\(&quot;$&quot;#,##0.0000000\)"/>
    <numFmt numFmtId="167" formatCode="&quot;$&quot;#,##0"/>
    <numFmt numFmtId="168" formatCode="_(* #,##0_);_(* \(#,##0\);_(* &quot;-&quot;??_);_(@_)"/>
    <numFmt numFmtId="169" formatCode="&quot;$&quot;#,##0.00000_);\(&quot;$&quot;#,##0.00000\)"/>
    <numFmt numFmtId="170" formatCode="0.0000%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G Times"/>
    </font>
    <font>
      <sz val="10"/>
      <color indexed="12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5EA4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3" fontId="8" fillId="0" borderId="0"/>
    <xf numFmtId="3" fontId="8" fillId="0" borderId="0"/>
    <xf numFmtId="3" fontId="8" fillId="0" borderId="0"/>
    <xf numFmtId="0" fontId="10" fillId="0" borderId="0"/>
    <xf numFmtId="0" fontId="8" fillId="0" borderId="0"/>
    <xf numFmtId="9" fontId="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7" fontId="0" fillId="0" borderId="0" xfId="0" applyNumberFormat="1"/>
    <xf numFmtId="7" fontId="0" fillId="0" borderId="0" xfId="0" applyNumberFormat="1"/>
    <xf numFmtId="166" fontId="0" fillId="0" borderId="0" xfId="0" applyNumberFormat="1" applyAlignment="1">
      <alignment horizontal="center"/>
    </xf>
    <xf numFmtId="5" fontId="0" fillId="0" borderId="0" xfId="0" applyNumberFormat="1"/>
    <xf numFmtId="0" fontId="2" fillId="0" borderId="0" xfId="0" applyFont="1"/>
    <xf numFmtId="10" fontId="0" fillId="0" borderId="0" xfId="9" applyNumberFormat="1" applyFont="1"/>
    <xf numFmtId="166" fontId="0" fillId="0" borderId="0" xfId="0" applyNumberFormat="1" applyAlignment="1"/>
    <xf numFmtId="5" fontId="0" fillId="0" borderId="0" xfId="0" applyNumberFormat="1" applyFill="1"/>
    <xf numFmtId="169" fontId="0" fillId="0" borderId="0" xfId="0" applyNumberFormat="1" applyAlignment="1"/>
    <xf numFmtId="169" fontId="0" fillId="0" borderId="0" xfId="0" applyNumberFormat="1"/>
    <xf numFmtId="0" fontId="0" fillId="0" borderId="2" xfId="0" applyBorder="1"/>
    <xf numFmtId="5" fontId="0" fillId="0" borderId="2" xfId="0" applyNumberFormat="1" applyBorder="1"/>
    <xf numFmtId="0" fontId="14" fillId="0" borderId="0" xfId="0" applyFont="1"/>
    <xf numFmtId="5" fontId="14" fillId="0" borderId="0" xfId="0" applyNumberFormat="1" applyFont="1"/>
    <xf numFmtId="0" fontId="0" fillId="0" borderId="0" xfId="0" applyFill="1"/>
    <xf numFmtId="10" fontId="0" fillId="0" borderId="2" xfId="9" applyNumberFormat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168" fontId="0" fillId="0" borderId="0" xfId="1" applyNumberFormat="1" applyFont="1"/>
    <xf numFmtId="43" fontId="16" fillId="0" borderId="0" xfId="1" applyFont="1" applyAlignment="1"/>
    <xf numFmtId="7" fontId="15" fillId="0" borderId="0" xfId="0" applyNumberFormat="1" applyFont="1" applyAlignment="1"/>
    <xf numFmtId="0" fontId="4" fillId="0" borderId="0" xfId="0" applyFont="1"/>
    <xf numFmtId="0" fontId="5" fillId="0" borderId="0" xfId="0" applyFont="1"/>
    <xf numFmtId="5" fontId="4" fillId="0" borderId="0" xfId="0" applyNumberFormat="1" applyFont="1"/>
    <xf numFmtId="10" fontId="4" fillId="0" borderId="0" xfId="9" applyNumberFormat="1" applyFont="1"/>
    <xf numFmtId="0" fontId="6" fillId="0" borderId="0" xfId="0" applyFont="1"/>
    <xf numFmtId="167" fontId="6" fillId="0" borderId="0" xfId="0" applyNumberFormat="1" applyFont="1"/>
    <xf numFmtId="167" fontId="0" fillId="0" borderId="0" xfId="0" applyNumberFormat="1"/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167" fontId="9" fillId="0" borderId="0" xfId="3" applyNumberFormat="1" applyFont="1" applyAlignment="1"/>
    <xf numFmtId="167" fontId="6" fillId="0" borderId="0" xfId="3" applyNumberFormat="1" applyFont="1" applyAlignment="1"/>
    <xf numFmtId="167" fontId="6" fillId="0" borderId="2" xfId="0" applyNumberFormat="1" applyFont="1" applyBorder="1"/>
    <xf numFmtId="167" fontId="6" fillId="0" borderId="2" xfId="3" applyNumberFormat="1" applyFont="1" applyBorder="1" applyAlignment="1"/>
    <xf numFmtId="167" fontId="0" fillId="0" borderId="2" xfId="0" applyNumberFormat="1" applyBorder="1"/>
    <xf numFmtId="167" fontId="9" fillId="0" borderId="0" xfId="0" applyNumberFormat="1" applyFont="1"/>
    <xf numFmtId="167" fontId="9" fillId="0" borderId="0" xfId="7" applyNumberFormat="1" applyFont="1" applyAlignment="1"/>
    <xf numFmtId="167" fontId="9" fillId="0" borderId="2" xfId="0" applyNumberFormat="1" applyFont="1" applyBorder="1"/>
    <xf numFmtId="167" fontId="9" fillId="0" borderId="0" xfId="5" applyNumberFormat="1" applyFont="1" applyAlignment="1"/>
    <xf numFmtId="167" fontId="9" fillId="0" borderId="0" xfId="8" applyNumberFormat="1" applyFont="1"/>
    <xf numFmtId="167" fontId="9" fillId="0" borderId="0" xfId="4" applyNumberFormat="1" applyFont="1"/>
    <xf numFmtId="167" fontId="6" fillId="0" borderId="0" xfId="0" applyNumberFormat="1" applyFont="1" applyBorder="1"/>
    <xf numFmtId="167" fontId="9" fillId="0" borderId="0" xfId="6" applyNumberFormat="1" applyFont="1" applyBorder="1"/>
    <xf numFmtId="167" fontId="0" fillId="0" borderId="0" xfId="0" applyNumberFormat="1" applyBorder="1"/>
    <xf numFmtId="0" fontId="0" fillId="0" borderId="0" xfId="0" applyFont="1"/>
    <xf numFmtId="167" fontId="9" fillId="0" borderId="0" xfId="0" applyNumberFormat="1" applyFont="1" applyFill="1"/>
    <xf numFmtId="167" fontId="9" fillId="0" borderId="0" xfId="5" applyNumberFormat="1" applyFont="1" applyFill="1" applyAlignment="1"/>
    <xf numFmtId="0" fontId="13" fillId="0" borderId="0" xfId="0" applyFont="1"/>
    <xf numFmtId="5" fontId="14" fillId="0" borderId="2" xfId="0" applyNumberFormat="1" applyFont="1" applyBorder="1"/>
    <xf numFmtId="168" fontId="0" fillId="0" borderId="2" xfId="1" applyNumberFormat="1" applyFont="1" applyBorder="1"/>
    <xf numFmtId="168" fontId="6" fillId="0" borderId="0" xfId="1" applyNumberFormat="1" applyFont="1"/>
    <xf numFmtId="168" fontId="0" fillId="0" borderId="0" xfId="1" applyNumberFormat="1" applyFont="1" applyBorder="1"/>
    <xf numFmtId="5" fontId="15" fillId="0" borderId="0" xfId="0" applyNumberFormat="1" applyFont="1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5" fontId="0" fillId="0" borderId="3" xfId="0" applyNumberFormat="1" applyBorder="1"/>
    <xf numFmtId="10" fontId="0" fillId="0" borderId="0" xfId="0" applyNumberFormat="1"/>
    <xf numFmtId="37" fontId="0" fillId="0" borderId="0" xfId="1" applyNumberFormat="1" applyFont="1"/>
    <xf numFmtId="37" fontId="1" fillId="0" borderId="0" xfId="0" applyNumberFormat="1" applyFont="1"/>
    <xf numFmtId="169" fontId="1" fillId="0" borderId="0" xfId="0" applyNumberFormat="1" applyFont="1" applyAlignment="1"/>
    <xf numFmtId="5" fontId="1" fillId="0" borderId="0" xfId="0" applyNumberFormat="1" applyFont="1"/>
    <xf numFmtId="164" fontId="1" fillId="0" borderId="0" xfId="0" applyNumberFormat="1" applyFont="1"/>
    <xf numFmtId="7" fontId="1" fillId="0" borderId="0" xfId="0" applyNumberFormat="1" applyFont="1" applyAlignment="1"/>
    <xf numFmtId="166" fontId="1" fillId="0" borderId="0" xfId="0" applyNumberFormat="1" applyFont="1" applyFill="1" applyAlignment="1"/>
    <xf numFmtId="169" fontId="17" fillId="0" borderId="0" xfId="0" applyNumberFormat="1" applyFont="1" applyAlignment="1"/>
    <xf numFmtId="164" fontId="17" fillId="0" borderId="0" xfId="0" applyNumberFormat="1" applyFont="1"/>
    <xf numFmtId="0" fontId="17" fillId="0" borderId="0" xfId="0" applyFont="1"/>
    <xf numFmtId="7" fontId="17" fillId="0" borderId="0" xfId="0" applyNumberFormat="1" applyFont="1" applyAlignment="1"/>
    <xf numFmtId="166" fontId="17" fillId="0" borderId="0" xfId="0" applyNumberFormat="1" applyFont="1" applyFill="1" applyAlignment="1"/>
    <xf numFmtId="37" fontId="17" fillId="0" borderId="0" xfId="0" applyNumberFormat="1" applyFont="1"/>
    <xf numFmtId="166" fontId="17" fillId="0" borderId="0" xfId="0" applyNumberFormat="1" applyFont="1" applyAlignment="1"/>
    <xf numFmtId="43" fontId="17" fillId="0" borderId="0" xfId="1" applyFont="1"/>
    <xf numFmtId="39" fontId="17" fillId="0" borderId="0" xfId="0" applyNumberFormat="1" applyFont="1"/>
    <xf numFmtId="166" fontId="1" fillId="0" borderId="0" xfId="0" applyNumberFormat="1" applyFont="1" applyAlignment="1"/>
    <xf numFmtId="7" fontId="1" fillId="0" borderId="0" xfId="0" applyNumberFormat="1" applyFont="1"/>
    <xf numFmtId="169" fontId="17" fillId="0" borderId="0" xfId="0" applyNumberFormat="1" applyFont="1"/>
    <xf numFmtId="7" fontId="17" fillId="0" borderId="0" xfId="0" applyNumberFormat="1" applyFont="1"/>
    <xf numFmtId="169" fontId="1" fillId="0" borderId="0" xfId="0" applyNumberFormat="1" applyFont="1"/>
    <xf numFmtId="165" fontId="1" fillId="0" borderId="0" xfId="0" applyNumberFormat="1" applyFont="1"/>
    <xf numFmtId="165" fontId="17" fillId="0" borderId="0" xfId="0" applyNumberFormat="1" applyFont="1"/>
    <xf numFmtId="37" fontId="17" fillId="0" borderId="0" xfId="0" applyNumberFormat="1" applyFont="1" applyAlignment="1"/>
    <xf numFmtId="37" fontId="1" fillId="0" borderId="0" xfId="0" applyNumberFormat="1" applyFont="1" applyAlignment="1"/>
    <xf numFmtId="168" fontId="17" fillId="0" borderId="0" xfId="1" applyNumberFormat="1" applyFont="1"/>
    <xf numFmtId="168" fontId="17" fillId="0" borderId="0" xfId="0" applyNumberFormat="1" applyFont="1"/>
    <xf numFmtId="0" fontId="18" fillId="0" borderId="0" xfId="0" applyFont="1"/>
    <xf numFmtId="5" fontId="0" fillId="0" borderId="0" xfId="1" applyNumberFormat="1" applyFont="1"/>
    <xf numFmtId="167" fontId="6" fillId="0" borderId="0" xfId="3" applyNumberFormat="1" applyFont="1" applyBorder="1" applyAlignment="1"/>
    <xf numFmtId="167" fontId="9" fillId="0" borderId="0" xfId="0" applyNumberFormat="1" applyFont="1" applyBorder="1"/>
    <xf numFmtId="168" fontId="0" fillId="0" borderId="0" xfId="1" applyNumberFormat="1" applyFont="1" applyFill="1"/>
    <xf numFmtId="164" fontId="17" fillId="0" borderId="0" xfId="0" applyNumberFormat="1" applyFont="1" applyFill="1"/>
    <xf numFmtId="43" fontId="0" fillId="0" borderId="0" xfId="1" applyFont="1" applyFill="1"/>
    <xf numFmtId="170" fontId="17" fillId="0" borderId="0" xfId="9" applyNumberFormat="1" applyFont="1" applyAlignment="1"/>
    <xf numFmtId="10" fontId="0" fillId="0" borderId="4" xfId="0" applyNumberFormat="1" applyBorder="1"/>
    <xf numFmtId="5" fontId="0" fillId="0" borderId="0" xfId="0" applyNumberFormat="1" applyBorder="1"/>
    <xf numFmtId="0" fontId="0" fillId="0" borderId="0" xfId="0" quotePrefix="1"/>
    <xf numFmtId="3" fontId="0" fillId="0" borderId="0" xfId="0" applyNumberFormat="1"/>
    <xf numFmtId="3" fontId="0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Fill="1"/>
  </cellXfs>
  <cellStyles count="16">
    <cellStyle name="Comma" xfId="1" builtinId="3"/>
    <cellStyle name="Comma 2" xfId="2"/>
    <cellStyle name="Normal" xfId="0" builtinId="0"/>
    <cellStyle name="Normal_Differences" xfId="3"/>
    <cellStyle name="Normal_EHG Rate Design" xfId="4"/>
    <cellStyle name="Normal_MGS LGS Rate Design" xfId="5"/>
    <cellStyle name="Normal_MS Rate Design" xfId="6"/>
    <cellStyle name="Normal_OL Rate Design" xfId="7"/>
    <cellStyle name="Normal_QP Rate Design" xfId="8"/>
    <cellStyle name="Percent" xfId="9" builtinId="5"/>
    <cellStyle name="PSChar" xfId="10"/>
    <cellStyle name="PSDate" xfId="11"/>
    <cellStyle name="PSDec" xfId="12"/>
    <cellStyle name="PSHeading" xfId="13"/>
    <cellStyle name="PSInt" xfId="14"/>
    <cellStyle name="PSSpacer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G67"/>
  <sheetViews>
    <sheetView workbookViewId="0">
      <selection activeCell="G16" sqref="G16"/>
    </sheetView>
  </sheetViews>
  <sheetFormatPr defaultRowHeight="12.75"/>
  <cols>
    <col min="1" max="1" width="23.28515625" customWidth="1"/>
    <col min="2" max="2" width="16.85546875" customWidth="1"/>
    <col min="3" max="3" width="15.28515625" customWidth="1"/>
    <col min="4" max="4" width="15.85546875" customWidth="1"/>
    <col min="5" max="5" width="13.140625" customWidth="1"/>
    <col min="6" max="6" width="3.7109375" customWidth="1"/>
    <col min="7" max="7" width="10" style="104" bestFit="1" customWidth="1"/>
  </cols>
  <sheetData>
    <row r="1" spans="1:7" ht="18.600000000000001" customHeight="1">
      <c r="A1" s="29" t="str">
        <f>+RS!A1</f>
        <v>KENTUCKY POWER BILLING ANALYSIS</v>
      </c>
    </row>
    <row r="2" spans="1:7" ht="18.600000000000001" customHeight="1">
      <c r="A2" s="29" t="str">
        <f>+RS!A3</f>
        <v>TEST YEAR ENDED SEPTEMBER 30, 2014</v>
      </c>
    </row>
    <row r="3" spans="1:7" ht="18.600000000000001" customHeight="1">
      <c r="A3" s="29" t="s">
        <v>212</v>
      </c>
    </row>
    <row r="6" spans="1:7">
      <c r="B6" s="1" t="s">
        <v>14</v>
      </c>
      <c r="C6" s="1" t="s">
        <v>49</v>
      </c>
      <c r="D6" s="1"/>
      <c r="E6" s="1"/>
    </row>
    <row r="7" spans="1:7">
      <c r="B7" s="1" t="s">
        <v>4</v>
      </c>
      <c r="C7" s="1" t="s">
        <v>2</v>
      </c>
      <c r="D7" s="1"/>
      <c r="E7" s="1" t="s">
        <v>107</v>
      </c>
      <c r="G7" s="105" t="s">
        <v>222</v>
      </c>
    </row>
    <row r="8" spans="1:7">
      <c r="A8" s="3" t="s">
        <v>85</v>
      </c>
      <c r="B8" s="3" t="s">
        <v>7</v>
      </c>
      <c r="C8" s="3" t="s">
        <v>7</v>
      </c>
      <c r="D8" s="3" t="s">
        <v>106</v>
      </c>
      <c r="E8" s="3" t="s">
        <v>106</v>
      </c>
      <c r="G8" s="106" t="s">
        <v>223</v>
      </c>
    </row>
    <row r="9" spans="1:7">
      <c r="A9" s="3"/>
    </row>
    <row r="10" spans="1:7">
      <c r="A10" t="s">
        <v>86</v>
      </c>
      <c r="B10" s="8">
        <f>+RS!D38</f>
        <v>229745817.70068783</v>
      </c>
      <c r="C10" s="8">
        <f>+RS!G38</f>
        <v>266609017.67148829</v>
      </c>
      <c r="D10" s="8">
        <f>+C10-B10</f>
        <v>36863199.970800459</v>
      </c>
      <c r="E10" s="10">
        <f>IF(B10&gt;0,D10/B10,0)</f>
        <v>0.16045210458988954</v>
      </c>
      <c r="G10" s="104">
        <f>ROUND(RS!B22/12,0)</f>
        <v>138125</v>
      </c>
    </row>
    <row r="11" spans="1:7">
      <c r="B11" s="8"/>
      <c r="C11" s="8"/>
      <c r="D11" s="8"/>
    </row>
    <row r="12" spans="1:7">
      <c r="A12" t="s">
        <v>87</v>
      </c>
      <c r="B12" s="8">
        <f>+RSLMTOD!D40</f>
        <v>390357.49822105828</v>
      </c>
      <c r="C12" s="8">
        <f>+RSLMTOD!G40</f>
        <v>446883.79956962052</v>
      </c>
      <c r="D12" s="8">
        <f>+C12-B12</f>
        <v>56526.301348562236</v>
      </c>
      <c r="E12" s="10">
        <f>IF(B12&gt;0,D12/B12,0)</f>
        <v>0.14480649559996811</v>
      </c>
      <c r="G12" s="104">
        <f>ROUND(RSLMTOD!B24/12,0)</f>
        <v>172</v>
      </c>
    </row>
    <row r="13" spans="1:7">
      <c r="B13" s="8"/>
      <c r="C13" s="8"/>
      <c r="D13" s="8"/>
    </row>
    <row r="14" spans="1:7">
      <c r="A14" t="s">
        <v>114</v>
      </c>
      <c r="B14" s="8">
        <f>RSTOD!D37</f>
        <v>4391.3511512828227</v>
      </c>
      <c r="C14" s="8">
        <f>RSTOD!G37</f>
        <v>5158.9411082256483</v>
      </c>
      <c r="D14" s="8">
        <f>+C14-B14</f>
        <v>767.58995694282567</v>
      </c>
      <c r="E14" s="10">
        <f>IF(B14&gt;0,D14/B14,0)</f>
        <v>0.17479584995579175</v>
      </c>
      <c r="G14" s="104">
        <f>ROUND(RSTOD!B21/12,0)</f>
        <v>3</v>
      </c>
    </row>
    <row r="15" spans="1:7">
      <c r="B15" s="8"/>
      <c r="C15" s="8"/>
      <c r="D15" s="8"/>
    </row>
    <row r="16" spans="1:7">
      <c r="A16" t="s">
        <v>88</v>
      </c>
      <c r="B16" s="8">
        <f>+OL!D68</f>
        <v>7256320.1293600164</v>
      </c>
      <c r="C16" s="8">
        <f>+OL!G68</f>
        <v>8191296.0395574039</v>
      </c>
      <c r="D16" s="8">
        <f>+C16-B16</f>
        <v>934975.91019738745</v>
      </c>
      <c r="E16" s="10">
        <f>IF(B16&gt;0,D16/B16,0)</f>
        <v>0.128849870668516</v>
      </c>
    </row>
    <row r="17" spans="1:7">
      <c r="B17" s="8"/>
      <c r="C17" s="8"/>
      <c r="D17" s="8"/>
    </row>
    <row r="18" spans="1:7">
      <c r="A18" t="s">
        <v>89</v>
      </c>
      <c r="B18" s="12">
        <f>+SGS!D34</f>
        <v>18901992.612135407</v>
      </c>
      <c r="C18" s="8">
        <f>+SGS!G34</f>
        <v>20803657.563319098</v>
      </c>
      <c r="D18" s="8">
        <f>+C18-B18</f>
        <v>1901664.9511836916</v>
      </c>
      <c r="E18" s="10">
        <f>IF(B18&gt;0,D18/B18,0)</f>
        <v>0.10060658631105325</v>
      </c>
      <c r="G18" s="104">
        <f>ROUND(SGS!B20/12,0)</f>
        <v>22622</v>
      </c>
    </row>
    <row r="19" spans="1:7">
      <c r="B19" s="8"/>
      <c r="C19" s="8"/>
      <c r="D19" s="8"/>
      <c r="E19" s="10"/>
    </row>
    <row r="20" spans="1:7">
      <c r="A20" t="s">
        <v>123</v>
      </c>
      <c r="B20" s="8">
        <f>+SGSLMTOD!D34</f>
        <v>546.68081935909879</v>
      </c>
      <c r="C20" s="8">
        <f>+SGSLMTOD!G34</f>
        <v>602.09847829349872</v>
      </c>
      <c r="D20" s="8">
        <f>+C20-B20</f>
        <v>55.417658934399924</v>
      </c>
      <c r="E20" s="10">
        <f>IF(B20&gt;0,D20/B20,0)</f>
        <v>0.10137114193867056</v>
      </c>
      <c r="G20" s="104">
        <f>ROUND(SGSLMTOD!B20/12,0)</f>
        <v>1</v>
      </c>
    </row>
    <row r="21" spans="1:7">
      <c r="B21" s="8"/>
      <c r="C21" s="8"/>
      <c r="D21" s="8"/>
      <c r="E21" s="10"/>
    </row>
    <row r="22" spans="1:7">
      <c r="A22" t="s">
        <v>130</v>
      </c>
      <c r="B22" s="8">
        <f>+SGSEXPTOD!D35</f>
        <v>55172.543223243876</v>
      </c>
      <c r="C22" s="8">
        <f>+SGSEXPTOD!G35</f>
        <v>59033.260515269365</v>
      </c>
      <c r="D22" s="8">
        <f>+C22-B22</f>
        <v>3860.7172920254889</v>
      </c>
      <c r="E22" s="10">
        <f>IF(B22&gt;0,D22/B22,0)</f>
        <v>6.9975336761329332E-2</v>
      </c>
      <c r="G22" s="104">
        <f>ROUND(SGSEXPTOD!B21/12,0)</f>
        <v>76</v>
      </c>
    </row>
    <row r="23" spans="1:7">
      <c r="B23" s="8"/>
      <c r="C23" s="8"/>
      <c r="D23" s="8"/>
    </row>
    <row r="24" spans="1:7">
      <c r="A24" t="s">
        <v>90</v>
      </c>
      <c r="B24" s="8">
        <f>+'SGS-NM'!D34</f>
        <v>654133.83659822191</v>
      </c>
      <c r="C24" s="8">
        <f>+'SGS-NM'!G34</f>
        <v>788002.99542904797</v>
      </c>
      <c r="D24" s="8">
        <f>+C24-B24</f>
        <v>133869.15883082605</v>
      </c>
      <c r="E24" s="10">
        <f>IF(B24&gt;0,D24/B24,0)</f>
        <v>0.20465102298790019</v>
      </c>
      <c r="G24" s="104">
        <f>ROUND('SGS-NM'!B20/12,0)</f>
        <v>1124</v>
      </c>
    </row>
    <row r="25" spans="1:7">
      <c r="B25" s="8"/>
      <c r="C25" s="8"/>
      <c r="D25" s="8"/>
    </row>
    <row r="26" spans="1:7">
      <c r="A26" t="s">
        <v>91</v>
      </c>
      <c r="B26" s="8">
        <f>+'MGS RL'!D32</f>
        <v>171931.06706976128</v>
      </c>
      <c r="C26" s="8">
        <f>+'MGS RL'!G32</f>
        <v>203648.71838438144</v>
      </c>
      <c r="D26" s="8">
        <f>+C26-B26</f>
        <v>31717.651314620161</v>
      </c>
      <c r="E26" s="10">
        <f>IF(B26&gt;0,D26/B26,0)</f>
        <v>0.18447888363160497</v>
      </c>
      <c r="G26" s="104">
        <f>ROUND('MGS RL'!B18/12,0)</f>
        <v>77</v>
      </c>
    </row>
    <row r="27" spans="1:7">
      <c r="B27" s="8"/>
      <c r="C27" s="8"/>
      <c r="D27" s="8"/>
    </row>
    <row r="28" spans="1:7">
      <c r="A28" t="s">
        <v>122</v>
      </c>
      <c r="B28" s="8">
        <f>+'MGS-SEC'!D40</f>
        <v>57857120.424422897</v>
      </c>
      <c r="C28" s="8">
        <f>+'MGS-SEC'!G40</f>
        <v>62588971.50833305</v>
      </c>
      <c r="D28" s="8">
        <f>+C28-B28</f>
        <v>4731851.0839101523</v>
      </c>
      <c r="E28" s="10">
        <f>IF(B28&gt;0,D28/B28,0)</f>
        <v>8.1785112172860969E-2</v>
      </c>
      <c r="G28" s="104">
        <f>ROUND('MGS-SEC'!B24/12,0)</f>
        <v>7004</v>
      </c>
    </row>
    <row r="29" spans="1:7">
      <c r="B29" s="8"/>
      <c r="C29" s="8"/>
      <c r="D29" s="8"/>
    </row>
    <row r="30" spans="1:7">
      <c r="A30" t="s">
        <v>92</v>
      </c>
      <c r="B30" s="8">
        <f>+MGSLMTOD!D34</f>
        <v>109959.15791559833</v>
      </c>
      <c r="C30" s="8">
        <f>+MGSLMTOD!G34</f>
        <v>121222.18893974103</v>
      </c>
      <c r="D30" s="8">
        <f>+C30-B30</f>
        <v>11263.031024142692</v>
      </c>
      <c r="E30" s="10">
        <f>IF(B30&gt;0,D30/B30,0)</f>
        <v>0.1024292222462079</v>
      </c>
      <c r="G30" s="104">
        <f>ROUND(MGSLMTOD!B20/12,0)</f>
        <v>46</v>
      </c>
    </row>
    <row r="31" spans="1:7">
      <c r="B31" s="8"/>
      <c r="C31" s="8"/>
      <c r="D31" s="8"/>
    </row>
    <row r="32" spans="1:7">
      <c r="A32" t="s">
        <v>93</v>
      </c>
      <c r="B32" s="8">
        <f>+MGSTOD!D34</f>
        <v>392705.60995126609</v>
      </c>
      <c r="C32" s="8">
        <f>+MGSTOD!G34</f>
        <v>438274.0989194953</v>
      </c>
      <c r="D32" s="8">
        <f>+C32-B32</f>
        <v>45568.488968229212</v>
      </c>
      <c r="E32" s="10">
        <f>IF(B32&gt;0,D32/B32,0)</f>
        <v>0.11603727528589206</v>
      </c>
      <c r="G32" s="104">
        <f>ROUND(MGSTOD!B20/12,0)</f>
        <v>76</v>
      </c>
    </row>
    <row r="33" spans="1:7">
      <c r="B33" s="8"/>
      <c r="C33" s="8"/>
      <c r="D33" s="8"/>
    </row>
    <row r="34" spans="1:7">
      <c r="A34" t="s">
        <v>94</v>
      </c>
      <c r="B34" s="8">
        <f>+'MGS-PRI'!D41</f>
        <v>1024183.6873391911</v>
      </c>
      <c r="C34" s="8">
        <f>+'MGS-PRI'!G41</f>
        <v>1138577.4743595624</v>
      </c>
      <c r="D34" s="8">
        <f>+C34-B34</f>
        <v>114393.7870203713</v>
      </c>
      <c r="E34" s="10">
        <f>IF(B34&gt;0,D34/B34,0)</f>
        <v>0.11169264696801029</v>
      </c>
      <c r="G34" s="104">
        <f>ROUND('MGS-PRI'!B25/12,0)</f>
        <v>84</v>
      </c>
    </row>
    <row r="35" spans="1:7">
      <c r="B35" s="8"/>
      <c r="C35" s="8"/>
      <c r="D35" s="8"/>
    </row>
    <row r="36" spans="1:7">
      <c r="A36" t="s">
        <v>95</v>
      </c>
      <c r="B36" s="8">
        <f>+'MGS-SUB'!D40</f>
        <v>121691.88195059769</v>
      </c>
      <c r="C36" s="8">
        <f>+'MGS-SUB'!G40</f>
        <v>155110.75336670486</v>
      </c>
      <c r="D36" s="8">
        <f>+C36-B36</f>
        <v>33418.871416107169</v>
      </c>
      <c r="E36" s="10">
        <f>IF(B36&gt;0,D36/B36,0)</f>
        <v>0.27461874104037581</v>
      </c>
      <c r="G36" s="107">
        <f>ROUND('MGS-SUB'!B24/12,0)</f>
        <v>10</v>
      </c>
    </row>
    <row r="37" spans="1:7">
      <c r="B37" s="8"/>
      <c r="C37" s="8"/>
      <c r="D37" s="8"/>
      <c r="G37" s="107"/>
    </row>
    <row r="38" spans="1:7">
      <c r="A38" t="s">
        <v>96</v>
      </c>
      <c r="B38" s="8">
        <f>+'LGS-SEC'!D38</f>
        <v>57538811.058946602</v>
      </c>
      <c r="C38" s="8">
        <f>+'LGS-SEC'!G38</f>
        <v>63406935.93300347</v>
      </c>
      <c r="D38" s="8">
        <f>+C38-B38</f>
        <v>5868124.8740568683</v>
      </c>
      <c r="E38" s="10">
        <f>IF(B38&gt;0,D38/B38,0)</f>
        <v>0.10198550797382951</v>
      </c>
      <c r="G38" s="107">
        <f>ROUND('LGS-SEC'!B22/12,0)</f>
        <v>748</v>
      </c>
    </row>
    <row r="39" spans="1:7">
      <c r="B39" s="8"/>
      <c r="C39" s="8"/>
      <c r="D39" s="8"/>
      <c r="G39" s="107"/>
    </row>
    <row r="40" spans="1:7">
      <c r="A40" t="s">
        <v>97</v>
      </c>
      <c r="B40" s="8">
        <f>+LGSLMTOD!D36</f>
        <v>198602.4885332977</v>
      </c>
      <c r="C40" s="8">
        <f>+LGSLMTOD!G36</f>
        <v>216086.22861778762</v>
      </c>
      <c r="D40" s="8">
        <f>+C40-B40</f>
        <v>17483.740084489924</v>
      </c>
      <c r="E40" s="10">
        <f>IF(B40&gt;0,D40/B40,0)</f>
        <v>8.8033841940296731E-2</v>
      </c>
      <c r="G40" s="107">
        <f>ROUND(LGSLMTOD!B20/12,0)</f>
        <v>9</v>
      </c>
    </row>
    <row r="41" spans="1:7">
      <c r="B41" s="8"/>
      <c r="C41" s="8"/>
      <c r="D41" s="8"/>
      <c r="G41" s="107"/>
    </row>
    <row r="42" spans="1:7">
      <c r="A42" t="s">
        <v>98</v>
      </c>
      <c r="B42" s="8">
        <f>+'LGS-PRI'!D38</f>
        <v>10275218.605231393</v>
      </c>
      <c r="C42" s="8">
        <f>+'LGS-PRI'!G38</f>
        <v>11605926.401139313</v>
      </c>
      <c r="D42" s="8">
        <f>+C42-B42</f>
        <v>1330707.7959079202</v>
      </c>
      <c r="E42" s="10">
        <f>IF(B42&gt;0,D42/B42,0)</f>
        <v>0.12950651923166098</v>
      </c>
      <c r="G42" s="107">
        <f>ROUND('LGS-PRI'!B22/12,0)</f>
        <v>78</v>
      </c>
    </row>
    <row r="43" spans="1:7">
      <c r="B43" s="8"/>
      <c r="C43" s="8"/>
      <c r="D43" s="8"/>
    </row>
    <row r="44" spans="1:7">
      <c r="A44" t="s">
        <v>99</v>
      </c>
      <c r="B44" s="8">
        <f>+'LGS-SUB'!D38</f>
        <v>2490132.0656530946</v>
      </c>
      <c r="C44" s="8">
        <f>+'LGS-SUB'!G38</f>
        <v>2685279.5130017498</v>
      </c>
      <c r="D44" s="8">
        <f>+C44-B44</f>
        <v>195147.4473486552</v>
      </c>
      <c r="E44" s="10">
        <f>IF(B44&gt;0,D44/B44,0)</f>
        <v>7.8368312283659258E-2</v>
      </c>
      <c r="G44" s="104">
        <f>ROUND('LGS-SUB'!B22/12,0)</f>
        <v>20</v>
      </c>
    </row>
    <row r="45" spans="1:7">
      <c r="B45" s="8"/>
      <c r="C45" s="8"/>
      <c r="D45" s="8"/>
      <c r="E45" s="10"/>
    </row>
    <row r="46" spans="1:7">
      <c r="A46" t="s">
        <v>147</v>
      </c>
      <c r="B46" s="8">
        <f>+'LGS-TRAN'!D38</f>
        <v>66883.1854385529</v>
      </c>
      <c r="C46" s="8">
        <f>+'LGS-TRAN'!G38</f>
        <v>86334.74103814429</v>
      </c>
      <c r="D46" s="8">
        <f>+C46-B46</f>
        <v>19451.555599591389</v>
      </c>
      <c r="E46" s="10">
        <f>IF(B46&gt;0,D46/B46,0)</f>
        <v>0.29082878562149189</v>
      </c>
      <c r="G46" s="104">
        <f>ROUND('LGS-TRAN'!B22/12,0)</f>
        <v>1</v>
      </c>
    </row>
    <row r="47" spans="1:7">
      <c r="B47" s="8"/>
      <c r="C47" s="8"/>
      <c r="D47" s="8"/>
    </row>
    <row r="48" spans="1:7">
      <c r="A48" t="s">
        <v>108</v>
      </c>
      <c r="B48" s="8">
        <f>'QP-SEC'!D41</f>
        <v>1945247.2805559579</v>
      </c>
      <c r="C48" s="8">
        <f>'QP-SEC'!G41</f>
        <v>2237032.61474424</v>
      </c>
      <c r="D48" s="8">
        <f>+C48-B48</f>
        <v>291785.33418828202</v>
      </c>
      <c r="E48" s="10">
        <f>IF(B48&gt;0,D48/B48,0)</f>
        <v>0.14999909631277769</v>
      </c>
      <c r="G48" s="104">
        <f>ROUND('QP-SEC'!B25/12,0)</f>
        <v>6</v>
      </c>
    </row>
    <row r="49" spans="1:7">
      <c r="B49" s="8"/>
      <c r="C49" s="8"/>
      <c r="D49" s="8"/>
    </row>
    <row r="50" spans="1:7">
      <c r="A50" t="s">
        <v>109</v>
      </c>
      <c r="B50" s="8">
        <f>+'QP-PRI'!D44</f>
        <v>24885642.179880876</v>
      </c>
      <c r="C50" s="8">
        <f>+'QP-PRI'!G44</f>
        <v>29169853.680988852</v>
      </c>
      <c r="D50" s="8">
        <f>+C50-B50</f>
        <v>4284211.5011079758</v>
      </c>
      <c r="E50" s="10">
        <f>IF(B50&gt;0,D50/B50,0)</f>
        <v>0.17215595523476596</v>
      </c>
      <c r="G50" s="104">
        <f>ROUND('QP-PRI'!B28/12,0)</f>
        <v>40</v>
      </c>
    </row>
    <row r="51" spans="1:7">
      <c r="B51" s="8"/>
      <c r="C51" s="8"/>
      <c r="D51" s="8"/>
    </row>
    <row r="52" spans="1:7">
      <c r="A52" t="s">
        <v>100</v>
      </c>
      <c r="B52" s="8">
        <f>+'QP-SUB'!D41</f>
        <v>23236396.380925223</v>
      </c>
      <c r="C52" s="8">
        <f>+'QP-SUB'!G41</f>
        <v>26256008.843836948</v>
      </c>
      <c r="D52" s="8">
        <f>+C52-B52</f>
        <v>3019612.462911725</v>
      </c>
      <c r="E52" s="10">
        <f>IF(B52&gt;0,D52/B52,0)</f>
        <v>0.12995183992430631</v>
      </c>
      <c r="G52" s="104">
        <f>ROUND('QP-SUB'!B25/12,0)</f>
        <v>26</v>
      </c>
    </row>
    <row r="53" spans="1:7">
      <c r="B53" s="8"/>
      <c r="C53" s="8"/>
      <c r="D53" s="8"/>
    </row>
    <row r="54" spans="1:7">
      <c r="A54" t="s">
        <v>101</v>
      </c>
      <c r="B54" s="8">
        <f>+'QP-TRAN'!D41</f>
        <v>4059582.108520343</v>
      </c>
      <c r="C54" s="8">
        <f>+'QP-TRAN'!G41</f>
        <v>4599230.1666273717</v>
      </c>
      <c r="D54" s="8">
        <f>+C54-B54</f>
        <v>539648.05810702872</v>
      </c>
      <c r="E54" s="10">
        <f>IF(B54&gt;0,D54/B54,0)</f>
        <v>0.1329319234544864</v>
      </c>
      <c r="G54" s="104">
        <f>ROUND('QP-TRAN'!B25/12,0)</f>
        <v>5</v>
      </c>
    </row>
    <row r="55" spans="1:7">
      <c r="B55" s="8"/>
      <c r="C55" s="8"/>
      <c r="D55" s="8"/>
    </row>
    <row r="56" spans="1:7">
      <c r="A56" t="s">
        <v>102</v>
      </c>
      <c r="B56" s="8">
        <f>+'CIPTOD-SUB'!D42</f>
        <v>101015057.68488082</v>
      </c>
      <c r="C56" s="8">
        <f>+'CIPTOD-SUB'!G42</f>
        <v>108310827.18568599</v>
      </c>
      <c r="D56" s="8">
        <f>+C56-B56</f>
        <v>7295769.5008051693</v>
      </c>
      <c r="E56" s="10">
        <f>IF(B56&gt;0,D56/B56,0)</f>
        <v>7.2224573920103258E-2</v>
      </c>
      <c r="G56" s="104">
        <f>ROUND('CIPTOD-SUB'!B26/12,0)</f>
        <v>9</v>
      </c>
    </row>
    <row r="57" spans="1:7">
      <c r="B57" s="8"/>
      <c r="C57" s="8"/>
      <c r="D57" s="8"/>
    </row>
    <row r="58" spans="1:7">
      <c r="A58" t="s">
        <v>103</v>
      </c>
      <c r="B58" s="8">
        <f>+'CIPTOD-TRAN'!D42</f>
        <v>16408183.560255639</v>
      </c>
      <c r="C58" s="8">
        <f>+'CIPTOD-TRAN'!G42</f>
        <v>18427718.442056101</v>
      </c>
      <c r="D58" s="8">
        <f>+C58-B58</f>
        <v>2019534.8818004616</v>
      </c>
      <c r="E58" s="10">
        <f>IF(B58&gt;0,D58/B58,0)</f>
        <v>0.12308095374385226</v>
      </c>
      <c r="G58" s="104">
        <f>ROUND('CIPTOD-TRAN'!B26/12,0)</f>
        <v>2</v>
      </c>
    </row>
    <row r="59" spans="1:7">
      <c r="B59" s="8"/>
      <c r="C59" s="8"/>
      <c r="D59" s="8"/>
    </row>
    <row r="60" spans="1:7">
      <c r="A60" t="s">
        <v>104</v>
      </c>
      <c r="B60" s="8">
        <f>+SL!D49</f>
        <v>1422708.5094667622</v>
      </c>
      <c r="C60" s="8">
        <f>+SL!G49</f>
        <v>1609695.6567924402</v>
      </c>
      <c r="D60" s="8">
        <f>+C60-B60</f>
        <v>186987.14732567803</v>
      </c>
      <c r="E60" s="10">
        <f>IF(B60&gt;0,D60/B60,0)</f>
        <v>0.13143039918680299</v>
      </c>
      <c r="G60" s="104">
        <f>ROUND(SL!B35/12,0)</f>
        <v>56</v>
      </c>
    </row>
    <row r="61" spans="1:7">
      <c r="B61" s="8"/>
      <c r="C61" s="8"/>
      <c r="D61" s="8"/>
    </row>
    <row r="62" spans="1:7">
      <c r="A62" s="15" t="s">
        <v>105</v>
      </c>
      <c r="B62" s="16">
        <f>+MW!D35</f>
        <v>364283.56187718216</v>
      </c>
      <c r="C62" s="16">
        <f>+MW!G35</f>
        <v>395082.88508414064</v>
      </c>
      <c r="D62" s="16">
        <f>+C62-B62</f>
        <v>30799.323206958477</v>
      </c>
      <c r="E62" s="20">
        <f>IF(B62&gt;0,D62/B62,0)</f>
        <v>8.4547661300573423E-2</v>
      </c>
      <c r="G62" s="104">
        <f>ROUND(MW!B21/12,0)</f>
        <v>11</v>
      </c>
    </row>
    <row r="63" spans="1:7">
      <c r="A63" s="8"/>
      <c r="B63" s="8"/>
      <c r="C63" s="8"/>
      <c r="D63" s="8"/>
    </row>
    <row r="64" spans="1:7">
      <c r="A64" s="28" t="s">
        <v>14</v>
      </c>
      <c r="B64" s="30">
        <f>SUM(B10:B63)</f>
        <v>560593072.85101151</v>
      </c>
      <c r="C64" s="30">
        <f>SUM(C10:C63)</f>
        <v>630555469.40438473</v>
      </c>
      <c r="D64" s="30">
        <f>+C64-B64</f>
        <v>69962396.553373218</v>
      </c>
      <c r="E64" s="31">
        <f>IF(B64&gt;0,D64/B64,0)</f>
        <v>0.12480067974719174</v>
      </c>
    </row>
    <row r="67" spans="2:2">
      <c r="B67" s="8"/>
    </row>
  </sheetData>
  <phoneticPr fontId="0" type="noConversion"/>
  <printOptions horizontalCentered="1"/>
  <pageMargins left="0.75" right="0.75" top="0.75" bottom="0.75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5"/>
  <sheetViews>
    <sheetView workbookViewId="0"/>
  </sheetViews>
  <sheetFormatPr defaultRowHeight="12.75"/>
  <cols>
    <col min="1" max="1" width="14.85546875" bestFit="1" customWidth="1"/>
    <col min="2" max="2" width="12.7109375" bestFit="1" customWidth="1"/>
    <col min="3" max="3" width="11.7109375" bestFit="1" customWidth="1"/>
    <col min="4" max="4" width="12.7109375" bestFit="1" customWidth="1"/>
    <col min="6" max="6" width="12.7109375" bestFit="1" customWidth="1"/>
    <col min="7" max="7" width="13.42578125" bestFit="1" customWidth="1"/>
    <col min="9" max="9" width="2.7109375" customWidth="1"/>
    <col min="10" max="10" width="11.5703125" bestFit="1" customWidth="1"/>
    <col min="11" max="12" width="11.7109375" bestFit="1" customWidth="1"/>
    <col min="13" max="13" width="12.5703125" bestFit="1" customWidth="1"/>
    <col min="14" max="14" width="13.5703125" bestFit="1" customWidth="1"/>
    <col min="15" max="15" width="4.28515625" bestFit="1" customWidth="1"/>
    <col min="16" max="16" width="12.7109375" bestFit="1" customWidth="1"/>
    <col min="17" max="17" width="13.28515625" customWidth="1"/>
    <col min="18" max="18" width="12.7109375" bestFit="1" customWidth="1"/>
  </cols>
  <sheetData>
    <row r="1" spans="1:19" ht="18.600000000000001" customHeight="1">
      <c r="A1" s="29" t="str">
        <f>+RS!A1</f>
        <v>KENTUCKY POWER BILLING ANALYSIS</v>
      </c>
    </row>
    <row r="2" spans="1:19" ht="18.600000000000001" customHeight="1">
      <c r="A2" s="29" t="str">
        <f>+RS!A3</f>
        <v>TEST YEAR ENDED SEPTEMBER 30, 2014</v>
      </c>
    </row>
    <row r="3" spans="1:19" ht="18.600000000000001" customHeight="1">
      <c r="A3" s="29" t="s">
        <v>205</v>
      </c>
    </row>
    <row r="4" spans="1:19">
      <c r="F4" s="8"/>
    </row>
    <row r="5" spans="1:19">
      <c r="F5" s="8"/>
    </row>
    <row r="6" spans="1:19" s="62" customFormat="1" ht="51">
      <c r="B6" s="63" t="s">
        <v>197</v>
      </c>
      <c r="C6" s="63" t="s">
        <v>198</v>
      </c>
      <c r="D6" s="63" t="s">
        <v>199</v>
      </c>
      <c r="F6" s="63" t="s">
        <v>200</v>
      </c>
      <c r="G6" s="63" t="s">
        <v>201</v>
      </c>
      <c r="H6" s="63" t="s">
        <v>202</v>
      </c>
      <c r="J6" s="63" t="s">
        <v>204</v>
      </c>
      <c r="K6" s="63" t="s">
        <v>207</v>
      </c>
      <c r="L6" s="63" t="s">
        <v>208</v>
      </c>
      <c r="M6" s="63" t="s">
        <v>18</v>
      </c>
      <c r="N6" s="63" t="s">
        <v>203</v>
      </c>
      <c r="P6" s="63" t="s">
        <v>217</v>
      </c>
      <c r="Q6" s="63" t="s">
        <v>221</v>
      </c>
      <c r="R6" s="63" t="s">
        <v>220</v>
      </c>
    </row>
    <row r="7" spans="1:19">
      <c r="A7" s="32" t="s">
        <v>157</v>
      </c>
      <c r="B7" s="8">
        <f>SUM(RS!D13:D26)</f>
        <v>211840094.39068782</v>
      </c>
      <c r="C7" s="8">
        <f>+RS!D28</f>
        <v>17905723.310000002</v>
      </c>
      <c r="D7" s="8">
        <f>+B7+C7</f>
        <v>229745817.70068783</v>
      </c>
      <c r="F7" s="8">
        <f>SUM(RS!G13:G26)</f>
        <v>235133676.2756778</v>
      </c>
      <c r="G7" s="8">
        <f>+F7-B7</f>
        <v>23293581.884989977</v>
      </c>
      <c r="H7" s="65">
        <f t="shared" ref="H7:H9" si="0">+F7/B7-1</f>
        <v>0.10995832470708122</v>
      </c>
      <c r="J7" s="8">
        <f>+RS!G30</f>
        <v>248731.34999999998</v>
      </c>
      <c r="K7" s="8">
        <f>+RS!G34</f>
        <v>9241016.8292647935</v>
      </c>
      <c r="L7" s="8">
        <f>+RS!G32</f>
        <v>7444395.75</v>
      </c>
      <c r="M7" s="8">
        <f>+RS!G36</f>
        <v>14541197.466545712</v>
      </c>
      <c r="N7" s="8">
        <f>SUM(F7,J7:M7)</f>
        <v>266609017.67148829</v>
      </c>
      <c r="P7" s="8">
        <f>F7+J7+L7</f>
        <v>242826803.37567779</v>
      </c>
      <c r="R7" s="8"/>
    </row>
    <row r="8" spans="1:19">
      <c r="A8" s="52" t="s">
        <v>163</v>
      </c>
      <c r="B8" s="8">
        <f>SUM(RSLMTOD!D13:D28)</f>
        <v>359538.00822105829</v>
      </c>
      <c r="C8" s="8">
        <f>+RSLMTOD!D30</f>
        <v>30819.49</v>
      </c>
      <c r="D8" s="8">
        <f>+B8+C8</f>
        <v>390357.49822105828</v>
      </c>
      <c r="F8" s="8">
        <f>+SUM(RSLMTOD!G13:G28)</f>
        <v>392766.01342105836</v>
      </c>
      <c r="G8" s="8">
        <f t="shared" ref="G8:G9" si="1">+F8-B8</f>
        <v>33228.005200000072</v>
      </c>
      <c r="H8" s="65">
        <f t="shared" si="0"/>
        <v>9.2418616224769767E-2</v>
      </c>
      <c r="J8" s="8">
        <f>+RSLMTOD!G32</f>
        <v>309.59999999999997</v>
      </c>
      <c r="K8" s="8">
        <f>+RSLMTOD!G36</f>
        <v>15489.576266460595</v>
      </c>
      <c r="L8" s="8">
        <f>+RSLMTOD!G34</f>
        <v>13944.9948</v>
      </c>
      <c r="M8" s="8">
        <f>+RSLMTOD!G38</f>
        <v>24373.615082101634</v>
      </c>
      <c r="N8" s="8">
        <f>SUM(F8,J8:M8)</f>
        <v>446883.79956962052</v>
      </c>
      <c r="P8" s="8">
        <f t="shared" ref="P8:P47" si="2">F8+J8+L8</f>
        <v>407020.60822105833</v>
      </c>
      <c r="R8" s="8"/>
    </row>
    <row r="9" spans="1:19">
      <c r="A9" s="52" t="s">
        <v>162</v>
      </c>
      <c r="B9" s="64">
        <f>+SUM(RSTOD!D13:D25)</f>
        <v>4059.9911512828226</v>
      </c>
      <c r="C9" s="64">
        <f>+RSTOD!D27</f>
        <v>331.36</v>
      </c>
      <c r="D9" s="64">
        <f>+B9+C9</f>
        <v>4391.3511512828227</v>
      </c>
      <c r="F9" s="64">
        <f>SUM(RSTOD!G13:G25)</f>
        <v>4539.9299112828212</v>
      </c>
      <c r="G9" s="64">
        <f t="shared" si="1"/>
        <v>479.93875999999864</v>
      </c>
      <c r="H9" s="101">
        <f t="shared" si="0"/>
        <v>0.11821177488240431</v>
      </c>
      <c r="J9" s="64">
        <f>+RSTOD!G29</f>
        <v>5.3999999999999995</v>
      </c>
      <c r="K9" s="64">
        <f>+RSTOD!G33</f>
        <v>178.81563804057902</v>
      </c>
      <c r="L9" s="64">
        <f>+RSTOD!G31</f>
        <v>153.4203</v>
      </c>
      <c r="M9" s="64">
        <f>+RSTOD!G35</f>
        <v>281.37525890224913</v>
      </c>
      <c r="N9" s="64">
        <f>SUM(F9,J9:M9)</f>
        <v>5158.9411082256483</v>
      </c>
      <c r="P9" s="64">
        <f t="shared" si="2"/>
        <v>4698.7502112828206</v>
      </c>
      <c r="R9" s="102"/>
    </row>
    <row r="10" spans="1:19">
      <c r="A10" s="32" t="s">
        <v>158</v>
      </c>
      <c r="B10" s="8">
        <f>SUM(B7:B9)</f>
        <v>212203692.39006016</v>
      </c>
      <c r="C10" s="8">
        <f t="shared" ref="C10:D10" si="3">SUM(C7:C9)</f>
        <v>17936874.16</v>
      </c>
      <c r="D10" s="8">
        <f t="shared" si="3"/>
        <v>230140566.55006018</v>
      </c>
      <c r="F10" s="8">
        <f>SUM(F7:F9)</f>
        <v>235530982.21901014</v>
      </c>
      <c r="G10" s="8">
        <f>+F10-B10</f>
        <v>23327289.828949988</v>
      </c>
      <c r="H10" s="65">
        <f>+F10/B10-1</f>
        <v>0.10992876498148374</v>
      </c>
      <c r="J10" s="8">
        <f>SUM(J7:J9)</f>
        <v>249046.34999999998</v>
      </c>
      <c r="K10" s="8">
        <f t="shared" ref="K10:P10" si="4">SUM(K7:K9)</f>
        <v>9256685.2211692948</v>
      </c>
      <c r="L10" s="8">
        <f t="shared" si="4"/>
        <v>7458494.1651000008</v>
      </c>
      <c r="M10" s="8">
        <f t="shared" si="4"/>
        <v>14565852.456886716</v>
      </c>
      <c r="N10" s="8">
        <f t="shared" si="4"/>
        <v>267061060.41216612</v>
      </c>
      <c r="O10" s="8"/>
      <c r="P10" s="8">
        <f t="shared" si="4"/>
        <v>243238522.73411012</v>
      </c>
      <c r="R10" s="102"/>
    </row>
    <row r="11" spans="1:19">
      <c r="A11" s="32"/>
      <c r="F11" s="8"/>
      <c r="G11" s="8"/>
      <c r="H11" s="65"/>
      <c r="J11" s="8"/>
      <c r="K11" s="8"/>
      <c r="L11" s="8"/>
      <c r="M11" s="8"/>
      <c r="N11" s="8"/>
      <c r="P11" s="8"/>
      <c r="R11" s="8"/>
    </row>
    <row r="12" spans="1:19">
      <c r="A12" s="32" t="s">
        <v>88</v>
      </c>
      <c r="B12" s="8">
        <f>+SUM(OL!D14:D58)</f>
        <v>6488749.2293600161</v>
      </c>
      <c r="C12" s="8">
        <f>+OL!D60</f>
        <v>767570.9</v>
      </c>
      <c r="D12" s="8">
        <f>+B12+C12</f>
        <v>7256320.1293600164</v>
      </c>
      <c r="F12" s="8">
        <f>SUM(OL!G14:G58)</f>
        <v>7162478.8733600173</v>
      </c>
      <c r="G12" s="8">
        <f>+F12-B12</f>
        <v>673729.64400000125</v>
      </c>
      <c r="H12" s="65">
        <f>+F12/B12-1</f>
        <v>0.10383043329083175</v>
      </c>
      <c r="J12" s="8">
        <v>0</v>
      </c>
      <c r="K12" s="8">
        <f>+OL!G64</f>
        <v>378266.66869712435</v>
      </c>
      <c r="L12" s="8">
        <f>+OL!G62</f>
        <v>55331.679059999995</v>
      </c>
      <c r="M12" s="8">
        <f>+OL!G66</f>
        <v>595218.81844026211</v>
      </c>
      <c r="N12" s="8">
        <f>SUM(F12,J12:M12)</f>
        <v>8191296.0395574039</v>
      </c>
      <c r="O12" s="8"/>
      <c r="P12" s="8">
        <f t="shared" si="2"/>
        <v>7217810.5524200173</v>
      </c>
      <c r="Q12" s="8">
        <f>OL!G72+OL!G58</f>
        <v>1145822.034560018</v>
      </c>
      <c r="R12" s="8">
        <f t="shared" ref="R12:R17" si="5">P12-Q12</f>
        <v>6071988.5178599991</v>
      </c>
      <c r="S12" s="8"/>
    </row>
    <row r="13" spans="1:19">
      <c r="A13" s="32"/>
      <c r="F13" s="8"/>
      <c r="G13" s="8"/>
      <c r="H13" s="65"/>
      <c r="J13" s="8"/>
      <c r="K13" s="8"/>
      <c r="L13" s="8"/>
      <c r="M13" s="8"/>
      <c r="N13" s="8"/>
      <c r="O13" s="8"/>
      <c r="P13" s="8"/>
      <c r="R13" s="8"/>
    </row>
    <row r="14" spans="1:19">
      <c r="A14" s="52" t="s">
        <v>164</v>
      </c>
      <c r="B14" s="8">
        <f>SUM(SGS!D13:D22)</f>
        <v>16998417.502135407</v>
      </c>
      <c r="C14" s="8">
        <f>+SGS!D24</f>
        <v>1903575.11</v>
      </c>
      <c r="D14" s="8">
        <f t="shared" ref="D14:D17" si="6">+B14+C14</f>
        <v>18901992.612135407</v>
      </c>
      <c r="F14" s="8">
        <f>SUM(SGS!G13:G22)</f>
        <v>18093836.741025407</v>
      </c>
      <c r="G14" s="8">
        <f>+F14-B14</f>
        <v>1095419.2388899997</v>
      </c>
      <c r="H14" s="65">
        <f>+F14/B14-1</f>
        <v>6.4442424640551943E-2</v>
      </c>
      <c r="J14" s="8">
        <f>+SGS!G26</f>
        <v>40734.9</v>
      </c>
      <c r="K14" s="8">
        <f>+SGS!G30</f>
        <v>891051.4724782618</v>
      </c>
      <c r="L14" s="8">
        <f>+SGS!G28</f>
        <v>375926.76096000004</v>
      </c>
      <c r="M14" s="8">
        <f>+SGS!G32</f>
        <v>1402107.6888554276</v>
      </c>
      <c r="N14" s="8">
        <f>SUM(F14,J14:M14)</f>
        <v>20803657.563319098</v>
      </c>
      <c r="O14" s="8"/>
      <c r="P14" s="8">
        <f t="shared" si="2"/>
        <v>18510498.401985407</v>
      </c>
      <c r="Q14" s="8">
        <f>SGS!G38+SGS!G22</f>
        <v>4207217.7868954074</v>
      </c>
      <c r="R14" s="8">
        <f t="shared" si="5"/>
        <v>14303280.61509</v>
      </c>
    </row>
    <row r="15" spans="1:19">
      <c r="A15" s="52" t="s">
        <v>165</v>
      </c>
      <c r="B15" s="8">
        <f>SUM(SGSLMTOD!D13:D22)</f>
        <v>487.36081935909874</v>
      </c>
      <c r="C15" s="8">
        <f>+SGSLMTOD!D24</f>
        <v>59.32</v>
      </c>
      <c r="D15" s="8">
        <f t="shared" si="6"/>
        <v>546.68081935909879</v>
      </c>
      <c r="F15" s="8">
        <f>SUM(SGSLMTOD!G13:G22)</f>
        <v>521.5816193590988</v>
      </c>
      <c r="G15" s="8">
        <f t="shared" ref="G15:G17" si="7">+F15-B15</f>
        <v>34.220800000000054</v>
      </c>
      <c r="H15" s="65">
        <f t="shared" ref="H15:H17" si="8">+F15/B15-1</f>
        <v>7.0216559560536629E-2</v>
      </c>
      <c r="J15" s="8">
        <f>+SGSLMTOD!G26</f>
        <v>1.7999999999999998</v>
      </c>
      <c r="K15" s="8">
        <f>+SGSLMTOD!G30</f>
        <v>27.403553223199996</v>
      </c>
      <c r="L15" s="8">
        <f>+SGSLMTOD!G28</f>
        <v>8.1926400000000008</v>
      </c>
      <c r="M15" s="8">
        <f>+SGSLMTOD!G32</f>
        <v>43.120665711199997</v>
      </c>
      <c r="N15" s="8">
        <f>SUM(F15,J15:M15)</f>
        <v>602.09847829349872</v>
      </c>
      <c r="O15" s="8"/>
      <c r="P15" s="8">
        <f t="shared" si="2"/>
        <v>531.57425935909873</v>
      </c>
      <c r="Q15" s="8">
        <f>SGSLMTOD!G38+SGSLMTOD!G22</f>
        <v>91.688659359098764</v>
      </c>
      <c r="R15" s="8">
        <f t="shared" si="5"/>
        <v>439.88559999999995</v>
      </c>
    </row>
    <row r="16" spans="1:19">
      <c r="A16" s="52" t="s">
        <v>166</v>
      </c>
      <c r="B16" s="8">
        <f>SUM(SGSEXPTOD!D13:D23)</f>
        <v>49552.543223243876</v>
      </c>
      <c r="C16" s="8">
        <f>+SGSEXPTOD!D25</f>
        <v>5620</v>
      </c>
      <c r="D16" s="8">
        <f t="shared" si="6"/>
        <v>55172.543223243876</v>
      </c>
      <c r="F16" s="8">
        <f>SUM(SGSEXPTOD!G13:G23)</f>
        <v>51282.675903243886</v>
      </c>
      <c r="G16" s="8">
        <f t="shared" si="7"/>
        <v>1730.1326800000097</v>
      </c>
      <c r="H16" s="65">
        <f t="shared" si="8"/>
        <v>3.4915113684587773E-2</v>
      </c>
      <c r="J16" s="8">
        <f>+SGSEXPTOD!G27</f>
        <v>136.79444999999998</v>
      </c>
      <c r="K16" s="8">
        <f>+SGSEXPTOD!G31</f>
        <v>2572.3505779966899</v>
      </c>
      <c r="L16" s="8">
        <f>+SGSEXPTOD!G29</f>
        <v>993.73568000000012</v>
      </c>
      <c r="M16" s="8">
        <f>+SGSEXPTOD!G33</f>
        <v>4047.70390402879</v>
      </c>
      <c r="N16" s="8">
        <f t="shared" ref="N16:N17" si="9">SUM(F16,J16:M16)</f>
        <v>59033.260515269365</v>
      </c>
      <c r="O16" s="8"/>
      <c r="P16" s="8">
        <f t="shared" si="2"/>
        <v>52413.206033243885</v>
      </c>
      <c r="Q16" s="8">
        <f>SGSEXPTOD!G39+SGSEXPTOD!G23</f>
        <v>11121.481263243884</v>
      </c>
      <c r="R16" s="8">
        <f t="shared" si="5"/>
        <v>41291.724770000001</v>
      </c>
    </row>
    <row r="17" spans="1:18 16384:16384">
      <c r="A17" s="52" t="s">
        <v>167</v>
      </c>
      <c r="B17" s="64">
        <f>SUM('SGS-NM'!D13:D22)</f>
        <v>587393.76659822185</v>
      </c>
      <c r="C17" s="64">
        <f>+'SGS-NM'!D24</f>
        <v>66740.070000000007</v>
      </c>
      <c r="D17" s="64">
        <f t="shared" si="6"/>
        <v>654133.83659822191</v>
      </c>
      <c r="F17" s="64">
        <f>SUM('SGS-NM'!G13:G22)</f>
        <v>682404.78780822188</v>
      </c>
      <c r="G17" s="64">
        <f t="shared" si="7"/>
        <v>95011.021210000035</v>
      </c>
      <c r="H17" s="101">
        <f t="shared" si="8"/>
        <v>0.16175013528018534</v>
      </c>
      <c r="J17" s="64">
        <f>+'SGS-NM'!G26</f>
        <v>2639.1</v>
      </c>
      <c r="K17" s="64">
        <f>+'SGS-NM'!G30</f>
        <v>35796.02540675061</v>
      </c>
      <c r="L17" s="64">
        <f>+'SGS-NM'!G28</f>
        <v>10836.501760000001</v>
      </c>
      <c r="M17" s="64">
        <f>+'SGS-NM'!G32</f>
        <v>56326.58045407552</v>
      </c>
      <c r="N17" s="64">
        <f t="shared" si="9"/>
        <v>788002.99542904797</v>
      </c>
      <c r="O17" s="8"/>
      <c r="P17" s="64">
        <f t="shared" si="2"/>
        <v>695880.38956822187</v>
      </c>
      <c r="Q17" s="64">
        <f>'SGS-NM'!G38+'SGS-NM'!G22</f>
        <v>121277.67343822189</v>
      </c>
      <c r="R17" s="64">
        <f t="shared" si="5"/>
        <v>574602.71612999996</v>
      </c>
    </row>
    <row r="18" spans="1:18 16384:16384">
      <c r="A18" s="52" t="s">
        <v>168</v>
      </c>
      <c r="B18" s="8">
        <f>SUM(B14:B17)</f>
        <v>17635851.17277623</v>
      </c>
      <c r="C18" s="8">
        <f>SUM(C14:C17)</f>
        <v>1975994.5000000002</v>
      </c>
      <c r="D18" s="8">
        <f>+B18+C18</f>
        <v>19611845.67277623</v>
      </c>
      <c r="F18" s="8">
        <f>SUM(F14:F17)</f>
        <v>18828045.786356229</v>
      </c>
      <c r="G18" s="8">
        <f>SUM(G14:G17)</f>
        <v>1192194.6135799997</v>
      </c>
      <c r="H18" s="65">
        <f>+F18/B18-1</f>
        <v>6.7600627942491665E-2</v>
      </c>
      <c r="J18" s="8">
        <f>SUM(J14:J17)</f>
        <v>43512.594450000004</v>
      </c>
      <c r="K18" s="8">
        <f t="shared" ref="K18:P18" si="10">SUM(K14:K17)</f>
        <v>929447.25201623235</v>
      </c>
      <c r="L18" s="8">
        <f t="shared" si="10"/>
        <v>387765.19104000006</v>
      </c>
      <c r="M18" s="8">
        <f t="shared" si="10"/>
        <v>1462525.0938792429</v>
      </c>
      <c r="N18" s="8">
        <f t="shared" si="10"/>
        <v>21651295.917741708</v>
      </c>
      <c r="O18" s="8"/>
      <c r="P18" s="8">
        <f t="shared" si="10"/>
        <v>19259323.571846232</v>
      </c>
      <c r="Q18" s="8">
        <f t="shared" ref="Q18" si="11">SUM(Q14:Q17)</f>
        <v>4339708.6302562319</v>
      </c>
      <c r="R18" s="8">
        <f t="shared" ref="R18" si="12">SUM(R14:R17)</f>
        <v>14919614.94159</v>
      </c>
    </row>
    <row r="19" spans="1:18 16384:16384">
      <c r="A19" s="52"/>
      <c r="F19" s="8"/>
      <c r="G19" s="8"/>
      <c r="H19" s="65"/>
      <c r="J19" s="8"/>
      <c r="K19" s="8"/>
      <c r="L19" s="8"/>
      <c r="M19" s="8"/>
      <c r="N19" s="8"/>
      <c r="O19" s="8"/>
      <c r="P19" s="8"/>
      <c r="Q19" s="8"/>
      <c r="R19" s="8"/>
    </row>
    <row r="20" spans="1:18 16384:16384">
      <c r="A20" s="52" t="s">
        <v>172</v>
      </c>
      <c r="B20" s="8">
        <f>SUM('MGS RL'!D12:D20)</f>
        <v>156409.77706976127</v>
      </c>
      <c r="C20" s="8">
        <f>+'MGS RL'!D22</f>
        <v>15521.29</v>
      </c>
      <c r="D20" s="8">
        <f t="shared" ref="D20:D45" si="13">+B20+C20</f>
        <v>171931.06706976128</v>
      </c>
      <c r="F20" s="8">
        <f>SUM('MGS RL'!G12:G20)</f>
        <v>177522.6614297613</v>
      </c>
      <c r="G20" s="8">
        <f t="shared" ref="G20:G25" si="14">+F20-B20</f>
        <v>21112.884360000025</v>
      </c>
      <c r="H20" s="65">
        <f t="shared" ref="H20:H25" si="15">+F20/B20-1</f>
        <v>0.13498442843878822</v>
      </c>
      <c r="J20" s="8">
        <f>+'MGS RL'!G24</f>
        <v>138.6</v>
      </c>
      <c r="K20" s="8">
        <f>+'MGS RL'!G28</f>
        <v>8379.0202988951114</v>
      </c>
      <c r="L20" s="8">
        <f>+'MGS RL'!G26</f>
        <v>4423.6890300000005</v>
      </c>
      <c r="M20" s="8">
        <f>+'MGS RL'!G30</f>
        <v>13184.747625725013</v>
      </c>
      <c r="N20" s="8">
        <f t="shared" ref="N20:N25" si="16">SUM(F20,J20:M20)</f>
        <v>203648.71838438144</v>
      </c>
      <c r="O20" s="8"/>
      <c r="P20" s="8">
        <f t="shared" si="2"/>
        <v>182084.95045976131</v>
      </c>
      <c r="Q20" s="8">
        <f>'MGS RL'!G36+'MGS RL'!G20</f>
        <v>47583.765829761287</v>
      </c>
      <c r="R20" s="8">
        <f t="shared" ref="R20:R25" si="17">P20-Q20</f>
        <v>134501.18463000003</v>
      </c>
    </row>
    <row r="21" spans="1:18 16384:16384">
      <c r="A21" s="52" t="s">
        <v>173</v>
      </c>
      <c r="B21" s="8">
        <f>SUM('MGS-SEC'!D13:D26)</f>
        <v>52263520.474422894</v>
      </c>
      <c r="C21" s="8">
        <f>+'MGS-SEC'!D28</f>
        <v>5593599.9500000002</v>
      </c>
      <c r="D21" s="8">
        <f t="shared" si="13"/>
        <v>57857120.424422897</v>
      </c>
      <c r="F21" s="8">
        <f>SUM('MGS-SEC'!G13:G26)</f>
        <v>54611579.952732891</v>
      </c>
      <c r="G21" s="8">
        <f t="shared" si="14"/>
        <v>2348059.4783099964</v>
      </c>
      <c r="H21" s="65">
        <f t="shared" si="15"/>
        <v>4.4927311765366129E-2</v>
      </c>
      <c r="J21" s="8">
        <f>+'MGS-SEC'!G30</f>
        <v>12602.699999999999</v>
      </c>
      <c r="K21" s="8">
        <f>+'MGS-SEC'!G36</f>
        <v>2548417.517708654</v>
      </c>
      <c r="L21" s="8">
        <f>+'MGS-SEC'!G32+'MGS-SEC'!G34</f>
        <v>1406327.13017</v>
      </c>
      <c r="M21" s="8">
        <f>+'MGS-SEC'!G38</f>
        <v>4010044.2077214993</v>
      </c>
      <c r="N21" s="8">
        <f t="shared" si="16"/>
        <v>62588971.50833305</v>
      </c>
      <c r="O21" s="8"/>
      <c r="P21" s="8">
        <f t="shared" si="2"/>
        <v>56030509.782902896</v>
      </c>
      <c r="Q21" s="8">
        <f>'MGS-SEC'!G44+'MGS-SEC'!G26</f>
        <v>15122961.783662893</v>
      </c>
      <c r="R21" s="8">
        <f t="shared" si="17"/>
        <v>40907547.999240004</v>
      </c>
    </row>
    <row r="22" spans="1:18 16384:16384">
      <c r="A22" s="52" t="s">
        <v>174</v>
      </c>
      <c r="B22" s="8">
        <f>SUM(MGSLMTOD!D13:D22)</f>
        <v>99035.057915598329</v>
      </c>
      <c r="C22" s="8">
        <f>+MGSLMTOD!D24</f>
        <v>10924.1</v>
      </c>
      <c r="D22" s="8">
        <f t="shared" si="13"/>
        <v>109959.15791559833</v>
      </c>
      <c r="F22" s="8">
        <f>SUM(MGSLMTOD!G13:G22)</f>
        <v>105841.71067559831</v>
      </c>
      <c r="G22" s="8">
        <f t="shared" si="14"/>
        <v>6806.6527599999827</v>
      </c>
      <c r="H22" s="65">
        <f t="shared" si="15"/>
        <v>6.8729729686237917E-2</v>
      </c>
      <c r="J22" s="8">
        <f>+MGSLMTOD!G26</f>
        <v>82.8</v>
      </c>
      <c r="K22" s="8">
        <f>+MGSLMTOD!G30</f>
        <v>4784.0653019241581</v>
      </c>
      <c r="L22" s="8">
        <f>+MGSLMTOD!G28</f>
        <v>2985.6811299999999</v>
      </c>
      <c r="M22" s="8">
        <f>+MGSLMTOD!G32</f>
        <v>7527.9318322185582</v>
      </c>
      <c r="N22" s="8">
        <f t="shared" si="16"/>
        <v>121222.18893974103</v>
      </c>
      <c r="O22" s="8"/>
      <c r="P22" s="8">
        <f t="shared" si="2"/>
        <v>108910.19180559831</v>
      </c>
      <c r="Q22" s="8">
        <f>MGSLMTOD!G38+MGSLMTOD!G22</f>
        <v>32115.71852559832</v>
      </c>
      <c r="R22" s="8">
        <f t="shared" si="17"/>
        <v>76794.473279999991</v>
      </c>
    </row>
    <row r="23" spans="1:18 16384:16384">
      <c r="A23" s="52" t="s">
        <v>175</v>
      </c>
      <c r="B23" s="8">
        <f>SUM(MGSTOD!D13:D22)</f>
        <v>355801.44995126611</v>
      </c>
      <c r="C23" s="8">
        <f>+MGSTOD!D24</f>
        <v>36904.160000000003</v>
      </c>
      <c r="D23" s="8">
        <f t="shared" si="13"/>
        <v>392705.60995126609</v>
      </c>
      <c r="F23" s="8">
        <f>SUM(MGSTOD!G13:G22)</f>
        <v>382900.99110126612</v>
      </c>
      <c r="G23" s="8">
        <f t="shared" si="14"/>
        <v>27099.541150000005</v>
      </c>
      <c r="H23" s="65">
        <f t="shared" si="15"/>
        <v>7.6164785595201456E-2</v>
      </c>
      <c r="J23" s="8">
        <f>+MGSTOD!G26</f>
        <v>136.79999999999998</v>
      </c>
      <c r="K23" s="8">
        <f>+MGSTOD!G30</f>
        <v>17211.265229810095</v>
      </c>
      <c r="L23" s="8">
        <f>+MGSTOD!G28</f>
        <v>10942.37895</v>
      </c>
      <c r="M23" s="8">
        <f>+MGSTOD!G32</f>
        <v>27082.663638419097</v>
      </c>
      <c r="N23" s="8">
        <f t="shared" si="16"/>
        <v>438274.0989194953</v>
      </c>
      <c r="O23" s="8"/>
      <c r="P23" s="8">
        <f t="shared" si="2"/>
        <v>393980.17005126609</v>
      </c>
      <c r="Q23" s="8">
        <f>MGSTOD!G38+MGSTOD!G22</f>
        <v>117702.57675126617</v>
      </c>
      <c r="R23" s="8">
        <f t="shared" si="17"/>
        <v>276277.59329999995</v>
      </c>
    </row>
    <row r="24" spans="1:18 16384:16384">
      <c r="A24" s="52" t="s">
        <v>176</v>
      </c>
      <c r="B24" s="8">
        <f>SUM('MGS-PRI'!D13:D27)</f>
        <v>931671.52733919106</v>
      </c>
      <c r="C24" s="8">
        <f>+'MGS-PRI'!D29</f>
        <v>92512.16</v>
      </c>
      <c r="D24" s="8">
        <f t="shared" si="13"/>
        <v>1024183.6873391911</v>
      </c>
      <c r="F24" s="8">
        <f>SUM('MGS-PRI'!G13:G27)</f>
        <v>993414.27394919109</v>
      </c>
      <c r="G24" s="8">
        <f t="shared" si="14"/>
        <v>61742.746610000031</v>
      </c>
      <c r="H24" s="65">
        <f t="shared" si="15"/>
        <v>6.6270938628267828E-2</v>
      </c>
      <c r="J24" s="8">
        <f>+'MGS-PRI'!G31</f>
        <v>151.35</v>
      </c>
      <c r="K24" s="8">
        <f>+'MGS-PRI'!G37</f>
        <v>45836.547866487075</v>
      </c>
      <c r="L24" s="8">
        <f>+'MGS-PRI'!G33+'MGS-PRI'!G35</f>
        <v>27049.529589999998</v>
      </c>
      <c r="M24" s="8">
        <f>+'MGS-PRI'!G39</f>
        <v>72125.772953884283</v>
      </c>
      <c r="N24" s="8">
        <f t="shared" si="16"/>
        <v>1138577.4743595624</v>
      </c>
      <c r="O24" s="8"/>
      <c r="P24" s="8">
        <f t="shared" si="2"/>
        <v>1020615.1535391911</v>
      </c>
      <c r="Q24" s="8">
        <f>'MGS-PRI'!G45+'MGS-PRI'!G27</f>
        <v>284840.59189919109</v>
      </c>
      <c r="R24" s="8">
        <f t="shared" si="17"/>
        <v>735774.56163999997</v>
      </c>
    </row>
    <row r="25" spans="1:18 16384:16384">
      <c r="A25" s="52" t="s">
        <v>177</v>
      </c>
      <c r="B25" s="64">
        <f>+SUM('MGS-SUB'!D13:D26)</f>
        <v>110580.02195059769</v>
      </c>
      <c r="C25" s="64">
        <f>+'MGS-SUB'!D28</f>
        <v>11111.86</v>
      </c>
      <c r="D25" s="64">
        <f t="shared" si="13"/>
        <v>121691.88195059769</v>
      </c>
      <c r="F25" s="64">
        <f>SUM('MGS-SUB'!G13:G26)</f>
        <v>135519.3221005977</v>
      </c>
      <c r="G25" s="64">
        <f t="shared" si="14"/>
        <v>24939.30015000001</v>
      </c>
      <c r="H25" s="101">
        <f t="shared" si="15"/>
        <v>0.22553169831293585</v>
      </c>
      <c r="J25" s="64">
        <f>+'MGS-SUB'!G30</f>
        <v>17.849999999999998</v>
      </c>
      <c r="K25" s="64">
        <f>+'MGS-SUB'!G36</f>
        <v>6680.7313004248617</v>
      </c>
      <c r="L25" s="64">
        <f>+'MGS-SUB'!G32+'MGS-SUB'!G34</f>
        <v>2380.4328800000003</v>
      </c>
      <c r="M25" s="64">
        <f>+'MGS-SUB'!G38</f>
        <v>10512.417085682264</v>
      </c>
      <c r="N25" s="64">
        <f t="shared" si="16"/>
        <v>155110.75336670486</v>
      </c>
      <c r="O25" s="8"/>
      <c r="P25" s="64">
        <f t="shared" si="2"/>
        <v>137917.60498059771</v>
      </c>
      <c r="Q25" s="64">
        <f>'MGS-SUB'!G44+'MGS-SUB'!G26</f>
        <v>30677.58860059769</v>
      </c>
      <c r="R25" s="64">
        <f t="shared" si="17"/>
        <v>107240.01638000002</v>
      </c>
    </row>
    <row r="26" spans="1:18 16384:16384">
      <c r="A26" s="52" t="s">
        <v>159</v>
      </c>
      <c r="B26" s="8">
        <f>SUM(B20:B25)</f>
        <v>53917018.308649309</v>
      </c>
      <c r="C26" s="8">
        <f>SUM(C20:C25)</f>
        <v>5760573.5200000005</v>
      </c>
      <c r="D26" s="8">
        <f t="shared" si="13"/>
        <v>59677591.828649312</v>
      </c>
      <c r="F26" s="8">
        <f>SUM(F20:F25)</f>
        <v>56406778.911989301</v>
      </c>
      <c r="G26" s="8">
        <f>+F26-B26</f>
        <v>2489760.6033399925</v>
      </c>
      <c r="H26" s="65">
        <f>+F26/B26-1</f>
        <v>4.6177638924454145E-2</v>
      </c>
      <c r="J26" s="8">
        <f>SUM(J20:J25)</f>
        <v>13130.099999999999</v>
      </c>
      <c r="K26" s="8">
        <f>SUM(K20:K25)</f>
        <v>2631309.1477061948</v>
      </c>
      <c r="L26" s="8">
        <f>SUM(L20:L25)</f>
        <v>1454108.8417499999</v>
      </c>
      <c r="M26" s="8">
        <f>SUM(M20:M25)</f>
        <v>4140477.7408574279</v>
      </c>
      <c r="N26" s="8">
        <f>SUM(N20:N25)</f>
        <v>64645804.742302939</v>
      </c>
      <c r="O26" s="8"/>
      <c r="P26" s="8">
        <f>SUM(P20:P25)</f>
        <v>57874017.853739314</v>
      </c>
      <c r="Q26" s="8">
        <f>SUM(Q20:Q25)</f>
        <v>15635882.025269307</v>
      </c>
      <c r="R26" s="8">
        <f>SUM(R20:R25)</f>
        <v>42238135.828469999</v>
      </c>
      <c r="XFD26" s="8"/>
    </row>
    <row r="27" spans="1:18 16384:16384">
      <c r="A27" s="52"/>
      <c r="F27" s="8"/>
      <c r="G27" s="8"/>
      <c r="H27" s="65"/>
      <c r="J27" s="8"/>
      <c r="K27" s="8"/>
      <c r="L27" s="8"/>
      <c r="M27" s="8"/>
      <c r="N27" s="8"/>
      <c r="O27" s="8"/>
      <c r="P27" s="8"/>
      <c r="Q27" s="8"/>
      <c r="R27" s="8"/>
    </row>
    <row r="28" spans="1:18 16384:16384">
      <c r="A28" s="52" t="s">
        <v>178</v>
      </c>
      <c r="B28" s="8">
        <f>SUM('LGS-SEC'!D12:D24)</f>
        <v>52327106.428946599</v>
      </c>
      <c r="C28" s="8">
        <f>+'LGS-SEC'!D26</f>
        <v>5211704.63</v>
      </c>
      <c r="D28" s="8">
        <f t="shared" si="13"/>
        <v>57538811.058946602</v>
      </c>
      <c r="F28" s="8">
        <f>SUM('LGS-SEC'!G12:G24)</f>
        <v>55468415.812106602</v>
      </c>
      <c r="G28" s="8">
        <f t="shared" ref="G28:G32" si="18">+F28-B28</f>
        <v>3141309.3831600025</v>
      </c>
      <c r="H28" s="65">
        <f t="shared" ref="H28:H32" si="19">+F28/B28-1</f>
        <v>6.0032163013360895E-2</v>
      </c>
      <c r="J28" s="8">
        <f>+'LGS-SEC'!G28</f>
        <v>1345.95</v>
      </c>
      <c r="K28" s="8">
        <f>+'LGS-SEC'!G34</f>
        <v>2490957.3347577113</v>
      </c>
      <c r="L28" s="8">
        <f>+'LGS-SEC'!G30+'LGS-SEC'!G32</f>
        <v>1526588.6894499999</v>
      </c>
      <c r="M28" s="8">
        <f>+'LGS-SEC'!G36</f>
        <v>3919628.1466891533</v>
      </c>
      <c r="N28" s="8">
        <f t="shared" ref="N28:N32" si="20">SUM(F28,J28:M28)</f>
        <v>63406935.93300347</v>
      </c>
      <c r="O28" s="8"/>
      <c r="P28" s="8">
        <f t="shared" si="2"/>
        <v>56996350.451556608</v>
      </c>
      <c r="Q28" s="8">
        <f>'LGS-SEC'!G42+'LGS-SEC'!G24</f>
        <v>17011161.200746596</v>
      </c>
      <c r="R28" s="8">
        <f t="shared" ref="R28:R32" si="21">P28-Q28</f>
        <v>39985189.250810012</v>
      </c>
    </row>
    <row r="29" spans="1:18 16384:16384">
      <c r="A29" s="52" t="s">
        <v>179</v>
      </c>
      <c r="B29" s="8">
        <f>SUM(LGSLMTOD!D13:D22)</f>
        <v>180932.2085332977</v>
      </c>
      <c r="C29" s="8">
        <f>+LGSLMTOD!D26</f>
        <v>17670.28</v>
      </c>
      <c r="D29" s="8">
        <f t="shared" si="13"/>
        <v>198602.4885332977</v>
      </c>
      <c r="F29" s="8">
        <f>SUM(LGSLMTOD!G13:G22)</f>
        <v>189047.13979329768</v>
      </c>
      <c r="G29" s="8">
        <f t="shared" si="18"/>
        <v>8114.931259999983</v>
      </c>
      <c r="H29" s="65">
        <f t="shared" si="19"/>
        <v>4.4850672667860358E-2</v>
      </c>
      <c r="J29" s="8">
        <f>+LGSLMTOD!G28</f>
        <v>16.349999999999998</v>
      </c>
      <c r="K29" s="8">
        <f>+LGSLMTOD!G32</f>
        <v>8398.2697392291302</v>
      </c>
      <c r="L29" s="8">
        <f>+LGSLMTOD!G30</f>
        <v>5409.4316399999998</v>
      </c>
      <c r="M29" s="8">
        <f>+LGSLMTOD!G34</f>
        <v>13215.03744526083</v>
      </c>
      <c r="N29" s="8">
        <f t="shared" si="20"/>
        <v>216086.22861778765</v>
      </c>
      <c r="O29" s="8"/>
      <c r="P29" s="8">
        <f t="shared" si="2"/>
        <v>194472.92143329768</v>
      </c>
      <c r="Q29" s="8">
        <f>LGSLMTOD!G40+LGSLMTOD!G22</f>
        <v>59662.742143297699</v>
      </c>
      <c r="R29" s="8">
        <f t="shared" si="21"/>
        <v>134810.17929</v>
      </c>
    </row>
    <row r="30" spans="1:18 16384:16384">
      <c r="A30" s="52" t="s">
        <v>180</v>
      </c>
      <c r="B30" s="8">
        <f>SUM('LGS-PRI'!D12:D24)</f>
        <v>9379057.1252313927</v>
      </c>
      <c r="C30" s="8">
        <f>+'LGS-PRI'!D26</f>
        <v>896161.48</v>
      </c>
      <c r="D30" s="8">
        <f t="shared" si="13"/>
        <v>10275218.605231393</v>
      </c>
      <c r="F30" s="8">
        <f>SUM('LGS-PRI'!G12:G24)</f>
        <v>10144012.927931393</v>
      </c>
      <c r="G30" s="8">
        <f t="shared" si="18"/>
        <v>764955.80269999988</v>
      </c>
      <c r="H30" s="65">
        <f t="shared" si="19"/>
        <v>8.1559989718169801E-2</v>
      </c>
      <c r="J30" s="8">
        <f>+'LGS-PRI'!G28</f>
        <v>140.4</v>
      </c>
      <c r="K30" s="8">
        <f>+'LGS-PRI'!G34</f>
        <v>439762.10206859425</v>
      </c>
      <c r="L30" s="8">
        <f>+'LGS-PRI'!G30+'LGS-PRI'!G32</f>
        <v>330026.45215000003</v>
      </c>
      <c r="M30" s="8">
        <f>+'LGS-PRI'!G36</f>
        <v>691984.51898932678</v>
      </c>
      <c r="N30" s="8">
        <f t="shared" si="20"/>
        <v>11605926.401139313</v>
      </c>
      <c r="O30" s="8"/>
      <c r="P30" s="8">
        <f t="shared" si="2"/>
        <v>10474179.780081393</v>
      </c>
      <c r="Q30" s="8">
        <f>'LGS-PRI'!G42+'LGS-PRI'!G24</f>
        <v>3415058.119831393</v>
      </c>
      <c r="R30" s="8">
        <f t="shared" si="21"/>
        <v>7059121.6602500007</v>
      </c>
    </row>
    <row r="31" spans="1:18 16384:16384">
      <c r="A31" s="52" t="s">
        <v>181</v>
      </c>
      <c r="B31" s="8">
        <f>SUM('LGS-SUB'!D12:D24)</f>
        <v>2307753.0256530945</v>
      </c>
      <c r="C31" s="8">
        <f>+'LGS-SUB'!D26</f>
        <v>182379.04</v>
      </c>
      <c r="D31" s="8">
        <f t="shared" si="13"/>
        <v>2490132.0656530946</v>
      </c>
      <c r="F31" s="8">
        <f>SUM('LGS-SUB'!G12:G24)</f>
        <v>2359305.7632530942</v>
      </c>
      <c r="G31" s="8">
        <f t="shared" si="18"/>
        <v>51552.737599999644</v>
      </c>
      <c r="H31" s="65">
        <f t="shared" si="19"/>
        <v>2.2338931864431366E-2</v>
      </c>
      <c r="J31" s="8">
        <f>+'LGS-SUB'!G28</f>
        <v>36</v>
      </c>
      <c r="K31" s="8">
        <f>+'LGS-SUB'!G34</f>
        <v>89051.607807520821</v>
      </c>
      <c r="L31" s="8">
        <f>+'LGS-SUB'!G30+'LGS-SUB'!G32</f>
        <v>96759.619659999997</v>
      </c>
      <c r="M31" s="8">
        <f>+'LGS-SUB'!G36</f>
        <v>140126.52228113462</v>
      </c>
      <c r="N31" s="8">
        <f t="shared" si="20"/>
        <v>2685279.5130017493</v>
      </c>
      <c r="O31" s="8"/>
      <c r="P31" s="8">
        <f t="shared" si="2"/>
        <v>2456101.382913094</v>
      </c>
      <c r="Q31" s="8">
        <f>'LGS-SUB'!G42+'LGS-SUB'!G24</f>
        <v>1026632.7438530948</v>
      </c>
      <c r="R31" s="8">
        <f t="shared" si="21"/>
        <v>1429468.6390599993</v>
      </c>
    </row>
    <row r="32" spans="1:18 16384:16384">
      <c r="A32" s="52" t="s">
        <v>182</v>
      </c>
      <c r="B32" s="64">
        <f>SUM('LGS-TRAN'!D12:D24)</f>
        <v>67621.405438552902</v>
      </c>
      <c r="C32" s="64">
        <f>+'LGS-TRAN'!D26</f>
        <v>-738.22</v>
      </c>
      <c r="D32" s="64">
        <f t="shared" si="13"/>
        <v>66883.1854385529</v>
      </c>
      <c r="F32" s="64">
        <f>SUM('LGS-TRAN'!G12:G24)</f>
        <v>73922.889588552905</v>
      </c>
      <c r="G32" s="64">
        <f t="shared" si="18"/>
        <v>6301.4841500000039</v>
      </c>
      <c r="H32" s="101">
        <f t="shared" si="19"/>
        <v>9.3187713404243144E-2</v>
      </c>
      <c r="J32" s="64">
        <f>+'LGS-TRAN'!G28</f>
        <v>1.7999999999999998</v>
      </c>
      <c r="K32" s="64">
        <f>+'LGS-TRAN'!G34</f>
        <v>3536.2648998254494</v>
      </c>
      <c r="L32" s="64">
        <f>+'LGS-TRAN'!G30+'LGS-TRAN'!G32</f>
        <v>3309.3221400000002</v>
      </c>
      <c r="M32" s="64">
        <f>+'LGS-TRAN'!G36</f>
        <v>5564.4644097659493</v>
      </c>
      <c r="N32" s="64">
        <f t="shared" si="20"/>
        <v>86334.741038144304</v>
      </c>
      <c r="O32" s="8"/>
      <c r="P32" s="64">
        <f t="shared" si="2"/>
        <v>77234.011728552912</v>
      </c>
      <c r="Q32" s="64">
        <f>'LGS-TRAN'!G42+'LGS-TRAN'!G24</f>
        <v>20469.401878552904</v>
      </c>
      <c r="R32" s="64">
        <f t="shared" si="21"/>
        <v>56764.609850000008</v>
      </c>
    </row>
    <row r="33" spans="1:18">
      <c r="A33" s="52" t="s">
        <v>160</v>
      </c>
      <c r="B33" s="8">
        <f>SUM(B28:B32)</f>
        <v>64262470.19380293</v>
      </c>
      <c r="C33" s="8">
        <f>SUM(C28:C32)</f>
        <v>6307177.2100000009</v>
      </c>
      <c r="D33" s="8">
        <f t="shared" si="13"/>
        <v>70569647.403802931</v>
      </c>
      <c r="F33" s="8">
        <f>SUM(F28:F32)</f>
        <v>68234704.532672942</v>
      </c>
      <c r="G33" s="8">
        <f>+F33-B33</f>
        <v>3972234.3388700113</v>
      </c>
      <c r="H33" s="65">
        <f>+F33/B33-1</f>
        <v>6.1812661836535998E-2</v>
      </c>
      <c r="J33" s="8">
        <f>SUM(J28:J32)</f>
        <v>1540.5</v>
      </c>
      <c r="K33" s="8">
        <f t="shared" ref="K33:P33" si="22">SUM(K28:K32)</f>
        <v>3031705.5792728812</v>
      </c>
      <c r="L33" s="8">
        <f t="shared" si="22"/>
        <v>1962093.5150400002</v>
      </c>
      <c r="M33" s="8">
        <f t="shared" si="22"/>
        <v>4770518.6898146411</v>
      </c>
      <c r="N33" s="8">
        <f t="shared" si="22"/>
        <v>78000562.816800475</v>
      </c>
      <c r="O33" s="8"/>
      <c r="P33" s="8">
        <f t="shared" si="22"/>
        <v>70198338.547712952</v>
      </c>
      <c r="Q33" s="8">
        <f t="shared" ref="Q33" si="23">SUM(Q28:Q32)</f>
        <v>21532984.20845294</v>
      </c>
      <c r="R33" s="8">
        <f t="shared" ref="R33" si="24">SUM(R28:R32)</f>
        <v>48665354.339260004</v>
      </c>
    </row>
    <row r="34" spans="1:18">
      <c r="A34" s="52"/>
      <c r="F34" s="8"/>
      <c r="G34" s="8"/>
      <c r="H34" s="65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52" t="s">
        <v>183</v>
      </c>
      <c r="B35" s="8">
        <f>+SUM('QP-SEC'!D12:D27)</f>
        <v>1779405.9405559578</v>
      </c>
      <c r="C35" s="8">
        <f>+'QP-SEC'!D29</f>
        <v>165841.34</v>
      </c>
      <c r="D35" s="8">
        <f t="shared" si="13"/>
        <v>1945247.2805559579</v>
      </c>
      <c r="F35" s="8">
        <f>SUM('QP-SEC'!G12:G27)</f>
        <v>1962230.9864959577</v>
      </c>
      <c r="G35" s="8">
        <f t="shared" ref="G35:G38" si="25">+F35-B35</f>
        <v>182825.04593999987</v>
      </c>
      <c r="H35" s="65">
        <f t="shared" ref="H35:H38" si="26">+F35/B35-1</f>
        <v>0.10274499020885486</v>
      </c>
      <c r="J35" s="8">
        <f>+'QP-SEC'!G31</f>
        <v>10.65</v>
      </c>
      <c r="K35" s="8">
        <f>+'QP-SEC'!G37</f>
        <v>83460.469675112414</v>
      </c>
      <c r="L35" s="8">
        <f>+'QP-SEC'!G33+'QP-SEC'!G35</f>
        <v>60001.881820000002</v>
      </c>
      <c r="M35" s="8">
        <f>+'QP-SEC'!G39</f>
        <v>131328.62675317022</v>
      </c>
      <c r="N35" s="8">
        <f t="shared" ref="N35:N38" si="27">SUM(F35,J35:M35)</f>
        <v>2237032.61474424</v>
      </c>
      <c r="O35" s="8"/>
      <c r="P35" s="8">
        <f t="shared" si="2"/>
        <v>2022243.5183159576</v>
      </c>
      <c r="Q35" s="8">
        <f>'QP-SEC'!G45+'QP-SEC'!G27</f>
        <v>682524.59645595774</v>
      </c>
      <c r="R35" s="8">
        <f t="shared" ref="R35:R38" si="28">P35-Q35</f>
        <v>1339718.9218599999</v>
      </c>
    </row>
    <row r="36" spans="1:18">
      <c r="A36" s="52" t="s">
        <v>184</v>
      </c>
      <c r="B36" s="8">
        <f>SUM('QP-PRI'!D12:D30)</f>
        <v>22979109.109880876</v>
      </c>
      <c r="C36" s="8">
        <f>+'QP-PRI'!D32</f>
        <v>1906533.07</v>
      </c>
      <c r="D36" s="8">
        <f t="shared" si="13"/>
        <v>24885642.179880876</v>
      </c>
      <c r="F36" s="8">
        <f>SUM('QP-PRI'!G12:G30)</f>
        <v>25660902.47004088</v>
      </c>
      <c r="G36" s="8">
        <f t="shared" si="25"/>
        <v>2681793.3601600043</v>
      </c>
      <c r="H36" s="65">
        <f t="shared" si="26"/>
        <v>0.11670571506215843</v>
      </c>
      <c r="J36" s="8">
        <f>+'QP-PRI'!G34</f>
        <v>71.849999999999994</v>
      </c>
      <c r="K36" s="8">
        <f>+'QP-PRI'!G40</f>
        <v>1024856.0696772001</v>
      </c>
      <c r="L36" s="8">
        <f>+'QP-PRI'!G36+'QP-PRI'!G38</f>
        <v>871368.33288999996</v>
      </c>
      <c r="M36" s="8">
        <f>+'QP-PRI'!G42</f>
        <v>1612654.9583807711</v>
      </c>
      <c r="N36" s="8">
        <f t="shared" si="27"/>
        <v>29169853.680988852</v>
      </c>
      <c r="O36" s="8"/>
      <c r="P36" s="8">
        <f t="shared" si="2"/>
        <v>26532342.652930882</v>
      </c>
      <c r="Q36" s="8">
        <f>'QP-PRI'!G48+'QP-PRI'!G30</f>
        <v>10081212.266600881</v>
      </c>
      <c r="R36" s="8">
        <f t="shared" si="28"/>
        <v>16451130.386330001</v>
      </c>
    </row>
    <row r="37" spans="1:18">
      <c r="A37" s="52" t="s">
        <v>185</v>
      </c>
      <c r="B37" s="8">
        <f>SUM('QP-SUB'!D12:D27)</f>
        <v>21468574.100925222</v>
      </c>
      <c r="C37" s="8">
        <f>+'QP-SUB'!D29</f>
        <v>1767822.28</v>
      </c>
      <c r="D37" s="8">
        <f t="shared" si="13"/>
        <v>23236396.380925223</v>
      </c>
      <c r="F37" s="8">
        <f>SUM('QP-SUB'!G12:G27)</f>
        <v>23082402.543415219</v>
      </c>
      <c r="G37" s="8">
        <f t="shared" si="25"/>
        <v>1613828.4424899966</v>
      </c>
      <c r="H37" s="65">
        <f t="shared" si="26"/>
        <v>7.5171664168439012E-2</v>
      </c>
      <c r="J37" s="8">
        <f>+'QP-SUB'!G31</f>
        <v>46.05</v>
      </c>
      <c r="K37" s="8">
        <f>+'QP-SUB'!G37</f>
        <v>850043.46087072988</v>
      </c>
      <c r="L37" s="8">
        <f>+'QP-SUB'!G33+'QP-SUB'!G35</f>
        <v>985936.96485999995</v>
      </c>
      <c r="M37" s="8">
        <f>+'QP-SUB'!G39</f>
        <v>1337579.8246909969</v>
      </c>
      <c r="N37" s="8">
        <f t="shared" si="27"/>
        <v>26256008.843836948</v>
      </c>
      <c r="O37" s="8"/>
      <c r="P37" s="8">
        <f t="shared" si="2"/>
        <v>24068385.558275219</v>
      </c>
      <c r="Q37" s="8">
        <f>'QP-SUB'!G45+'QP-SUB'!G27</f>
        <v>10423371.177635223</v>
      </c>
      <c r="R37" s="8">
        <f t="shared" si="28"/>
        <v>13645014.380639996</v>
      </c>
    </row>
    <row r="38" spans="1:18">
      <c r="A38" s="52" t="s">
        <v>186</v>
      </c>
      <c r="B38" s="64">
        <f>SUM('QP-TRAN'!D12:D27)</f>
        <v>3690286.1185203427</v>
      </c>
      <c r="C38" s="64">
        <f>+'QP-TRAN'!D29</f>
        <v>369295.99</v>
      </c>
      <c r="D38" s="64">
        <f t="shared" si="13"/>
        <v>4059582.108520343</v>
      </c>
      <c r="F38" s="64">
        <f>SUM('QP-TRAN'!G12:G27)</f>
        <v>4070161.7840003427</v>
      </c>
      <c r="G38" s="64">
        <f t="shared" si="25"/>
        <v>379875.66547999997</v>
      </c>
      <c r="H38" s="101">
        <f t="shared" si="26"/>
        <v>0.10293935301480506</v>
      </c>
      <c r="J38" s="64">
        <f>+'QP-TRAN'!G31</f>
        <v>9</v>
      </c>
      <c r="K38" s="64">
        <f>+'QP-TRAN'!G37</f>
        <v>138615.83987548258</v>
      </c>
      <c r="L38" s="64">
        <f>+'QP-TRAN'!G33+'QP-TRAN'!G35</f>
        <v>172325.57663</v>
      </c>
      <c r="M38" s="64">
        <f>+'QP-TRAN'!G39</f>
        <v>218117.96612154567</v>
      </c>
      <c r="N38" s="64">
        <f t="shared" si="27"/>
        <v>4599230.1666273717</v>
      </c>
      <c r="O38" s="8"/>
      <c r="P38" s="64">
        <f t="shared" si="2"/>
        <v>4242496.3606303427</v>
      </c>
      <c r="Q38" s="64">
        <f>'QP-TRAN'!G45+'QP-TRAN'!G27</f>
        <v>2017415.861160343</v>
      </c>
      <c r="R38" s="64">
        <f t="shared" si="28"/>
        <v>2225080.4994699997</v>
      </c>
    </row>
    <row r="39" spans="1:18">
      <c r="A39" s="52" t="s">
        <v>169</v>
      </c>
      <c r="B39" s="8">
        <f>SUM(B35:B38)</f>
        <v>49917375.269882396</v>
      </c>
      <c r="C39" s="8">
        <f>SUM(C35:C38)</f>
        <v>4209492.6800000006</v>
      </c>
      <c r="D39" s="8">
        <f t="shared" si="13"/>
        <v>54126867.949882396</v>
      </c>
      <c r="F39" s="8">
        <f>SUM(F35:F38)</f>
        <v>54775697.7839524</v>
      </c>
      <c r="G39" s="8">
        <f>+F39-B39</f>
        <v>4858322.5140700042</v>
      </c>
      <c r="H39" s="65">
        <f>+F39/B39-1</f>
        <v>9.7327283091370065E-2</v>
      </c>
      <c r="J39" s="8">
        <f>SUM(J35:J38)</f>
        <v>137.55000000000001</v>
      </c>
      <c r="K39" s="8">
        <f t="shared" ref="K39:P39" si="29">SUM(K35:K38)</f>
        <v>2096975.8400985249</v>
      </c>
      <c r="L39" s="8">
        <f t="shared" si="29"/>
        <v>2089632.7561999999</v>
      </c>
      <c r="M39" s="8">
        <f t="shared" si="29"/>
        <v>3299681.375946484</v>
      </c>
      <c r="N39" s="8">
        <f t="shared" si="29"/>
        <v>62262125.306197412</v>
      </c>
      <c r="O39" s="8"/>
      <c r="P39" s="8">
        <f t="shared" si="29"/>
        <v>56865468.090152398</v>
      </c>
      <c r="Q39" s="8">
        <f t="shared" ref="Q39" si="30">SUM(Q35:Q38)</f>
        <v>23204523.901852403</v>
      </c>
      <c r="R39" s="8">
        <f t="shared" ref="R39" si="31">SUM(R35:R38)</f>
        <v>33660944.188299999</v>
      </c>
    </row>
    <row r="40" spans="1:18">
      <c r="A40" s="52"/>
      <c r="F40" s="8"/>
      <c r="G40" s="8"/>
      <c r="H40" s="65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52" t="s">
        <v>187</v>
      </c>
      <c r="B41" s="8">
        <f>SUM('CIPTOD-SUB'!D12:D28)</f>
        <v>94954657.314880818</v>
      </c>
      <c r="C41" s="8">
        <f>+'CIPTOD-SUB'!D30</f>
        <v>6060400.3700000001</v>
      </c>
      <c r="D41" s="8">
        <f t="shared" si="13"/>
        <v>101015057.68488082</v>
      </c>
      <c r="F41" s="8">
        <f>SUM('CIPTOD-SUB'!G12:G28)</f>
        <v>96661190.489440799</v>
      </c>
      <c r="G41" s="8">
        <f t="shared" ref="G41:G42" si="32">+F41-B41</f>
        <v>1706533.1745599806</v>
      </c>
      <c r="H41" s="65">
        <f t="shared" ref="H41:H42" si="33">+F41/B41-1</f>
        <v>1.7972085022653683E-2</v>
      </c>
      <c r="J41" s="8">
        <f>+'CIPTOD-SUB'!G32</f>
        <v>16.05</v>
      </c>
      <c r="K41" s="8">
        <f>+'CIPTOD-SUB'!G38</f>
        <v>2932030.0584962815</v>
      </c>
      <c r="L41" s="8">
        <f>+'CIPTOD-SUB'!G34+'CIPTOD-SUB'!G36</f>
        <v>4103915.6026900001</v>
      </c>
      <c r="M41" s="8">
        <f>+'CIPTOD-SUB'!G40</f>
        <v>4613674.9850589111</v>
      </c>
      <c r="N41" s="8">
        <f t="shared" ref="N41:N42" si="34">SUM(F41,J41:M41)</f>
        <v>108310827.18568599</v>
      </c>
      <c r="O41" s="8"/>
      <c r="P41" s="8">
        <f t="shared" si="2"/>
        <v>100765122.14213079</v>
      </c>
      <c r="Q41" s="8">
        <f>'CIPTOD-SUB'!G46+'CIPTOD-SUB'!G28</f>
        <v>53699772.952020809</v>
      </c>
      <c r="R41" s="8">
        <f t="shared" ref="R41:R42" si="35">P41-Q41</f>
        <v>47065349.190109983</v>
      </c>
    </row>
    <row r="42" spans="1:18">
      <c r="A42" s="52" t="s">
        <v>188</v>
      </c>
      <c r="B42" s="64">
        <f>SUM('CIPTOD-TRAN'!D12:D29)</f>
        <v>15609498.560255639</v>
      </c>
      <c r="C42" s="64">
        <f>+'CIPTOD-TRAN'!D30</f>
        <v>798685</v>
      </c>
      <c r="D42" s="64">
        <f t="shared" si="13"/>
        <v>16408183.560255639</v>
      </c>
      <c r="F42" s="64">
        <f>SUM('CIPTOD-TRAN'!G12:G28)</f>
        <v>16400416.881855641</v>
      </c>
      <c r="G42" s="64">
        <f t="shared" si="32"/>
        <v>790918.32160000131</v>
      </c>
      <c r="H42" s="101">
        <f t="shared" si="33"/>
        <v>5.0669040939842258E-2</v>
      </c>
      <c r="J42" s="64">
        <f>+'CIPTOD-TRAN'!G32</f>
        <v>3.5999999999999996</v>
      </c>
      <c r="K42" s="64">
        <f>+'CIPTOD-TRAN'!G38</f>
        <v>511568.26815015922</v>
      </c>
      <c r="L42" s="64">
        <f>+'CIPTOD-TRAN'!G34+'CIPTOD-TRAN'!G36</f>
        <v>710755.09260000009</v>
      </c>
      <c r="M42" s="64">
        <f>+'CIPTOD-TRAN'!G40</f>
        <v>804974.59945030522</v>
      </c>
      <c r="N42" s="64">
        <f t="shared" si="34"/>
        <v>18427718.442056105</v>
      </c>
      <c r="O42" s="8"/>
      <c r="P42" s="64">
        <f t="shared" si="2"/>
        <v>17111175.574455641</v>
      </c>
      <c r="Q42" s="64">
        <f>'CIPTOD-TRAN'!G46+'CIPTOD-TRAN'!G28</f>
        <v>8899411.4742556401</v>
      </c>
      <c r="R42" s="64">
        <f t="shared" si="35"/>
        <v>8211764.1002000012</v>
      </c>
    </row>
    <row r="43" spans="1:18">
      <c r="A43" s="52" t="s">
        <v>171</v>
      </c>
      <c r="B43" s="8">
        <f>SUM(B41:B42)</f>
        <v>110564155.87513646</v>
      </c>
      <c r="C43" s="8">
        <f>SUM(C41:C42)</f>
        <v>6859085.3700000001</v>
      </c>
      <c r="D43" s="8">
        <f t="shared" si="13"/>
        <v>117423241.24513647</v>
      </c>
      <c r="F43" s="8">
        <f>SUM(F41:F42)</f>
        <v>113061607.37129644</v>
      </c>
      <c r="G43" s="8">
        <f>+F43-B43</f>
        <v>2497451.4961599708</v>
      </c>
      <c r="H43" s="65">
        <f>+F43/B43-1</f>
        <v>2.2588256351184999E-2</v>
      </c>
      <c r="J43" s="8">
        <f>SUM(J41:J42)</f>
        <v>19.649999999999999</v>
      </c>
      <c r="K43" s="8">
        <f t="shared" ref="K43:P43" si="36">SUM(K41:K42)</f>
        <v>3443598.3266464407</v>
      </c>
      <c r="L43" s="8">
        <f t="shared" si="36"/>
        <v>4814670.6952900002</v>
      </c>
      <c r="M43" s="8">
        <f t="shared" si="36"/>
        <v>5418649.5845092162</v>
      </c>
      <c r="N43" s="8">
        <f t="shared" si="36"/>
        <v>126738545.6277421</v>
      </c>
      <c r="O43" s="8"/>
      <c r="P43" s="8">
        <f t="shared" si="36"/>
        <v>117876297.71658644</v>
      </c>
      <c r="Q43" s="8">
        <f t="shared" ref="Q43" si="37">SUM(Q41:Q42)</f>
        <v>62599184.426276445</v>
      </c>
      <c r="R43" s="8">
        <f t="shared" ref="R43" si="38">SUM(R41:R42)</f>
        <v>55277113.290309981</v>
      </c>
    </row>
    <row r="44" spans="1:18">
      <c r="A44" s="32"/>
      <c r="F44" s="8"/>
      <c r="G44" s="8"/>
      <c r="H44" s="65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52" t="s">
        <v>161</v>
      </c>
      <c r="B45" s="8">
        <f>+SUM(SL!D14:D37)</f>
        <v>1271106.1594667621</v>
      </c>
      <c r="C45" s="8">
        <f>+SL!D39</f>
        <v>151602.35</v>
      </c>
      <c r="D45" s="8">
        <f t="shared" si="13"/>
        <v>1422708.5094667622</v>
      </c>
      <c r="F45" s="8">
        <f>SUM(SL!G14:G37)</f>
        <v>1409589.296866762</v>
      </c>
      <c r="G45" s="8">
        <f>+F45-B45</f>
        <v>138483.13739999989</v>
      </c>
      <c r="H45" s="65">
        <f>+F45/B45-1</f>
        <v>0.10894694858381815</v>
      </c>
      <c r="J45" s="8">
        <f>+SL!G41</f>
        <v>100.8</v>
      </c>
      <c r="K45" s="8">
        <f>+SL!G45</f>
        <v>73037.889432084994</v>
      </c>
      <c r="L45" s="8">
        <f>+SL!G43</f>
        <v>12039.420539999999</v>
      </c>
      <c r="M45" s="8">
        <f>+SL!G47</f>
        <v>114928.24995359321</v>
      </c>
      <c r="N45" s="8">
        <f>SUM(F45,J45:M45)</f>
        <v>1609695.6567924402</v>
      </c>
      <c r="O45" s="8"/>
      <c r="P45" s="8">
        <f t="shared" si="2"/>
        <v>1421729.5174067621</v>
      </c>
      <c r="Q45" s="8">
        <f>SL!G53+SL!G37</f>
        <v>249315.28506676172</v>
      </c>
      <c r="R45" s="8">
        <f>P45-Q45</f>
        <v>1172414.2323400003</v>
      </c>
    </row>
    <row r="46" spans="1:18">
      <c r="A46" s="52"/>
      <c r="F46" s="8"/>
      <c r="G46" s="8"/>
      <c r="H46" s="65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52" t="s">
        <v>170</v>
      </c>
      <c r="B47" s="8">
        <f>SUM(MW!D12:D23)</f>
        <v>332654.20187718217</v>
      </c>
      <c r="C47" s="8">
        <f>+MW!D25</f>
        <v>31629.360000000001</v>
      </c>
      <c r="D47" s="8">
        <f t="shared" ref="D47" si="39">+B47+C47</f>
        <v>364283.56187718216</v>
      </c>
      <c r="F47" s="8">
        <f>SUM(MW!G12:G23)</f>
        <v>347143.52056718216</v>
      </c>
      <c r="G47" s="8">
        <f>+F47-B47</f>
        <v>14489.318689999986</v>
      </c>
      <c r="H47" s="65">
        <f>+F47/B47-1</f>
        <v>4.3556698241705938E-2</v>
      </c>
      <c r="J47" s="8">
        <f>+MW!G27</f>
        <v>19.8</v>
      </c>
      <c r="K47" s="8">
        <f>+MW!G31</f>
        <v>14896.486973298568</v>
      </c>
      <c r="L47" s="8">
        <f>+MW!G29</f>
        <v>9582.8167200000007</v>
      </c>
      <c r="M47" s="8">
        <f>+MW!G33</f>
        <v>23440.260823659868</v>
      </c>
      <c r="N47" s="8">
        <f>SUM(F47,J47:M47)</f>
        <v>395082.88508414064</v>
      </c>
      <c r="O47" s="8"/>
      <c r="P47" s="8">
        <f t="shared" si="2"/>
        <v>356746.13728718215</v>
      </c>
      <c r="Q47" s="8">
        <f>MW!G39+MW!G23</f>
        <v>117625.68247718216</v>
      </c>
      <c r="R47" s="8">
        <f>P47-Q47</f>
        <v>239120.45481</v>
      </c>
    </row>
    <row r="48" spans="1:18">
      <c r="A48" s="32"/>
      <c r="F48" s="8"/>
      <c r="G48" s="8"/>
      <c r="H48" s="65"/>
      <c r="J48" s="8"/>
      <c r="K48" s="8"/>
      <c r="L48" s="8"/>
      <c r="M48" s="8"/>
      <c r="N48" s="8"/>
      <c r="P48" s="8"/>
      <c r="Q48" s="8"/>
      <c r="R48" s="8"/>
    </row>
    <row r="49" spans="1:18">
      <c r="A49" s="32" t="s">
        <v>14</v>
      </c>
      <c r="B49" s="8">
        <f t="shared" ref="B49:D49" si="40">SUM(B10,B12,B18,B26,B33,B39,B43,B45,B47)</f>
        <v>516593072.80101138</v>
      </c>
      <c r="C49" s="8">
        <f t="shared" si="40"/>
        <v>44000000.049999997</v>
      </c>
      <c r="D49" s="8">
        <f t="shared" si="40"/>
        <v>560593072.8510114</v>
      </c>
      <c r="F49" s="8">
        <f>SUM(F10,F12,F18,F26,F33,F39,F43,F45,F47)</f>
        <v>555757028.29607141</v>
      </c>
      <c r="G49" s="8">
        <f>+F49-B49</f>
        <v>39163955.495060027</v>
      </c>
      <c r="H49" s="65">
        <f>+F49/B49-1</f>
        <v>7.5812002825956792E-2</v>
      </c>
      <c r="J49" s="8">
        <f>SUM(J10,J12,J18,J26,J33,J39,J43,J45,J47)</f>
        <v>307507.34444999992</v>
      </c>
      <c r="K49" s="8">
        <f t="shared" ref="K49:Q49" si="41">SUM(K10,K12,K18,K26,K33,K39,K43,K45,K47)</f>
        <v>21855922.412012074</v>
      </c>
      <c r="L49" s="8">
        <f t="shared" si="41"/>
        <v>18243719.080740005</v>
      </c>
      <c r="M49" s="8">
        <f t="shared" si="41"/>
        <v>34391292.271111242</v>
      </c>
      <c r="N49" s="8">
        <f t="shared" si="41"/>
        <v>630555469.40438473</v>
      </c>
      <c r="P49" s="8">
        <f t="shared" si="41"/>
        <v>574308254.7212615</v>
      </c>
      <c r="Q49" s="8">
        <f t="shared" si="41"/>
        <v>128825046.19421129</v>
      </c>
      <c r="R49" s="8">
        <f t="shared" ref="R49" si="42">SUM(R10,R12,R18,R26,R33,R39,R43,R45,R47)</f>
        <v>202244685.79293996</v>
      </c>
    </row>
    <row r="50" spans="1:18">
      <c r="F50" s="8"/>
      <c r="G50" s="8"/>
      <c r="J50" s="8"/>
      <c r="K50" s="8"/>
      <c r="L50" s="8"/>
      <c r="M50" s="8"/>
      <c r="N50" s="8"/>
    </row>
    <row r="51" spans="1:18">
      <c r="A51" s="93" t="s">
        <v>213</v>
      </c>
      <c r="F51" s="8"/>
      <c r="J51" s="8"/>
      <c r="K51" s="8"/>
      <c r="L51" s="8"/>
      <c r="M51" s="69"/>
      <c r="N51" s="8"/>
      <c r="O51" s="61" t="s">
        <v>218</v>
      </c>
      <c r="P51" s="8">
        <f>P10</f>
        <v>243238522.73411012</v>
      </c>
      <c r="Q51" s="8"/>
      <c r="R51" s="8"/>
    </row>
    <row r="52" spans="1:18">
      <c r="A52" s="93" t="s">
        <v>214</v>
      </c>
      <c r="J52" s="8"/>
      <c r="K52" s="8"/>
      <c r="L52" s="8"/>
      <c r="M52" s="8"/>
      <c r="N52" s="8"/>
      <c r="O52" s="61" t="s">
        <v>219</v>
      </c>
      <c r="P52" s="8">
        <f>P49-P51</f>
        <v>331069731.98715138</v>
      </c>
      <c r="Q52" s="8">
        <f>Q49-Q51</f>
        <v>128825046.19421129</v>
      </c>
      <c r="R52" s="8">
        <f>R49-R51</f>
        <v>202244685.79293996</v>
      </c>
    </row>
    <row r="53" spans="1:18">
      <c r="J53" s="8"/>
      <c r="K53" s="8"/>
      <c r="L53" s="8"/>
      <c r="M53" s="8"/>
      <c r="N53" s="8"/>
    </row>
    <row r="54" spans="1:18">
      <c r="J54" s="8"/>
      <c r="K54" s="8"/>
      <c r="L54" s="8"/>
      <c r="M54" s="8"/>
      <c r="N54" s="8"/>
    </row>
    <row r="55" spans="1:18">
      <c r="J55" s="8"/>
      <c r="K55" s="8"/>
      <c r="L55" s="8"/>
      <c r="M55" s="8"/>
      <c r="N55" s="8"/>
    </row>
  </sheetData>
  <printOptions horizontalCentered="1"/>
  <pageMargins left="0.25" right="0.25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50"/>
  <sheetViews>
    <sheetView workbookViewId="0">
      <selection activeCell="A3" sqref="A3"/>
    </sheetView>
  </sheetViews>
  <sheetFormatPr defaultRowHeight="12.75"/>
  <cols>
    <col min="1" max="1" width="37.140625" style="32" customWidth="1"/>
    <col min="2" max="2" width="12.140625" style="33" bestFit="1" customWidth="1"/>
    <col min="3" max="3" width="11.85546875" bestFit="1" customWidth="1"/>
    <col min="4" max="4" width="12.140625" bestFit="1" customWidth="1"/>
    <col min="5" max="5" width="15" style="34" bestFit="1" customWidth="1"/>
    <col min="6" max="6" width="9.140625" style="34" bestFit="1" customWidth="1"/>
    <col min="9" max="9" width="12.7109375" bestFit="1" customWidth="1"/>
  </cols>
  <sheetData>
    <row r="1" spans="1:9">
      <c r="A1" s="32" t="s">
        <v>148</v>
      </c>
    </row>
    <row r="2" spans="1:9">
      <c r="A2" s="32" t="s">
        <v>149</v>
      </c>
    </row>
    <row r="3" spans="1:9">
      <c r="A3" s="32" t="s">
        <v>150</v>
      </c>
    </row>
    <row r="4" spans="1:9">
      <c r="D4" s="34"/>
    </row>
    <row r="5" spans="1:9">
      <c r="B5" s="35" t="s">
        <v>151</v>
      </c>
      <c r="C5" s="36" t="s">
        <v>126</v>
      </c>
    </row>
    <row r="6" spans="1:9">
      <c r="A6" s="37" t="s">
        <v>152</v>
      </c>
      <c r="B6" s="35" t="s">
        <v>153</v>
      </c>
      <c r="C6" s="35" t="s">
        <v>106</v>
      </c>
      <c r="D6" s="36" t="s">
        <v>154</v>
      </c>
      <c r="E6" s="35" t="s">
        <v>155</v>
      </c>
      <c r="F6" s="35" t="s">
        <v>156</v>
      </c>
    </row>
    <row r="7" spans="1:9">
      <c r="A7" s="32" t="s">
        <v>157</v>
      </c>
      <c r="B7" s="33">
        <f>'Revenue Comparison'!F7</f>
        <v>235133676.2756778</v>
      </c>
      <c r="C7" s="38"/>
      <c r="D7" s="34"/>
      <c r="I7" s="8"/>
    </row>
    <row r="8" spans="1:9">
      <c r="A8" s="52" t="s">
        <v>163</v>
      </c>
      <c r="B8" s="33">
        <f>'Revenue Comparison'!F8</f>
        <v>392766.01342105836</v>
      </c>
      <c r="C8" s="39"/>
      <c r="D8" s="34"/>
      <c r="I8" s="8"/>
    </row>
    <row r="9" spans="1:9">
      <c r="A9" s="52" t="s">
        <v>162</v>
      </c>
      <c r="B9" s="40">
        <f>'Revenue Comparison'!F9</f>
        <v>4539.9299112828212</v>
      </c>
      <c r="C9" s="41"/>
      <c r="D9" s="42"/>
      <c r="E9" s="42"/>
      <c r="F9" s="42"/>
      <c r="I9" s="8"/>
    </row>
    <row r="10" spans="1:9">
      <c r="A10" s="32" t="s">
        <v>158</v>
      </c>
      <c r="B10" s="33">
        <f>SUM(B7:B9)</f>
        <v>235530982.21901014</v>
      </c>
      <c r="C10" s="44">
        <v>12418</v>
      </c>
      <c r="D10" s="34">
        <f>+B10+C10</f>
        <v>235543400.21901014</v>
      </c>
      <c r="E10" s="43">
        <v>235543399</v>
      </c>
      <c r="F10" s="34">
        <f>+D10-E10</f>
        <v>1.2190101444721222</v>
      </c>
    </row>
    <row r="11" spans="1:9">
      <c r="C11" s="39"/>
      <c r="D11" s="34"/>
    </row>
    <row r="12" spans="1:9">
      <c r="A12" s="32" t="s">
        <v>88</v>
      </c>
      <c r="B12" s="33">
        <f>'Revenue Comparison'!F12</f>
        <v>7162478.8733600173</v>
      </c>
      <c r="C12" s="44">
        <v>3</v>
      </c>
      <c r="D12" s="34">
        <f>+B12+C12</f>
        <v>7162481.8733600173</v>
      </c>
      <c r="E12" s="43">
        <v>7162499</v>
      </c>
      <c r="F12" s="34">
        <f>+D12-E12</f>
        <v>-17.126639982685447</v>
      </c>
      <c r="G12" s="103"/>
    </row>
    <row r="14" spans="1:9">
      <c r="A14" s="52" t="s">
        <v>164</v>
      </c>
      <c r="B14" s="33">
        <f>'Revenue Comparison'!F14</f>
        <v>18093836.741025407</v>
      </c>
      <c r="C14" s="39"/>
      <c r="D14" s="34"/>
    </row>
    <row r="15" spans="1:9">
      <c r="A15" s="52" t="s">
        <v>165</v>
      </c>
      <c r="B15" s="33">
        <f>'Revenue Comparison'!F15</f>
        <v>521.5816193590988</v>
      </c>
      <c r="C15" s="39"/>
      <c r="D15" s="34"/>
    </row>
    <row r="16" spans="1:9">
      <c r="A16" s="52" t="s">
        <v>166</v>
      </c>
      <c r="B16" s="33">
        <f>'Revenue Comparison'!F16</f>
        <v>51282.675903243886</v>
      </c>
      <c r="C16" s="39"/>
      <c r="D16" s="34"/>
      <c r="E16" s="43"/>
      <c r="G16" s="34"/>
    </row>
    <row r="17" spans="1:7">
      <c r="A17" s="52" t="s">
        <v>167</v>
      </c>
      <c r="B17" s="40">
        <f>'Revenue Comparison'!F17</f>
        <v>682404.78780822188</v>
      </c>
      <c r="C17" s="41"/>
      <c r="D17" s="42"/>
      <c r="E17" s="45"/>
      <c r="F17" s="42"/>
      <c r="G17" s="34"/>
    </row>
    <row r="18" spans="1:7">
      <c r="A18" s="52" t="s">
        <v>168</v>
      </c>
      <c r="B18" s="33">
        <f>SUM(B14:B17)</f>
        <v>18828045.786356229</v>
      </c>
      <c r="C18" s="53">
        <v>331</v>
      </c>
      <c r="D18" s="33">
        <f>+B18+C18</f>
        <v>18828376.786356229</v>
      </c>
      <c r="E18" s="43">
        <v>18828378</v>
      </c>
      <c r="F18" s="34">
        <f>+D18-E18</f>
        <v>-1.2136437706649303</v>
      </c>
      <c r="G18" s="103"/>
    </row>
    <row r="19" spans="1:7">
      <c r="A19" s="52"/>
      <c r="C19" s="43"/>
      <c r="D19" s="33"/>
      <c r="E19" s="43"/>
    </row>
    <row r="20" spans="1:7">
      <c r="A20" s="52" t="s">
        <v>172</v>
      </c>
      <c r="B20" s="33">
        <f>'Revenue Comparison'!F20</f>
        <v>177522.6614297613</v>
      </c>
      <c r="C20" s="43"/>
      <c r="D20" s="33"/>
      <c r="E20" s="43"/>
    </row>
    <row r="21" spans="1:7">
      <c r="A21" s="52" t="s">
        <v>173</v>
      </c>
      <c r="B21" s="33">
        <f>'Revenue Comparison'!F21</f>
        <v>54611579.952732891</v>
      </c>
      <c r="C21" s="43"/>
      <c r="D21" s="33"/>
      <c r="E21" s="43"/>
    </row>
    <row r="22" spans="1:7">
      <c r="A22" s="52" t="s">
        <v>174</v>
      </c>
      <c r="B22" s="33">
        <f>'Revenue Comparison'!F22</f>
        <v>105841.71067559831</v>
      </c>
      <c r="C22" s="43"/>
      <c r="D22" s="33"/>
      <c r="E22" s="43"/>
    </row>
    <row r="23" spans="1:7">
      <c r="A23" s="52" t="s">
        <v>175</v>
      </c>
      <c r="B23" s="33">
        <f>'Revenue Comparison'!F23</f>
        <v>382900.99110126612</v>
      </c>
      <c r="C23" s="43"/>
      <c r="D23" s="33"/>
      <c r="E23" s="43"/>
    </row>
    <row r="24" spans="1:7">
      <c r="A24" s="52" t="s">
        <v>176</v>
      </c>
      <c r="B24" s="33">
        <f>'Revenue Comparison'!F24</f>
        <v>993414.27394919109</v>
      </c>
      <c r="C24" s="43"/>
      <c r="D24" s="33"/>
      <c r="E24" s="43"/>
    </row>
    <row r="25" spans="1:7">
      <c r="A25" s="52" t="s">
        <v>177</v>
      </c>
      <c r="B25" s="40">
        <f>'Revenue Comparison'!F25</f>
        <v>135519.3221005977</v>
      </c>
      <c r="C25" s="41"/>
      <c r="D25" s="42"/>
      <c r="E25" s="45"/>
      <c r="F25" s="42"/>
    </row>
    <row r="26" spans="1:7">
      <c r="A26" s="52" t="s">
        <v>159</v>
      </c>
      <c r="B26" s="33">
        <f>SUM(B20:B25)</f>
        <v>56406778.911989301</v>
      </c>
      <c r="C26" s="54">
        <v>0</v>
      </c>
      <c r="D26" s="34">
        <f>+B26+C26</f>
        <v>56406778.911989301</v>
      </c>
      <c r="E26" s="43">
        <v>56406778</v>
      </c>
      <c r="F26" s="34">
        <f>+D26-E26</f>
        <v>0.91198930144309998</v>
      </c>
    </row>
    <row r="27" spans="1:7">
      <c r="A27" s="52"/>
      <c r="C27" s="46"/>
      <c r="D27" s="34"/>
      <c r="E27" s="43"/>
    </row>
    <row r="28" spans="1:7">
      <c r="A28" s="52" t="s">
        <v>178</v>
      </c>
      <c r="B28" s="33">
        <f>'Revenue Comparison'!F28</f>
        <v>55468415.812106602</v>
      </c>
      <c r="C28" s="46"/>
      <c r="D28" s="34"/>
      <c r="E28" s="43"/>
    </row>
    <row r="29" spans="1:7">
      <c r="A29" s="52" t="s">
        <v>179</v>
      </c>
      <c r="B29" s="33">
        <f>'Revenue Comparison'!F29</f>
        <v>189047.13979329768</v>
      </c>
      <c r="C29" s="46"/>
      <c r="D29" s="34"/>
      <c r="E29" s="43"/>
    </row>
    <row r="30" spans="1:7">
      <c r="A30" s="52" t="s">
        <v>180</v>
      </c>
      <c r="B30" s="33">
        <f>'Revenue Comparison'!F30</f>
        <v>10144012.927931393</v>
      </c>
      <c r="C30" s="46"/>
      <c r="D30" s="34"/>
      <c r="E30" s="43"/>
    </row>
    <row r="31" spans="1:7">
      <c r="A31" s="52" t="s">
        <v>181</v>
      </c>
      <c r="B31" s="33">
        <f>'Revenue Comparison'!F31</f>
        <v>2359305.7632530942</v>
      </c>
      <c r="C31" s="46"/>
      <c r="D31" s="34"/>
      <c r="E31" s="43"/>
    </row>
    <row r="32" spans="1:7">
      <c r="A32" s="52" t="s">
        <v>182</v>
      </c>
      <c r="B32" s="40">
        <f>'Revenue Comparison'!F32</f>
        <v>73922.889588552905</v>
      </c>
      <c r="C32" s="41"/>
      <c r="D32" s="42"/>
      <c r="E32" s="45"/>
      <c r="F32" s="42"/>
    </row>
    <row r="33" spans="1:6">
      <c r="A33" s="52" t="s">
        <v>160</v>
      </c>
      <c r="B33" s="33">
        <f>SUM(B28:B32)</f>
        <v>68234704.532672942</v>
      </c>
      <c r="C33" s="47">
        <v>-15</v>
      </c>
      <c r="D33" s="34">
        <f>+B33+C33</f>
        <v>68234689.532672942</v>
      </c>
      <c r="E33" s="43">
        <v>68234691</v>
      </c>
      <c r="F33" s="34">
        <f>+D33-E33</f>
        <v>-1.4673270583152771</v>
      </c>
    </row>
    <row r="34" spans="1:6">
      <c r="A34" s="52"/>
      <c r="C34" s="47"/>
      <c r="D34" s="34"/>
      <c r="E34" s="43"/>
    </row>
    <row r="35" spans="1:6">
      <c r="A35" s="52" t="s">
        <v>183</v>
      </c>
      <c r="B35" s="33">
        <f>'Revenue Comparison'!F35</f>
        <v>1962230.9864959577</v>
      </c>
      <c r="C35" s="47"/>
      <c r="D35" s="34"/>
      <c r="E35" s="43"/>
    </row>
    <row r="36" spans="1:6">
      <c r="A36" s="52" t="s">
        <v>184</v>
      </c>
      <c r="B36" s="33">
        <f>'Revenue Comparison'!F36</f>
        <v>25660902.47004088</v>
      </c>
      <c r="C36" s="47"/>
      <c r="D36" s="34"/>
      <c r="E36" s="43"/>
    </row>
    <row r="37" spans="1:6">
      <c r="A37" s="52" t="s">
        <v>185</v>
      </c>
      <c r="B37" s="33">
        <f>'Revenue Comparison'!F37</f>
        <v>23082402.543415219</v>
      </c>
      <c r="C37" s="47"/>
      <c r="D37" s="34"/>
      <c r="E37" s="43"/>
    </row>
    <row r="38" spans="1:6">
      <c r="A38" s="52" t="s">
        <v>186</v>
      </c>
      <c r="B38" s="49">
        <f>'Revenue Comparison'!F38</f>
        <v>4070161.7840003427</v>
      </c>
      <c r="C38" s="95"/>
      <c r="D38" s="51"/>
      <c r="E38" s="96"/>
      <c r="F38" s="51"/>
    </row>
    <row r="39" spans="1:6">
      <c r="A39" s="52" t="s">
        <v>187</v>
      </c>
      <c r="B39" s="33">
        <f>'Revenue Comparison'!F41</f>
        <v>96661190.489440799</v>
      </c>
      <c r="C39" s="47"/>
      <c r="D39" s="34"/>
      <c r="E39" s="43"/>
    </row>
    <row r="40" spans="1:6">
      <c r="A40" s="52" t="s">
        <v>188</v>
      </c>
      <c r="B40" s="40">
        <f>'Revenue Comparison'!F42</f>
        <v>16400416.881855641</v>
      </c>
      <c r="C40" s="41"/>
      <c r="D40" s="42"/>
      <c r="E40" s="45"/>
      <c r="F40" s="42"/>
    </row>
    <row r="41" spans="1:6">
      <c r="A41" s="52" t="s">
        <v>215</v>
      </c>
      <c r="B41" s="33">
        <f>SUM(B35:B40)</f>
        <v>167837305.15524885</v>
      </c>
      <c r="C41" s="48">
        <v>55</v>
      </c>
      <c r="D41" s="34">
        <f>+B41+C41</f>
        <v>167837360.15524885</v>
      </c>
      <c r="E41" s="43">
        <f>52427900+115409463</f>
        <v>167837363</v>
      </c>
      <c r="F41" s="34">
        <f>+D41-E41</f>
        <v>-2.8447511494159698</v>
      </c>
    </row>
    <row r="42" spans="1:6">
      <c r="C42" s="48"/>
      <c r="D42" s="34"/>
      <c r="E42" s="43"/>
    </row>
    <row r="43" spans="1:6">
      <c r="A43" s="52" t="s">
        <v>161</v>
      </c>
      <c r="B43" s="49">
        <f>'Revenue Comparison'!F45</f>
        <v>1409589.296866762</v>
      </c>
      <c r="C43" s="50">
        <v>4</v>
      </c>
      <c r="D43" s="51">
        <f>+B43+C43</f>
        <v>1409593.296866762</v>
      </c>
      <c r="E43" s="43">
        <v>1409592</v>
      </c>
      <c r="F43" s="34">
        <f>+D43-E43</f>
        <v>1.2968667619861662</v>
      </c>
    </row>
    <row r="44" spans="1:6">
      <c r="A44" s="52"/>
      <c r="B44" s="49"/>
      <c r="C44" s="50"/>
      <c r="D44" s="51"/>
      <c r="E44" s="43"/>
    </row>
    <row r="45" spans="1:6">
      <c r="A45" s="52" t="s">
        <v>170</v>
      </c>
      <c r="B45" s="33">
        <f>'Revenue Comparison'!F47</f>
        <v>347143.52056718216</v>
      </c>
      <c r="C45" s="43">
        <v>13</v>
      </c>
      <c r="D45" s="34">
        <f>+B45+C45</f>
        <v>347156.52056718216</v>
      </c>
      <c r="E45" s="43">
        <v>347157</v>
      </c>
      <c r="F45" s="34">
        <f>+D45-E45</f>
        <v>-0.47943281783955172</v>
      </c>
    </row>
    <row r="47" spans="1:6">
      <c r="A47" s="32" t="s">
        <v>14</v>
      </c>
      <c r="B47" s="34">
        <f>SUM(B10,B12,B18,B26,B33,B41:B45)</f>
        <v>555757028.29607141</v>
      </c>
      <c r="C47" s="34">
        <f>SUM(C10,C12,C18,C26,C33,C41:C45)</f>
        <v>12809</v>
      </c>
      <c r="D47" s="34">
        <f>SUM(D10,D12,D18,D26,D33,D41:D45)</f>
        <v>555769837.29607141</v>
      </c>
      <c r="E47" s="34">
        <f>SUM(E10,E12,E18,E26,E33,E41:E45)</f>
        <v>555769857</v>
      </c>
      <c r="F47" s="34">
        <f>SUM(F10,F12,F18,F26,F33,F41:F45)</f>
        <v>-19.703928571019787</v>
      </c>
    </row>
    <row r="48" spans="1:6">
      <c r="C48" s="34"/>
    </row>
    <row r="50" spans="1:1">
      <c r="A50" s="28"/>
    </row>
  </sheetData>
  <printOptions horizontalCentered="1"/>
  <pageMargins left="0.25" right="0.25" top="1" bottom="0.75" header="0.5" footer="0.25"/>
  <pageSetup scale="83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52"/>
  <sheetViews>
    <sheetView workbookViewId="0"/>
  </sheetViews>
  <sheetFormatPr defaultRowHeight="12.75"/>
  <cols>
    <col min="1" max="1" width="37.140625" style="32" customWidth="1"/>
    <col min="2" max="2" width="17.7109375" style="33" customWidth="1"/>
    <col min="3" max="4" width="17.7109375" customWidth="1"/>
  </cols>
  <sheetData>
    <row r="1" spans="1:5" ht="18">
      <c r="A1" s="55" t="s">
        <v>192</v>
      </c>
    </row>
    <row r="4" spans="1:5">
      <c r="D4" s="35" t="s">
        <v>189</v>
      </c>
    </row>
    <row r="5" spans="1:5">
      <c r="B5" s="35" t="s">
        <v>193</v>
      </c>
      <c r="C5" s="36"/>
      <c r="D5" s="35" t="s">
        <v>193</v>
      </c>
    </row>
    <row r="6" spans="1:5">
      <c r="A6" s="37" t="s">
        <v>152</v>
      </c>
      <c r="B6" s="35" t="s">
        <v>194</v>
      </c>
      <c r="C6" s="35" t="s">
        <v>195</v>
      </c>
      <c r="D6" s="35" t="s">
        <v>194</v>
      </c>
    </row>
    <row r="7" spans="1:5">
      <c r="A7" s="32" t="s">
        <v>157</v>
      </c>
      <c r="B7" s="18">
        <v>16434417.310000001</v>
      </c>
      <c r="C7" s="18">
        <f>ROUND(3615459*B7/B$49,0)+1</f>
        <v>1471306</v>
      </c>
      <c r="D7" s="25">
        <f>+B7+C7</f>
        <v>17905723.310000002</v>
      </c>
    </row>
    <row r="8" spans="1:5">
      <c r="A8" s="52" t="s">
        <v>163</v>
      </c>
      <c r="B8" s="18">
        <v>28287.49</v>
      </c>
      <c r="C8" s="18">
        <f t="shared" ref="C8:C9" si="0">ROUND(3615459*B8/B$49,0)</f>
        <v>2532</v>
      </c>
      <c r="D8" s="25">
        <f t="shared" ref="D8:D10" si="1">+B8+C8</f>
        <v>30819.49</v>
      </c>
    </row>
    <row r="9" spans="1:5">
      <c r="A9" s="52" t="s">
        <v>162</v>
      </c>
      <c r="B9" s="56">
        <v>304.36</v>
      </c>
      <c r="C9" s="56">
        <f t="shared" si="0"/>
        <v>27</v>
      </c>
      <c r="D9" s="57">
        <f t="shared" si="1"/>
        <v>331.36</v>
      </c>
    </row>
    <row r="10" spans="1:5">
      <c r="A10" s="32" t="s">
        <v>158</v>
      </c>
      <c r="B10" s="33">
        <f>SUM(B7:B9)</f>
        <v>16463009.16</v>
      </c>
      <c r="C10" s="33">
        <f>SUM(C7:C9)</f>
        <v>1473865</v>
      </c>
      <c r="D10" s="25">
        <f t="shared" si="1"/>
        <v>17936874.16</v>
      </c>
    </row>
    <row r="11" spans="1:5">
      <c r="C11" s="33"/>
      <c r="D11" s="25"/>
    </row>
    <row r="12" spans="1:5">
      <c r="A12" s="32" t="s">
        <v>88</v>
      </c>
      <c r="B12" s="18">
        <v>704499.9</v>
      </c>
      <c r="C12" s="18">
        <f>ROUND(3615459*B12/B$49,0)</f>
        <v>63071</v>
      </c>
      <c r="D12" s="25">
        <f>+B12+C12</f>
        <v>767570.9</v>
      </c>
    </row>
    <row r="13" spans="1:5">
      <c r="C13" s="33"/>
      <c r="D13" s="25"/>
    </row>
    <row r="14" spans="1:5">
      <c r="A14" s="52" t="s">
        <v>164</v>
      </c>
      <c r="B14" s="18">
        <v>1747159.11</v>
      </c>
      <c r="C14" s="18">
        <f t="shared" ref="C14:C17" si="2">ROUND(3615459*B14/B$49,0)</f>
        <v>156416</v>
      </c>
      <c r="D14" s="25">
        <f t="shared" ref="D14:D18" si="3">+B14+C14</f>
        <v>1903575.11</v>
      </c>
    </row>
    <row r="15" spans="1:5">
      <c r="A15" s="52" t="s">
        <v>165</v>
      </c>
      <c r="B15" s="18">
        <v>54.32</v>
      </c>
      <c r="C15" s="18">
        <f t="shared" si="2"/>
        <v>5</v>
      </c>
      <c r="D15" s="25">
        <f t="shared" si="3"/>
        <v>59.32</v>
      </c>
    </row>
    <row r="16" spans="1:5">
      <c r="A16" s="52" t="s">
        <v>166</v>
      </c>
      <c r="B16" s="18">
        <v>5158</v>
      </c>
      <c r="C16" s="18">
        <f t="shared" si="2"/>
        <v>462</v>
      </c>
      <c r="D16" s="25">
        <f t="shared" si="3"/>
        <v>5620</v>
      </c>
      <c r="E16" s="34"/>
    </row>
    <row r="17" spans="1:5">
      <c r="A17" s="52" t="s">
        <v>167</v>
      </c>
      <c r="B17" s="56">
        <v>61256.07</v>
      </c>
      <c r="C17" s="56">
        <f t="shared" si="2"/>
        <v>5484</v>
      </c>
      <c r="D17" s="57">
        <f t="shared" si="3"/>
        <v>66740.070000000007</v>
      </c>
      <c r="E17" s="34"/>
    </row>
    <row r="18" spans="1:5">
      <c r="A18" s="52" t="s">
        <v>168</v>
      </c>
      <c r="B18" s="33">
        <f>SUM(B14:B17)</f>
        <v>1813627.5000000002</v>
      </c>
      <c r="C18" s="33">
        <f>SUM(C14:C17)</f>
        <v>162367</v>
      </c>
      <c r="D18" s="25">
        <f t="shared" si="3"/>
        <v>1975994.5000000002</v>
      </c>
    </row>
    <row r="19" spans="1:5">
      <c r="A19" s="52"/>
      <c r="C19" s="33"/>
      <c r="D19" s="58"/>
    </row>
    <row r="20" spans="1:5">
      <c r="A20" s="61" t="s">
        <v>196</v>
      </c>
      <c r="B20" s="18">
        <v>14246.29</v>
      </c>
      <c r="C20" s="18">
        <f t="shared" ref="C20:C23" si="4">ROUND(3615459*B20/B$49,0)</f>
        <v>1275</v>
      </c>
      <c r="D20" s="25">
        <f t="shared" ref="D20:D26" si="5">+B20+C20</f>
        <v>15521.29</v>
      </c>
    </row>
    <row r="21" spans="1:5">
      <c r="A21" s="52" t="s">
        <v>173</v>
      </c>
      <c r="B21" s="18">
        <v>5133976.95</v>
      </c>
      <c r="C21" s="18">
        <f t="shared" si="4"/>
        <v>459623</v>
      </c>
      <c r="D21" s="25">
        <f t="shared" si="5"/>
        <v>5593599.9500000002</v>
      </c>
    </row>
    <row r="22" spans="1:5">
      <c r="A22" s="52" t="s">
        <v>174</v>
      </c>
      <c r="B22" s="18">
        <v>10026.1</v>
      </c>
      <c r="C22" s="18">
        <f t="shared" si="4"/>
        <v>898</v>
      </c>
      <c r="D22" s="25">
        <f t="shared" si="5"/>
        <v>10924.1</v>
      </c>
    </row>
    <row r="23" spans="1:5">
      <c r="A23" s="52" t="s">
        <v>175</v>
      </c>
      <c r="B23" s="18">
        <v>33872.160000000003</v>
      </c>
      <c r="C23" s="18">
        <f t="shared" si="4"/>
        <v>3032</v>
      </c>
      <c r="D23" s="25">
        <f t="shared" si="5"/>
        <v>36904.160000000003</v>
      </c>
    </row>
    <row r="24" spans="1:5">
      <c r="A24" s="52" t="s">
        <v>176</v>
      </c>
      <c r="B24" s="18">
        <v>84910.16</v>
      </c>
      <c r="C24" s="18">
        <f>ROUND(3615459*B24/B$49,0)</f>
        <v>7602</v>
      </c>
      <c r="D24" s="25">
        <f t="shared" si="5"/>
        <v>92512.16</v>
      </c>
    </row>
    <row r="25" spans="1:5">
      <c r="A25" s="52" t="s">
        <v>177</v>
      </c>
      <c r="B25" s="56">
        <v>10198.86</v>
      </c>
      <c r="C25" s="56">
        <f>ROUND(3615459*B25/B$49,0)</f>
        <v>913</v>
      </c>
      <c r="D25" s="57">
        <f t="shared" si="5"/>
        <v>11111.86</v>
      </c>
    </row>
    <row r="26" spans="1:5">
      <c r="A26" s="52" t="s">
        <v>159</v>
      </c>
      <c r="B26" s="33">
        <f>SUM(B20:B25)</f>
        <v>5287230.5200000005</v>
      </c>
      <c r="C26" s="33">
        <f>SUM(C20:C25)</f>
        <v>473343</v>
      </c>
      <c r="D26" s="25">
        <f t="shared" si="5"/>
        <v>5760573.5200000005</v>
      </c>
    </row>
    <row r="27" spans="1:5">
      <c r="A27" s="52"/>
      <c r="C27" s="33"/>
      <c r="D27" s="25"/>
    </row>
    <row r="28" spans="1:5">
      <c r="A28" s="52" t="s">
        <v>178</v>
      </c>
      <c r="B28" s="18">
        <v>4783461.63</v>
      </c>
      <c r="C28" s="18">
        <f t="shared" ref="C28:C29" si="6">ROUND(3615459*B28/B$49,0)</f>
        <v>428243</v>
      </c>
      <c r="D28" s="25">
        <f t="shared" ref="D28:D33" si="7">+B28+C28</f>
        <v>5211704.63</v>
      </c>
    </row>
    <row r="29" spans="1:5">
      <c r="A29" s="52" t="s">
        <v>179</v>
      </c>
      <c r="B29" s="18">
        <v>16218.28</v>
      </c>
      <c r="C29" s="18">
        <f t="shared" si="6"/>
        <v>1452</v>
      </c>
      <c r="D29" s="25">
        <f t="shared" si="7"/>
        <v>17670.28</v>
      </c>
    </row>
    <row r="30" spans="1:5">
      <c r="A30" s="52" t="s">
        <v>180</v>
      </c>
      <c r="B30" s="18">
        <v>822524.48</v>
      </c>
      <c r="C30" s="18">
        <f>ROUND(3615459*B30/B$49,0)</f>
        <v>73637</v>
      </c>
      <c r="D30" s="25">
        <f t="shared" si="7"/>
        <v>896161.48</v>
      </c>
    </row>
    <row r="31" spans="1:5">
      <c r="A31" s="52" t="s">
        <v>181</v>
      </c>
      <c r="B31" s="18">
        <v>167393.04</v>
      </c>
      <c r="C31" s="18">
        <f>ROUND(3615459*B31/B$49,0)</f>
        <v>14986</v>
      </c>
      <c r="D31" s="25">
        <f t="shared" si="7"/>
        <v>182379.04</v>
      </c>
    </row>
    <row r="32" spans="1:5">
      <c r="A32" s="52" t="s">
        <v>182</v>
      </c>
      <c r="B32" s="56">
        <v>-677.22</v>
      </c>
      <c r="C32" s="56">
        <f>ROUND(3615459*B32/B$49,0)</f>
        <v>-61</v>
      </c>
      <c r="D32" s="57">
        <f t="shared" si="7"/>
        <v>-738.22</v>
      </c>
    </row>
    <row r="33" spans="1:4">
      <c r="A33" s="52" t="s">
        <v>160</v>
      </c>
      <c r="B33" s="33">
        <f>SUM(B28:B32)</f>
        <v>5788920.2100000009</v>
      </c>
      <c r="C33" s="33">
        <f>SUM(C28:C32)</f>
        <v>518257</v>
      </c>
      <c r="D33" s="25">
        <f t="shared" si="7"/>
        <v>6307177.2100000009</v>
      </c>
    </row>
    <row r="34" spans="1:4">
      <c r="A34" s="52"/>
      <c r="C34" s="33"/>
      <c r="D34" s="25"/>
    </row>
    <row r="35" spans="1:4">
      <c r="A35" s="52" t="s">
        <v>183</v>
      </c>
      <c r="B35" s="18">
        <v>152214.34</v>
      </c>
      <c r="C35" s="18">
        <f>ROUND(3615459*B35/B$49,0)</f>
        <v>13627</v>
      </c>
      <c r="D35" s="25">
        <f t="shared" ref="D35:D39" si="8">+B35+C35</f>
        <v>165841.34</v>
      </c>
    </row>
    <row r="36" spans="1:4">
      <c r="A36" s="52" t="s">
        <v>184</v>
      </c>
      <c r="B36" s="18">
        <v>1749874.07</v>
      </c>
      <c r="C36" s="18">
        <f>ROUND(3615459*B36/B$49,0)</f>
        <v>156659</v>
      </c>
      <c r="D36" s="25">
        <f t="shared" si="8"/>
        <v>1906533.07</v>
      </c>
    </row>
    <row r="37" spans="1:4">
      <c r="A37" s="52" t="s">
        <v>185</v>
      </c>
      <c r="B37" s="18">
        <v>1622561.28</v>
      </c>
      <c r="C37" s="18">
        <f>ROUND(3615459*B37/B$49,0)</f>
        <v>145261</v>
      </c>
      <c r="D37" s="25">
        <f t="shared" si="8"/>
        <v>1767822.28</v>
      </c>
    </row>
    <row r="38" spans="1:4">
      <c r="A38" s="52" t="s">
        <v>186</v>
      </c>
      <c r="B38" s="56">
        <v>338950.99</v>
      </c>
      <c r="C38" s="56">
        <f>ROUND(3615459*B38/B$49,0)</f>
        <v>30345</v>
      </c>
      <c r="D38" s="57">
        <f t="shared" si="8"/>
        <v>369295.99</v>
      </c>
    </row>
    <row r="39" spans="1:4">
      <c r="A39" s="52" t="s">
        <v>169</v>
      </c>
      <c r="B39" s="33">
        <f>SUM(B35:B38)</f>
        <v>3863600.6800000006</v>
      </c>
      <c r="C39" s="33">
        <f>SUM(C35:C38)</f>
        <v>345892</v>
      </c>
      <c r="D39" s="25">
        <f t="shared" si="8"/>
        <v>4209492.6800000006</v>
      </c>
    </row>
    <row r="40" spans="1:4">
      <c r="A40" s="52"/>
      <c r="C40" s="33"/>
      <c r="D40" s="25"/>
    </row>
    <row r="41" spans="1:4">
      <c r="A41" s="52" t="s">
        <v>187</v>
      </c>
      <c r="B41" s="18">
        <v>5562420.3700000001</v>
      </c>
      <c r="C41" s="18">
        <f>ROUND(3615459*B41/B$49,0)</f>
        <v>497980</v>
      </c>
      <c r="D41" s="25">
        <f t="shared" ref="D41:D43" si="9">+B41+C41</f>
        <v>6060400.3700000001</v>
      </c>
    </row>
    <row r="42" spans="1:4">
      <c r="A42" s="52" t="s">
        <v>188</v>
      </c>
      <c r="B42" s="56">
        <v>733057</v>
      </c>
      <c r="C42" s="56">
        <f>ROUND(3615459*B42/B$49,0)</f>
        <v>65628</v>
      </c>
      <c r="D42" s="57">
        <f t="shared" si="9"/>
        <v>798685</v>
      </c>
    </row>
    <row r="43" spans="1:4">
      <c r="A43" s="52" t="s">
        <v>171</v>
      </c>
      <c r="B43" s="33">
        <f>SUM(B41:B42)</f>
        <v>6295477.3700000001</v>
      </c>
      <c r="C43" s="33">
        <f>SUM(C41:C42)</f>
        <v>563608</v>
      </c>
      <c r="D43" s="25">
        <f t="shared" si="9"/>
        <v>6859085.3700000001</v>
      </c>
    </row>
    <row r="44" spans="1:4">
      <c r="C44" s="33"/>
      <c r="D44" s="25"/>
    </row>
    <row r="45" spans="1:4">
      <c r="A45" s="52" t="s">
        <v>161</v>
      </c>
      <c r="B45" s="18">
        <v>139145.35</v>
      </c>
      <c r="C45" s="18">
        <f>ROUND(3615459*B45/B$49,0)</f>
        <v>12457</v>
      </c>
      <c r="D45" s="25">
        <f>+B45+C45</f>
        <v>151602.35</v>
      </c>
    </row>
    <row r="46" spans="1:4">
      <c r="A46" s="52"/>
      <c r="B46" s="49"/>
      <c r="C46" s="49"/>
      <c r="D46" s="59"/>
    </row>
    <row r="47" spans="1:4">
      <c r="A47" s="52" t="s">
        <v>170</v>
      </c>
      <c r="B47" s="18">
        <v>29030.36</v>
      </c>
      <c r="C47" s="18">
        <f>ROUND(3615459*B47/B$49,0)</f>
        <v>2599</v>
      </c>
      <c r="D47" s="25">
        <f>+B47+C47</f>
        <v>31629.360000000001</v>
      </c>
    </row>
    <row r="48" spans="1:4">
      <c r="C48" s="33"/>
      <c r="D48" s="25"/>
    </row>
    <row r="49" spans="1:6">
      <c r="A49" s="32" t="s">
        <v>14</v>
      </c>
      <c r="B49" s="34">
        <f>SUM(B10,B12,B18,B26,B33,B39,B43:B47)</f>
        <v>40384541.049999997</v>
      </c>
      <c r="C49" s="34">
        <f>SUM(C10,C12,C18,C26,C33,C39,C43:C47)</f>
        <v>3615459</v>
      </c>
      <c r="D49" s="25">
        <f>SUM(D10,D12,D18,D26,D33,D39,D43:D47)</f>
        <v>44000000.049999997</v>
      </c>
      <c r="F49" s="34"/>
    </row>
    <row r="50" spans="1:6">
      <c r="C50" s="34"/>
    </row>
    <row r="51" spans="1:6">
      <c r="D51" s="8"/>
    </row>
    <row r="52" spans="1:6">
      <c r="A52" s="28"/>
      <c r="D52" s="8"/>
    </row>
  </sheetData>
  <printOptions horizontalCentered="1"/>
  <pageMargins left="0.25" right="0.25" top="0.75" bottom="0.75" header="0.3" footer="0.3"/>
  <pageSetup scale="82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38"/>
  <sheetViews>
    <sheetView workbookViewId="0"/>
  </sheetViews>
  <sheetFormatPr defaultRowHeight="12.75"/>
  <cols>
    <col min="1" max="1" width="23" customWidth="1"/>
    <col min="2" max="2" width="14.85546875" customWidth="1"/>
    <col min="3" max="3" width="13.28515625" bestFit="1" customWidth="1"/>
    <col min="4" max="4" width="16.85546875" customWidth="1"/>
    <col min="5" max="5" width="16.28515625" style="21" customWidth="1"/>
    <col min="6" max="6" width="13.140625" style="21" customWidth="1"/>
    <col min="7" max="7" width="16" style="21" customWidth="1"/>
    <col min="8" max="10" width="8.85546875" style="21" customWidth="1"/>
    <col min="11" max="11" width="12.7109375" bestFit="1" customWidth="1"/>
  </cols>
  <sheetData>
    <row r="1" spans="1:11">
      <c r="A1" t="s">
        <v>19</v>
      </c>
    </row>
    <row r="2" spans="1:11">
      <c r="A2" t="s">
        <v>133</v>
      </c>
    </row>
    <row r="3" spans="1:11">
      <c r="A3" t="s">
        <v>190</v>
      </c>
    </row>
    <row r="5" spans="1:11">
      <c r="A5" t="s">
        <v>20</v>
      </c>
    </row>
    <row r="8" spans="1:11">
      <c r="B8" s="1" t="s">
        <v>1</v>
      </c>
      <c r="E8" s="22" t="s">
        <v>2</v>
      </c>
    </row>
    <row r="9" spans="1:11">
      <c r="B9" s="1" t="s">
        <v>3</v>
      </c>
      <c r="C9" s="2" t="s">
        <v>4</v>
      </c>
      <c r="D9" s="1" t="s">
        <v>4</v>
      </c>
      <c r="E9" s="22" t="s">
        <v>3</v>
      </c>
      <c r="F9" s="23" t="s">
        <v>2</v>
      </c>
      <c r="G9" s="23" t="s">
        <v>2</v>
      </c>
    </row>
    <row r="10" spans="1:11">
      <c r="B10" s="3" t="s">
        <v>5</v>
      </c>
      <c r="C10" s="3" t="s">
        <v>6</v>
      </c>
      <c r="D10" s="3" t="s">
        <v>7</v>
      </c>
      <c r="E10" s="24" t="s">
        <v>5</v>
      </c>
      <c r="F10" s="24" t="s">
        <v>6</v>
      </c>
      <c r="G10" s="24" t="s">
        <v>7</v>
      </c>
    </row>
    <row r="12" spans="1:11">
      <c r="A12" s="4" t="s">
        <v>8</v>
      </c>
    </row>
    <row r="13" spans="1:11">
      <c r="A13" t="s">
        <v>111</v>
      </c>
      <c r="B13" s="78">
        <v>2255616379</v>
      </c>
      <c r="C13" s="68">
        <v>8.5900000000000004E-2</v>
      </c>
      <c r="D13" s="69">
        <f>+B13*C13</f>
        <v>193757446.95610002</v>
      </c>
      <c r="E13" s="25">
        <f>+B13</f>
        <v>2255616379</v>
      </c>
      <c r="F13" s="73">
        <v>9.035E-2</v>
      </c>
      <c r="G13" s="69">
        <f>+E13*F13</f>
        <v>203794939.84265</v>
      </c>
    </row>
    <row r="14" spans="1:11">
      <c r="B14" s="75"/>
      <c r="C14" s="70"/>
      <c r="D14" s="69"/>
      <c r="E14" s="25"/>
      <c r="F14" s="74"/>
      <c r="G14" s="69"/>
      <c r="K14" s="8"/>
    </row>
    <row r="15" spans="1:11">
      <c r="A15" t="s">
        <v>15</v>
      </c>
      <c r="B15" s="78">
        <v>261119</v>
      </c>
      <c r="C15" s="68">
        <v>4.9399999999999999E-2</v>
      </c>
      <c r="D15" s="69">
        <f>+B15*C15</f>
        <v>12899.2786</v>
      </c>
      <c r="E15" s="25">
        <f>+B15</f>
        <v>261119</v>
      </c>
      <c r="F15" s="73">
        <v>5.2159999999999998E-2</v>
      </c>
      <c r="G15" s="69">
        <f>+E15*F15</f>
        <v>13619.96704</v>
      </c>
    </row>
    <row r="16" spans="1:11">
      <c r="B16" s="75"/>
      <c r="C16" s="61"/>
      <c r="D16" s="69"/>
      <c r="E16" s="25"/>
      <c r="F16" s="75"/>
      <c r="G16" s="69"/>
    </row>
    <row r="17" spans="1:10">
      <c r="A17" t="s">
        <v>11</v>
      </c>
      <c r="B17" s="78">
        <v>2255877500</v>
      </c>
      <c r="C17" s="61"/>
      <c r="D17" s="69"/>
      <c r="E17" s="25">
        <f>+B17</f>
        <v>2255877500</v>
      </c>
      <c r="F17" s="75"/>
      <c r="G17" s="69"/>
    </row>
    <row r="18" spans="1:10">
      <c r="B18" s="75"/>
      <c r="C18" s="61"/>
      <c r="D18" s="69"/>
      <c r="E18" s="25"/>
      <c r="F18" s="75"/>
      <c r="G18" s="69"/>
    </row>
    <row r="19" spans="1:10">
      <c r="A19" t="s">
        <v>12</v>
      </c>
      <c r="B19" s="78">
        <v>1658209</v>
      </c>
      <c r="C19" s="71">
        <v>8</v>
      </c>
      <c r="D19" s="69">
        <f>+B19*C19+1</f>
        <v>13265673</v>
      </c>
      <c r="E19" s="25">
        <f>+B19</f>
        <v>1658209</v>
      </c>
      <c r="F19" s="76">
        <v>16</v>
      </c>
      <c r="G19" s="69">
        <f>+E19*F19</f>
        <v>26531344</v>
      </c>
    </row>
    <row r="20" spans="1:10">
      <c r="A20" t="s">
        <v>206</v>
      </c>
      <c r="B20" s="25">
        <f>+B19</f>
        <v>1658209</v>
      </c>
      <c r="C20" s="71">
        <v>0.15</v>
      </c>
      <c r="D20" s="69">
        <f>+B20*C20</f>
        <v>248731.34999999998</v>
      </c>
      <c r="E20" s="25">
        <f>B20</f>
        <v>1658209</v>
      </c>
      <c r="F20" s="76">
        <f>C20</f>
        <v>0.15</v>
      </c>
      <c r="G20" s="69">
        <f>+E20*F20</f>
        <v>248731.34999999998</v>
      </c>
      <c r="I20" s="94"/>
    </row>
    <row r="21" spans="1:10">
      <c r="B21" s="75"/>
      <c r="C21" s="61"/>
      <c r="D21" s="69"/>
      <c r="E21" s="25"/>
      <c r="F21" s="75"/>
      <c r="G21" s="69"/>
    </row>
    <row r="22" spans="1:10">
      <c r="A22" t="s">
        <v>13</v>
      </c>
      <c r="B22" s="78">
        <v>1657500</v>
      </c>
      <c r="C22" s="61"/>
      <c r="D22" s="69"/>
      <c r="E22" s="25">
        <f>+B22</f>
        <v>1657500</v>
      </c>
      <c r="F22" s="75"/>
      <c r="G22" s="69"/>
    </row>
    <row r="23" spans="1:10">
      <c r="B23" s="61"/>
      <c r="C23" s="61"/>
      <c r="D23" s="69"/>
      <c r="F23" s="75"/>
      <c r="G23" s="69"/>
    </row>
    <row r="24" spans="1:10">
      <c r="A24" t="s">
        <v>16</v>
      </c>
      <c r="B24" s="61"/>
      <c r="C24" s="61"/>
      <c r="D24" s="69">
        <v>-49177.31</v>
      </c>
      <c r="F24" s="75"/>
      <c r="G24" s="69">
        <f>-1288*4-(6791)*8</f>
        <v>-59480</v>
      </c>
      <c r="J24" s="94"/>
    </row>
    <row r="25" spans="1:10">
      <c r="B25" s="61"/>
      <c r="C25" s="61"/>
      <c r="D25" s="69"/>
      <c r="F25" s="75"/>
      <c r="G25" s="69"/>
    </row>
    <row r="26" spans="1:10">
      <c r="A26" t="s">
        <v>17</v>
      </c>
      <c r="B26" s="61"/>
      <c r="C26" s="72">
        <v>2.0411219651722302E-3</v>
      </c>
      <c r="D26" s="69">
        <f>+B17*C26</f>
        <v>4604521.1159878178</v>
      </c>
      <c r="F26" s="77">
        <f>C26</f>
        <v>2.0411219651722302E-3</v>
      </c>
      <c r="G26" s="69">
        <f>+E17*F26</f>
        <v>4604521.1159878178</v>
      </c>
    </row>
    <row r="27" spans="1:10">
      <c r="B27" s="61"/>
      <c r="C27" s="61"/>
      <c r="D27" s="69"/>
      <c r="G27" s="69"/>
    </row>
    <row r="28" spans="1:10">
      <c r="A28" t="s">
        <v>191</v>
      </c>
      <c r="B28" s="61"/>
      <c r="C28" s="61"/>
      <c r="D28" s="69">
        <f>+ATR!D7</f>
        <v>17905723.310000002</v>
      </c>
      <c r="G28" s="69"/>
    </row>
    <row r="29" spans="1:10">
      <c r="D29" s="60"/>
      <c r="G29" s="60"/>
    </row>
    <row r="30" spans="1:10">
      <c r="A30" s="61" t="s">
        <v>204</v>
      </c>
      <c r="D30" s="60"/>
      <c r="E30" s="25">
        <f>+E19</f>
        <v>1658209</v>
      </c>
      <c r="F30" s="76">
        <v>0.15</v>
      </c>
      <c r="G30" s="60">
        <f>+F30*E30</f>
        <v>248731.34999999998</v>
      </c>
    </row>
    <row r="31" spans="1:10">
      <c r="A31" s="61"/>
      <c r="D31" s="60"/>
      <c r="E31" s="25"/>
      <c r="F31" s="76"/>
      <c r="G31" s="60"/>
    </row>
    <row r="32" spans="1:10">
      <c r="A32" s="61" t="s">
        <v>209</v>
      </c>
      <c r="D32" s="60"/>
      <c r="E32" s="25">
        <f>+E17</f>
        <v>2255877500</v>
      </c>
      <c r="F32" s="73">
        <v>3.3E-3</v>
      </c>
      <c r="G32" s="60">
        <f>+E32*F32</f>
        <v>7444395.75</v>
      </c>
    </row>
    <row r="33" spans="1:7">
      <c r="A33" s="61"/>
      <c r="D33" s="60"/>
      <c r="E33" s="25"/>
      <c r="F33" s="76"/>
      <c r="G33" s="60"/>
    </row>
    <row r="34" spans="1:7">
      <c r="A34" s="61" t="s">
        <v>207</v>
      </c>
      <c r="D34" s="60"/>
      <c r="E34" s="8">
        <f>SUM(G13:G32)</f>
        <v>242826803.37567779</v>
      </c>
      <c r="F34" s="100">
        <v>3.8056E-2</v>
      </c>
      <c r="G34" s="60">
        <f>+E34*F34</f>
        <v>9241016.8292647935</v>
      </c>
    </row>
    <row r="35" spans="1:7">
      <c r="A35" s="61"/>
      <c r="D35" s="60"/>
      <c r="E35" s="25"/>
      <c r="F35" s="76"/>
      <c r="G35" s="60"/>
    </row>
    <row r="36" spans="1:7">
      <c r="A36" t="s">
        <v>18</v>
      </c>
      <c r="B36" s="61"/>
      <c r="C36" s="61"/>
      <c r="D36" s="69">
        <v>0</v>
      </c>
      <c r="E36" s="8">
        <f>E34</f>
        <v>242826803.37567779</v>
      </c>
      <c r="F36" s="100">
        <v>5.9882999999999999E-2</v>
      </c>
      <c r="G36" s="60">
        <f>+E36*F36</f>
        <v>14541197.466545712</v>
      </c>
    </row>
    <row r="37" spans="1:7">
      <c r="D37" s="8"/>
      <c r="G37" s="8"/>
    </row>
    <row r="38" spans="1:7">
      <c r="A38" t="s">
        <v>14</v>
      </c>
      <c r="D38" s="8">
        <f>SUM(D13:D37)</f>
        <v>229745817.70068783</v>
      </c>
      <c r="G38" s="8">
        <f>SUM(G13:G37)</f>
        <v>266609017.67148829</v>
      </c>
    </row>
  </sheetData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40"/>
  <sheetViews>
    <sheetView workbookViewId="0">
      <selection activeCell="A44" sqref="A44"/>
    </sheetView>
  </sheetViews>
  <sheetFormatPr defaultRowHeight="12.75"/>
  <cols>
    <col min="1" max="1" width="22.28515625" customWidth="1"/>
    <col min="2" max="2" width="12.7109375" customWidth="1"/>
    <col min="3" max="3" width="12.85546875" customWidth="1"/>
    <col min="4" max="4" width="12.7109375" customWidth="1"/>
    <col min="5" max="5" width="16.28515625" style="21" customWidth="1"/>
    <col min="6" max="6" width="13.7109375" style="21" customWidth="1"/>
    <col min="7" max="7" width="14.28515625" style="21" customWidth="1"/>
    <col min="8" max="10" width="8.85546875" style="21" customWidth="1"/>
  </cols>
  <sheetData>
    <row r="1" spans="1:10">
      <c r="A1" t="str">
        <f>+RS!A1</f>
        <v>KENTUCKY POWER BILLING ANALYSIS</v>
      </c>
    </row>
    <row r="2" spans="1:10">
      <c r="A2" t="str">
        <f>+RS!A2</f>
        <v>PROFORMA</v>
      </c>
    </row>
    <row r="3" spans="1:10">
      <c r="A3" t="str">
        <f>+RS!A3</f>
        <v>TEST YEAR ENDED SEPTEMBER 30, 2014</v>
      </c>
    </row>
    <row r="5" spans="1:10">
      <c r="A5" t="s">
        <v>112</v>
      </c>
    </row>
    <row r="8" spans="1:10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10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10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10">
      <c r="A12" s="4" t="s">
        <v>8</v>
      </c>
    </row>
    <row r="13" spans="1:10">
      <c r="A13" t="s">
        <v>21</v>
      </c>
      <c r="B13" s="78">
        <v>1479989</v>
      </c>
      <c r="C13" s="68">
        <v>0.13227</v>
      </c>
      <c r="D13" s="8">
        <f>+B13*C13</f>
        <v>195758.14502999999</v>
      </c>
      <c r="E13" s="25">
        <f>+B13</f>
        <v>1479989</v>
      </c>
      <c r="F13" s="73">
        <v>0.13879</v>
      </c>
      <c r="G13" s="8">
        <f>+E13*F13</f>
        <v>205407.67330999998</v>
      </c>
      <c r="I13" s="94"/>
      <c r="J13" s="94"/>
    </row>
    <row r="14" spans="1:10">
      <c r="A14" t="s">
        <v>22</v>
      </c>
      <c r="B14" s="78">
        <v>2745767</v>
      </c>
      <c r="C14" s="68">
        <f>RS!C15</f>
        <v>4.9399999999999999E-2</v>
      </c>
      <c r="D14" s="8">
        <f>+B14*C14</f>
        <v>135640.8898</v>
      </c>
      <c r="E14" s="25">
        <f>+B14</f>
        <v>2745767</v>
      </c>
      <c r="F14" s="73">
        <v>5.2159999999999998E-2</v>
      </c>
      <c r="G14" s="8">
        <f>+E14*F14</f>
        <v>143219.20671999999</v>
      </c>
      <c r="I14" s="94"/>
    </row>
    <row r="15" spans="1:10">
      <c r="C15" s="70"/>
      <c r="D15" s="8"/>
      <c r="E15" s="25"/>
      <c r="F15" s="74"/>
      <c r="G15" s="8"/>
    </row>
    <row r="16" spans="1:10">
      <c r="A16" t="s">
        <v>11</v>
      </c>
      <c r="B16" s="5">
        <f>SUM(B13:B14)</f>
        <v>4225756</v>
      </c>
      <c r="C16" s="70"/>
      <c r="D16" s="8"/>
      <c r="E16" s="25">
        <f>+B16</f>
        <v>4225756</v>
      </c>
      <c r="F16" s="74"/>
      <c r="G16" s="8"/>
    </row>
    <row r="17" spans="1:13">
      <c r="C17" s="70"/>
      <c r="D17" s="8"/>
      <c r="E17" s="25"/>
      <c r="F17" s="74"/>
      <c r="G17" s="8"/>
    </row>
    <row r="18" spans="1:13">
      <c r="A18" t="s">
        <v>23</v>
      </c>
      <c r="B18" s="78">
        <v>0</v>
      </c>
      <c r="C18" s="68">
        <v>-7.45E-3</v>
      </c>
      <c r="D18" s="8">
        <f>+B18*C18</f>
        <v>0</v>
      </c>
      <c r="E18" s="25">
        <f>+B18</f>
        <v>0</v>
      </c>
      <c r="F18" s="73">
        <v>-7.45E-3</v>
      </c>
      <c r="G18" s="8">
        <f>+E18*F18</f>
        <v>0</v>
      </c>
    </row>
    <row r="19" spans="1:13">
      <c r="B19" s="75"/>
      <c r="C19" s="61"/>
      <c r="D19" s="8"/>
      <c r="E19" s="25"/>
      <c r="F19" s="75"/>
      <c r="G19" s="8"/>
    </row>
    <row r="20" spans="1:13">
      <c r="A20" t="s">
        <v>12</v>
      </c>
      <c r="B20" s="78">
        <v>1957</v>
      </c>
      <c r="C20" s="71">
        <v>10.55</v>
      </c>
      <c r="D20" s="8">
        <f>+B20*C20-1</f>
        <v>20645.350000000002</v>
      </c>
      <c r="E20" s="25">
        <f>+B20</f>
        <v>1957</v>
      </c>
      <c r="F20" s="76">
        <v>18.7</v>
      </c>
      <c r="G20" s="8">
        <f>+E20*F20</f>
        <v>36595.9</v>
      </c>
      <c r="I20" s="94"/>
      <c r="L20" s="94"/>
    </row>
    <row r="21" spans="1:13">
      <c r="A21" t="s">
        <v>224</v>
      </c>
      <c r="B21" s="78">
        <v>107</v>
      </c>
      <c r="C21" s="71">
        <v>3</v>
      </c>
      <c r="D21" s="8">
        <f>+B21*C21</f>
        <v>321</v>
      </c>
      <c r="E21" s="25">
        <f>+B21</f>
        <v>107</v>
      </c>
      <c r="F21" s="76">
        <v>3.85</v>
      </c>
      <c r="G21" s="8">
        <f>+E21*F21</f>
        <v>411.95</v>
      </c>
    </row>
    <row r="22" spans="1:13">
      <c r="A22" t="s">
        <v>206</v>
      </c>
      <c r="B22" s="78">
        <f>+B20+B21</f>
        <v>2064</v>
      </c>
      <c r="C22" s="71">
        <v>0.15</v>
      </c>
      <c r="D22" s="8">
        <f>+B22*C22</f>
        <v>309.59999999999997</v>
      </c>
      <c r="E22" s="25">
        <f>B22</f>
        <v>2064</v>
      </c>
      <c r="F22" s="76">
        <f>C22</f>
        <v>0.15</v>
      </c>
      <c r="G22" s="8">
        <f>+E22*F22</f>
        <v>309.59999999999997</v>
      </c>
    </row>
    <row r="23" spans="1:13">
      <c r="B23" s="75"/>
      <c r="D23" s="8"/>
      <c r="E23" s="25"/>
      <c r="F23"/>
      <c r="G23" s="8"/>
    </row>
    <row r="24" spans="1:13">
      <c r="A24" t="s">
        <v>13</v>
      </c>
      <c r="B24" s="78">
        <v>2064</v>
      </c>
      <c r="D24" s="8"/>
      <c r="E24" s="25">
        <f>+B24</f>
        <v>2064</v>
      </c>
      <c r="F24"/>
      <c r="G24" s="8"/>
    </row>
    <row r="25" spans="1:13">
      <c r="D25" s="8"/>
      <c r="E25" s="25"/>
      <c r="F25"/>
      <c r="G25" s="8"/>
    </row>
    <row r="26" spans="1:13">
      <c r="A26" t="s">
        <v>16</v>
      </c>
      <c r="D26" s="8">
        <v>-1762.26</v>
      </c>
      <c r="F26"/>
      <c r="G26" s="8">
        <f>-167*10.8</f>
        <v>-1803.6000000000001</v>
      </c>
      <c r="M26" s="8"/>
    </row>
    <row r="27" spans="1:13">
      <c r="D27" s="8"/>
      <c r="F27"/>
      <c r="G27" s="8"/>
    </row>
    <row r="28" spans="1:13">
      <c r="A28" t="str">
        <f>+RS!A$26</f>
        <v xml:space="preserve">Fuel </v>
      </c>
      <c r="C28" s="11">
        <f>+RS!C26</f>
        <v>2.0411219651722302E-3</v>
      </c>
      <c r="D28" s="8">
        <f>+B16*C28</f>
        <v>8625.2833910583431</v>
      </c>
      <c r="F28" s="11">
        <f>+RS!F26</f>
        <v>2.0411219651722302E-3</v>
      </c>
      <c r="G28" s="8">
        <f>+E16*F28</f>
        <v>8625.2833910583431</v>
      </c>
    </row>
    <row r="29" spans="1:13">
      <c r="D29" s="8"/>
      <c r="G29" s="8"/>
    </row>
    <row r="30" spans="1:13">
      <c r="A30" t="str">
        <f>+RS!A$28</f>
        <v>Asset Transfer Rider</v>
      </c>
      <c r="D30" s="60">
        <f>+ATR!D8</f>
        <v>30819.49</v>
      </c>
      <c r="G30" s="60"/>
    </row>
    <row r="31" spans="1:13">
      <c r="D31" s="60"/>
      <c r="G31" s="60"/>
    </row>
    <row r="32" spans="1:13">
      <c r="A32" t="str">
        <f>+RS!A30</f>
        <v>Economic Development Rider</v>
      </c>
      <c r="D32" s="60">
        <v>0</v>
      </c>
      <c r="E32" s="25">
        <f>+E20+E21</f>
        <v>2064</v>
      </c>
      <c r="F32" s="76">
        <f>+RS!F30</f>
        <v>0.15</v>
      </c>
      <c r="G32" s="60">
        <f>+E32*F32</f>
        <v>309.59999999999997</v>
      </c>
    </row>
    <row r="33" spans="1:7">
      <c r="D33" s="60"/>
      <c r="E33" s="25"/>
      <c r="F33" s="26"/>
      <c r="G33" s="60"/>
    </row>
    <row r="34" spans="1:7">
      <c r="A34" t="str">
        <f>+RS!A32</f>
        <v>Big Sandy 1 Operations Rider</v>
      </c>
      <c r="D34" s="60">
        <v>0</v>
      </c>
      <c r="E34" s="25">
        <f>+E16</f>
        <v>4225756</v>
      </c>
      <c r="F34" s="73">
        <f>+RS!F32</f>
        <v>3.3E-3</v>
      </c>
      <c r="G34" s="60">
        <f>+E34*F34</f>
        <v>13944.9948</v>
      </c>
    </row>
    <row r="36" spans="1:7">
      <c r="A36" t="str">
        <f>+RS!A34</f>
        <v>Big Sandy Retirement Rider</v>
      </c>
      <c r="D36" s="60">
        <v>0</v>
      </c>
      <c r="E36" s="8">
        <f>SUM(G13:G34)</f>
        <v>407020.60822105833</v>
      </c>
      <c r="F36" s="100">
        <f>RS!$F$34</f>
        <v>3.8056E-2</v>
      </c>
      <c r="G36" s="60">
        <f>+E36*F36</f>
        <v>15489.576266460595</v>
      </c>
    </row>
    <row r="37" spans="1:7">
      <c r="D37" s="60"/>
      <c r="E37" s="25"/>
      <c r="F37" s="76"/>
      <c r="G37" s="60"/>
    </row>
    <row r="38" spans="1:7">
      <c r="A38" t="str">
        <f>+RS!A$36</f>
        <v>Environmental Surcharge</v>
      </c>
      <c r="D38" s="60">
        <v>0</v>
      </c>
      <c r="E38" s="8">
        <f>E36</f>
        <v>407020.60822105833</v>
      </c>
      <c r="F38" s="100">
        <f>RS!$F$36</f>
        <v>5.9882999999999999E-2</v>
      </c>
      <c r="G38" s="60">
        <f>+E38*F38</f>
        <v>24373.615082101634</v>
      </c>
    </row>
    <row r="39" spans="1:7">
      <c r="D39" s="8"/>
      <c r="G39" s="8"/>
    </row>
    <row r="40" spans="1:7">
      <c r="A40" t="s">
        <v>14</v>
      </c>
      <c r="D40" s="8">
        <f>SUM(D13:D39)</f>
        <v>390357.49822105828</v>
      </c>
      <c r="G40" s="8">
        <f>SUM(G13:G38)</f>
        <v>446883.79956962052</v>
      </c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7"/>
  <sheetViews>
    <sheetView workbookViewId="0">
      <selection activeCell="A33" sqref="A33"/>
    </sheetView>
  </sheetViews>
  <sheetFormatPr defaultRowHeight="12.75"/>
  <cols>
    <col min="1" max="1" width="22.28515625" customWidth="1"/>
    <col min="2" max="2" width="12.7109375" customWidth="1"/>
    <col min="3" max="3" width="12.85546875" customWidth="1"/>
    <col min="4" max="4" width="12.7109375" customWidth="1"/>
    <col min="5" max="5" width="16.28515625" style="21" customWidth="1"/>
    <col min="6" max="6" width="13.7109375" style="21" customWidth="1"/>
    <col min="7" max="7" width="13.425781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113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21</v>
      </c>
      <c r="B13" s="78">
        <v>15485</v>
      </c>
      <c r="C13" s="13">
        <f>RSLMTOD!C13</f>
        <v>0.13227</v>
      </c>
      <c r="D13" s="8">
        <f>+B13*C13</f>
        <v>2048.2009499999999</v>
      </c>
      <c r="E13" s="25">
        <f>+B13</f>
        <v>15485</v>
      </c>
      <c r="F13" s="73">
        <f>RSLMTOD!F13</f>
        <v>0.13879</v>
      </c>
      <c r="G13" s="8">
        <f>+E13*F13</f>
        <v>2149.1631499999999</v>
      </c>
    </row>
    <row r="14" spans="1:7">
      <c r="A14" t="s">
        <v>22</v>
      </c>
      <c r="B14" s="78">
        <v>31006</v>
      </c>
      <c r="C14" s="13">
        <f>RSLMTOD!C14</f>
        <v>4.9399999999999999E-2</v>
      </c>
      <c r="D14" s="8">
        <f>+B14*C14</f>
        <v>1531.6964</v>
      </c>
      <c r="E14" s="25">
        <f>+B14</f>
        <v>31006</v>
      </c>
      <c r="F14" s="73">
        <f>RSLMTOD!F14</f>
        <v>5.2159999999999998E-2</v>
      </c>
      <c r="G14" s="8">
        <f>+E14*F14</f>
        <v>1617.27296</v>
      </c>
    </row>
    <row r="15" spans="1:7">
      <c r="D15" s="8"/>
      <c r="E15" s="25"/>
      <c r="F15" s="75"/>
      <c r="G15" s="8"/>
    </row>
    <row r="16" spans="1:7">
      <c r="A16" t="s">
        <v>11</v>
      </c>
      <c r="B16" s="5">
        <f>SUM(B13:B14)</f>
        <v>46491</v>
      </c>
      <c r="D16" s="8"/>
      <c r="E16" s="25">
        <f>+B16</f>
        <v>46491</v>
      </c>
      <c r="F16" s="75"/>
      <c r="G16" s="8"/>
    </row>
    <row r="17" spans="1:10">
      <c r="D17" s="8"/>
      <c r="E17" s="25"/>
      <c r="F17" s="75"/>
      <c r="G17" s="8"/>
    </row>
    <row r="18" spans="1:10">
      <c r="A18" s="61" t="s">
        <v>12</v>
      </c>
      <c r="B18" s="78">
        <v>36</v>
      </c>
      <c r="C18" s="27">
        <f>+RSLMTOD!C20</f>
        <v>10.55</v>
      </c>
      <c r="D18" s="8">
        <f>+B18*C18</f>
        <v>379.8</v>
      </c>
      <c r="E18" s="25">
        <f>+B18</f>
        <v>36</v>
      </c>
      <c r="F18" s="76">
        <f>RSLMTOD!F20</f>
        <v>18.7</v>
      </c>
      <c r="G18" s="8">
        <f>+E18*F18</f>
        <v>673.19999999999993</v>
      </c>
    </row>
    <row r="19" spans="1:10">
      <c r="A19" s="61" t="s">
        <v>206</v>
      </c>
      <c r="B19" s="78">
        <f>+B18</f>
        <v>36</v>
      </c>
      <c r="C19" s="27">
        <v>0.15</v>
      </c>
      <c r="D19" s="8">
        <f>+B19*C19</f>
        <v>5.3999999999999995</v>
      </c>
      <c r="E19" s="25">
        <f>B19</f>
        <v>36</v>
      </c>
      <c r="F19" s="76">
        <f>C19</f>
        <v>0.15</v>
      </c>
      <c r="G19" s="8">
        <f>+E19*F19</f>
        <v>5.3999999999999995</v>
      </c>
      <c r="J19" s="94"/>
    </row>
    <row r="20" spans="1:10">
      <c r="B20" s="75"/>
      <c r="D20" s="8"/>
      <c r="E20" s="25"/>
      <c r="F20" s="75"/>
      <c r="G20" s="8"/>
    </row>
    <row r="21" spans="1:10">
      <c r="A21" t="s">
        <v>13</v>
      </c>
      <c r="B21" s="78">
        <v>36</v>
      </c>
      <c r="D21" s="8"/>
      <c r="E21" s="25">
        <f>+B21</f>
        <v>36</v>
      </c>
      <c r="F21" s="75"/>
      <c r="G21" s="8"/>
    </row>
    <row r="22" spans="1:10">
      <c r="D22" s="8"/>
      <c r="E22" s="25"/>
      <c r="F22" s="75"/>
      <c r="G22" s="8"/>
    </row>
    <row r="23" spans="1:10">
      <c r="A23" t="s">
        <v>16</v>
      </c>
      <c r="C23" s="11"/>
      <c r="D23" s="8">
        <v>0</v>
      </c>
      <c r="F23" s="79"/>
      <c r="G23" s="8">
        <v>0</v>
      </c>
    </row>
    <row r="24" spans="1:10">
      <c r="D24" s="8"/>
      <c r="F24" s="75"/>
      <c r="G24" s="8"/>
    </row>
    <row r="25" spans="1:10">
      <c r="A25" t="str">
        <f>+RS!A$26</f>
        <v xml:space="preserve">Fuel </v>
      </c>
      <c r="C25" s="11">
        <f>+RS!C26</f>
        <v>2.0411219651722302E-3</v>
      </c>
      <c r="D25" s="8">
        <f>+B16*C25</f>
        <v>94.893801282822153</v>
      </c>
      <c r="F25" s="79">
        <f>+RS!F26</f>
        <v>2.0411219651722302E-3</v>
      </c>
      <c r="G25" s="8">
        <f>+E16*F25</f>
        <v>94.893801282822153</v>
      </c>
    </row>
    <row r="26" spans="1:10">
      <c r="D26" s="8"/>
      <c r="F26" s="80"/>
      <c r="G26" s="8"/>
    </row>
    <row r="27" spans="1:10">
      <c r="A27" t="str">
        <f>+RS!A$28</f>
        <v>Asset Transfer Rider</v>
      </c>
      <c r="D27" s="8">
        <f>+ATR!D9</f>
        <v>331.36</v>
      </c>
      <c r="F27" s="80"/>
      <c r="G27" s="8"/>
    </row>
    <row r="28" spans="1:10">
      <c r="D28" s="8"/>
      <c r="F28" s="80"/>
      <c r="G28" s="8"/>
    </row>
    <row r="29" spans="1:10">
      <c r="A29" t="str">
        <f>+RS!A30</f>
        <v>Economic Development Rider</v>
      </c>
      <c r="D29" s="8">
        <v>0</v>
      </c>
      <c r="E29" s="25">
        <f>+E18</f>
        <v>36</v>
      </c>
      <c r="F29" s="76">
        <f>+RS!F30</f>
        <v>0.15</v>
      </c>
      <c r="G29" s="8">
        <f>+E29*F29</f>
        <v>5.3999999999999995</v>
      </c>
    </row>
    <row r="30" spans="1:10">
      <c r="D30" s="8"/>
      <c r="E30" s="25"/>
      <c r="F30" s="76"/>
      <c r="G30" s="8"/>
    </row>
    <row r="31" spans="1:10">
      <c r="A31" t="str">
        <f>+RS!A32</f>
        <v>Big Sandy 1 Operations Rider</v>
      </c>
      <c r="D31" s="8">
        <v>0</v>
      </c>
      <c r="E31" s="25">
        <f>+E16</f>
        <v>46491</v>
      </c>
      <c r="F31" s="73">
        <f>+RS!F32</f>
        <v>3.3E-3</v>
      </c>
      <c r="G31" s="8">
        <f>+E31*F31</f>
        <v>153.4203</v>
      </c>
    </row>
    <row r="32" spans="1:10">
      <c r="D32" s="8"/>
      <c r="E32" s="25"/>
      <c r="F32" s="76"/>
      <c r="G32" s="8"/>
    </row>
    <row r="33" spans="1:7">
      <c r="A33" t="str">
        <f>+RS!A34</f>
        <v>Big Sandy Retirement Rider</v>
      </c>
      <c r="D33" s="8">
        <v>0</v>
      </c>
      <c r="E33" s="8">
        <f>SUM(G13:G31)</f>
        <v>4698.7502112828206</v>
      </c>
      <c r="F33" s="100">
        <f>RS!$F$34</f>
        <v>3.8056E-2</v>
      </c>
      <c r="G33" s="8">
        <f>+E33*F33</f>
        <v>178.81563804057902</v>
      </c>
    </row>
    <row r="34" spans="1:7">
      <c r="D34" s="8"/>
      <c r="E34" s="25"/>
      <c r="F34" s="76"/>
      <c r="G34" s="8"/>
    </row>
    <row r="35" spans="1:7">
      <c r="A35" t="str">
        <f>+RS!A$36</f>
        <v>Environmental Surcharge</v>
      </c>
      <c r="D35" s="60">
        <v>0</v>
      </c>
      <c r="E35" s="8">
        <f>SUM(G13:G31)</f>
        <v>4698.7502112828206</v>
      </c>
      <c r="F35" s="100">
        <f>RS!$F$36</f>
        <v>5.9882999999999999E-2</v>
      </c>
      <c r="G35" s="8">
        <f>+E35*F35</f>
        <v>281.37525890224913</v>
      </c>
    </row>
    <row r="36" spans="1:7">
      <c r="D36" s="8"/>
      <c r="G36" s="8"/>
    </row>
    <row r="37" spans="1:7">
      <c r="A37" s="61" t="s">
        <v>14</v>
      </c>
      <c r="D37" s="8">
        <f>SUM(D13:D36)</f>
        <v>4391.3511512828227</v>
      </c>
      <c r="G37" s="8">
        <f>SUM(G13:G36)</f>
        <v>5158.9411082256483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8"/>
  <sheetViews>
    <sheetView workbookViewId="0"/>
  </sheetViews>
  <sheetFormatPr defaultRowHeight="12.75"/>
  <cols>
    <col min="1" max="1" width="21.85546875" customWidth="1"/>
    <col min="2" max="2" width="12.85546875" customWidth="1"/>
    <col min="3" max="3" width="12.42578125" customWidth="1"/>
    <col min="4" max="4" width="14.42578125" bestFit="1" customWidth="1"/>
    <col min="5" max="5" width="16.28515625" style="21" customWidth="1"/>
    <col min="6" max="7" width="14.28515625" style="21" customWidth="1"/>
    <col min="8" max="8" width="16.5703125" style="21" customWidth="1"/>
    <col min="9" max="9" width="10.7109375" style="21" bestFit="1" customWidth="1"/>
    <col min="10" max="10" width="8.85546875" style="21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SEPTEMBER 30, 2014</v>
      </c>
    </row>
    <row r="5" spans="1:9">
      <c r="A5" t="s">
        <v>0</v>
      </c>
    </row>
    <row r="8" spans="1:9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9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9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9">
      <c r="A12" s="4" t="s">
        <v>8</v>
      </c>
      <c r="E12" s="25"/>
    </row>
    <row r="13" spans="1:9">
      <c r="A13" t="s">
        <v>9</v>
      </c>
      <c r="B13" s="78">
        <v>62183999</v>
      </c>
      <c r="C13" s="68">
        <v>0.13159999999999999</v>
      </c>
      <c r="D13" s="8">
        <f>+B13*C13</f>
        <v>8183414.2683999995</v>
      </c>
      <c r="E13" s="25">
        <f>+B13</f>
        <v>62183999</v>
      </c>
      <c r="F13" s="73">
        <v>0.115</v>
      </c>
      <c r="G13" s="8">
        <f>+E13*F13</f>
        <v>7151159.8850000007</v>
      </c>
      <c r="H13" s="94"/>
      <c r="I13" s="94"/>
    </row>
    <row r="14" spans="1:9">
      <c r="A14" t="s">
        <v>10</v>
      </c>
      <c r="B14" s="78">
        <v>76024369</v>
      </c>
      <c r="C14" s="68">
        <v>7.1160000000000001E-2</v>
      </c>
      <c r="D14" s="8">
        <f>+B14*C14</f>
        <v>5409894.0980400005</v>
      </c>
      <c r="E14" s="25">
        <f>+B14</f>
        <v>76024369</v>
      </c>
      <c r="F14" s="73">
        <v>7.0569999999999994E-2</v>
      </c>
      <c r="G14" s="8">
        <f>+E14*F14</f>
        <v>5365039.7203299999</v>
      </c>
      <c r="H14" s="25"/>
      <c r="I14" s="94"/>
    </row>
    <row r="15" spans="1:9">
      <c r="C15" s="61"/>
      <c r="D15" s="8"/>
      <c r="E15" s="25"/>
      <c r="F15" s="75"/>
      <c r="G15" s="8"/>
    </row>
    <row r="16" spans="1:9">
      <c r="A16" t="s">
        <v>11</v>
      </c>
      <c r="B16" s="5">
        <f>SUM(B13:B14)</f>
        <v>138208368</v>
      </c>
      <c r="C16" s="61"/>
      <c r="D16" s="8"/>
      <c r="E16" s="25">
        <f>+B16</f>
        <v>138208368</v>
      </c>
      <c r="F16" s="75"/>
      <c r="G16" s="8"/>
    </row>
    <row r="17" spans="1:10">
      <c r="C17" s="61"/>
      <c r="D17" s="8"/>
      <c r="E17" s="25"/>
      <c r="F17" s="75"/>
      <c r="G17" s="8"/>
    </row>
    <row r="18" spans="1:10">
      <c r="A18" t="s">
        <v>12</v>
      </c>
      <c r="B18" s="78">
        <v>271566</v>
      </c>
      <c r="C18" s="71">
        <v>11.5</v>
      </c>
      <c r="D18" s="8">
        <f>+B18*C18</f>
        <v>3123009</v>
      </c>
      <c r="E18" s="25">
        <f>+B18</f>
        <v>271566</v>
      </c>
      <c r="F18" s="76">
        <v>19.5</v>
      </c>
      <c r="G18" s="8">
        <f>+E18*F18</f>
        <v>5295537</v>
      </c>
      <c r="H18" s="94"/>
    </row>
    <row r="19" spans="1:10">
      <c r="B19" s="75"/>
      <c r="C19" s="61"/>
      <c r="D19" s="8"/>
      <c r="E19" s="25"/>
      <c r="F19" s="75"/>
      <c r="G19" s="8"/>
    </row>
    <row r="20" spans="1:10">
      <c r="A20" t="s">
        <v>13</v>
      </c>
      <c r="B20" s="78">
        <v>271464</v>
      </c>
      <c r="C20" s="61"/>
      <c r="D20" s="8"/>
      <c r="E20" s="25">
        <f>+B20</f>
        <v>271464</v>
      </c>
      <c r="F20" s="75"/>
      <c r="G20" s="8"/>
    </row>
    <row r="21" spans="1:10">
      <c r="C21" s="61"/>
      <c r="D21" s="8"/>
      <c r="E21" s="25"/>
      <c r="F21" s="75"/>
      <c r="G21" s="8"/>
    </row>
    <row r="22" spans="1:10">
      <c r="A22" t="str">
        <f>+RS!A$26</f>
        <v xml:space="preserve">Fuel </v>
      </c>
      <c r="C22" s="82">
        <f>+RS!C26</f>
        <v>2.0411219651722302E-3</v>
      </c>
      <c r="D22" s="8">
        <f>+B16*C22</f>
        <v>282100.13569540676</v>
      </c>
      <c r="F22" s="79">
        <f>RS!$F$26</f>
        <v>2.0411219651722302E-3</v>
      </c>
      <c r="G22" s="8">
        <f>+E16*F22</f>
        <v>282100.13569540676</v>
      </c>
      <c r="J22" s="94"/>
    </row>
    <row r="23" spans="1:10">
      <c r="D23" s="8"/>
      <c r="F23" s="80"/>
      <c r="G23" s="8"/>
    </row>
    <row r="24" spans="1:10">
      <c r="A24" t="str">
        <f>+RS!A$28</f>
        <v>Asset Transfer Rider</v>
      </c>
      <c r="D24" s="60">
        <f>+ATR!D14</f>
        <v>1903575.11</v>
      </c>
      <c r="F24" s="80"/>
      <c r="G24" s="60">
        <v>0</v>
      </c>
    </row>
    <row r="25" spans="1:10">
      <c r="D25" s="60"/>
      <c r="F25" s="80"/>
      <c r="G25" s="60"/>
    </row>
    <row r="26" spans="1:10">
      <c r="A26" t="str">
        <f>RS!A30</f>
        <v>Economic Development Rider</v>
      </c>
      <c r="D26" s="60">
        <v>0</v>
      </c>
      <c r="E26" s="25">
        <f>+E18</f>
        <v>271566</v>
      </c>
      <c r="F26" s="76">
        <f>RS!F30</f>
        <v>0.15</v>
      </c>
      <c r="G26" s="60">
        <f>+E26*F26</f>
        <v>40734.9</v>
      </c>
    </row>
    <row r="27" spans="1:10">
      <c r="D27" s="60"/>
      <c r="E27" s="25"/>
      <c r="F27" s="76"/>
      <c r="G27" s="60"/>
    </row>
    <row r="28" spans="1:10">
      <c r="A28" t="str">
        <f>RS!A32</f>
        <v>Big Sandy 1 Operations Rider</v>
      </c>
      <c r="D28" s="60">
        <v>0</v>
      </c>
      <c r="E28" s="25"/>
      <c r="F28" s="73">
        <v>2.7200000000000002E-3</v>
      </c>
      <c r="G28" s="60">
        <f>+F28*E16</f>
        <v>375926.76096000004</v>
      </c>
    </row>
    <row r="29" spans="1:10">
      <c r="D29" s="60"/>
      <c r="E29" s="25"/>
      <c r="F29" s="76"/>
      <c r="G29" s="60"/>
    </row>
    <row r="30" spans="1:10">
      <c r="A30" t="str">
        <f>RS!A34</f>
        <v>Big Sandy Retirement Rider</v>
      </c>
      <c r="D30" s="60">
        <v>0</v>
      </c>
      <c r="E30" s="94">
        <f>SUM(G12:G29)-G22-G38</f>
        <v>14303280.615090001</v>
      </c>
      <c r="F30" s="100">
        <v>6.2296999999999998E-2</v>
      </c>
      <c r="G30" s="60">
        <f>E30*F30</f>
        <v>891051.4724782618</v>
      </c>
    </row>
    <row r="31" spans="1:10">
      <c r="D31" s="60"/>
      <c r="E31" s="25"/>
      <c r="F31" s="76"/>
      <c r="G31" s="60"/>
    </row>
    <row r="32" spans="1:10">
      <c r="A32" t="str">
        <f>+RS!A$36</f>
        <v>Environmental Surcharge</v>
      </c>
      <c r="D32" s="60">
        <v>0</v>
      </c>
      <c r="E32" s="94">
        <f>E30</f>
        <v>14303280.615090001</v>
      </c>
      <c r="F32" s="100">
        <v>9.8027000000000003E-2</v>
      </c>
      <c r="G32" s="60">
        <f>E32*F32</f>
        <v>1402107.6888554276</v>
      </c>
    </row>
    <row r="33" spans="1:7">
      <c r="D33" s="8"/>
      <c r="G33" s="8"/>
    </row>
    <row r="34" spans="1:7">
      <c r="A34" t="s">
        <v>14</v>
      </c>
      <c r="D34" s="8">
        <f>SUM(D13:D33)</f>
        <v>18901992.612135407</v>
      </c>
      <c r="F34" s="94"/>
      <c r="G34" s="8">
        <f>SUM(G13:G33)</f>
        <v>20803657.563319098</v>
      </c>
    </row>
    <row r="38" spans="1:7">
      <c r="A38" s="61" t="s">
        <v>216</v>
      </c>
      <c r="F38" s="79">
        <v>2.8400000000000002E-2</v>
      </c>
      <c r="G38" s="8">
        <f>+E16*F38</f>
        <v>3925117.6512000002</v>
      </c>
    </row>
  </sheetData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8"/>
  <sheetViews>
    <sheetView workbookViewId="0">
      <selection activeCell="G38" sqref="G38"/>
    </sheetView>
  </sheetViews>
  <sheetFormatPr defaultRowHeight="12.75"/>
  <cols>
    <col min="1" max="1" width="21.42578125" customWidth="1"/>
    <col min="3" max="3" width="13.28515625" customWidth="1"/>
    <col min="4" max="4" width="11.140625" customWidth="1"/>
    <col min="5" max="5" width="14.7109375" style="21" customWidth="1"/>
    <col min="6" max="6" width="13.28515625" style="21" customWidth="1"/>
    <col min="7" max="7" width="13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124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47</v>
      </c>
      <c r="B13" s="78">
        <v>1456</v>
      </c>
      <c r="C13" s="68">
        <v>0.15326000000000001</v>
      </c>
      <c r="D13" s="8">
        <f>+B13*C13</f>
        <v>223.14656000000002</v>
      </c>
      <c r="E13" s="25">
        <f>+B13</f>
        <v>1456</v>
      </c>
      <c r="F13" s="73">
        <v>0.13755000000000001</v>
      </c>
      <c r="G13" s="8">
        <f>+E13*F13</f>
        <v>200.27280000000002</v>
      </c>
    </row>
    <row r="14" spans="1:7">
      <c r="A14" t="s">
        <v>48</v>
      </c>
      <c r="B14" s="78">
        <v>1556</v>
      </c>
      <c r="C14" s="68">
        <v>4.9399999999999999E-2</v>
      </c>
      <c r="D14" s="8">
        <f>+B14*C14</f>
        <v>76.866399999999999</v>
      </c>
      <c r="E14" s="25">
        <f>+B14</f>
        <v>1556</v>
      </c>
      <c r="F14" s="73">
        <v>5.2159999999999998E-2</v>
      </c>
      <c r="G14" s="8">
        <f>+E14*F14</f>
        <v>81.160960000000003</v>
      </c>
    </row>
    <row r="15" spans="1:7">
      <c r="C15" s="61"/>
      <c r="D15" s="8"/>
      <c r="E15" s="25"/>
      <c r="F15" s="75"/>
      <c r="G15" s="8"/>
    </row>
    <row r="16" spans="1:7">
      <c r="A16" t="s">
        <v>11</v>
      </c>
      <c r="B16" s="5">
        <f>SUM(B13:B14)</f>
        <v>3012</v>
      </c>
      <c r="C16" s="61"/>
      <c r="D16" s="8"/>
      <c r="E16" s="25">
        <f>+B16</f>
        <v>3012</v>
      </c>
      <c r="F16" s="75"/>
      <c r="G16" s="8"/>
    </row>
    <row r="17" spans="1:7">
      <c r="C17" s="61"/>
      <c r="D17" s="8"/>
      <c r="E17" s="25"/>
      <c r="F17" s="75"/>
      <c r="G17" s="8"/>
    </row>
    <row r="18" spans="1:7">
      <c r="A18" t="s">
        <v>12</v>
      </c>
      <c r="B18" s="81">
        <v>12</v>
      </c>
      <c r="C18" s="71">
        <v>15.1</v>
      </c>
      <c r="D18" s="8">
        <f>+B18*C18</f>
        <v>181.2</v>
      </c>
      <c r="E18" s="21">
        <f>+B18</f>
        <v>12</v>
      </c>
      <c r="F18" s="76">
        <v>19.5</v>
      </c>
      <c r="G18" s="8">
        <f>+E18*F18</f>
        <v>234</v>
      </c>
    </row>
    <row r="19" spans="1:7">
      <c r="C19" s="61"/>
      <c r="D19" s="8"/>
      <c r="F19" s="75"/>
      <c r="G19" s="8"/>
    </row>
    <row r="20" spans="1:7">
      <c r="A20" t="s">
        <v>13</v>
      </c>
      <c r="B20" s="78">
        <v>12</v>
      </c>
      <c r="C20" s="61"/>
      <c r="D20" s="8"/>
      <c r="E20" s="25">
        <f>+B20</f>
        <v>12</v>
      </c>
      <c r="F20" s="75"/>
      <c r="G20" s="8"/>
    </row>
    <row r="21" spans="1:7">
      <c r="C21" s="61"/>
      <c r="D21" s="8"/>
      <c r="F21" s="75"/>
      <c r="G21" s="8"/>
    </row>
    <row r="22" spans="1:7">
      <c r="A22" t="str">
        <f>+RS!A$26</f>
        <v xml:space="preserve">Fuel </v>
      </c>
      <c r="C22" s="82">
        <f>+RS!C26</f>
        <v>2.0411219651722302E-3</v>
      </c>
      <c r="D22" s="8">
        <f>+B16*C22</f>
        <v>6.1478593590987574</v>
      </c>
      <c r="F22" s="79">
        <f>RS!$F$26</f>
        <v>2.0411219651722302E-3</v>
      </c>
      <c r="G22" s="8">
        <f>+E16*F22</f>
        <v>6.1478593590987574</v>
      </c>
    </row>
    <row r="23" spans="1:7">
      <c r="D23" s="8"/>
      <c r="G23" s="8"/>
    </row>
    <row r="24" spans="1:7">
      <c r="A24" t="str">
        <f>+RS!A$28</f>
        <v>Asset Transfer Rider</v>
      </c>
      <c r="D24" s="60">
        <f>+ATR!D15</f>
        <v>59.32</v>
      </c>
      <c r="G24" s="60"/>
    </row>
    <row r="25" spans="1:7">
      <c r="D25" s="60"/>
      <c r="G25" s="60"/>
    </row>
    <row r="26" spans="1:7">
      <c r="A26" t="str">
        <f>RS!A30</f>
        <v>Economic Development Rider</v>
      </c>
      <c r="D26" s="60">
        <v>0</v>
      </c>
      <c r="E26" s="25">
        <f>+E18</f>
        <v>12</v>
      </c>
      <c r="F26" s="76">
        <f>RS!F30</f>
        <v>0.15</v>
      </c>
      <c r="G26" s="60">
        <f>+E26*F26</f>
        <v>1.7999999999999998</v>
      </c>
    </row>
    <row r="27" spans="1:7">
      <c r="D27" s="60"/>
      <c r="E27" s="25"/>
      <c r="F27" s="26"/>
      <c r="G27" s="60"/>
    </row>
    <row r="28" spans="1:7">
      <c r="A28" t="str">
        <f>RS!A32</f>
        <v>Big Sandy 1 Operations Rider</v>
      </c>
      <c r="D28" s="60">
        <v>0</v>
      </c>
      <c r="E28" s="25"/>
      <c r="F28" s="73">
        <f>+SGS!F28</f>
        <v>2.7200000000000002E-3</v>
      </c>
      <c r="G28" s="60">
        <f>+F28*E16</f>
        <v>8.1926400000000008</v>
      </c>
    </row>
    <row r="29" spans="1:7">
      <c r="D29" s="60"/>
      <c r="E29" s="25"/>
      <c r="F29" s="26"/>
      <c r="G29" s="60"/>
    </row>
    <row r="30" spans="1:7">
      <c r="A30" t="str">
        <f>RS!A34</f>
        <v>Big Sandy Retirement Rider</v>
      </c>
      <c r="D30" s="60">
        <v>0</v>
      </c>
      <c r="E30" s="94">
        <f>SUM(G12:G29)-G22-G38</f>
        <v>439.88559999999995</v>
      </c>
      <c r="F30" s="100">
        <f>SGS!$F$30</f>
        <v>6.2296999999999998E-2</v>
      </c>
      <c r="G30" s="60">
        <f>+E30*F30</f>
        <v>27.403553223199996</v>
      </c>
    </row>
    <row r="31" spans="1:7">
      <c r="D31" s="60"/>
      <c r="E31" s="25"/>
      <c r="F31" s="76"/>
      <c r="G31" s="60"/>
    </row>
    <row r="32" spans="1:7">
      <c r="A32" t="str">
        <f>+RS!A$36</f>
        <v>Environmental Surcharge</v>
      </c>
      <c r="D32" s="60">
        <v>0</v>
      </c>
      <c r="E32" s="94">
        <f>E30</f>
        <v>439.88559999999995</v>
      </c>
      <c r="F32" s="100">
        <f>SGS!$F$32</f>
        <v>9.8027000000000003E-2</v>
      </c>
      <c r="G32" s="60">
        <f>+E32*F32</f>
        <v>43.120665711199997</v>
      </c>
    </row>
    <row r="33" spans="1:7">
      <c r="D33" s="8"/>
      <c r="G33" s="8"/>
    </row>
    <row r="34" spans="1:7">
      <c r="A34" t="s">
        <v>49</v>
      </c>
      <c r="D34" s="8">
        <f>SUM(D13:D33)</f>
        <v>546.68081935909879</v>
      </c>
      <c r="G34" s="8">
        <f>SUM(G13:G33)</f>
        <v>602.09847829349872</v>
      </c>
    </row>
    <row r="38" spans="1:7">
      <c r="A38" s="61" t="s">
        <v>216</v>
      </c>
      <c r="F38" s="79">
        <f>SGS!$F$38</f>
        <v>2.8400000000000002E-2</v>
      </c>
      <c r="G38" s="8">
        <f>+E16*F38</f>
        <v>85.540800000000004</v>
      </c>
    </row>
  </sheetData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9"/>
  <sheetViews>
    <sheetView workbookViewId="0"/>
  </sheetViews>
  <sheetFormatPr defaultRowHeight="12.75"/>
  <cols>
    <col min="1" max="1" width="21.42578125" customWidth="1"/>
    <col min="3" max="3" width="12.42578125" customWidth="1"/>
    <col min="4" max="4" width="11.140625" customWidth="1"/>
    <col min="5" max="5" width="16.28515625" style="21" customWidth="1"/>
    <col min="6" max="6" width="13.7109375" style="21" customWidth="1"/>
    <col min="7" max="7" width="11.85546875" style="21" customWidth="1"/>
    <col min="8" max="9" width="8.85546875" style="21" customWidth="1"/>
    <col min="10" max="10" width="15" style="21" bestFit="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131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128</v>
      </c>
      <c r="B13" s="78">
        <v>23647</v>
      </c>
      <c r="C13" s="68">
        <v>0.13538</v>
      </c>
      <c r="D13" s="8">
        <f>+B13*C13</f>
        <v>3201.33086</v>
      </c>
      <c r="E13" s="25">
        <f>+B13</f>
        <v>23647</v>
      </c>
      <c r="F13" s="73">
        <v>0.11126</v>
      </c>
      <c r="G13" s="8">
        <f>+E13*F13</f>
        <v>2630.96522</v>
      </c>
    </row>
    <row r="14" spans="1:7">
      <c r="A14" t="s">
        <v>129</v>
      </c>
      <c r="B14" s="78">
        <v>32745</v>
      </c>
      <c r="C14" s="68">
        <v>0.15553</v>
      </c>
      <c r="D14" s="8">
        <f>+B14*C14</f>
        <v>5092.8298500000001</v>
      </c>
      <c r="E14" s="25">
        <f>+B14</f>
        <v>32745</v>
      </c>
      <c r="F14" s="73">
        <v>0.1202</v>
      </c>
      <c r="G14" s="8">
        <f>+E14*F14</f>
        <v>3935.9490000000001</v>
      </c>
    </row>
    <row r="15" spans="1:7">
      <c r="A15" t="s">
        <v>48</v>
      </c>
      <c r="B15" s="78">
        <v>308952</v>
      </c>
      <c r="C15" s="68">
        <v>8.6999999999999994E-2</v>
      </c>
      <c r="D15" s="8">
        <f>+B15*C15</f>
        <v>26878.823999999997</v>
      </c>
      <c r="E15" s="25">
        <f>+B15</f>
        <v>308952</v>
      </c>
      <c r="F15" s="73">
        <v>8.4760000000000002E-2</v>
      </c>
      <c r="G15" s="8">
        <f>+E15*F15</f>
        <v>26186.771520000002</v>
      </c>
    </row>
    <row r="16" spans="1:7">
      <c r="C16" s="61"/>
      <c r="D16" s="8"/>
      <c r="E16" s="25"/>
      <c r="F16" s="75"/>
      <c r="G16" s="8"/>
    </row>
    <row r="17" spans="1:7">
      <c r="A17" t="s">
        <v>11</v>
      </c>
      <c r="B17" s="5">
        <f>SUM(B13:B15)</f>
        <v>365344</v>
      </c>
      <c r="C17" s="61"/>
      <c r="D17" s="8"/>
      <c r="E17" s="25">
        <f>+B17</f>
        <v>365344</v>
      </c>
      <c r="F17" s="75"/>
      <c r="G17" s="8"/>
    </row>
    <row r="18" spans="1:7">
      <c r="C18" s="61"/>
      <c r="D18" s="8"/>
      <c r="E18" s="25"/>
      <c r="F18" s="75"/>
      <c r="G18" s="8"/>
    </row>
    <row r="19" spans="1:7">
      <c r="A19" t="s">
        <v>12</v>
      </c>
      <c r="B19" s="78">
        <v>911.96299999999997</v>
      </c>
      <c r="C19" s="71">
        <v>14.95</v>
      </c>
      <c r="D19" s="8">
        <f>+B19*C19</f>
        <v>13633.846849999998</v>
      </c>
      <c r="E19" s="25">
        <f>+B19</f>
        <v>911.96299999999997</v>
      </c>
      <c r="F19" s="76">
        <v>19.5</v>
      </c>
      <c r="G19" s="8">
        <f>+E19*F19</f>
        <v>17783.2785</v>
      </c>
    </row>
    <row r="20" spans="1:7">
      <c r="B20" s="75"/>
      <c r="C20" s="61"/>
      <c r="D20" s="8"/>
      <c r="E20" s="25"/>
      <c r="F20" s="75"/>
      <c r="G20" s="8"/>
    </row>
    <row r="21" spans="1:7">
      <c r="A21" t="s">
        <v>13</v>
      </c>
      <c r="B21" s="78">
        <v>912</v>
      </c>
      <c r="C21" s="61"/>
      <c r="D21" s="8"/>
      <c r="E21" s="25">
        <f>+B21</f>
        <v>912</v>
      </c>
      <c r="F21" s="75"/>
      <c r="G21" s="8"/>
    </row>
    <row r="22" spans="1:7">
      <c r="C22" s="61"/>
      <c r="D22" s="8"/>
      <c r="F22" s="75"/>
      <c r="G22" s="8"/>
    </row>
    <row r="23" spans="1:7">
      <c r="A23" t="str">
        <f>+RS!A$26</f>
        <v xml:space="preserve">Fuel </v>
      </c>
      <c r="C23" s="82">
        <f>+RS!C26</f>
        <v>2.0411219651722302E-3</v>
      </c>
      <c r="D23" s="8">
        <f>+B17*C23</f>
        <v>745.71166324388332</v>
      </c>
      <c r="F23" s="79">
        <f>RS!$F$26</f>
        <v>2.0411219651722302E-3</v>
      </c>
      <c r="G23" s="8">
        <f>+E17*F23</f>
        <v>745.71166324388332</v>
      </c>
    </row>
    <row r="24" spans="1:7">
      <c r="D24" s="8"/>
      <c r="F24" s="80"/>
      <c r="G24" s="8"/>
    </row>
    <row r="25" spans="1:7">
      <c r="A25" t="str">
        <f>+RS!A$28</f>
        <v>Asset Transfer Rider</v>
      </c>
      <c r="D25" s="60">
        <f>+ATR!D16</f>
        <v>5620</v>
      </c>
      <c r="F25" s="80"/>
      <c r="G25" s="60"/>
    </row>
    <row r="26" spans="1:7">
      <c r="D26" s="60"/>
      <c r="F26" s="80"/>
      <c r="G26" s="60"/>
    </row>
    <row r="27" spans="1:7">
      <c r="A27" t="str">
        <f>RS!A30</f>
        <v>Economic Development Rider</v>
      </c>
      <c r="D27" s="60">
        <v>0</v>
      </c>
      <c r="E27" s="25">
        <f>E19</f>
        <v>911.96299999999997</v>
      </c>
      <c r="F27" s="76">
        <f>RS!F30</f>
        <v>0.15</v>
      </c>
      <c r="G27" s="60">
        <f>E27*F27</f>
        <v>136.79444999999998</v>
      </c>
    </row>
    <row r="28" spans="1:7">
      <c r="D28" s="60"/>
      <c r="E28" s="25"/>
      <c r="F28" s="76"/>
      <c r="G28" s="60"/>
    </row>
    <row r="29" spans="1:7">
      <c r="A29" t="str">
        <f>RS!A32</f>
        <v>Big Sandy 1 Operations Rider</v>
      </c>
      <c r="D29" s="60">
        <v>0</v>
      </c>
      <c r="E29" s="25"/>
      <c r="F29" s="73">
        <f>+SGS!F28</f>
        <v>2.7200000000000002E-3</v>
      </c>
      <c r="G29" s="60">
        <f>+F29*E17</f>
        <v>993.73568000000012</v>
      </c>
    </row>
    <row r="30" spans="1:7">
      <c r="D30" s="60"/>
      <c r="E30" s="25"/>
      <c r="F30" s="76"/>
      <c r="G30" s="60"/>
    </row>
    <row r="31" spans="1:7">
      <c r="A31" t="str">
        <f>RS!A34</f>
        <v>Big Sandy Retirement Rider</v>
      </c>
      <c r="D31" s="60">
        <v>0</v>
      </c>
      <c r="E31" s="94">
        <f>SUM(G13:G30)-G23-G39</f>
        <v>41291.724770000001</v>
      </c>
      <c r="F31" s="100">
        <f>SGS!$F$30</f>
        <v>6.2296999999999998E-2</v>
      </c>
      <c r="G31" s="60">
        <f>E31*F31</f>
        <v>2572.3505779966899</v>
      </c>
    </row>
    <row r="32" spans="1:7">
      <c r="D32" s="60"/>
      <c r="E32" s="25"/>
      <c r="F32" s="76"/>
      <c r="G32" s="60"/>
    </row>
    <row r="33" spans="1:7">
      <c r="A33" t="str">
        <f>+RS!A$36</f>
        <v>Environmental Surcharge</v>
      </c>
      <c r="D33" s="60">
        <v>0</v>
      </c>
      <c r="E33" s="94">
        <f>E31</f>
        <v>41291.724770000001</v>
      </c>
      <c r="F33" s="100">
        <f>SGS!$F$32</f>
        <v>9.8027000000000003E-2</v>
      </c>
      <c r="G33" s="60">
        <f>E33*F33</f>
        <v>4047.70390402879</v>
      </c>
    </row>
    <row r="34" spans="1:7">
      <c r="D34" s="8"/>
      <c r="G34" s="8"/>
    </row>
    <row r="35" spans="1:7">
      <c r="A35" t="s">
        <v>49</v>
      </c>
      <c r="D35" s="8">
        <f>SUM(D13:D34)</f>
        <v>55172.543223243876</v>
      </c>
      <c r="G35" s="8">
        <f>SUM(G13:G34)</f>
        <v>59033.260515269365</v>
      </c>
    </row>
    <row r="39" spans="1:7">
      <c r="A39" s="61" t="s">
        <v>216</v>
      </c>
      <c r="F39" s="79">
        <f>SGS!$F$38</f>
        <v>2.8400000000000002E-2</v>
      </c>
      <c r="G39" s="8">
        <f>+E17*F39</f>
        <v>10375.769600000001</v>
      </c>
    </row>
  </sheetData>
  <pageMargins left="0.75" right="0.75" top="1" bottom="1" header="0.5" footer="0.5"/>
  <pageSetup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38"/>
  <sheetViews>
    <sheetView workbookViewId="0"/>
  </sheetViews>
  <sheetFormatPr defaultRowHeight="12.75"/>
  <cols>
    <col min="1" max="1" width="20" customWidth="1"/>
    <col min="2" max="2" width="11.7109375" customWidth="1"/>
    <col min="3" max="4" width="12.42578125" customWidth="1"/>
    <col min="5" max="5" width="16.28515625" style="21" customWidth="1"/>
    <col min="6" max="7" width="12.7109375" style="21" customWidth="1"/>
    <col min="8" max="9" width="8.85546875" style="21" customWidth="1"/>
    <col min="10" max="10" width="11.7109375" style="21" bestFit="1" customWidth="1"/>
    <col min="11" max="11" width="11.7109375" bestFit="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50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9</v>
      </c>
      <c r="B13" s="78">
        <v>2710207</v>
      </c>
      <c r="C13" s="14">
        <f>SGS!C13</f>
        <v>0.13159999999999999</v>
      </c>
      <c r="D13" s="8">
        <f>+B13*C13</f>
        <v>356663.24119999999</v>
      </c>
      <c r="E13" s="25">
        <f>+B13</f>
        <v>2710207</v>
      </c>
      <c r="F13" s="73">
        <v>0.115</v>
      </c>
      <c r="G13" s="8">
        <f>+E13*F13</f>
        <v>311673.80499999999</v>
      </c>
    </row>
    <row r="14" spans="1:7">
      <c r="A14" t="s">
        <v>10</v>
      </c>
      <c r="B14" s="78">
        <v>1273801</v>
      </c>
      <c r="C14" s="14">
        <f>SGS!C14</f>
        <v>7.1160000000000001E-2</v>
      </c>
      <c r="D14" s="8">
        <f>+B14*C14</f>
        <v>90643.67916</v>
      </c>
      <c r="E14" s="25">
        <f>+B14</f>
        <v>1273801</v>
      </c>
      <c r="F14" s="73">
        <v>7.0569999999999994E-2</v>
      </c>
      <c r="G14" s="8">
        <f>+E14*F14</f>
        <v>89892.136569999988</v>
      </c>
    </row>
    <row r="15" spans="1:7">
      <c r="B15" s="75"/>
      <c r="D15" s="8"/>
      <c r="E15" s="25"/>
      <c r="F15" s="75"/>
      <c r="G15" s="8"/>
    </row>
    <row r="16" spans="1:7">
      <c r="A16" t="s">
        <v>11</v>
      </c>
      <c r="B16" s="67">
        <f>SUM(B13:B14)</f>
        <v>3984008</v>
      </c>
      <c r="D16" s="8"/>
      <c r="E16" s="25">
        <f>+B16</f>
        <v>3984008</v>
      </c>
      <c r="F16" s="75"/>
      <c r="G16" s="8"/>
    </row>
    <row r="17" spans="1:11">
      <c r="B17" s="75"/>
      <c r="D17" s="8"/>
      <c r="E17" s="25"/>
      <c r="F17" s="75"/>
      <c r="G17" s="8"/>
      <c r="K17" s="5"/>
    </row>
    <row r="18" spans="1:11">
      <c r="A18" t="s">
        <v>12</v>
      </c>
      <c r="B18" s="78">
        <v>17594</v>
      </c>
      <c r="C18" s="83">
        <v>7.5</v>
      </c>
      <c r="D18" s="8">
        <f>+B18*C18</f>
        <v>131955</v>
      </c>
      <c r="E18" s="25">
        <f>+B18</f>
        <v>17594</v>
      </c>
      <c r="F18" s="85">
        <v>15.5</v>
      </c>
      <c r="G18" s="8">
        <f>+E18*F18</f>
        <v>272707</v>
      </c>
      <c r="J18" s="94"/>
    </row>
    <row r="19" spans="1:11">
      <c r="B19" s="75"/>
      <c r="D19" s="8"/>
      <c r="E19" s="25"/>
      <c r="F19" s="75"/>
      <c r="G19" s="8"/>
    </row>
    <row r="20" spans="1:11">
      <c r="A20" t="s">
        <v>13</v>
      </c>
      <c r="B20" s="78">
        <v>13488</v>
      </c>
      <c r="D20" s="8"/>
      <c r="E20" s="25">
        <f>+B20</f>
        <v>13488</v>
      </c>
      <c r="F20" s="75"/>
      <c r="G20" s="8"/>
    </row>
    <row r="21" spans="1:11">
      <c r="D21" s="8"/>
      <c r="E21" s="25"/>
      <c r="F21" s="75"/>
      <c r="G21" s="8"/>
    </row>
    <row r="22" spans="1:11">
      <c r="A22" t="str">
        <f>+RS!A$26</f>
        <v xml:space="preserve">Fuel </v>
      </c>
      <c r="C22" s="11">
        <f>+RS!C26</f>
        <v>2.0411219651722302E-3</v>
      </c>
      <c r="D22" s="8">
        <f>+B16*C22</f>
        <v>8131.8462382218868</v>
      </c>
      <c r="F22" s="79">
        <f>RS!$F$26</f>
        <v>2.0411219651722302E-3</v>
      </c>
      <c r="G22" s="8">
        <f>+E16*F22</f>
        <v>8131.8462382218868</v>
      </c>
    </row>
    <row r="23" spans="1:11">
      <c r="D23" s="8"/>
      <c r="F23" s="80"/>
      <c r="G23" s="8"/>
    </row>
    <row r="24" spans="1:11">
      <c r="A24" t="str">
        <f>+RS!A$28</f>
        <v>Asset Transfer Rider</v>
      </c>
      <c r="D24" s="60">
        <f>+ATR!D17</f>
        <v>66740.070000000007</v>
      </c>
      <c r="F24" s="80"/>
      <c r="G24" s="60"/>
    </row>
    <row r="25" spans="1:11">
      <c r="D25" s="60"/>
      <c r="F25" s="80"/>
      <c r="G25" s="60"/>
    </row>
    <row r="26" spans="1:11">
      <c r="A26" t="str">
        <f>RS!A30</f>
        <v>Economic Development Rider</v>
      </c>
      <c r="D26" s="60"/>
      <c r="E26" s="25">
        <f>E18</f>
        <v>17594</v>
      </c>
      <c r="F26" s="85">
        <f>RS!F30</f>
        <v>0.15</v>
      </c>
      <c r="G26" s="60">
        <f>E26*F26</f>
        <v>2639.1</v>
      </c>
    </row>
    <row r="27" spans="1:11">
      <c r="D27" s="60"/>
      <c r="E27" s="25"/>
      <c r="F27" s="85"/>
      <c r="G27" s="60"/>
    </row>
    <row r="28" spans="1:11">
      <c r="A28" t="str">
        <f>RS!A32</f>
        <v>Big Sandy 1 Operations Rider</v>
      </c>
      <c r="D28" s="60"/>
      <c r="E28" s="25"/>
      <c r="F28" s="84">
        <f>+SGS!F28</f>
        <v>2.7200000000000002E-3</v>
      </c>
      <c r="G28" s="60">
        <f>+F28*E16</f>
        <v>10836.501760000001</v>
      </c>
    </row>
    <row r="29" spans="1:11">
      <c r="D29" s="60"/>
      <c r="E29" s="25"/>
      <c r="F29" s="85"/>
      <c r="G29" s="60"/>
    </row>
    <row r="30" spans="1:11">
      <c r="A30" t="str">
        <f>RS!A34</f>
        <v>Big Sandy Retirement Rider</v>
      </c>
      <c r="D30" s="60"/>
      <c r="E30" s="94">
        <f>SUM(G12:G29)-G22-G38</f>
        <v>574602.71613000007</v>
      </c>
      <c r="F30" s="100">
        <f>SGS!$F$30</f>
        <v>6.2296999999999998E-2</v>
      </c>
      <c r="G30" s="60">
        <f>E30*F30</f>
        <v>35796.02540675061</v>
      </c>
    </row>
    <row r="31" spans="1:11">
      <c r="D31" s="60"/>
      <c r="E31" s="25"/>
      <c r="F31" s="76"/>
      <c r="G31" s="60"/>
    </row>
    <row r="32" spans="1:11">
      <c r="A32" t="str">
        <f>+RS!A$36</f>
        <v>Environmental Surcharge</v>
      </c>
      <c r="D32" s="60">
        <v>0</v>
      </c>
      <c r="E32" s="94">
        <f>E30</f>
        <v>574602.71613000007</v>
      </c>
      <c r="F32" s="100">
        <f>SGS!$F$32</f>
        <v>9.8027000000000003E-2</v>
      </c>
      <c r="G32" s="60">
        <f>E32*F32</f>
        <v>56326.58045407552</v>
      </c>
    </row>
    <row r="33" spans="1:7">
      <c r="D33" s="8"/>
      <c r="G33" s="8"/>
    </row>
    <row r="34" spans="1:7">
      <c r="A34" t="s">
        <v>14</v>
      </c>
      <c r="D34" s="8">
        <f>SUM(D13:D33)</f>
        <v>654133.83659822191</v>
      </c>
      <c r="G34" s="8">
        <f>SUM(G13:G33)</f>
        <v>788002.99542904797</v>
      </c>
    </row>
    <row r="35" spans="1:7">
      <c r="G35" s="25"/>
    </row>
    <row r="38" spans="1:7">
      <c r="A38" s="61" t="s">
        <v>216</v>
      </c>
      <c r="F38" s="79">
        <f>SGS!$F$38</f>
        <v>2.8400000000000002E-2</v>
      </c>
      <c r="G38" s="8">
        <f>+E16*F38</f>
        <v>113145.8272</v>
      </c>
    </row>
  </sheetData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6"/>
  <sheetViews>
    <sheetView workbookViewId="0"/>
  </sheetViews>
  <sheetFormatPr defaultRowHeight="12.75"/>
  <cols>
    <col min="1" max="1" width="21.7109375" customWidth="1"/>
    <col min="2" max="2" width="9.7109375" bestFit="1" customWidth="1"/>
    <col min="3" max="3" width="12.7109375" customWidth="1"/>
    <col min="4" max="4" width="11.7109375" customWidth="1"/>
    <col min="5" max="5" width="16.28515625" style="21" customWidth="1"/>
    <col min="6" max="6" width="13.42578125" style="21" customWidth="1"/>
    <col min="7" max="7" width="12" style="21" customWidth="1"/>
    <col min="8" max="10" width="8.85546875" style="21" customWidth="1"/>
  </cols>
  <sheetData>
    <row r="1" spans="1:8">
      <c r="A1" t="str">
        <f>+RS!A1</f>
        <v>KENTUCKY POWER BILLING ANALYSIS</v>
      </c>
    </row>
    <row r="2" spans="1:8">
      <c r="A2" t="str">
        <f>+RS!A2</f>
        <v>PROFORMA</v>
      </c>
    </row>
    <row r="3" spans="1:8">
      <c r="A3" t="str">
        <f>+RS!A3</f>
        <v>TEST YEAR ENDED SEPTEMBER 30, 2014</v>
      </c>
    </row>
    <row r="5" spans="1:8">
      <c r="A5" t="s">
        <v>51</v>
      </c>
    </row>
    <row r="8" spans="1:8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8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8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8">
      <c r="A12" t="s">
        <v>52</v>
      </c>
      <c r="B12" s="67">
        <v>1563141</v>
      </c>
      <c r="C12" s="86">
        <v>9.0039999999999995E-2</v>
      </c>
      <c r="D12" s="8">
        <f>+B12*C12</f>
        <v>140745.21563999998</v>
      </c>
      <c r="E12" s="25">
        <f>+B12</f>
        <v>1563141</v>
      </c>
      <c r="F12" s="84">
        <v>0.1</v>
      </c>
      <c r="G12" s="8">
        <f>+E12*F12</f>
        <v>156314.1</v>
      </c>
      <c r="H12" s="94"/>
    </row>
    <row r="13" spans="1:8">
      <c r="B13" s="5"/>
      <c r="C13" s="61"/>
      <c r="D13" s="8"/>
      <c r="E13" s="25"/>
      <c r="F13" s="75"/>
      <c r="G13" s="8"/>
    </row>
    <row r="14" spans="1:8">
      <c r="A14" t="s">
        <v>11</v>
      </c>
      <c r="B14" s="5">
        <f>B12</f>
        <v>1563141</v>
      </c>
      <c r="C14" s="61"/>
      <c r="D14" s="8"/>
      <c r="E14" s="25">
        <f>+B14</f>
        <v>1563141</v>
      </c>
      <c r="F14" s="75"/>
      <c r="G14" s="8"/>
    </row>
    <row r="15" spans="1:8">
      <c r="C15" s="61"/>
      <c r="D15" s="8"/>
      <c r="E15" s="25"/>
      <c r="F15" s="75"/>
      <c r="G15" s="8"/>
    </row>
    <row r="16" spans="1:8">
      <c r="A16" t="s">
        <v>12</v>
      </c>
      <c r="B16" s="67">
        <v>924</v>
      </c>
      <c r="C16" s="83">
        <v>13.5</v>
      </c>
      <c r="D16" s="8">
        <f>+B16*C16</f>
        <v>12474</v>
      </c>
      <c r="E16" s="25">
        <f>+B16</f>
        <v>924</v>
      </c>
      <c r="F16" s="85">
        <v>19.5</v>
      </c>
      <c r="G16" s="8">
        <f>+E16*F16</f>
        <v>18018</v>
      </c>
      <c r="H16" s="94"/>
    </row>
    <row r="17" spans="1:8">
      <c r="B17" s="61"/>
      <c r="C17" s="61"/>
      <c r="D17" s="8"/>
      <c r="E17" s="25"/>
      <c r="F17" s="75"/>
      <c r="G17" s="8"/>
    </row>
    <row r="18" spans="1:8">
      <c r="A18" t="s">
        <v>13</v>
      </c>
      <c r="B18" s="67">
        <v>924</v>
      </c>
      <c r="C18" s="61"/>
      <c r="D18" s="8"/>
      <c r="E18" s="25">
        <f>+B18</f>
        <v>924</v>
      </c>
      <c r="F18" s="75"/>
      <c r="G18" s="8"/>
    </row>
    <row r="19" spans="1:8">
      <c r="B19" s="61"/>
      <c r="C19" s="61"/>
      <c r="D19" s="8"/>
      <c r="F19" s="75"/>
      <c r="G19" s="8"/>
    </row>
    <row r="20" spans="1:8">
      <c r="A20" t="str">
        <f>+RS!A$26</f>
        <v xml:space="preserve">Fuel </v>
      </c>
      <c r="C20" s="82">
        <f>+RS!C26</f>
        <v>2.0411219651722302E-3</v>
      </c>
      <c r="D20" s="8">
        <f>+B14*C20</f>
        <v>3190.5614297612851</v>
      </c>
      <c r="F20" s="79">
        <f>+RS!F26</f>
        <v>2.0411219651722302E-3</v>
      </c>
      <c r="G20" s="8">
        <f>+E14*F20</f>
        <v>3190.5614297612851</v>
      </c>
      <c r="H20" s="94"/>
    </row>
    <row r="21" spans="1:8">
      <c r="D21" s="8"/>
      <c r="G21" s="8"/>
    </row>
    <row r="22" spans="1:8">
      <c r="A22" t="str">
        <f>+RS!A$28</f>
        <v>Asset Transfer Rider</v>
      </c>
      <c r="D22" s="60">
        <f>+ATR!D20</f>
        <v>15521.29</v>
      </c>
      <c r="G22" s="60"/>
      <c r="H22" s="94"/>
    </row>
    <row r="23" spans="1:8">
      <c r="D23" s="60"/>
      <c r="G23" s="60"/>
    </row>
    <row r="24" spans="1:8">
      <c r="A24" t="str">
        <f>RS!A30</f>
        <v>Economic Development Rider</v>
      </c>
      <c r="D24" s="60">
        <v>0</v>
      </c>
      <c r="E24" s="25">
        <f>E16</f>
        <v>924</v>
      </c>
      <c r="F24" s="85">
        <f>RS!F30</f>
        <v>0.15</v>
      </c>
      <c r="G24" s="60">
        <f>E24*F24</f>
        <v>138.6</v>
      </c>
      <c r="H24" s="94"/>
    </row>
    <row r="25" spans="1:8">
      <c r="D25" s="60"/>
      <c r="E25" s="25"/>
      <c r="F25" s="85"/>
      <c r="G25" s="60"/>
    </row>
    <row r="26" spans="1:8">
      <c r="A26" t="str">
        <f>RS!A32</f>
        <v>Big Sandy 1 Operations Rider</v>
      </c>
      <c r="D26" s="60">
        <v>0</v>
      </c>
      <c r="E26" s="25"/>
      <c r="F26" s="84">
        <v>2.8300000000000001E-3</v>
      </c>
      <c r="G26" s="60">
        <f>+F26*E14</f>
        <v>4423.6890300000005</v>
      </c>
      <c r="H26" s="94"/>
    </row>
    <row r="27" spans="1:8">
      <c r="D27" s="60"/>
      <c r="E27" s="25"/>
      <c r="F27" s="85"/>
      <c r="G27" s="60"/>
    </row>
    <row r="28" spans="1:8">
      <c r="A28" t="str">
        <f>RS!A34</f>
        <v>Big Sandy Retirement Rider</v>
      </c>
      <c r="D28" s="60">
        <v>0</v>
      </c>
      <c r="E28" s="94">
        <f>SUM(G10:G27)-G20-G36</f>
        <v>134501.18463000003</v>
      </c>
      <c r="F28" s="100">
        <f>SGS!$F$30</f>
        <v>6.2296999999999998E-2</v>
      </c>
      <c r="G28" s="60">
        <f>E28*F28</f>
        <v>8379.0202988951114</v>
      </c>
      <c r="H28" s="94"/>
    </row>
    <row r="29" spans="1:8">
      <c r="D29" s="60"/>
      <c r="E29" s="25"/>
      <c r="F29" s="76"/>
      <c r="G29" s="60"/>
    </row>
    <row r="30" spans="1:8">
      <c r="A30" t="str">
        <f>+RS!A$36</f>
        <v>Environmental Surcharge</v>
      </c>
      <c r="D30" s="60">
        <v>0</v>
      </c>
      <c r="E30" s="94">
        <f>E28</f>
        <v>134501.18463000003</v>
      </c>
      <c r="F30" s="100">
        <f>SGS!$F$32</f>
        <v>9.8027000000000003E-2</v>
      </c>
      <c r="G30" s="60">
        <f>E30*F30</f>
        <v>13184.747625725013</v>
      </c>
      <c r="H30" s="94"/>
    </row>
    <row r="31" spans="1:8">
      <c r="D31" s="8"/>
      <c r="G31" s="8"/>
    </row>
    <row r="32" spans="1:8">
      <c r="A32" t="s">
        <v>14</v>
      </c>
      <c r="D32" s="8">
        <f>SUM(D12:D31)</f>
        <v>171931.06706976128</v>
      </c>
      <c r="G32" s="8">
        <f>SUM(G12:G31)</f>
        <v>203648.71838438144</v>
      </c>
      <c r="H32" s="94"/>
    </row>
    <row r="36" spans="1:7">
      <c r="A36" s="61" t="s">
        <v>216</v>
      </c>
      <c r="F36" s="79">
        <f>SGS!$F$38</f>
        <v>2.8400000000000002E-2</v>
      </c>
      <c r="G36" s="8">
        <f>+E14*F36</f>
        <v>44393.204400000002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4"/>
  <sheetViews>
    <sheetView workbookViewId="0"/>
  </sheetViews>
  <sheetFormatPr defaultRowHeight="12.75"/>
  <cols>
    <col min="1" max="1" width="21.140625" customWidth="1"/>
    <col min="2" max="2" width="15" customWidth="1"/>
    <col min="3" max="3" width="14.140625" customWidth="1"/>
    <col min="4" max="4" width="15.140625" customWidth="1"/>
    <col min="5" max="5" width="16.28515625" style="21" customWidth="1"/>
    <col min="6" max="6" width="12.28515625" style="21" customWidth="1"/>
    <col min="7" max="7" width="15.710937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115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53</v>
      </c>
      <c r="B13" s="78">
        <v>333938968</v>
      </c>
      <c r="C13" s="86">
        <v>9.8619999999999999E-2</v>
      </c>
      <c r="D13" s="8">
        <f>+B13*C13</f>
        <v>32933061.024160001</v>
      </c>
      <c r="E13" s="25">
        <f>B13</f>
        <v>333938968</v>
      </c>
      <c r="F13" s="84">
        <v>0.10072</v>
      </c>
      <c r="G13" s="8">
        <f>+E13*F13</f>
        <v>33634332.856959999</v>
      </c>
    </row>
    <row r="14" spans="1:7">
      <c r="A14" t="s">
        <v>54</v>
      </c>
      <c r="B14" s="78">
        <v>162854869</v>
      </c>
      <c r="C14" s="86">
        <v>8.4599999999999995E-2</v>
      </c>
      <c r="D14" s="8">
        <f>+B14*C14</f>
        <v>13777521.917399999</v>
      </c>
      <c r="E14" s="25">
        <f>B14</f>
        <v>162854869</v>
      </c>
      <c r="F14" s="84">
        <v>8.6389999999999995E-2</v>
      </c>
      <c r="G14" s="8">
        <f>+E14*F14</f>
        <v>14069032.132909998</v>
      </c>
    </row>
    <row r="15" spans="1:7">
      <c r="A15" t="s">
        <v>55</v>
      </c>
      <c r="B15" s="78">
        <v>0</v>
      </c>
      <c r="C15" s="83"/>
      <c r="D15" s="8"/>
      <c r="E15" s="25">
        <f>B15</f>
        <v>0</v>
      </c>
      <c r="F15" s="85"/>
      <c r="G15" s="8"/>
    </row>
    <row r="16" spans="1:7">
      <c r="A16" t="s">
        <v>11</v>
      </c>
      <c r="B16" s="5">
        <f>SUM(B13:B15)</f>
        <v>496793837</v>
      </c>
      <c r="C16" s="83"/>
      <c r="D16" s="8"/>
      <c r="E16" s="25">
        <f>SUM(E13:E15)</f>
        <v>496793837</v>
      </c>
      <c r="F16" s="85"/>
      <c r="G16" s="8"/>
    </row>
    <row r="17" spans="1:7">
      <c r="C17" s="83"/>
      <c r="D17" s="8"/>
      <c r="E17" s="25"/>
      <c r="F17" s="85"/>
      <c r="G17" s="8"/>
    </row>
    <row r="18" spans="1:7">
      <c r="A18" t="s">
        <v>56</v>
      </c>
      <c r="C18" s="83"/>
      <c r="D18" s="8"/>
      <c r="E18" s="25"/>
      <c r="F18" s="85"/>
      <c r="G18" s="8"/>
    </row>
    <row r="19" spans="1:7">
      <c r="A19" t="s">
        <v>57</v>
      </c>
      <c r="B19" s="78">
        <v>2076023</v>
      </c>
      <c r="C19" s="83">
        <v>1.64</v>
      </c>
      <c r="D19" s="8">
        <f>+B19*C19</f>
        <v>3404677.7199999997</v>
      </c>
      <c r="E19" s="25">
        <f>B19</f>
        <v>2076023</v>
      </c>
      <c r="F19" s="85">
        <v>2.0499999999999998</v>
      </c>
      <c r="G19" s="8">
        <f>+E19*F19</f>
        <v>4255847.1499999994</v>
      </c>
    </row>
    <row r="20" spans="1:7">
      <c r="A20" t="s">
        <v>58</v>
      </c>
      <c r="B20" s="78">
        <v>0</v>
      </c>
      <c r="C20" s="83">
        <v>6.84</v>
      </c>
      <c r="D20" s="8">
        <f>+B20*C20</f>
        <v>0</v>
      </c>
      <c r="E20" s="25">
        <f>B20</f>
        <v>0</v>
      </c>
      <c r="F20" s="85">
        <v>8.5500000000000007</v>
      </c>
      <c r="G20" s="8">
        <f>+E20*F20</f>
        <v>0</v>
      </c>
    </row>
    <row r="21" spans="1:7">
      <c r="B21" s="75"/>
      <c r="C21" s="83"/>
      <c r="D21" s="8"/>
      <c r="E21" s="25"/>
      <c r="F21" s="85"/>
      <c r="G21" s="8"/>
    </row>
    <row r="22" spans="1:7">
      <c r="A22" t="s">
        <v>12</v>
      </c>
      <c r="B22" s="78">
        <v>84018</v>
      </c>
      <c r="C22" s="83">
        <v>13.5</v>
      </c>
      <c r="D22" s="8">
        <f>+B22*C22</f>
        <v>1134243</v>
      </c>
      <c r="E22" s="25">
        <f>B22</f>
        <v>84018</v>
      </c>
      <c r="F22" s="85">
        <v>19.5</v>
      </c>
      <c r="G22" s="8">
        <f>+E22*F22</f>
        <v>1638351</v>
      </c>
    </row>
    <row r="23" spans="1:7">
      <c r="B23" s="75"/>
      <c r="C23" s="6"/>
      <c r="D23" s="8"/>
      <c r="E23" s="25"/>
      <c r="F23" s="85"/>
      <c r="G23" s="8"/>
    </row>
    <row r="24" spans="1:7">
      <c r="A24" t="s">
        <v>13</v>
      </c>
      <c r="B24" s="78">
        <v>84048</v>
      </c>
      <c r="C24" s="6"/>
      <c r="D24" s="8"/>
      <c r="E24" s="25">
        <f>B24</f>
        <v>84048</v>
      </c>
      <c r="F24" s="85"/>
      <c r="G24" s="8"/>
    </row>
    <row r="25" spans="1:7">
      <c r="C25" s="6"/>
      <c r="D25" s="8"/>
      <c r="E25" s="25"/>
      <c r="F25" s="85"/>
      <c r="G25" s="8"/>
    </row>
    <row r="26" spans="1:7">
      <c r="A26" t="str">
        <f>+RS!A$26</f>
        <v xml:space="preserve">Fuel </v>
      </c>
      <c r="C26" s="11">
        <f>+RS!C26</f>
        <v>2.0411219651722302E-3</v>
      </c>
      <c r="D26" s="8">
        <f>+B16*C26</f>
        <v>1014016.8128628926</v>
      </c>
      <c r="F26" s="79">
        <f>+RS!F26</f>
        <v>2.0411219651722302E-3</v>
      </c>
      <c r="G26" s="8">
        <f>+E16*F26</f>
        <v>1014016.8128628926</v>
      </c>
    </row>
    <row r="27" spans="1:7">
      <c r="C27" s="7"/>
      <c r="D27" s="8"/>
      <c r="F27" s="22"/>
      <c r="G27" s="8"/>
    </row>
    <row r="28" spans="1:7">
      <c r="A28" t="str">
        <f>+RS!A$28</f>
        <v>Asset Transfer Rider</v>
      </c>
      <c r="D28" s="60">
        <f>+ATR!D21</f>
        <v>5593599.9500000002</v>
      </c>
      <c r="G28" s="60"/>
    </row>
    <row r="29" spans="1:7">
      <c r="D29" s="60"/>
      <c r="G29" s="60"/>
    </row>
    <row r="30" spans="1:7">
      <c r="A30" t="str">
        <f>RS!A30</f>
        <v>Economic Development Rider</v>
      </c>
      <c r="D30" s="60">
        <v>0</v>
      </c>
      <c r="E30" s="25">
        <f>E22</f>
        <v>84018</v>
      </c>
      <c r="F30" s="85">
        <f>RS!F30</f>
        <v>0.15</v>
      </c>
      <c r="G30" s="60">
        <f>E30*F30</f>
        <v>12602.699999999999</v>
      </c>
    </row>
    <row r="31" spans="1:7">
      <c r="D31" s="60"/>
      <c r="E31" s="25"/>
      <c r="F31" s="85"/>
      <c r="G31" s="60"/>
    </row>
    <row r="32" spans="1:7">
      <c r="A32" s="61" t="s">
        <v>210</v>
      </c>
      <c r="D32" s="60">
        <v>0</v>
      </c>
      <c r="E32" s="25"/>
      <c r="F32" s="84">
        <v>1.41E-3</v>
      </c>
      <c r="G32" s="60">
        <f>+F32*E16</f>
        <v>700479.31016999995</v>
      </c>
    </row>
    <row r="33" spans="1:7">
      <c r="D33" s="60"/>
      <c r="E33" s="25"/>
      <c r="F33" s="85"/>
      <c r="G33" s="60"/>
    </row>
    <row r="34" spans="1:7">
      <c r="A34" s="61" t="s">
        <v>211</v>
      </c>
      <c r="D34" s="60">
        <v>0</v>
      </c>
      <c r="E34" s="25"/>
      <c r="F34" s="85">
        <v>0.34</v>
      </c>
      <c r="G34" s="60">
        <f>+F34*(E19+E20)</f>
        <v>705847.82000000007</v>
      </c>
    </row>
    <row r="35" spans="1:7">
      <c r="D35" s="60"/>
      <c r="E35" s="25"/>
      <c r="F35" s="85"/>
      <c r="G35" s="60"/>
    </row>
    <row r="36" spans="1:7">
      <c r="A36" t="str">
        <f>RS!A34</f>
        <v>Big Sandy Retirement Rider</v>
      </c>
      <c r="D36" s="60">
        <v>0</v>
      </c>
      <c r="E36" s="94">
        <f>SUM(G12:G35)-G26-G44</f>
        <v>40907547.999239996</v>
      </c>
      <c r="F36" s="100">
        <f>SGS!$F$30</f>
        <v>6.2296999999999998E-2</v>
      </c>
      <c r="G36" s="60">
        <f>E36*F36</f>
        <v>2548417.517708654</v>
      </c>
    </row>
    <row r="37" spans="1:7">
      <c r="D37" s="60"/>
      <c r="E37" s="25"/>
      <c r="F37" s="76"/>
      <c r="G37" s="60"/>
    </row>
    <row r="38" spans="1:7">
      <c r="A38" t="str">
        <f>+RS!A$36</f>
        <v>Environmental Surcharge</v>
      </c>
      <c r="D38" s="60">
        <v>0</v>
      </c>
      <c r="E38" s="94">
        <f>E36</f>
        <v>40907547.999239996</v>
      </c>
      <c r="F38" s="100">
        <f>SGS!$F$32</f>
        <v>9.8027000000000003E-2</v>
      </c>
      <c r="G38" s="60">
        <f>E38*F38</f>
        <v>4010044.2077214993</v>
      </c>
    </row>
    <row r="40" spans="1:7">
      <c r="A40" t="s">
        <v>14</v>
      </c>
      <c r="D40" s="8">
        <f>SUM(D12:D38)</f>
        <v>57857120.424422897</v>
      </c>
      <c r="G40" s="8">
        <f>SUM(G12:G38)</f>
        <v>62588971.50833305</v>
      </c>
    </row>
    <row r="41" spans="1:7">
      <c r="G41" s="25"/>
    </row>
    <row r="44" spans="1:7">
      <c r="A44" s="61" t="s">
        <v>216</v>
      </c>
      <c r="F44" s="79">
        <f>SGS!$F$38</f>
        <v>2.8400000000000002E-2</v>
      </c>
      <c r="G44" s="8">
        <f>+E16*F44</f>
        <v>14108944.970800001</v>
      </c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8"/>
  <sheetViews>
    <sheetView workbookViewId="0"/>
  </sheetViews>
  <sheetFormatPr defaultRowHeight="12.75"/>
  <cols>
    <col min="1" max="1" width="21.7109375" customWidth="1"/>
    <col min="2" max="2" width="11.28515625" customWidth="1"/>
    <col min="3" max="4" width="11.85546875" customWidth="1"/>
    <col min="5" max="5" width="16.28515625" style="21" customWidth="1"/>
    <col min="6" max="6" width="14" style="21" customWidth="1"/>
    <col min="7" max="7" width="13.710937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125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21</v>
      </c>
      <c r="B13" s="78">
        <v>425019</v>
      </c>
      <c r="C13" s="86">
        <v>0.14801</v>
      </c>
      <c r="D13" s="8">
        <f>+B13*C13</f>
        <v>62907.062190000004</v>
      </c>
      <c r="E13" s="25">
        <f>+B13</f>
        <v>425019</v>
      </c>
      <c r="F13" s="84">
        <v>0.15756999999999999</v>
      </c>
      <c r="G13" s="8">
        <f>+E13*F13</f>
        <v>66970.243829999992</v>
      </c>
    </row>
    <row r="14" spans="1:7">
      <c r="A14" t="s">
        <v>22</v>
      </c>
      <c r="B14" s="78">
        <v>629992</v>
      </c>
      <c r="C14" s="86">
        <v>5.1299999999999998E-2</v>
      </c>
      <c r="D14" s="8">
        <f>+B14*C14</f>
        <v>32318.589599999999</v>
      </c>
      <c r="E14" s="25">
        <f>+B14</f>
        <v>629992</v>
      </c>
      <c r="F14" s="84">
        <v>5.491E-2</v>
      </c>
      <c r="G14" s="8">
        <f>+E14*F14</f>
        <v>34592.860719999997</v>
      </c>
    </row>
    <row r="15" spans="1:7">
      <c r="B15" s="5"/>
      <c r="C15" s="61"/>
      <c r="D15" s="8"/>
      <c r="E15" s="25"/>
      <c r="F15" s="75"/>
      <c r="G15" s="8"/>
    </row>
    <row r="16" spans="1:7">
      <c r="A16" t="s">
        <v>11</v>
      </c>
      <c r="B16" s="5">
        <f>SUM(B13:B14)</f>
        <v>1055011</v>
      </c>
      <c r="C16" s="61"/>
      <c r="D16" s="8"/>
      <c r="E16" s="25">
        <f>+B16</f>
        <v>1055011</v>
      </c>
      <c r="F16" s="75"/>
      <c r="G16" s="8"/>
    </row>
    <row r="17" spans="1:7">
      <c r="B17" s="5"/>
      <c r="C17" s="61"/>
      <c r="D17" s="8"/>
      <c r="E17" s="25"/>
      <c r="F17" s="75"/>
      <c r="G17" s="8"/>
    </row>
    <row r="18" spans="1:7">
      <c r="A18" t="s">
        <v>12</v>
      </c>
      <c r="B18" s="78">
        <v>552</v>
      </c>
      <c r="C18" s="83">
        <v>3</v>
      </c>
      <c r="D18" s="8">
        <f>+B18*C18</f>
        <v>1656</v>
      </c>
      <c r="E18" s="25">
        <f>+B18</f>
        <v>552</v>
      </c>
      <c r="F18" s="85">
        <v>3.85</v>
      </c>
      <c r="G18" s="8">
        <f>+E18*F18</f>
        <v>2125.2000000000003</v>
      </c>
    </row>
    <row r="19" spans="1:7">
      <c r="B19" s="78"/>
      <c r="C19" s="61"/>
      <c r="D19" s="8"/>
      <c r="E19" s="25"/>
      <c r="F19" s="75"/>
      <c r="G19" s="8"/>
    </row>
    <row r="20" spans="1:7">
      <c r="A20" t="s">
        <v>13</v>
      </c>
      <c r="B20" s="78">
        <v>552</v>
      </c>
      <c r="C20" s="61"/>
      <c r="D20" s="8"/>
      <c r="E20" s="25">
        <f>+B20</f>
        <v>552</v>
      </c>
      <c r="F20" s="75"/>
      <c r="G20" s="8"/>
    </row>
    <row r="21" spans="1:7">
      <c r="C21" s="61"/>
      <c r="D21" s="8"/>
      <c r="E21" s="25"/>
      <c r="F21" s="75"/>
      <c r="G21" s="8"/>
    </row>
    <row r="22" spans="1:7">
      <c r="A22" t="str">
        <f>+RS!A$26</f>
        <v xml:space="preserve">Fuel </v>
      </c>
      <c r="C22" s="82">
        <f>+RS!C26</f>
        <v>2.0411219651722302E-3</v>
      </c>
      <c r="D22" s="8">
        <f>+B16*C22</f>
        <v>2153.4061255983197</v>
      </c>
      <c r="F22" s="79">
        <f>+RS!F26</f>
        <v>2.0411219651722302E-3</v>
      </c>
      <c r="G22" s="8">
        <f>+E16*F22</f>
        <v>2153.4061255983197</v>
      </c>
    </row>
    <row r="23" spans="1:7">
      <c r="C23" s="61"/>
      <c r="D23" s="8"/>
      <c r="F23" s="75"/>
      <c r="G23" s="8"/>
    </row>
    <row r="24" spans="1:7">
      <c r="A24" t="str">
        <f>+RS!A$28</f>
        <v>Asset Transfer Rider</v>
      </c>
      <c r="D24" s="60">
        <f>+ATR!D22</f>
        <v>10924.1</v>
      </c>
      <c r="G24" s="60">
        <f>E24*F24</f>
        <v>0</v>
      </c>
    </row>
    <row r="25" spans="1:7">
      <c r="D25" s="60"/>
      <c r="G25" s="60"/>
    </row>
    <row r="26" spans="1:7">
      <c r="A26" t="str">
        <f>RS!A30</f>
        <v>Economic Development Rider</v>
      </c>
      <c r="D26" s="60">
        <v>0</v>
      </c>
      <c r="E26" s="25">
        <f>E18</f>
        <v>552</v>
      </c>
      <c r="F26" s="85">
        <f>RS!F30</f>
        <v>0.15</v>
      </c>
      <c r="G26" s="60">
        <f>E26*F26</f>
        <v>82.8</v>
      </c>
    </row>
    <row r="27" spans="1:7">
      <c r="D27" s="60"/>
      <c r="E27" s="25"/>
      <c r="F27" s="85"/>
      <c r="G27" s="60"/>
    </row>
    <row r="28" spans="1:7">
      <c r="A28" t="str">
        <f>RS!A32</f>
        <v>Big Sandy 1 Operations Rider</v>
      </c>
      <c r="D28" s="60">
        <v>0</v>
      </c>
      <c r="E28" s="25"/>
      <c r="F28" s="84">
        <f>+'MGS RL'!F26</f>
        <v>2.8300000000000001E-3</v>
      </c>
      <c r="G28" s="60">
        <f>+F28*E16</f>
        <v>2985.6811299999999</v>
      </c>
    </row>
    <row r="29" spans="1:7">
      <c r="D29" s="60"/>
      <c r="E29" s="25"/>
      <c r="F29" s="85"/>
      <c r="G29" s="60"/>
    </row>
    <row r="30" spans="1:7">
      <c r="A30" t="str">
        <f>RS!A34</f>
        <v>Big Sandy Retirement Rider</v>
      </c>
      <c r="D30" s="60">
        <v>0</v>
      </c>
      <c r="E30" s="94">
        <f>SUM(G12:G29)-G22-G38</f>
        <v>76794.473279999977</v>
      </c>
      <c r="F30" s="100">
        <f>SGS!$F$30</f>
        <v>6.2296999999999998E-2</v>
      </c>
      <c r="G30" s="60">
        <f>E30*F30</f>
        <v>4784.0653019241581</v>
      </c>
    </row>
    <row r="31" spans="1:7">
      <c r="D31" s="60"/>
      <c r="E31" s="25"/>
      <c r="F31" s="76"/>
      <c r="G31" s="60"/>
    </row>
    <row r="32" spans="1:7">
      <c r="A32" t="str">
        <f>+RS!A$36</f>
        <v>Environmental Surcharge</v>
      </c>
      <c r="D32" s="60">
        <v>0</v>
      </c>
      <c r="E32" s="94">
        <f>E30</f>
        <v>76794.473279999977</v>
      </c>
      <c r="F32" s="100">
        <f>SGS!$F$32</f>
        <v>9.8027000000000003E-2</v>
      </c>
      <c r="G32" s="60">
        <f>E32*F32</f>
        <v>7527.9318322185582</v>
      </c>
    </row>
    <row r="33" spans="1:7">
      <c r="D33" s="8"/>
      <c r="G33" s="8"/>
    </row>
    <row r="34" spans="1:7">
      <c r="A34" t="s">
        <v>14</v>
      </c>
      <c r="D34" s="8">
        <f>SUM(D13:D24)</f>
        <v>109959.15791559833</v>
      </c>
      <c r="G34" s="8">
        <f>SUM(G13:G33)</f>
        <v>121222.18893974103</v>
      </c>
    </row>
    <row r="35" spans="1:7">
      <c r="G35" s="25"/>
    </row>
    <row r="38" spans="1:7">
      <c r="A38" s="61" t="s">
        <v>216</v>
      </c>
      <c r="F38" s="79">
        <f>SGS!$F$38</f>
        <v>2.8400000000000002E-2</v>
      </c>
      <c r="G38" s="8">
        <f>+E16*F38</f>
        <v>29962.312400000003</v>
      </c>
    </row>
  </sheetData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8"/>
  <sheetViews>
    <sheetView workbookViewId="0"/>
  </sheetViews>
  <sheetFormatPr defaultRowHeight="12.75"/>
  <cols>
    <col min="1" max="1" width="21.5703125" customWidth="1"/>
    <col min="2" max="2" width="12.42578125" customWidth="1"/>
    <col min="3" max="3" width="12.85546875" customWidth="1"/>
    <col min="4" max="4" width="12" customWidth="1"/>
    <col min="5" max="5" width="16.28515625" style="21" customWidth="1"/>
    <col min="6" max="6" width="13.5703125" style="21" customWidth="1"/>
    <col min="7" max="7" width="13.1406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59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21</v>
      </c>
      <c r="B13" s="78">
        <v>1411570</v>
      </c>
      <c r="C13" s="86">
        <f>MGSLMTOD!C13</f>
        <v>0.14801</v>
      </c>
      <c r="D13" s="8">
        <f>+B13*C13</f>
        <v>208926.47570000001</v>
      </c>
      <c r="E13" s="25">
        <f>+B13</f>
        <v>1411570</v>
      </c>
      <c r="F13" s="84">
        <f>MGSLMTOD!F13</f>
        <v>0.15756999999999999</v>
      </c>
      <c r="G13" s="8">
        <f>+E13*F13</f>
        <v>222421.08489999999</v>
      </c>
    </row>
    <row r="14" spans="1:7">
      <c r="A14" t="s">
        <v>22</v>
      </c>
      <c r="B14" s="78">
        <v>2454995</v>
      </c>
      <c r="C14" s="86">
        <f>MGSLMTOD!C14</f>
        <v>5.1299999999999998E-2</v>
      </c>
      <c r="D14" s="8">
        <f>+B14*C14</f>
        <v>125941.2435</v>
      </c>
      <c r="E14" s="25">
        <f>+B14</f>
        <v>2454995</v>
      </c>
      <c r="F14" s="84">
        <f>MGSLMTOD!F14</f>
        <v>5.491E-2</v>
      </c>
      <c r="G14" s="8">
        <f>+E14*F14</f>
        <v>134803.77545000002</v>
      </c>
    </row>
    <row r="15" spans="1:7">
      <c r="C15" s="61"/>
      <c r="D15" s="8"/>
      <c r="E15" s="25"/>
      <c r="F15" s="75"/>
      <c r="G15" s="8"/>
    </row>
    <row r="16" spans="1:7">
      <c r="A16" t="s">
        <v>11</v>
      </c>
      <c r="B16" s="5">
        <f>SUM(B13:B14)</f>
        <v>3866565</v>
      </c>
      <c r="C16" s="61"/>
      <c r="D16" s="8"/>
      <c r="E16" s="25">
        <f>+B16</f>
        <v>3866565</v>
      </c>
      <c r="F16" s="75"/>
      <c r="G16" s="8"/>
    </row>
    <row r="17" spans="1:7">
      <c r="C17" s="61"/>
      <c r="D17" s="8"/>
      <c r="E17" s="25"/>
      <c r="F17" s="75"/>
      <c r="G17" s="8"/>
    </row>
    <row r="18" spans="1:7">
      <c r="A18" t="s">
        <v>12</v>
      </c>
      <c r="B18" s="78">
        <v>912</v>
      </c>
      <c r="C18" s="83">
        <v>14.3</v>
      </c>
      <c r="D18" s="8">
        <f>+B18*C18</f>
        <v>13041.6</v>
      </c>
      <c r="E18" s="25">
        <f>+B18</f>
        <v>912</v>
      </c>
      <c r="F18" s="85">
        <v>19.5</v>
      </c>
      <c r="G18" s="8">
        <f>+E18*F18</f>
        <v>17784</v>
      </c>
    </row>
    <row r="19" spans="1:7">
      <c r="B19" s="75"/>
      <c r="C19" s="61"/>
      <c r="D19" s="8"/>
      <c r="E19" s="25"/>
      <c r="F19" s="75"/>
      <c r="G19" s="8"/>
    </row>
    <row r="20" spans="1:7">
      <c r="A20" t="s">
        <v>13</v>
      </c>
      <c r="B20" s="78">
        <v>912</v>
      </c>
      <c r="C20" s="61"/>
      <c r="D20" s="8"/>
      <c r="E20" s="25">
        <f>+B20</f>
        <v>912</v>
      </c>
      <c r="F20" s="75"/>
      <c r="G20" s="8"/>
    </row>
    <row r="21" spans="1:7">
      <c r="B21" s="17"/>
      <c r="C21" s="61"/>
      <c r="D21" s="8"/>
      <c r="E21" s="25"/>
      <c r="F21" s="75"/>
      <c r="G21" s="8"/>
    </row>
    <row r="22" spans="1:7">
      <c r="A22" t="str">
        <f>+RS!A$26</f>
        <v xml:space="preserve">Fuel </v>
      </c>
      <c r="C22" s="82">
        <f>+RS!C26</f>
        <v>2.0411219651722302E-3</v>
      </c>
      <c r="D22" s="8">
        <f>+B16*C22</f>
        <v>7892.1307512661642</v>
      </c>
      <c r="F22" s="79">
        <f>+RS!F26</f>
        <v>2.0411219651722302E-3</v>
      </c>
      <c r="G22" s="8">
        <f>+E16*F22</f>
        <v>7892.1307512661642</v>
      </c>
    </row>
    <row r="23" spans="1:7">
      <c r="D23" s="8"/>
      <c r="G23" s="8"/>
    </row>
    <row r="24" spans="1:7">
      <c r="A24" t="str">
        <f>+RS!A$28</f>
        <v>Asset Transfer Rider</v>
      </c>
      <c r="D24" s="60">
        <f>+ATR!D23</f>
        <v>36904.160000000003</v>
      </c>
      <c r="G24" s="60"/>
    </row>
    <row r="25" spans="1:7">
      <c r="D25" s="60"/>
      <c r="G25" s="60"/>
    </row>
    <row r="26" spans="1:7">
      <c r="A26" t="str">
        <f>RS!A30</f>
        <v>Economic Development Rider</v>
      </c>
      <c r="D26" s="60">
        <v>0</v>
      </c>
      <c r="E26" s="25">
        <f>E18</f>
        <v>912</v>
      </c>
      <c r="F26" s="85">
        <f>RS!F30</f>
        <v>0.15</v>
      </c>
      <c r="G26" s="60">
        <f>E26*F26</f>
        <v>136.79999999999998</v>
      </c>
    </row>
    <row r="27" spans="1:7">
      <c r="D27" s="60"/>
      <c r="E27" s="25"/>
      <c r="F27" s="85"/>
      <c r="G27" s="60"/>
    </row>
    <row r="28" spans="1:7">
      <c r="A28" t="str">
        <f>RS!A32</f>
        <v>Big Sandy 1 Operations Rider</v>
      </c>
      <c r="D28" s="60">
        <v>0</v>
      </c>
      <c r="E28" s="25"/>
      <c r="F28" s="84">
        <f>+'MGS RL'!F26</f>
        <v>2.8300000000000001E-3</v>
      </c>
      <c r="G28" s="60">
        <f>+F28*E16</f>
        <v>10942.37895</v>
      </c>
    </row>
    <row r="29" spans="1:7">
      <c r="D29" s="60"/>
      <c r="E29" s="25"/>
      <c r="F29" s="85"/>
      <c r="G29" s="60"/>
    </row>
    <row r="30" spans="1:7">
      <c r="A30" t="str">
        <f>RS!A34</f>
        <v>Big Sandy Retirement Rider</v>
      </c>
      <c r="D30" s="60">
        <v>0</v>
      </c>
      <c r="E30" s="94">
        <f>SUM(G12:G29)-G22-G38</f>
        <v>276277.59329999995</v>
      </c>
      <c r="F30" s="100">
        <f>SGS!$F$30</f>
        <v>6.2296999999999998E-2</v>
      </c>
      <c r="G30" s="60">
        <f>E30*F30</f>
        <v>17211.265229810095</v>
      </c>
    </row>
    <row r="31" spans="1:7">
      <c r="D31" s="60"/>
      <c r="E31" s="25"/>
      <c r="F31" s="76"/>
      <c r="G31" s="60"/>
    </row>
    <row r="32" spans="1:7">
      <c r="A32" t="str">
        <f>+RS!A$36</f>
        <v>Environmental Surcharge</v>
      </c>
      <c r="D32" s="60">
        <v>0</v>
      </c>
      <c r="E32" s="94">
        <f>E30</f>
        <v>276277.59329999995</v>
      </c>
      <c r="F32" s="100">
        <f>SGS!$F$32</f>
        <v>9.8027000000000003E-2</v>
      </c>
      <c r="G32" s="60">
        <f>E32*F32</f>
        <v>27082.663638419097</v>
      </c>
    </row>
    <row r="33" spans="1:7">
      <c r="D33" s="8"/>
      <c r="G33" s="8"/>
    </row>
    <row r="34" spans="1:7">
      <c r="A34" t="s">
        <v>14</v>
      </c>
      <c r="D34" s="8">
        <f>SUM(D13:D24)</f>
        <v>392705.60995126609</v>
      </c>
      <c r="G34" s="8">
        <f>SUM(G13:G33)</f>
        <v>438274.0989194953</v>
      </c>
    </row>
    <row r="38" spans="1:7">
      <c r="A38" s="61" t="s">
        <v>216</v>
      </c>
      <c r="F38" s="79">
        <f>SGS!$F$38</f>
        <v>2.8400000000000002E-2</v>
      </c>
      <c r="G38" s="8">
        <f>+E16*F38</f>
        <v>109810.44600000001</v>
      </c>
    </row>
  </sheetData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5"/>
  <sheetViews>
    <sheetView workbookViewId="0"/>
  </sheetViews>
  <sheetFormatPr defaultRowHeight="12.75"/>
  <cols>
    <col min="1" max="1" width="22.5703125" customWidth="1"/>
    <col min="2" max="2" width="13.5703125" customWidth="1"/>
    <col min="3" max="3" width="11.7109375" customWidth="1"/>
    <col min="4" max="4" width="13.85546875" customWidth="1"/>
    <col min="5" max="5" width="16.28515625" style="21" customWidth="1"/>
    <col min="6" max="6" width="12.7109375" style="21" customWidth="1"/>
    <col min="7" max="7" width="13.285156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60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53</v>
      </c>
      <c r="B13" s="78">
        <v>5716583</v>
      </c>
      <c r="C13" s="68">
        <v>9.0539999999999995E-2</v>
      </c>
      <c r="D13" s="8">
        <f>+B13*C13</f>
        <v>517579.42481999996</v>
      </c>
      <c r="E13" s="25">
        <f>B13</f>
        <v>5716583</v>
      </c>
      <c r="F13" s="73">
        <v>9.2450000000000004E-2</v>
      </c>
      <c r="G13" s="8">
        <f>+E13*F13</f>
        <v>528498.09834999999</v>
      </c>
    </row>
    <row r="14" spans="1:7">
      <c r="A14" t="s">
        <v>54</v>
      </c>
      <c r="B14" s="78">
        <v>3592839</v>
      </c>
      <c r="C14" s="68">
        <v>8.0979999999999996E-2</v>
      </c>
      <c r="D14" s="8">
        <f>+B14*C14</f>
        <v>290948.10222</v>
      </c>
      <c r="E14" s="25">
        <f>B14</f>
        <v>3592839</v>
      </c>
      <c r="F14" s="73">
        <v>8.2699999999999996E-2</v>
      </c>
      <c r="G14" s="8">
        <f>+E14*F14</f>
        <v>297127.78529999999</v>
      </c>
    </row>
    <row r="15" spans="1:7">
      <c r="A15" t="s">
        <v>55</v>
      </c>
      <c r="B15" s="78">
        <v>47677</v>
      </c>
      <c r="C15" s="71"/>
      <c r="D15" s="8"/>
      <c r="E15" s="25">
        <f>B15</f>
        <v>47677</v>
      </c>
      <c r="F15" s="76"/>
      <c r="G15" s="8"/>
    </row>
    <row r="16" spans="1:7">
      <c r="A16" t="s">
        <v>116</v>
      </c>
      <c r="B16" s="78">
        <v>0</v>
      </c>
      <c r="C16" s="71"/>
      <c r="D16" s="8"/>
      <c r="E16" s="25">
        <f>B16</f>
        <v>0</v>
      </c>
      <c r="F16" s="76"/>
      <c r="G16" s="8"/>
    </row>
    <row r="17" spans="1:7">
      <c r="A17" t="s">
        <v>11</v>
      </c>
      <c r="B17" s="5">
        <f>SUM(B13:B16)</f>
        <v>9357099</v>
      </c>
      <c r="C17" s="71"/>
      <c r="D17" s="8"/>
      <c r="E17" s="25">
        <f>SUM(E13:E16)</f>
        <v>9357099</v>
      </c>
      <c r="F17" s="76"/>
      <c r="G17" s="8"/>
    </row>
    <row r="18" spans="1:7">
      <c r="C18" s="71"/>
      <c r="D18" s="8"/>
      <c r="E18" s="25"/>
      <c r="F18" s="76"/>
      <c r="G18" s="8"/>
    </row>
    <row r="19" spans="1:7">
      <c r="A19" t="s">
        <v>56</v>
      </c>
      <c r="C19" s="71"/>
      <c r="D19" s="8"/>
      <c r="E19" s="25"/>
      <c r="F19" s="76"/>
      <c r="G19" s="8"/>
    </row>
    <row r="20" spans="1:7">
      <c r="A20" t="s">
        <v>57</v>
      </c>
      <c r="B20" s="78">
        <v>38082</v>
      </c>
      <c r="C20" s="71">
        <v>1.59</v>
      </c>
      <c r="D20" s="8">
        <f>+B20*C20</f>
        <v>60550.380000000005</v>
      </c>
      <c r="E20" s="25">
        <f>B20</f>
        <v>38082</v>
      </c>
      <c r="F20" s="76">
        <v>1.98</v>
      </c>
      <c r="G20" s="8">
        <f>+E20*F20</f>
        <v>75402.36</v>
      </c>
    </row>
    <row r="21" spans="1:7">
      <c r="A21" t="s">
        <v>58</v>
      </c>
      <c r="B21" s="78">
        <v>2671</v>
      </c>
      <c r="C21" s="71">
        <v>6.84</v>
      </c>
      <c r="D21" s="8">
        <f>+B21*C21</f>
        <v>18269.64</v>
      </c>
      <c r="E21" s="25">
        <f>B21</f>
        <v>2671</v>
      </c>
      <c r="F21" s="76">
        <v>8.5500000000000007</v>
      </c>
      <c r="G21" s="8">
        <f>+E21*F21</f>
        <v>22837.050000000003</v>
      </c>
    </row>
    <row r="22" spans="1:7">
      <c r="B22" s="75"/>
      <c r="C22" s="71"/>
      <c r="D22" s="8"/>
      <c r="E22" s="25"/>
      <c r="F22" s="76"/>
      <c r="G22" s="8"/>
    </row>
    <row r="23" spans="1:7">
      <c r="A23" t="s">
        <v>12</v>
      </c>
      <c r="B23" s="78">
        <v>1009</v>
      </c>
      <c r="C23" s="71">
        <v>25</v>
      </c>
      <c r="D23" s="8">
        <f>+B23*C23</f>
        <v>25225</v>
      </c>
      <c r="E23" s="25">
        <f>B23</f>
        <v>1009</v>
      </c>
      <c r="F23" s="76">
        <v>50</v>
      </c>
      <c r="G23" s="8">
        <f>+E23*F23</f>
        <v>50450</v>
      </c>
    </row>
    <row r="24" spans="1:7">
      <c r="B24" s="75"/>
      <c r="C24" s="71"/>
      <c r="D24" s="8"/>
      <c r="E24" s="25"/>
      <c r="F24" s="76"/>
      <c r="G24" s="8"/>
    </row>
    <row r="25" spans="1:7">
      <c r="A25" t="s">
        <v>13</v>
      </c>
      <c r="B25" s="78">
        <v>1008</v>
      </c>
      <c r="C25" s="71"/>
      <c r="D25" s="8"/>
      <c r="E25" s="25">
        <f>B25</f>
        <v>1008</v>
      </c>
      <c r="F25" s="76"/>
      <c r="G25" s="8"/>
    </row>
    <row r="26" spans="1:7">
      <c r="C26" s="71"/>
      <c r="D26" s="8"/>
      <c r="F26" s="76"/>
      <c r="G26" s="8"/>
    </row>
    <row r="27" spans="1:7">
      <c r="A27" t="str">
        <f>+RS!A$26</f>
        <v xml:space="preserve">Fuel </v>
      </c>
      <c r="C27" s="82">
        <f>+RS!C26</f>
        <v>2.0411219651722302E-3</v>
      </c>
      <c r="D27" s="8">
        <f>+B17*C27</f>
        <v>19098.980299191109</v>
      </c>
      <c r="F27" s="79">
        <f>+RS!F26</f>
        <v>2.0411219651722302E-3</v>
      </c>
      <c r="G27" s="8">
        <f>+E17*F27</f>
        <v>19098.980299191109</v>
      </c>
    </row>
    <row r="28" spans="1:7">
      <c r="D28" s="8"/>
      <c r="G28" s="8"/>
    </row>
    <row r="29" spans="1:7">
      <c r="A29" s="61" t="str">
        <f>+RS!A28</f>
        <v>Asset Transfer Rider</v>
      </c>
      <c r="D29" s="60">
        <f>+ATR!D24</f>
        <v>92512.16</v>
      </c>
      <c r="G29" s="60">
        <v>0</v>
      </c>
    </row>
    <row r="30" spans="1:7">
      <c r="A30" s="61"/>
      <c r="D30" s="60"/>
      <c r="G30" s="60"/>
    </row>
    <row r="31" spans="1:7">
      <c r="A31" s="61" t="str">
        <f>RS!A30</f>
        <v>Economic Development Rider</v>
      </c>
      <c r="D31" s="60"/>
      <c r="E31" s="25">
        <f>E23</f>
        <v>1009</v>
      </c>
      <c r="F31" s="76">
        <f>RS!F30</f>
        <v>0.15</v>
      </c>
      <c r="G31" s="60">
        <f>E31*F31</f>
        <v>151.35</v>
      </c>
    </row>
    <row r="32" spans="1:7">
      <c r="A32" s="61"/>
      <c r="D32" s="60"/>
      <c r="E32" s="25"/>
      <c r="F32" s="76"/>
      <c r="G32" s="60"/>
    </row>
    <row r="33" spans="1:7">
      <c r="A33" s="61" t="str">
        <f>+'MGS-SEC'!A32</f>
        <v>Big Sandy 1 Operations Rider - Energy</v>
      </c>
      <c r="D33" s="60"/>
      <c r="E33" s="25"/>
      <c r="F33" s="73">
        <f>+'MGS-SEC'!F32</f>
        <v>1.41E-3</v>
      </c>
      <c r="G33" s="60">
        <f>+F33*E17</f>
        <v>13193.50959</v>
      </c>
    </row>
    <row r="34" spans="1:7">
      <c r="A34" s="61"/>
      <c r="D34" s="60"/>
      <c r="E34" s="25"/>
      <c r="F34" s="76"/>
      <c r="G34" s="60"/>
    </row>
    <row r="35" spans="1:7">
      <c r="A35" s="61" t="str">
        <f>+'MGS-SEC'!A34</f>
        <v>Big Sandy 1 Operations Rider - Demand</v>
      </c>
      <c r="D35" s="60"/>
      <c r="E35" s="25"/>
      <c r="F35" s="76">
        <f>+'MGS-SEC'!F34</f>
        <v>0.34</v>
      </c>
      <c r="G35" s="60">
        <f>+F35*(E20+E21)</f>
        <v>13856.02</v>
      </c>
    </row>
    <row r="36" spans="1:7">
      <c r="A36" s="61"/>
      <c r="D36" s="60"/>
      <c r="E36" s="25"/>
      <c r="F36" s="76"/>
      <c r="G36" s="60"/>
    </row>
    <row r="37" spans="1:7">
      <c r="A37" s="61" t="str">
        <f>+'MGS-SEC'!A36</f>
        <v>Big Sandy Retirement Rider</v>
      </c>
      <c r="D37" s="60"/>
      <c r="E37" s="94">
        <f>SUM(G13:G36)-G27-G45</f>
        <v>735774.56163999997</v>
      </c>
      <c r="F37" s="100">
        <f>SGS!$F$30</f>
        <v>6.2296999999999998E-2</v>
      </c>
      <c r="G37" s="60">
        <f>E37*F37</f>
        <v>45836.547866487075</v>
      </c>
    </row>
    <row r="38" spans="1:7">
      <c r="A38" s="61"/>
      <c r="D38" s="60"/>
      <c r="E38" s="25"/>
      <c r="F38" s="76"/>
      <c r="G38" s="60"/>
    </row>
    <row r="39" spans="1:7">
      <c r="A39" t="str">
        <f>+RS!A$36</f>
        <v>Environmental Surcharge</v>
      </c>
      <c r="D39" s="60">
        <v>0</v>
      </c>
      <c r="E39" s="94">
        <f>E37</f>
        <v>735774.56163999997</v>
      </c>
      <c r="F39" s="100">
        <f>SGS!$F$32</f>
        <v>9.8027000000000003E-2</v>
      </c>
      <c r="G39" s="60">
        <f>E39*F39</f>
        <v>72125.772953884283</v>
      </c>
    </row>
    <row r="40" spans="1:7">
      <c r="D40" s="8"/>
      <c r="G40" s="8"/>
    </row>
    <row r="41" spans="1:7">
      <c r="A41" t="s">
        <v>14</v>
      </c>
      <c r="D41" s="8">
        <f>SUM(D13:D29)</f>
        <v>1024183.6873391911</v>
      </c>
      <c r="G41" s="8">
        <f>SUM(G13:G39)</f>
        <v>1138577.4743595624</v>
      </c>
    </row>
    <row r="42" spans="1:7">
      <c r="D42" s="8"/>
    </row>
    <row r="45" spans="1:7">
      <c r="A45" s="61" t="s">
        <v>216</v>
      </c>
      <c r="F45" s="79">
        <f>SGS!$F$38</f>
        <v>2.8400000000000002E-2</v>
      </c>
      <c r="G45" s="8">
        <f>+E17*F45</f>
        <v>265741.6116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4"/>
  <sheetViews>
    <sheetView workbookViewId="0"/>
  </sheetViews>
  <sheetFormatPr defaultRowHeight="12.75"/>
  <cols>
    <col min="1" max="1" width="22.28515625" customWidth="1"/>
    <col min="2" max="2" width="11.28515625" customWidth="1"/>
    <col min="3" max="3" width="12.5703125" customWidth="1"/>
    <col min="4" max="4" width="13.5703125" customWidth="1"/>
    <col min="5" max="5" width="16.28515625" style="21" customWidth="1"/>
    <col min="6" max="6" width="14.140625" style="21" customWidth="1"/>
    <col min="7" max="7" width="13.57031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61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53</v>
      </c>
      <c r="B13" s="78">
        <v>385067</v>
      </c>
      <c r="C13" s="68">
        <v>8.3610000000000004E-2</v>
      </c>
      <c r="D13" s="8">
        <f>+B13*C13</f>
        <v>32195.451870000001</v>
      </c>
      <c r="E13" s="25">
        <f>B13</f>
        <v>385067</v>
      </c>
      <c r="F13" s="73">
        <v>8.5379999999999998E-2</v>
      </c>
      <c r="G13" s="8">
        <f>+E13*F13</f>
        <v>32877.02046</v>
      </c>
    </row>
    <row r="14" spans="1:7">
      <c r="A14" t="s">
        <v>54</v>
      </c>
      <c r="B14" s="78">
        <v>619468</v>
      </c>
      <c r="C14" s="68">
        <v>7.8509999999999996E-2</v>
      </c>
      <c r="D14" s="8">
        <f>+B14*C14</f>
        <v>48634.432679999998</v>
      </c>
      <c r="E14" s="25">
        <f>B14</f>
        <v>619468</v>
      </c>
      <c r="F14" s="73">
        <v>8.0180000000000001E-2</v>
      </c>
      <c r="G14" s="8">
        <f>+E14*F14</f>
        <v>49668.944240000004</v>
      </c>
    </row>
    <row r="15" spans="1:7">
      <c r="A15" t="s">
        <v>55</v>
      </c>
      <c r="B15" s="78">
        <v>3233</v>
      </c>
      <c r="C15" s="61"/>
      <c r="D15" s="8"/>
      <c r="E15" s="25">
        <f>B15</f>
        <v>3233</v>
      </c>
      <c r="F15" s="75"/>
      <c r="G15" s="8"/>
    </row>
    <row r="16" spans="1:7">
      <c r="A16" t="s">
        <v>11</v>
      </c>
      <c r="B16" s="5">
        <f>SUM(B13:B15)</f>
        <v>1007768</v>
      </c>
      <c r="C16" s="61"/>
      <c r="D16" s="8"/>
      <c r="E16" s="25">
        <f>SUM(E13:E15)</f>
        <v>1007768</v>
      </c>
      <c r="F16" s="75"/>
      <c r="G16" s="8"/>
    </row>
    <row r="17" spans="1:7">
      <c r="C17" s="61"/>
      <c r="D17" s="8"/>
      <c r="E17" s="25"/>
      <c r="F17" s="75"/>
      <c r="G17" s="8"/>
    </row>
    <row r="18" spans="1:7">
      <c r="A18" t="s">
        <v>56</v>
      </c>
      <c r="C18" s="61"/>
      <c r="D18" s="8"/>
      <c r="E18" s="25"/>
      <c r="F18" s="75"/>
      <c r="G18" s="8"/>
    </row>
    <row r="19" spans="1:7">
      <c r="A19" t="s">
        <v>57</v>
      </c>
      <c r="B19" s="78">
        <v>2508</v>
      </c>
      <c r="C19" s="71">
        <v>1.55</v>
      </c>
      <c r="D19" s="8">
        <f>+B19*C19</f>
        <v>3887.4</v>
      </c>
      <c r="E19" s="25">
        <f>B19</f>
        <v>2508</v>
      </c>
      <c r="F19" s="76">
        <v>1.96</v>
      </c>
      <c r="G19" s="8">
        <f>+E19*F19</f>
        <v>4915.68</v>
      </c>
    </row>
    <row r="20" spans="1:7">
      <c r="A20" t="s">
        <v>58</v>
      </c>
      <c r="B20" s="78">
        <v>314</v>
      </c>
      <c r="C20" s="71">
        <v>6.84</v>
      </c>
      <c r="D20" s="8">
        <f>+B20*C20</f>
        <v>2147.7599999999998</v>
      </c>
      <c r="E20" s="25">
        <f>B20</f>
        <v>314</v>
      </c>
      <c r="F20" s="76">
        <v>8.5500000000000007</v>
      </c>
      <c r="G20" s="8">
        <f>+E20*F20</f>
        <v>2684.7000000000003</v>
      </c>
    </row>
    <row r="21" spans="1:7">
      <c r="B21" s="75"/>
      <c r="C21" s="71"/>
      <c r="D21" s="8"/>
      <c r="E21" s="25"/>
      <c r="F21" s="76"/>
      <c r="G21" s="8"/>
    </row>
    <row r="22" spans="1:7">
      <c r="A22" t="s">
        <v>12</v>
      </c>
      <c r="B22" s="78">
        <v>119</v>
      </c>
      <c r="C22" s="71">
        <v>182</v>
      </c>
      <c r="D22" s="8">
        <f>+B22*C22</f>
        <v>21658</v>
      </c>
      <c r="E22" s="25">
        <f>B22</f>
        <v>119</v>
      </c>
      <c r="F22" s="76">
        <v>364</v>
      </c>
      <c r="G22" s="8">
        <f>+E22*F22</f>
        <v>43316</v>
      </c>
    </row>
    <row r="23" spans="1:7">
      <c r="B23" s="75"/>
      <c r="C23" s="61"/>
      <c r="D23" s="8"/>
      <c r="E23" s="25"/>
      <c r="F23" s="75"/>
      <c r="G23" s="8"/>
    </row>
    <row r="24" spans="1:7">
      <c r="A24" t="s">
        <v>13</v>
      </c>
      <c r="B24" s="78">
        <v>120</v>
      </c>
      <c r="C24" s="61"/>
      <c r="D24" s="8"/>
      <c r="E24" s="25">
        <f>B24</f>
        <v>120</v>
      </c>
      <c r="F24" s="75"/>
      <c r="G24" s="8"/>
    </row>
    <row r="25" spans="1:7">
      <c r="C25" s="61"/>
      <c r="D25" s="8"/>
      <c r="E25" s="25"/>
      <c r="F25" s="75"/>
      <c r="G25" s="8"/>
    </row>
    <row r="26" spans="1:7">
      <c r="A26" t="str">
        <f>+RS!A$26</f>
        <v xml:space="preserve">Fuel </v>
      </c>
      <c r="C26" s="82">
        <f>+RS!C26</f>
        <v>2.0411219651722302E-3</v>
      </c>
      <c r="D26" s="8">
        <f>+B16*C26</f>
        <v>2056.9774005976883</v>
      </c>
      <c r="F26" s="79">
        <f>+RS!F26</f>
        <v>2.0411219651722302E-3</v>
      </c>
      <c r="G26" s="8">
        <f>+E16*F26</f>
        <v>2056.9774005976883</v>
      </c>
    </row>
    <row r="27" spans="1:7">
      <c r="D27" s="8"/>
      <c r="G27" s="8"/>
    </row>
    <row r="28" spans="1:7">
      <c r="A28" t="str">
        <f>+RS!A$28</f>
        <v>Asset Transfer Rider</v>
      </c>
      <c r="D28" s="60">
        <f>+ATR!D25</f>
        <v>11111.86</v>
      </c>
      <c r="G28" s="60"/>
    </row>
    <row r="29" spans="1:7">
      <c r="D29" s="60"/>
      <c r="G29" s="60"/>
    </row>
    <row r="30" spans="1:7">
      <c r="A30" t="str">
        <f>RS!A30</f>
        <v>Economic Development Rider</v>
      </c>
      <c r="D30" s="60">
        <v>0</v>
      </c>
      <c r="E30" s="25">
        <f>E22</f>
        <v>119</v>
      </c>
      <c r="F30" s="76">
        <f>RS!F30</f>
        <v>0.15</v>
      </c>
      <c r="G30" s="60">
        <f>E30*F30</f>
        <v>17.849999999999998</v>
      </c>
    </row>
    <row r="31" spans="1:7">
      <c r="D31" s="60"/>
      <c r="E31" s="25"/>
      <c r="F31" s="76"/>
      <c r="G31" s="60"/>
    </row>
    <row r="32" spans="1:7">
      <c r="A32" t="str">
        <f>+'MGS-SEC'!A32</f>
        <v>Big Sandy 1 Operations Rider - Energy</v>
      </c>
      <c r="D32" s="60">
        <v>0</v>
      </c>
      <c r="E32" s="25"/>
      <c r="F32" s="73">
        <f>+'MGS-SEC'!F32</f>
        <v>1.41E-3</v>
      </c>
      <c r="G32" s="60">
        <f>+F32*E16</f>
        <v>1420.9528800000001</v>
      </c>
    </row>
    <row r="33" spans="1:7">
      <c r="D33" s="60"/>
      <c r="E33" s="25"/>
      <c r="F33" s="76"/>
      <c r="G33" s="60"/>
    </row>
    <row r="34" spans="1:7">
      <c r="A34" t="str">
        <f>+'MGS-SEC'!A34</f>
        <v>Big Sandy 1 Operations Rider - Demand</v>
      </c>
      <c r="D34" s="60">
        <v>0</v>
      </c>
      <c r="E34" s="25"/>
      <c r="F34" s="76">
        <f>+'MGS-SEC'!F34</f>
        <v>0.34</v>
      </c>
      <c r="G34" s="60">
        <f>+F34*(E19+E20)</f>
        <v>959.48</v>
      </c>
    </row>
    <row r="35" spans="1:7">
      <c r="D35" s="60"/>
      <c r="E35" s="25"/>
      <c r="F35" s="76"/>
      <c r="G35" s="60"/>
    </row>
    <row r="36" spans="1:7">
      <c r="A36" t="str">
        <f>+'MGS-SEC'!A36</f>
        <v>Big Sandy Retirement Rider</v>
      </c>
      <c r="D36" s="60">
        <v>0</v>
      </c>
      <c r="E36" s="94">
        <f>SUM(G12:G35)-G26-G44</f>
        <v>107240.01638000003</v>
      </c>
      <c r="F36" s="100">
        <f>SGS!$F$30</f>
        <v>6.2296999999999998E-2</v>
      </c>
      <c r="G36" s="60">
        <f>E36*F36</f>
        <v>6680.7313004248617</v>
      </c>
    </row>
    <row r="37" spans="1:7">
      <c r="D37" s="60"/>
      <c r="E37" s="25"/>
      <c r="F37" s="76"/>
      <c r="G37" s="60"/>
    </row>
    <row r="38" spans="1:7">
      <c r="A38" t="str">
        <f>+RS!A$36</f>
        <v>Environmental Surcharge</v>
      </c>
      <c r="D38" s="60">
        <v>0</v>
      </c>
      <c r="E38" s="94">
        <f>E36</f>
        <v>107240.01638000003</v>
      </c>
      <c r="F38" s="100">
        <f>SGS!$F$32</f>
        <v>9.8027000000000003E-2</v>
      </c>
      <c r="G38" s="60">
        <f>E38*F38</f>
        <v>10512.417085682264</v>
      </c>
    </row>
    <row r="39" spans="1:7">
      <c r="D39" s="8"/>
      <c r="G39" s="8"/>
    </row>
    <row r="40" spans="1:7">
      <c r="A40" t="s">
        <v>14</v>
      </c>
      <c r="D40" s="8">
        <f>SUM(D13:D28)</f>
        <v>121691.88195059769</v>
      </c>
      <c r="G40" s="8">
        <f>SUM(G13:G38)</f>
        <v>155110.75336670486</v>
      </c>
    </row>
    <row r="41" spans="1:7">
      <c r="G41" s="25"/>
    </row>
    <row r="44" spans="1:7">
      <c r="A44" s="61" t="s">
        <v>216</v>
      </c>
      <c r="F44" s="79">
        <f>SGS!$F$38</f>
        <v>2.8400000000000002E-2</v>
      </c>
      <c r="G44" s="8">
        <f>+E16*F44</f>
        <v>28620.611200000003</v>
      </c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/>
  </sheetViews>
  <sheetFormatPr defaultRowHeight="12.75"/>
  <cols>
    <col min="1" max="1" width="23.85546875" customWidth="1"/>
    <col min="2" max="2" width="13.5703125" customWidth="1"/>
    <col min="3" max="3" width="13.140625" customWidth="1"/>
    <col min="4" max="4" width="15.42578125" customWidth="1"/>
    <col min="5" max="5" width="16.28515625" style="21" customWidth="1"/>
    <col min="6" max="6" width="13.85546875" style="21" customWidth="1"/>
    <col min="7" max="7" width="17.285156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4" spans="1:7">
      <c r="D4" s="5"/>
    </row>
    <row r="5" spans="1:7">
      <c r="A5" t="s">
        <v>62</v>
      </c>
      <c r="D5" s="5"/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9" t="s">
        <v>8</v>
      </c>
      <c r="B12" s="78">
        <v>558760756</v>
      </c>
      <c r="C12" s="86">
        <v>7.7950000000000005E-2</v>
      </c>
      <c r="D12" s="8">
        <f>+B12*C12</f>
        <v>43555400.930200003</v>
      </c>
      <c r="E12" s="25">
        <f>B12</f>
        <v>558760756</v>
      </c>
      <c r="F12" s="84">
        <v>8.0560000000000007E-2</v>
      </c>
      <c r="G12" s="8">
        <f>+E12*F12</f>
        <v>45013766.503360003</v>
      </c>
    </row>
    <row r="13" spans="1:7">
      <c r="A13" t="s">
        <v>118</v>
      </c>
      <c r="B13" s="78">
        <v>60999</v>
      </c>
      <c r="C13" s="61"/>
      <c r="D13" s="8"/>
      <c r="E13" s="25">
        <f>B13</f>
        <v>60999</v>
      </c>
      <c r="F13" s="75"/>
      <c r="G13" s="8"/>
    </row>
    <row r="14" spans="1:7">
      <c r="A14" t="s">
        <v>11</v>
      </c>
      <c r="B14" s="5">
        <f>SUM(B12:B13)</f>
        <v>558821755</v>
      </c>
      <c r="C14" s="61"/>
      <c r="D14" s="8"/>
      <c r="E14" s="25">
        <f>SUM(E12:E13)</f>
        <v>558821755</v>
      </c>
      <c r="F14" s="75"/>
      <c r="G14" s="8"/>
    </row>
    <row r="15" spans="1:7">
      <c r="B15" s="5"/>
      <c r="C15" s="61"/>
      <c r="D15" s="8"/>
      <c r="E15" s="25"/>
      <c r="F15" s="75"/>
      <c r="G15" s="8"/>
    </row>
    <row r="16" spans="1:7">
      <c r="A16" t="s">
        <v>56</v>
      </c>
      <c r="B16" s="78">
        <v>1666281</v>
      </c>
      <c r="C16" s="83">
        <v>4.0199999999999996</v>
      </c>
      <c r="D16" s="8">
        <f>+B16*C16</f>
        <v>6698449.6199999992</v>
      </c>
      <c r="E16" s="25">
        <f>B16</f>
        <v>1666281</v>
      </c>
      <c r="F16" s="85">
        <v>5.03</v>
      </c>
      <c r="G16" s="8">
        <f>+E16*F16</f>
        <v>8381393.4300000006</v>
      </c>
    </row>
    <row r="17" spans="1:7">
      <c r="B17" s="75"/>
      <c r="C17" s="83"/>
      <c r="D17" s="8"/>
      <c r="E17" s="25"/>
      <c r="F17" s="85"/>
      <c r="G17" s="8"/>
    </row>
    <row r="18" spans="1:7">
      <c r="A18" t="s">
        <v>117</v>
      </c>
      <c r="B18" s="78">
        <v>49112</v>
      </c>
      <c r="C18" s="83">
        <v>3.46</v>
      </c>
      <c r="D18" s="8">
        <f>+B18*C18</f>
        <v>169927.52</v>
      </c>
      <c r="E18" s="25">
        <f>B18</f>
        <v>49112</v>
      </c>
      <c r="F18" s="85">
        <v>3.46</v>
      </c>
      <c r="G18" s="8">
        <f>+E18*F18</f>
        <v>169927.52</v>
      </c>
    </row>
    <row r="19" spans="1:7">
      <c r="B19" s="75"/>
      <c r="C19" s="83"/>
      <c r="D19" s="8"/>
      <c r="E19" s="25"/>
      <c r="F19" s="85"/>
      <c r="G19" s="8"/>
    </row>
    <row r="20" spans="1:7">
      <c r="A20" t="s">
        <v>12</v>
      </c>
      <c r="B20" s="78">
        <v>8973</v>
      </c>
      <c r="C20" s="83">
        <v>85</v>
      </c>
      <c r="D20" s="8">
        <f>+B20*C20</f>
        <v>762705</v>
      </c>
      <c r="E20" s="25">
        <f>B20</f>
        <v>8973</v>
      </c>
      <c r="F20" s="85">
        <v>85</v>
      </c>
      <c r="G20" s="8">
        <f>+E20*F20</f>
        <v>762705</v>
      </c>
    </row>
    <row r="21" spans="1:7">
      <c r="B21" s="75"/>
      <c r="C21" s="61"/>
      <c r="D21" s="8"/>
      <c r="E21" s="25"/>
      <c r="F21" s="75"/>
      <c r="G21" s="8"/>
    </row>
    <row r="22" spans="1:7">
      <c r="A22" t="s">
        <v>13</v>
      </c>
      <c r="B22" s="78">
        <v>8976</v>
      </c>
      <c r="C22" s="61"/>
      <c r="D22" s="8"/>
      <c r="E22" s="25">
        <f>B22</f>
        <v>8976</v>
      </c>
      <c r="F22" s="75"/>
      <c r="G22" s="8"/>
    </row>
    <row r="23" spans="1:7">
      <c r="C23" s="61"/>
      <c r="D23" s="8"/>
      <c r="E23" s="25"/>
      <c r="F23" s="75"/>
      <c r="G23" s="8"/>
    </row>
    <row r="24" spans="1:7">
      <c r="A24" t="str">
        <f>+RS!A$26</f>
        <v xml:space="preserve">Fuel </v>
      </c>
      <c r="C24" s="82">
        <f>+RS!C26</f>
        <v>2.0411219651722302E-3</v>
      </c>
      <c r="D24" s="8">
        <f>+B14*C24</f>
        <v>1140623.3587465945</v>
      </c>
      <c r="F24" s="79">
        <f>+RS!F26</f>
        <v>2.0411219651722302E-3</v>
      </c>
      <c r="G24" s="8">
        <f>+E14*F24</f>
        <v>1140623.3587465945</v>
      </c>
    </row>
    <row r="25" spans="1:7">
      <c r="D25" s="8"/>
      <c r="F25" s="80"/>
      <c r="G25" s="8"/>
    </row>
    <row r="26" spans="1:7">
      <c r="A26" t="str">
        <f>+RS!A$28</f>
        <v>Asset Transfer Rider</v>
      </c>
      <c r="D26" s="60">
        <f>+ATR!D28</f>
        <v>5211704.63</v>
      </c>
      <c r="F26" s="80"/>
      <c r="G26" s="60">
        <v>0</v>
      </c>
    </row>
    <row r="27" spans="1:7">
      <c r="D27" s="60"/>
      <c r="F27" s="80"/>
      <c r="G27" s="60"/>
    </row>
    <row r="28" spans="1:7">
      <c r="A28" t="str">
        <f>RS!A30</f>
        <v>Economic Development Rider</v>
      </c>
      <c r="D28" s="60"/>
      <c r="E28" s="25">
        <f>E20</f>
        <v>8973</v>
      </c>
      <c r="F28" s="85">
        <f>RS!F30</f>
        <v>0.15</v>
      </c>
      <c r="G28" s="60">
        <f>E28*F28</f>
        <v>1345.95</v>
      </c>
    </row>
    <row r="29" spans="1:7">
      <c r="D29" s="60"/>
      <c r="E29" s="25"/>
      <c r="F29" s="85"/>
      <c r="G29" s="60"/>
    </row>
    <row r="30" spans="1:7">
      <c r="A30" t="str">
        <f>+'MGS-SEC'!A32</f>
        <v>Big Sandy 1 Operations Rider - Energy</v>
      </c>
      <c r="D30" s="60"/>
      <c r="E30" s="25"/>
      <c r="F30" s="84">
        <v>1.39E-3</v>
      </c>
      <c r="G30" s="60">
        <f>+F30*E14</f>
        <v>776762.23944999999</v>
      </c>
    </row>
    <row r="31" spans="1:7">
      <c r="D31" s="60"/>
      <c r="E31" s="25"/>
      <c r="F31" s="85"/>
      <c r="G31" s="60"/>
    </row>
    <row r="32" spans="1:7">
      <c r="A32" t="str">
        <f>+'MGS-SEC'!A34</f>
        <v>Big Sandy 1 Operations Rider - Demand</v>
      </c>
      <c r="D32" s="60"/>
      <c r="E32" s="25"/>
      <c r="F32" s="85">
        <v>0.45</v>
      </c>
      <c r="G32" s="60">
        <f>+F32*E16</f>
        <v>749826.45000000007</v>
      </c>
    </row>
    <row r="33" spans="1:7">
      <c r="D33" s="60"/>
      <c r="E33" s="25"/>
      <c r="F33" s="85"/>
      <c r="G33" s="60"/>
    </row>
    <row r="34" spans="1:7">
      <c r="A34" t="str">
        <f>+'MGS-SEC'!A36</f>
        <v>Big Sandy Retirement Rider</v>
      </c>
      <c r="D34" s="60"/>
      <c r="E34" s="94">
        <f>SUM(G11:G33)-G24-G42</f>
        <v>39985189.250810012</v>
      </c>
      <c r="F34" s="100">
        <f>SGS!$F$30</f>
        <v>6.2296999999999998E-2</v>
      </c>
      <c r="G34" s="60">
        <f>E34*F34</f>
        <v>2490957.3347577113</v>
      </c>
    </row>
    <row r="35" spans="1:7">
      <c r="D35" s="60"/>
      <c r="E35" s="25"/>
      <c r="F35" s="76"/>
      <c r="G35" s="60"/>
    </row>
    <row r="36" spans="1:7">
      <c r="A36" t="str">
        <f>+'MGS-SEC'!A38</f>
        <v>Environmental Surcharge</v>
      </c>
      <c r="D36" s="60">
        <v>0</v>
      </c>
      <c r="E36" s="94">
        <f>E34</f>
        <v>39985189.250810012</v>
      </c>
      <c r="F36" s="100">
        <f>SGS!$F$32</f>
        <v>9.8027000000000003E-2</v>
      </c>
      <c r="G36" s="60">
        <f>E36*F36</f>
        <v>3919628.1466891533</v>
      </c>
    </row>
    <row r="37" spans="1:7">
      <c r="D37" s="8"/>
      <c r="G37" s="8"/>
    </row>
    <row r="38" spans="1:7">
      <c r="A38" t="s">
        <v>14</v>
      </c>
      <c r="D38" s="8">
        <f>SUM(D12:D36)</f>
        <v>57538811.058946602</v>
      </c>
      <c r="G38" s="8">
        <f>SUM(G12:G36)</f>
        <v>63406935.93300347</v>
      </c>
    </row>
    <row r="39" spans="1:7">
      <c r="G39" s="25"/>
    </row>
    <row r="40" spans="1:7">
      <c r="G40" s="25"/>
    </row>
    <row r="42" spans="1:7">
      <c r="A42" s="61" t="s">
        <v>216</v>
      </c>
      <c r="F42" s="79">
        <f>SGS!$F$38</f>
        <v>2.8400000000000002E-2</v>
      </c>
      <c r="G42" s="8">
        <f>+E14*F42</f>
        <v>15870537.842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0"/>
  <sheetViews>
    <sheetView workbookViewId="0"/>
  </sheetViews>
  <sheetFormatPr defaultRowHeight="12.75"/>
  <cols>
    <col min="1" max="1" width="22.42578125" customWidth="1"/>
    <col min="2" max="2" width="11.85546875" customWidth="1"/>
    <col min="3" max="3" width="13.140625" customWidth="1"/>
    <col min="4" max="4" width="13.7109375" customWidth="1"/>
    <col min="5" max="5" width="16.28515625" style="21" customWidth="1"/>
    <col min="6" max="7" width="14.425781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119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</row>
    <row r="13" spans="1:7">
      <c r="A13" t="s">
        <v>21</v>
      </c>
      <c r="B13" s="78">
        <v>862445</v>
      </c>
      <c r="C13" s="86">
        <v>0.12970999999999999</v>
      </c>
      <c r="D13" s="8">
        <f>+B13*C13</f>
        <v>111867.74094999999</v>
      </c>
      <c r="E13" s="25">
        <f>+B13</f>
        <v>862445</v>
      </c>
      <c r="F13" s="84">
        <v>0.13421</v>
      </c>
      <c r="G13" s="8">
        <f>+E13*F13</f>
        <v>115748.74344999999</v>
      </c>
    </row>
    <row r="14" spans="1:7">
      <c r="A14" t="s">
        <v>22</v>
      </c>
      <c r="B14" s="78">
        <v>1097494</v>
      </c>
      <c r="C14" s="86">
        <v>5.1159999999999997E-2</v>
      </c>
      <c r="D14" s="8">
        <f>+B14*C14</f>
        <v>56147.793039999997</v>
      </c>
      <c r="E14" s="25">
        <f>+B14</f>
        <v>1097494</v>
      </c>
      <c r="F14" s="84">
        <v>5.4699999999999999E-2</v>
      </c>
      <c r="G14" s="8">
        <f>+E14*F14</f>
        <v>60032.921799999996</v>
      </c>
    </row>
    <row r="15" spans="1:7">
      <c r="C15" s="83"/>
      <c r="D15" s="8"/>
      <c r="E15" s="25"/>
      <c r="F15" s="85"/>
      <c r="G15" s="8"/>
    </row>
    <row r="16" spans="1:7">
      <c r="A16" t="s">
        <v>11</v>
      </c>
      <c r="B16" s="5">
        <f>SUM(B13:B14)</f>
        <v>1959939</v>
      </c>
      <c r="C16" s="83"/>
      <c r="D16" s="8"/>
      <c r="E16" s="25">
        <f>+B16</f>
        <v>1959939</v>
      </c>
      <c r="F16" s="85"/>
      <c r="G16" s="8"/>
    </row>
    <row r="17" spans="1:7">
      <c r="B17" s="5"/>
      <c r="C17" s="83"/>
      <c r="D17" s="8"/>
      <c r="E17" s="25"/>
      <c r="F17" s="85"/>
      <c r="G17" s="8"/>
    </row>
    <row r="18" spans="1:7">
      <c r="A18" t="s">
        <v>12</v>
      </c>
      <c r="B18" s="78">
        <v>109</v>
      </c>
      <c r="C18" s="83">
        <v>81.8</v>
      </c>
      <c r="D18" s="8">
        <f>+B18*C18</f>
        <v>8916.1999999999989</v>
      </c>
      <c r="E18" s="25">
        <f>+B18</f>
        <v>109</v>
      </c>
      <c r="F18" s="85">
        <v>85</v>
      </c>
      <c r="G18" s="8">
        <f>+E18*F18</f>
        <v>9265</v>
      </c>
    </row>
    <row r="19" spans="1:7">
      <c r="B19" s="78"/>
      <c r="C19" s="61"/>
      <c r="D19" s="8"/>
      <c r="E19" s="25"/>
      <c r="F19" s="75"/>
      <c r="G19" s="8"/>
    </row>
    <row r="20" spans="1:7">
      <c r="A20" t="s">
        <v>13</v>
      </c>
      <c r="B20" s="78">
        <v>108</v>
      </c>
      <c r="C20" s="61"/>
      <c r="D20" s="8"/>
      <c r="E20" s="25">
        <f>+B20</f>
        <v>108</v>
      </c>
      <c r="F20" s="75"/>
      <c r="G20" s="8"/>
    </row>
    <row r="21" spans="1:7">
      <c r="C21" s="61"/>
      <c r="D21" s="8"/>
      <c r="E21" s="25"/>
      <c r="F21" s="75"/>
      <c r="G21" s="8"/>
    </row>
    <row r="22" spans="1:7">
      <c r="A22" t="str">
        <f>+RS!A$26</f>
        <v xml:space="preserve">Fuel </v>
      </c>
      <c r="C22" s="82">
        <f>+RS!C26</f>
        <v>2.0411219651722302E-3</v>
      </c>
      <c r="D22" s="8">
        <f>+B16*C22</f>
        <v>4000.4745432976956</v>
      </c>
      <c r="F22" s="79">
        <f>+RS!F26</f>
        <v>2.0411219651722302E-3</v>
      </c>
      <c r="G22" s="8">
        <f>+E16*F22</f>
        <v>4000.4745432976956</v>
      </c>
    </row>
    <row r="23" spans="1:7">
      <c r="D23" s="8"/>
      <c r="G23" s="8"/>
    </row>
    <row r="25" spans="1:7">
      <c r="D25" s="60"/>
      <c r="G25" s="60"/>
    </row>
    <row r="26" spans="1:7">
      <c r="A26" t="str">
        <f>+RS!A$28</f>
        <v>Asset Transfer Rider</v>
      </c>
      <c r="D26" s="60">
        <f>+ATR!D29</f>
        <v>17670.28</v>
      </c>
      <c r="G26" s="60">
        <v>0</v>
      </c>
    </row>
    <row r="27" spans="1:7">
      <c r="D27" s="60"/>
      <c r="G27" s="60"/>
    </row>
    <row r="28" spans="1:7">
      <c r="A28" t="str">
        <f>RS!A30</f>
        <v>Economic Development Rider</v>
      </c>
      <c r="D28" s="60">
        <v>0</v>
      </c>
      <c r="E28" s="25">
        <f>E18</f>
        <v>109</v>
      </c>
      <c r="F28" s="85">
        <f>RS!F30</f>
        <v>0.15</v>
      </c>
      <c r="G28" s="60">
        <f>E28*F28</f>
        <v>16.349999999999998</v>
      </c>
    </row>
    <row r="29" spans="1:7">
      <c r="D29" s="60"/>
      <c r="E29" s="25"/>
      <c r="F29" s="85"/>
      <c r="G29" s="60"/>
    </row>
    <row r="30" spans="1:7">
      <c r="A30" t="str">
        <f>RS!A32</f>
        <v>Big Sandy 1 Operations Rider</v>
      </c>
      <c r="D30" s="60"/>
      <c r="E30" s="25"/>
      <c r="F30" s="84">
        <v>2.7599999999999999E-3</v>
      </c>
      <c r="G30" s="60">
        <f>+F30*E16</f>
        <v>5409.4316399999998</v>
      </c>
    </row>
    <row r="31" spans="1:7">
      <c r="D31" s="60"/>
      <c r="E31" s="25"/>
      <c r="F31" s="85"/>
      <c r="G31" s="60"/>
    </row>
    <row r="32" spans="1:7">
      <c r="A32" t="str">
        <f>RS!A34</f>
        <v>Big Sandy Retirement Rider</v>
      </c>
      <c r="D32" s="60"/>
      <c r="E32" s="94">
        <f>SUM(G9:G31)-G22-G40</f>
        <v>134810.17929</v>
      </c>
      <c r="F32" s="100">
        <f>SGS!$F$30</f>
        <v>6.2296999999999998E-2</v>
      </c>
      <c r="G32" s="60">
        <f>E32*F32</f>
        <v>8398.2697392291302</v>
      </c>
    </row>
    <row r="33" spans="1:7">
      <c r="D33" s="60"/>
      <c r="E33" s="25"/>
      <c r="F33" s="76"/>
      <c r="G33" s="60"/>
    </row>
    <row r="34" spans="1:7">
      <c r="A34" t="str">
        <f>+RS!A$36</f>
        <v>Environmental Surcharge</v>
      </c>
      <c r="D34" s="60">
        <v>0</v>
      </c>
      <c r="E34" s="94">
        <f>E32</f>
        <v>134810.17929</v>
      </c>
      <c r="F34" s="100">
        <f>SGS!$F$32</f>
        <v>9.8027000000000003E-2</v>
      </c>
      <c r="G34" s="60">
        <f>E34*F34</f>
        <v>13215.03744526083</v>
      </c>
    </row>
    <row r="35" spans="1:7">
      <c r="D35" s="8"/>
      <c r="G35" s="8"/>
    </row>
    <row r="36" spans="1:7">
      <c r="A36" t="s">
        <v>14</v>
      </c>
      <c r="D36" s="8">
        <f>SUM(D13:D26)</f>
        <v>198602.4885332977</v>
      </c>
      <c r="G36" s="8">
        <f>SUM(G13:G35)</f>
        <v>216086.22861778762</v>
      </c>
    </row>
    <row r="37" spans="1:7">
      <c r="G37" s="25"/>
    </row>
    <row r="40" spans="1:7">
      <c r="A40" s="61" t="s">
        <v>216</v>
      </c>
      <c r="F40" s="79">
        <f>SGS!$F$38</f>
        <v>2.8400000000000002E-2</v>
      </c>
      <c r="G40" s="8">
        <f>+E16*F40</f>
        <v>55662.267600000006</v>
      </c>
    </row>
  </sheetData>
  <phoneticPr fontId="0" type="noConversion"/>
  <pageMargins left="0.75" right="0.75" top="1" bottom="1" header="0.5" footer="0.5"/>
  <pageSetup scale="9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/>
  </sheetViews>
  <sheetFormatPr defaultRowHeight="12.75"/>
  <cols>
    <col min="1" max="1" width="23.140625" customWidth="1"/>
    <col min="2" max="2" width="11.7109375" customWidth="1"/>
    <col min="3" max="3" width="12.28515625" customWidth="1"/>
    <col min="4" max="4" width="15.28515625" customWidth="1"/>
    <col min="5" max="5" width="16.28515625" style="21" customWidth="1"/>
    <col min="6" max="6" width="13.140625" style="21" customWidth="1"/>
    <col min="7" max="7" width="15.1406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63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9" t="s">
        <v>8</v>
      </c>
      <c r="B12" s="78">
        <v>112193710</v>
      </c>
      <c r="C12" s="86">
        <v>6.5140000000000003E-2</v>
      </c>
      <c r="D12" s="8">
        <f>+B12*C12</f>
        <v>7308298.2694000006</v>
      </c>
      <c r="E12" s="25">
        <f>B12</f>
        <v>112193710</v>
      </c>
      <c r="F12" s="84">
        <v>6.8510000000000001E-2</v>
      </c>
      <c r="G12" s="8">
        <f>+E12*F12</f>
        <v>7686391.0721000005</v>
      </c>
    </row>
    <row r="13" spans="1:7">
      <c r="A13" t="s">
        <v>118</v>
      </c>
      <c r="B13" s="78">
        <v>-8025</v>
      </c>
      <c r="C13" s="61"/>
      <c r="D13" s="8"/>
      <c r="E13" s="25">
        <f>B13</f>
        <v>-8025</v>
      </c>
      <c r="F13" s="75"/>
      <c r="G13" s="8"/>
    </row>
    <row r="14" spans="1:7">
      <c r="A14" t="s">
        <v>11</v>
      </c>
      <c r="B14" s="5">
        <f>SUM(B12:B13)</f>
        <v>112185685</v>
      </c>
      <c r="C14" s="61"/>
      <c r="D14" s="8"/>
      <c r="E14" s="25">
        <f>B14</f>
        <v>112185685</v>
      </c>
      <c r="F14" s="75"/>
      <c r="G14" s="8"/>
    </row>
    <row r="15" spans="1:7">
      <c r="C15" s="61"/>
      <c r="D15" s="8"/>
      <c r="E15" s="25"/>
      <c r="F15" s="75"/>
      <c r="G15" s="8"/>
    </row>
    <row r="16" spans="1:7">
      <c r="A16" t="s">
        <v>56</v>
      </c>
      <c r="B16" s="78">
        <v>386863</v>
      </c>
      <c r="C16" s="83">
        <v>3.89</v>
      </c>
      <c r="D16" s="8">
        <f>+B16*C16</f>
        <v>1504897.07</v>
      </c>
      <c r="E16" s="25">
        <f>B16</f>
        <v>386863</v>
      </c>
      <c r="F16" s="85">
        <v>4.8899999999999997</v>
      </c>
      <c r="G16" s="8">
        <f>+E16*F16</f>
        <v>1891760.0699999998</v>
      </c>
    </row>
    <row r="17" spans="1:7">
      <c r="B17" s="75"/>
      <c r="C17" s="83"/>
      <c r="D17" s="8"/>
      <c r="E17" s="25"/>
      <c r="F17" s="85"/>
      <c r="G17" s="8"/>
    </row>
    <row r="18" spans="1:7">
      <c r="A18" t="s">
        <v>117</v>
      </c>
      <c r="B18" s="78">
        <v>62872</v>
      </c>
      <c r="C18" s="83">
        <v>3.46</v>
      </c>
      <c r="D18" s="8">
        <f>+B18*C18</f>
        <v>217537.12</v>
      </c>
      <c r="E18" s="25">
        <f>B18</f>
        <v>62872</v>
      </c>
      <c r="F18" s="85">
        <v>3.46</v>
      </c>
      <c r="G18" s="8">
        <f>+E18*F18</f>
        <v>217537.12</v>
      </c>
    </row>
    <row r="19" spans="1:7">
      <c r="B19" s="75"/>
      <c r="C19" s="83"/>
      <c r="D19" s="8"/>
      <c r="E19" s="25"/>
      <c r="F19" s="85"/>
      <c r="G19" s="8"/>
    </row>
    <row r="20" spans="1:7">
      <c r="A20" t="s">
        <v>12</v>
      </c>
      <c r="B20" s="78">
        <v>936</v>
      </c>
      <c r="C20" s="83">
        <v>127.5</v>
      </c>
      <c r="D20" s="8">
        <f>+B20*C20</f>
        <v>119340</v>
      </c>
      <c r="E20" s="25">
        <f>B20</f>
        <v>936</v>
      </c>
      <c r="F20" s="85">
        <v>127.5</v>
      </c>
      <c r="G20" s="8">
        <f>+E20*F20</f>
        <v>119340</v>
      </c>
    </row>
    <row r="21" spans="1:7">
      <c r="B21" s="75"/>
      <c r="C21" s="61"/>
      <c r="D21" s="8"/>
      <c r="E21" s="25"/>
      <c r="F21" s="75"/>
      <c r="G21" s="8"/>
    </row>
    <row r="22" spans="1:7">
      <c r="A22" t="s">
        <v>13</v>
      </c>
      <c r="B22" s="78">
        <v>936</v>
      </c>
      <c r="C22" s="61"/>
      <c r="D22" s="8"/>
      <c r="E22" s="25">
        <f>B22</f>
        <v>936</v>
      </c>
      <c r="F22" s="75"/>
      <c r="G22" s="8"/>
    </row>
    <row r="23" spans="1:7">
      <c r="C23" s="61"/>
      <c r="D23" s="8"/>
      <c r="F23" s="75"/>
      <c r="G23" s="8"/>
    </row>
    <row r="24" spans="1:7">
      <c r="A24" t="str">
        <f>+RS!A$26</f>
        <v xml:space="preserve">Fuel </v>
      </c>
      <c r="C24" s="82">
        <f>+RS!C26</f>
        <v>2.0411219651722302E-3</v>
      </c>
      <c r="D24" s="8">
        <f>+B14*C24</f>
        <v>228984.66583139281</v>
      </c>
      <c r="F24" s="79">
        <f>+RS!F26</f>
        <v>2.0411219651722302E-3</v>
      </c>
      <c r="G24" s="8">
        <f>+E14*F24</f>
        <v>228984.66583139281</v>
      </c>
    </row>
    <row r="25" spans="1:7">
      <c r="D25" s="8"/>
      <c r="F25" s="80"/>
      <c r="G25" s="8"/>
    </row>
    <row r="26" spans="1:7">
      <c r="A26" t="str">
        <f>+RS!A$28</f>
        <v>Asset Transfer Rider</v>
      </c>
      <c r="D26" s="60">
        <f>+ATR!D30</f>
        <v>896161.48</v>
      </c>
      <c r="F26" s="80"/>
      <c r="G26" s="60">
        <v>0</v>
      </c>
    </row>
    <row r="27" spans="1:7">
      <c r="D27" s="60"/>
      <c r="F27" s="80"/>
      <c r="G27" s="60"/>
    </row>
    <row r="28" spans="1:7">
      <c r="A28" t="str">
        <f>RS!A30</f>
        <v>Economic Development Rider</v>
      </c>
      <c r="D28" s="60">
        <v>0</v>
      </c>
      <c r="E28" s="25">
        <f>E20</f>
        <v>936</v>
      </c>
      <c r="F28" s="85">
        <f>RS!F30</f>
        <v>0.15</v>
      </c>
      <c r="G28" s="60">
        <f>E28*F28</f>
        <v>140.4</v>
      </c>
    </row>
    <row r="29" spans="1:7">
      <c r="D29" s="60"/>
      <c r="E29" s="25"/>
      <c r="F29" s="85"/>
      <c r="G29" s="60"/>
    </row>
    <row r="30" spans="1:7">
      <c r="A30" t="str">
        <f>+'LGS-SEC'!A30</f>
        <v>Big Sandy 1 Operations Rider - Energy</v>
      </c>
      <c r="D30" s="60">
        <v>0</v>
      </c>
      <c r="E30" s="25"/>
      <c r="F30" s="84">
        <f>+'LGS-SEC'!F30</f>
        <v>1.39E-3</v>
      </c>
      <c r="G30" s="60">
        <f>+F30*E14</f>
        <v>155938.10214999999</v>
      </c>
    </row>
    <row r="31" spans="1:7">
      <c r="D31" s="60"/>
      <c r="E31" s="25"/>
      <c r="F31" s="85"/>
      <c r="G31" s="60"/>
    </row>
    <row r="32" spans="1:7">
      <c r="A32" t="str">
        <f>+'LGS-SEC'!A32</f>
        <v>Big Sandy 1 Operations Rider - Demand</v>
      </c>
      <c r="D32" s="60">
        <v>0</v>
      </c>
      <c r="E32" s="25"/>
      <c r="F32" s="85">
        <f>+'LGS-SEC'!F32</f>
        <v>0.45</v>
      </c>
      <c r="G32" s="60">
        <f>+F32*E16</f>
        <v>174088.35</v>
      </c>
    </row>
    <row r="33" spans="1:7">
      <c r="D33" s="60"/>
      <c r="E33" s="25"/>
      <c r="F33" s="83"/>
      <c r="G33" s="60"/>
    </row>
    <row r="34" spans="1:7">
      <c r="A34" t="str">
        <f>RS!A34</f>
        <v>Big Sandy Retirement Rider</v>
      </c>
      <c r="D34" s="60">
        <v>0</v>
      </c>
      <c r="E34" s="94">
        <f>SUM(G11:G33)-G24-G42</f>
        <v>7059121.6602500007</v>
      </c>
      <c r="F34" s="100">
        <f>SGS!$F$30</f>
        <v>6.2296999999999998E-2</v>
      </c>
      <c r="G34" s="60">
        <f>E34*F34</f>
        <v>439762.10206859425</v>
      </c>
    </row>
    <row r="35" spans="1:7">
      <c r="D35" s="60"/>
      <c r="E35" s="25"/>
      <c r="F35" s="76"/>
      <c r="G35" s="60"/>
    </row>
    <row r="36" spans="1:7">
      <c r="A36" t="str">
        <f>RS!A36</f>
        <v>Environmental Surcharge</v>
      </c>
      <c r="D36" s="60">
        <v>0</v>
      </c>
      <c r="E36" s="94">
        <f>E34</f>
        <v>7059121.6602500007</v>
      </c>
      <c r="F36" s="100">
        <f>SGS!$F$32</f>
        <v>9.8027000000000003E-2</v>
      </c>
      <c r="G36" s="60">
        <f>E36*F36</f>
        <v>691984.51898932678</v>
      </c>
    </row>
    <row r="37" spans="1:7">
      <c r="D37" s="8"/>
      <c r="G37" s="8"/>
    </row>
    <row r="38" spans="1:7">
      <c r="A38" t="s">
        <v>14</v>
      </c>
      <c r="D38" s="8">
        <f>SUM(D12:D36)</f>
        <v>10275218.605231393</v>
      </c>
      <c r="G38" s="8">
        <f>SUM(G12:G36)</f>
        <v>11605926.401139313</v>
      </c>
    </row>
    <row r="39" spans="1:7">
      <c r="G39" s="25"/>
    </row>
    <row r="42" spans="1:7">
      <c r="A42" s="61" t="s">
        <v>216</v>
      </c>
      <c r="F42" s="79">
        <f>SGS!$F$38</f>
        <v>2.8400000000000002E-2</v>
      </c>
      <c r="G42" s="8">
        <f>+E14*F42</f>
        <v>3186073.4540000004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/>
  </sheetViews>
  <sheetFormatPr defaultRowHeight="12.75"/>
  <cols>
    <col min="1" max="1" width="21.42578125" customWidth="1"/>
    <col min="2" max="2" width="13.28515625" customWidth="1"/>
    <col min="3" max="3" width="12.28515625" customWidth="1"/>
    <col min="4" max="4" width="14.7109375" customWidth="1"/>
    <col min="5" max="5" width="16.28515625" style="21" customWidth="1"/>
    <col min="6" max="6" width="13.5703125" style="21" customWidth="1"/>
    <col min="7" max="7" width="14.8554687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64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9" t="s">
        <v>8</v>
      </c>
      <c r="B12" s="78">
        <v>33745670</v>
      </c>
      <c r="C12" s="86">
        <v>4.9419999999999999E-2</v>
      </c>
      <c r="D12" s="8">
        <f>+B12*C12</f>
        <v>1667711.0114</v>
      </c>
      <c r="E12" s="25">
        <f>B12</f>
        <v>33745670</v>
      </c>
      <c r="F12" s="84">
        <v>4.6699999999999998E-2</v>
      </c>
      <c r="G12" s="8">
        <f>+E12*F12</f>
        <v>1575922.7889999999</v>
      </c>
    </row>
    <row r="13" spans="1:7">
      <c r="A13" t="s">
        <v>118</v>
      </c>
      <c r="B13" s="78">
        <v>-20476</v>
      </c>
      <c r="C13" s="61"/>
      <c r="D13" s="8"/>
      <c r="E13" s="25">
        <f>B13</f>
        <v>-20476</v>
      </c>
      <c r="F13" s="75"/>
      <c r="G13" s="8"/>
    </row>
    <row r="14" spans="1:7">
      <c r="A14" t="s">
        <v>11</v>
      </c>
      <c r="B14" s="5">
        <f>SUM(B12:B13)</f>
        <v>33725194</v>
      </c>
      <c r="C14" s="61"/>
      <c r="D14" s="8"/>
      <c r="E14" s="25">
        <f>B14</f>
        <v>33725194</v>
      </c>
      <c r="F14" s="75"/>
      <c r="G14" s="8"/>
    </row>
    <row r="15" spans="1:7">
      <c r="C15" s="61"/>
      <c r="D15" s="8"/>
      <c r="E15" s="25"/>
      <c r="F15" s="75"/>
      <c r="G15" s="8"/>
    </row>
    <row r="16" spans="1:7">
      <c r="A16" t="s">
        <v>56</v>
      </c>
      <c r="B16" s="78">
        <v>110848</v>
      </c>
      <c r="C16" s="83">
        <v>3.8</v>
      </c>
      <c r="D16" s="8">
        <f>+B16*C16</f>
        <v>421222.39999999997</v>
      </c>
      <c r="E16" s="25">
        <f>B16</f>
        <v>110848</v>
      </c>
      <c r="F16" s="85">
        <v>4.82</v>
      </c>
      <c r="G16" s="8">
        <f>+E16*F16</f>
        <v>534287.35999999999</v>
      </c>
    </row>
    <row r="17" spans="1:7">
      <c r="B17" s="75"/>
      <c r="C17" s="83"/>
      <c r="D17" s="8"/>
      <c r="E17" s="25"/>
      <c r="F17" s="85"/>
      <c r="G17" s="8"/>
    </row>
    <row r="18" spans="1:7">
      <c r="A18" t="s">
        <v>117</v>
      </c>
      <c r="B18" s="78">
        <v>6203</v>
      </c>
      <c r="C18" s="83">
        <v>3.46</v>
      </c>
      <c r="D18" s="8">
        <f>+B18*C18</f>
        <v>21462.38</v>
      </c>
      <c r="E18" s="25">
        <f>B18</f>
        <v>6203</v>
      </c>
      <c r="F18" s="85">
        <v>3.46</v>
      </c>
      <c r="G18" s="8">
        <f>+E18*F18</f>
        <v>21462.38</v>
      </c>
    </row>
    <row r="19" spans="1:7" ht="13.5" customHeight="1">
      <c r="B19" s="75"/>
      <c r="C19" s="83"/>
      <c r="D19" s="8"/>
      <c r="E19" s="25"/>
      <c r="F19" s="85"/>
      <c r="G19" s="8"/>
    </row>
    <row r="20" spans="1:7">
      <c r="A20" t="s">
        <v>12</v>
      </c>
      <c r="B20" s="78">
        <v>240</v>
      </c>
      <c r="C20" s="83">
        <v>535.5</v>
      </c>
      <c r="D20" s="8">
        <f>+B20*C20</f>
        <v>128520</v>
      </c>
      <c r="E20" s="25">
        <f>B20</f>
        <v>240</v>
      </c>
      <c r="F20" s="85">
        <v>661.65</v>
      </c>
      <c r="G20" s="8">
        <f>+E20*F20</f>
        <v>158796</v>
      </c>
    </row>
    <row r="21" spans="1:7">
      <c r="B21" s="75"/>
      <c r="C21" s="61"/>
      <c r="D21" s="8"/>
      <c r="E21" s="25"/>
      <c r="F21" s="75"/>
      <c r="G21" s="8"/>
    </row>
    <row r="22" spans="1:7">
      <c r="A22" t="s">
        <v>13</v>
      </c>
      <c r="B22" s="78">
        <v>240</v>
      </c>
      <c r="C22" s="61"/>
      <c r="D22" s="8"/>
      <c r="E22" s="25">
        <f>B22</f>
        <v>240</v>
      </c>
      <c r="F22" s="75"/>
      <c r="G22" s="8"/>
    </row>
    <row r="23" spans="1:7">
      <c r="B23" s="17"/>
      <c r="C23" s="61"/>
      <c r="D23" s="8"/>
      <c r="E23" s="25"/>
      <c r="F23" s="75"/>
      <c r="G23" s="8"/>
    </row>
    <row r="24" spans="1:7">
      <c r="A24" t="str">
        <f>+RS!A$26</f>
        <v xml:space="preserve">Fuel </v>
      </c>
      <c r="C24" s="82">
        <f>+RS!C26</f>
        <v>2.0411219651722302E-3</v>
      </c>
      <c r="D24" s="8">
        <f>+B14*C24</f>
        <v>68837.234253094706</v>
      </c>
      <c r="F24" s="79">
        <f>+RS!F26</f>
        <v>2.0411219651722302E-3</v>
      </c>
      <c r="G24" s="8">
        <f>+E14*F24</f>
        <v>68837.234253094706</v>
      </c>
    </row>
    <row r="25" spans="1:7">
      <c r="D25" s="8"/>
      <c r="F25" s="80"/>
      <c r="G25" s="8"/>
    </row>
    <row r="26" spans="1:7">
      <c r="A26" t="str">
        <f>+RS!A$28</f>
        <v>Asset Transfer Rider</v>
      </c>
      <c r="D26" s="60">
        <f>+ATR!D31</f>
        <v>182379.04</v>
      </c>
      <c r="F26" s="80"/>
      <c r="G26" s="60">
        <v>0</v>
      </c>
    </row>
    <row r="27" spans="1:7">
      <c r="D27" s="60"/>
      <c r="F27" s="80"/>
      <c r="G27" s="60"/>
    </row>
    <row r="28" spans="1:7">
      <c r="A28" t="str">
        <f>RS!A30</f>
        <v>Economic Development Rider</v>
      </c>
      <c r="D28" s="60">
        <v>0</v>
      </c>
      <c r="E28" s="25">
        <f>E20</f>
        <v>240</v>
      </c>
      <c r="F28" s="85">
        <f>RS!F30</f>
        <v>0.15</v>
      </c>
      <c r="G28" s="60">
        <f>E28*F28</f>
        <v>36</v>
      </c>
    </row>
    <row r="29" spans="1:7">
      <c r="D29" s="60"/>
      <c r="E29" s="25"/>
      <c r="F29" s="85"/>
      <c r="G29" s="60"/>
    </row>
    <row r="30" spans="1:7">
      <c r="A30" t="str">
        <f>+'LGS-SEC'!A30</f>
        <v>Big Sandy 1 Operations Rider - Energy</v>
      </c>
      <c r="D30" s="60">
        <v>0</v>
      </c>
      <c r="E30" s="25"/>
      <c r="F30" s="84">
        <f>+'LGS-SEC'!F30</f>
        <v>1.39E-3</v>
      </c>
      <c r="G30" s="60">
        <f>+F30*E14</f>
        <v>46878.019659999998</v>
      </c>
    </row>
    <row r="31" spans="1:7">
      <c r="D31" s="60"/>
      <c r="E31" s="25"/>
      <c r="F31" s="85"/>
      <c r="G31" s="60"/>
    </row>
    <row r="32" spans="1:7">
      <c r="A32" t="str">
        <f>+'LGS-SEC'!A32</f>
        <v>Big Sandy 1 Operations Rider - Demand</v>
      </c>
      <c r="D32" s="60">
        <v>0</v>
      </c>
      <c r="E32" s="25"/>
      <c r="F32" s="85">
        <f>+'LGS-SEC'!F32</f>
        <v>0.45</v>
      </c>
      <c r="G32" s="60">
        <f>+F32*E16</f>
        <v>49881.599999999999</v>
      </c>
    </row>
    <row r="33" spans="1:7">
      <c r="D33" s="60"/>
      <c r="E33" s="25"/>
      <c r="F33" s="85"/>
      <c r="G33" s="60"/>
    </row>
    <row r="34" spans="1:7">
      <c r="A34" t="str">
        <f>+'LGS-SEC'!A34</f>
        <v>Big Sandy Retirement Rider</v>
      </c>
      <c r="D34" s="60">
        <v>0</v>
      </c>
      <c r="E34" s="94">
        <f>SUM(G11:G33)-G24-G42</f>
        <v>1429468.63906</v>
      </c>
      <c r="F34" s="100">
        <f>SGS!$F$30</f>
        <v>6.2296999999999998E-2</v>
      </c>
      <c r="G34" s="60">
        <f>+F34*E34</f>
        <v>89051.607807520821</v>
      </c>
    </row>
    <row r="35" spans="1:7">
      <c r="D35" s="60"/>
      <c r="E35" s="25"/>
      <c r="F35" s="76"/>
      <c r="G35" s="60"/>
    </row>
    <row r="36" spans="1:7">
      <c r="A36" t="str">
        <f>+'LGS-SEC'!A36</f>
        <v>Environmental Surcharge</v>
      </c>
      <c r="D36" s="60">
        <v>0</v>
      </c>
      <c r="E36" s="94">
        <f>E34</f>
        <v>1429468.63906</v>
      </c>
      <c r="F36" s="100">
        <f>SGS!$F$32</f>
        <v>9.8027000000000003E-2</v>
      </c>
      <c r="G36" s="60">
        <f>+F36*E36</f>
        <v>140126.52228113462</v>
      </c>
    </row>
    <row r="37" spans="1:7">
      <c r="D37" s="8"/>
      <c r="G37" s="8"/>
    </row>
    <row r="38" spans="1:7">
      <c r="A38" t="s">
        <v>14</v>
      </c>
      <c r="D38" s="8">
        <f>SUM(D12:D36)</f>
        <v>2490132.0656530946</v>
      </c>
      <c r="G38" s="8">
        <f>SUM(G12:G36)</f>
        <v>2685279.5130017498</v>
      </c>
    </row>
    <row r="39" spans="1:7">
      <c r="G39" s="25"/>
    </row>
    <row r="40" spans="1:7">
      <c r="G40" s="25"/>
    </row>
    <row r="41" spans="1:7">
      <c r="G41" s="25"/>
    </row>
    <row r="42" spans="1:7">
      <c r="A42" s="61" t="s">
        <v>216</v>
      </c>
      <c r="F42" s="79">
        <f>SGS!$F$38</f>
        <v>2.8400000000000002E-2</v>
      </c>
      <c r="G42" s="8">
        <f>+E14*F42</f>
        <v>957795.50960000011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>
      <selection activeCell="F18" sqref="F18"/>
    </sheetView>
  </sheetViews>
  <sheetFormatPr defaultRowHeight="12.75"/>
  <cols>
    <col min="1" max="1" width="21.42578125" customWidth="1"/>
    <col min="2" max="2" width="13.28515625" customWidth="1"/>
    <col min="3" max="3" width="12.28515625" customWidth="1"/>
    <col min="4" max="4" width="14.7109375" customWidth="1"/>
    <col min="5" max="5" width="16.28515625" style="21" customWidth="1"/>
    <col min="6" max="6" width="13.5703125" style="21" customWidth="1"/>
    <col min="7" max="7" width="14.8554687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132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9" t="s">
        <v>8</v>
      </c>
      <c r="B12" s="78">
        <v>671609</v>
      </c>
      <c r="C12" s="86">
        <v>4.6440000000000002E-2</v>
      </c>
      <c r="D12" s="8">
        <f>+B12*C12</f>
        <v>31189.521960000002</v>
      </c>
      <c r="E12" s="25">
        <f>B12</f>
        <v>671609</v>
      </c>
      <c r="F12" s="84">
        <v>4.5789999999999997E-2</v>
      </c>
      <c r="G12" s="8">
        <f>+E12*F12</f>
        <v>30752.97611</v>
      </c>
    </row>
    <row r="13" spans="1:7">
      <c r="A13" t="s">
        <v>118</v>
      </c>
      <c r="B13" s="78">
        <v>817</v>
      </c>
      <c r="C13" s="61"/>
      <c r="D13" s="8"/>
      <c r="E13" s="25">
        <f>B13</f>
        <v>817</v>
      </c>
      <c r="F13" s="75"/>
      <c r="G13" s="8"/>
    </row>
    <row r="14" spans="1:7">
      <c r="A14" t="s">
        <v>11</v>
      </c>
      <c r="B14" s="5">
        <f>SUM(B12:B13)</f>
        <v>672426</v>
      </c>
      <c r="C14" s="61"/>
      <c r="D14" s="8"/>
      <c r="E14" s="25">
        <f>B14</f>
        <v>672426</v>
      </c>
      <c r="F14" s="75"/>
      <c r="G14" s="8"/>
    </row>
    <row r="15" spans="1:7">
      <c r="C15" s="61"/>
      <c r="D15" s="8"/>
      <c r="E15" s="25"/>
      <c r="F15" s="75"/>
      <c r="G15" s="8"/>
    </row>
    <row r="16" spans="1:7">
      <c r="A16" t="s">
        <v>56</v>
      </c>
      <c r="B16" s="78">
        <v>5277</v>
      </c>
      <c r="C16" s="83">
        <v>3.76</v>
      </c>
      <c r="D16" s="8">
        <f>+B16*C16</f>
        <v>19841.52</v>
      </c>
      <c r="E16" s="25">
        <f>B16</f>
        <v>5277</v>
      </c>
      <c r="F16" s="85">
        <v>4.75</v>
      </c>
      <c r="G16" s="8">
        <f>+E16*F16</f>
        <v>25065.75</v>
      </c>
    </row>
    <row r="17" spans="1:7">
      <c r="B17" s="75"/>
      <c r="C17" s="83"/>
      <c r="D17" s="8"/>
      <c r="E17" s="25"/>
      <c r="F17" s="85"/>
      <c r="G17" s="8"/>
    </row>
    <row r="18" spans="1:7">
      <c r="A18" t="s">
        <v>117</v>
      </c>
      <c r="B18" s="78">
        <v>2541</v>
      </c>
      <c r="C18" s="83">
        <v>3.46</v>
      </c>
      <c r="D18" s="8">
        <f>+B18*C18</f>
        <v>8791.86</v>
      </c>
      <c r="E18" s="25">
        <f>B18</f>
        <v>2541</v>
      </c>
      <c r="F18" s="85">
        <v>3.46</v>
      </c>
      <c r="G18" s="8">
        <f>+E18*F18</f>
        <v>8791.86</v>
      </c>
    </row>
    <row r="19" spans="1:7" ht="13.5" customHeight="1">
      <c r="B19" s="75"/>
      <c r="C19" s="83"/>
      <c r="D19" s="8"/>
      <c r="E19" s="25"/>
      <c r="F19" s="85"/>
      <c r="G19" s="8"/>
    </row>
    <row r="20" spans="1:7">
      <c r="A20" t="s">
        <v>12</v>
      </c>
      <c r="B20" s="78">
        <v>12</v>
      </c>
      <c r="C20" s="83">
        <v>535.5</v>
      </c>
      <c r="D20" s="8">
        <f>+B20*C20</f>
        <v>6426</v>
      </c>
      <c r="E20" s="25">
        <f>B20</f>
        <v>12</v>
      </c>
      <c r="F20" s="85">
        <v>661.65</v>
      </c>
      <c r="G20" s="8">
        <f>+E20*F20</f>
        <v>7939.7999999999993</v>
      </c>
    </row>
    <row r="21" spans="1:7">
      <c r="B21" s="75"/>
      <c r="C21" s="61"/>
      <c r="D21" s="8"/>
      <c r="E21" s="25"/>
      <c r="F21" s="75"/>
      <c r="G21" s="8"/>
    </row>
    <row r="22" spans="1:7">
      <c r="A22" t="s">
        <v>13</v>
      </c>
      <c r="B22" s="78">
        <v>12</v>
      </c>
      <c r="C22" s="61"/>
      <c r="D22" s="8"/>
      <c r="E22" s="25">
        <f>B22</f>
        <v>12</v>
      </c>
      <c r="F22" s="75"/>
      <c r="G22" s="8"/>
    </row>
    <row r="23" spans="1:7">
      <c r="C23" s="61"/>
      <c r="D23" s="8"/>
      <c r="F23" s="75"/>
      <c r="G23" s="8"/>
    </row>
    <row r="24" spans="1:7">
      <c r="A24" t="str">
        <f>+RS!A$26</f>
        <v xml:space="preserve">Fuel </v>
      </c>
      <c r="C24" s="82">
        <f>+RS!C26</f>
        <v>2.0411219651722302E-3</v>
      </c>
      <c r="D24" s="8">
        <f>+B14*C24</f>
        <v>1372.5034785529022</v>
      </c>
      <c r="F24" s="79">
        <f>+RS!F26</f>
        <v>2.0411219651722302E-3</v>
      </c>
      <c r="G24" s="8">
        <f>+E14*F24</f>
        <v>1372.5034785529022</v>
      </c>
    </row>
    <row r="25" spans="1:7">
      <c r="D25" s="8"/>
      <c r="F25" s="80"/>
      <c r="G25" s="8"/>
    </row>
    <row r="26" spans="1:7">
      <c r="A26" t="str">
        <f>+RS!A$28</f>
        <v>Asset Transfer Rider</v>
      </c>
      <c r="D26" s="60">
        <f>+ATR!D32</f>
        <v>-738.22</v>
      </c>
      <c r="F26" s="80"/>
      <c r="G26" s="60">
        <v>0</v>
      </c>
    </row>
    <row r="27" spans="1:7">
      <c r="D27" s="60"/>
      <c r="F27" s="80"/>
      <c r="G27" s="60"/>
    </row>
    <row r="28" spans="1:7">
      <c r="A28" t="str">
        <f>RS!A30</f>
        <v>Economic Development Rider</v>
      </c>
      <c r="D28" s="60">
        <v>0</v>
      </c>
      <c r="E28" s="25">
        <f>E20</f>
        <v>12</v>
      </c>
      <c r="F28" s="85">
        <f>RS!F30</f>
        <v>0.15</v>
      </c>
      <c r="G28" s="60">
        <f>E28*F28</f>
        <v>1.7999999999999998</v>
      </c>
    </row>
    <row r="29" spans="1:7">
      <c r="D29" s="60"/>
      <c r="E29" s="25"/>
      <c r="F29" s="85"/>
      <c r="G29" s="60"/>
    </row>
    <row r="30" spans="1:7">
      <c r="A30" t="str">
        <f>+'LGS-SEC'!A30</f>
        <v>Big Sandy 1 Operations Rider - Energy</v>
      </c>
      <c r="D30" s="60">
        <v>0</v>
      </c>
      <c r="E30" s="25"/>
      <c r="F30" s="84">
        <f>+'LGS-SEC'!F30</f>
        <v>1.39E-3</v>
      </c>
      <c r="G30" s="60">
        <f>+F30*E14</f>
        <v>934.67214000000001</v>
      </c>
    </row>
    <row r="31" spans="1:7">
      <c r="D31" s="60"/>
      <c r="E31" s="25"/>
      <c r="F31" s="85"/>
      <c r="G31" s="60"/>
    </row>
    <row r="32" spans="1:7">
      <c r="A32" t="str">
        <f>+'LGS-SEC'!A32</f>
        <v>Big Sandy 1 Operations Rider - Demand</v>
      </c>
      <c r="D32" s="60">
        <v>0</v>
      </c>
      <c r="E32" s="25"/>
      <c r="F32" s="85">
        <f>+'LGS-SEC'!F32</f>
        <v>0.45</v>
      </c>
      <c r="G32" s="60">
        <f>+F32*E16</f>
        <v>2374.65</v>
      </c>
    </row>
    <row r="33" spans="1:7">
      <c r="D33" s="60"/>
      <c r="E33" s="25"/>
      <c r="F33" s="85"/>
      <c r="G33" s="60"/>
    </row>
    <row r="34" spans="1:7">
      <c r="A34" t="str">
        <f>+'LGS-SEC'!A34</f>
        <v>Big Sandy Retirement Rider</v>
      </c>
      <c r="D34" s="60">
        <v>0</v>
      </c>
      <c r="E34" s="94">
        <f>SUM(G11:G33)-G24-G42</f>
        <v>56764.609849999993</v>
      </c>
      <c r="F34" s="100">
        <f>SGS!$F$30</f>
        <v>6.2296999999999998E-2</v>
      </c>
      <c r="G34" s="60">
        <f>E34*F34</f>
        <v>3536.2648998254494</v>
      </c>
    </row>
    <row r="35" spans="1:7">
      <c r="D35" s="60"/>
      <c r="E35" s="25"/>
      <c r="F35" s="76"/>
      <c r="G35" s="60"/>
    </row>
    <row r="36" spans="1:7">
      <c r="A36" t="str">
        <f>+'LGS-SEC'!A36</f>
        <v>Environmental Surcharge</v>
      </c>
      <c r="D36" s="60">
        <v>0</v>
      </c>
      <c r="E36" s="94">
        <f>E34</f>
        <v>56764.609849999993</v>
      </c>
      <c r="F36" s="100">
        <f>SGS!$F$32</f>
        <v>9.8027000000000003E-2</v>
      </c>
      <c r="G36" s="60">
        <f>E36*F36</f>
        <v>5564.4644097659493</v>
      </c>
    </row>
    <row r="37" spans="1:7">
      <c r="D37" s="8"/>
      <c r="G37" s="8"/>
    </row>
    <row r="38" spans="1:7">
      <c r="A38" t="s">
        <v>14</v>
      </c>
      <c r="D38" s="8">
        <f>SUM(D12:D36)</f>
        <v>66883.1854385529</v>
      </c>
      <c r="G38" s="8">
        <f>SUM(G12:G36)</f>
        <v>86334.74103814429</v>
      </c>
    </row>
    <row r="39" spans="1:7">
      <c r="G39" s="25"/>
    </row>
    <row r="40" spans="1:7">
      <c r="G40" s="25"/>
    </row>
    <row r="41" spans="1:7">
      <c r="G41" s="25"/>
    </row>
    <row r="42" spans="1:7">
      <c r="A42" s="61" t="s">
        <v>216</v>
      </c>
      <c r="F42" s="79">
        <f>SGS!$F$38</f>
        <v>2.8400000000000002E-2</v>
      </c>
      <c r="G42" s="8">
        <f>+E14*F42</f>
        <v>19096.898400000002</v>
      </c>
    </row>
  </sheetData>
  <pageMargins left="0.75" right="0.75" top="1" bottom="1" header="0.5" footer="0.5"/>
  <pageSetup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5"/>
  <sheetViews>
    <sheetView workbookViewId="0"/>
  </sheetViews>
  <sheetFormatPr defaultRowHeight="12.75"/>
  <cols>
    <col min="1" max="1" width="22.28515625" customWidth="1"/>
    <col min="2" max="2" width="12.85546875" customWidth="1"/>
    <col min="3" max="3" width="12.42578125" customWidth="1"/>
    <col min="4" max="4" width="14.140625" customWidth="1"/>
    <col min="5" max="5" width="16.28515625" style="21" customWidth="1"/>
    <col min="6" max="6" width="12.42578125" style="21" customWidth="1"/>
    <col min="7" max="7" width="14.425781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4" spans="1:7">
      <c r="D4" s="5"/>
    </row>
    <row r="5" spans="1:7">
      <c r="A5" t="s">
        <v>110</v>
      </c>
      <c r="D5" s="5"/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  <c r="B12" s="78">
        <v>22421138</v>
      </c>
      <c r="C12" s="68">
        <v>3.2849999999999997E-2</v>
      </c>
      <c r="D12" s="8">
        <f>+B12*C12</f>
        <v>736534.38329999999</v>
      </c>
      <c r="E12" s="25">
        <f>B12</f>
        <v>22421138</v>
      </c>
      <c r="F12" s="73">
        <v>3.3980000000000003E-2</v>
      </c>
      <c r="G12" s="8">
        <f>+E12*F12</f>
        <v>761870.26924000005</v>
      </c>
    </row>
    <row r="13" spans="1:7">
      <c r="B13" s="5"/>
      <c r="C13" s="71"/>
      <c r="D13" s="8"/>
      <c r="E13" s="25"/>
      <c r="F13" s="76"/>
      <c r="G13" s="8"/>
    </row>
    <row r="14" spans="1:7">
      <c r="A14" t="s">
        <v>11</v>
      </c>
      <c r="B14" s="5">
        <f>B12</f>
        <v>22421138</v>
      </c>
      <c r="C14" s="71"/>
      <c r="D14" s="8"/>
      <c r="E14" s="25">
        <f>+B14</f>
        <v>22421138</v>
      </c>
      <c r="F14" s="76"/>
      <c r="G14" s="8"/>
    </row>
    <row r="15" spans="1:7">
      <c r="B15" s="5"/>
      <c r="C15" s="71"/>
      <c r="D15" s="8"/>
      <c r="E15" s="25"/>
      <c r="F15" s="76"/>
      <c r="G15" s="8"/>
    </row>
    <row r="16" spans="1:7">
      <c r="A16" s="4" t="s">
        <v>56</v>
      </c>
      <c r="B16" s="5"/>
      <c r="C16" s="71"/>
      <c r="D16" s="8"/>
      <c r="E16" s="25"/>
      <c r="F16" s="76"/>
      <c r="G16" s="8"/>
    </row>
    <row r="17" spans="1:7">
      <c r="A17" t="s">
        <v>47</v>
      </c>
      <c r="B17" s="78">
        <v>52430</v>
      </c>
      <c r="C17" s="71">
        <v>18.510000000000002</v>
      </c>
      <c r="D17" s="8">
        <f>+B17*C17</f>
        <v>970479.3</v>
      </c>
      <c r="E17" s="25">
        <f>+B17</f>
        <v>52430</v>
      </c>
      <c r="F17" s="76">
        <v>20.69</v>
      </c>
      <c r="G17" s="8">
        <f>E17*F17</f>
        <v>1084776.7</v>
      </c>
    </row>
    <row r="18" spans="1:7">
      <c r="A18" t="s">
        <v>65</v>
      </c>
      <c r="B18" s="78">
        <v>463</v>
      </c>
      <c r="C18" s="71">
        <v>8.65</v>
      </c>
      <c r="D18" s="8">
        <f>+B18*C18</f>
        <v>4004.9500000000003</v>
      </c>
      <c r="E18" s="25">
        <f>+B18</f>
        <v>463</v>
      </c>
      <c r="F18" s="76"/>
      <c r="G18" s="8"/>
    </row>
    <row r="19" spans="1:7">
      <c r="A19" t="s">
        <v>48</v>
      </c>
      <c r="B19" s="78"/>
      <c r="C19" s="71"/>
      <c r="D19" s="8"/>
      <c r="E19" s="78">
        <v>41767</v>
      </c>
      <c r="F19" s="76">
        <v>1.1299999999999999</v>
      </c>
      <c r="G19" s="8">
        <f>+E19*F19</f>
        <v>47196.71</v>
      </c>
    </row>
    <row r="20" spans="1:7">
      <c r="B20" s="78"/>
      <c r="C20" s="71"/>
      <c r="D20" s="8"/>
      <c r="E20" s="25"/>
      <c r="F20" s="76"/>
      <c r="G20" s="8"/>
    </row>
    <row r="21" spans="1:7">
      <c r="A21" t="s">
        <v>66</v>
      </c>
      <c r="B21" s="78">
        <v>4387</v>
      </c>
      <c r="C21" s="71">
        <v>0.69</v>
      </c>
      <c r="D21" s="8">
        <f>+B21*C21</f>
        <v>3027.0299999999997</v>
      </c>
      <c r="E21" s="25">
        <f>+B21</f>
        <v>4387</v>
      </c>
      <c r="F21" s="76">
        <v>0.69</v>
      </c>
      <c r="G21" s="8">
        <f>+E21*F21</f>
        <v>3027.0299999999997</v>
      </c>
    </row>
    <row r="22" spans="1:7">
      <c r="B22" s="78"/>
      <c r="C22" s="71"/>
      <c r="D22" s="8"/>
      <c r="E22" s="25"/>
      <c r="F22" s="76"/>
      <c r="G22" s="8"/>
    </row>
    <row r="23" spans="1:7">
      <c r="A23" t="s">
        <v>12</v>
      </c>
      <c r="B23" s="78">
        <v>71</v>
      </c>
      <c r="C23" s="71">
        <v>276</v>
      </c>
      <c r="D23" s="8">
        <f>+B23*C23</f>
        <v>19596</v>
      </c>
      <c r="E23" s="25">
        <f>+B23</f>
        <v>71</v>
      </c>
      <c r="F23" s="76">
        <v>276</v>
      </c>
      <c r="G23" s="8">
        <f>+E23*F23</f>
        <v>19596</v>
      </c>
    </row>
    <row r="24" spans="1:7">
      <c r="B24" s="78"/>
      <c r="C24" s="71"/>
      <c r="D24" s="8"/>
      <c r="E24" s="25"/>
      <c r="F24" s="76"/>
      <c r="G24" s="8"/>
    </row>
    <row r="25" spans="1:7">
      <c r="A25" t="s">
        <v>13</v>
      </c>
      <c r="B25" s="78">
        <v>72</v>
      </c>
      <c r="C25" s="71"/>
      <c r="D25" s="8"/>
      <c r="E25" s="25">
        <f>+B25</f>
        <v>72</v>
      </c>
      <c r="F25" s="76"/>
      <c r="G25" s="8"/>
    </row>
    <row r="26" spans="1:7">
      <c r="B26" s="17"/>
      <c r="C26" s="71"/>
      <c r="D26" s="8"/>
      <c r="E26" s="25"/>
      <c r="F26" s="76"/>
      <c r="G26" s="8"/>
    </row>
    <row r="27" spans="1:7">
      <c r="A27" t="str">
        <f>+RS!A$26</f>
        <v xml:space="preserve">Fuel </v>
      </c>
      <c r="C27" s="82">
        <f>+RS!C26</f>
        <v>2.0411219651722302E-3</v>
      </c>
      <c r="D27" s="8">
        <f>+B14*C27</f>
        <v>45764.277255957772</v>
      </c>
      <c r="F27" s="79">
        <f>+RS!F26</f>
        <v>2.0411219651722302E-3</v>
      </c>
      <c r="G27" s="8">
        <f>+E14*F27</f>
        <v>45764.277255957772</v>
      </c>
    </row>
    <row r="28" spans="1:7">
      <c r="D28" s="8"/>
      <c r="F28" s="80"/>
      <c r="G28" s="8"/>
    </row>
    <row r="29" spans="1:7">
      <c r="A29" t="str">
        <f>+RS!A$28</f>
        <v>Asset Transfer Rider</v>
      </c>
      <c r="D29" s="60">
        <f>+ATR!D35</f>
        <v>165841.34</v>
      </c>
      <c r="F29" s="80"/>
      <c r="G29" s="60">
        <v>0</v>
      </c>
    </row>
    <row r="30" spans="1:7">
      <c r="D30" s="60"/>
      <c r="F30" s="80"/>
      <c r="G30" s="60"/>
    </row>
    <row r="31" spans="1:7">
      <c r="A31" t="str">
        <f>RS!A30</f>
        <v>Economic Development Rider</v>
      </c>
      <c r="D31" s="60">
        <v>0</v>
      </c>
      <c r="E31" s="25">
        <f>E23</f>
        <v>71</v>
      </c>
      <c r="F31" s="76">
        <f>RS!F30</f>
        <v>0.15</v>
      </c>
      <c r="G31" s="60">
        <f>E31*F31</f>
        <v>10.65</v>
      </c>
    </row>
    <row r="32" spans="1:7">
      <c r="D32" s="60"/>
      <c r="E32" s="25"/>
      <c r="F32" s="76"/>
      <c r="G32" s="60"/>
    </row>
    <row r="33" spans="1:7">
      <c r="A33" t="str">
        <f>+'MGS-SEC'!A32</f>
        <v>Big Sandy 1 Operations Rider - Energy</v>
      </c>
      <c r="D33" s="60">
        <v>0</v>
      </c>
      <c r="E33" s="25"/>
      <c r="F33" s="73">
        <v>1.39E-3</v>
      </c>
      <c r="G33" s="60">
        <f>+F33*E14</f>
        <v>31165.381819999999</v>
      </c>
    </row>
    <row r="34" spans="1:7">
      <c r="D34" s="60"/>
      <c r="E34" s="25"/>
      <c r="F34" s="76"/>
      <c r="G34" s="60"/>
    </row>
    <row r="35" spans="1:7">
      <c r="A35" t="str">
        <f>+'MGS-SEC'!A34</f>
        <v>Big Sandy 1 Operations Rider - Demand</v>
      </c>
      <c r="D35" s="60">
        <v>0</v>
      </c>
      <c r="E35" s="25"/>
      <c r="F35" s="76">
        <v>0.55000000000000004</v>
      </c>
      <c r="G35" s="60">
        <f>+F35*E17</f>
        <v>28836.500000000004</v>
      </c>
    </row>
    <row r="36" spans="1:7">
      <c r="D36" s="60"/>
      <c r="E36" s="25"/>
      <c r="F36" s="76"/>
      <c r="G36" s="60"/>
    </row>
    <row r="37" spans="1:7">
      <c r="A37" t="str">
        <f>RS!A34</f>
        <v>Big Sandy Retirement Rider</v>
      </c>
      <c r="D37" s="60">
        <v>0</v>
      </c>
      <c r="E37" s="94">
        <f>SUM(G11:G36)-G27-G45</f>
        <v>1339718.9218599999</v>
      </c>
      <c r="F37" s="100">
        <f>SGS!$F$30</f>
        <v>6.2296999999999998E-2</v>
      </c>
      <c r="G37" s="60">
        <f>E37*F37</f>
        <v>83460.469675112414</v>
      </c>
    </row>
    <row r="38" spans="1:7">
      <c r="D38" s="60"/>
      <c r="E38" s="25"/>
      <c r="F38" s="76"/>
      <c r="G38" s="60"/>
    </row>
    <row r="39" spans="1:7">
      <c r="A39" t="str">
        <f>RS!A36</f>
        <v>Environmental Surcharge</v>
      </c>
      <c r="D39" s="60">
        <v>0</v>
      </c>
      <c r="E39" s="94">
        <f>E37</f>
        <v>1339718.9218599999</v>
      </c>
      <c r="F39" s="100">
        <f>SGS!$F$32</f>
        <v>9.8027000000000003E-2</v>
      </c>
      <c r="G39" s="60">
        <f>E39*F39</f>
        <v>131328.62675317022</v>
      </c>
    </row>
    <row r="40" spans="1:7">
      <c r="D40" s="8"/>
      <c r="F40" s="80"/>
      <c r="G40" s="8"/>
    </row>
    <row r="41" spans="1:7">
      <c r="A41" t="s">
        <v>14</v>
      </c>
      <c r="D41" s="8">
        <f>SUM(D12:D39)</f>
        <v>1945247.2805559579</v>
      </c>
      <c r="F41" s="80"/>
      <c r="G41" s="8">
        <f>SUM(G12:G39)</f>
        <v>2237032.61474424</v>
      </c>
    </row>
    <row r="42" spans="1:7">
      <c r="G42" s="25"/>
    </row>
    <row r="43" spans="1:7">
      <c r="G43" s="25"/>
    </row>
    <row r="44" spans="1:7">
      <c r="G44" s="25"/>
    </row>
    <row r="45" spans="1:7">
      <c r="A45" s="61" t="s">
        <v>216</v>
      </c>
      <c r="F45" s="79">
        <f>SGS!$F$38</f>
        <v>2.8400000000000002E-2</v>
      </c>
      <c r="G45" s="8">
        <f>+E14*F45</f>
        <v>636760.31920000003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8"/>
  <sheetViews>
    <sheetView workbookViewId="0"/>
  </sheetViews>
  <sheetFormatPr defaultRowHeight="12.75"/>
  <cols>
    <col min="1" max="1" width="22.28515625" customWidth="1"/>
    <col min="2" max="2" width="12.85546875" customWidth="1"/>
    <col min="3" max="3" width="12.42578125" customWidth="1"/>
    <col min="4" max="4" width="14.140625" customWidth="1"/>
    <col min="5" max="5" width="16.28515625" style="21" customWidth="1"/>
    <col min="6" max="6" width="12.42578125" style="21" customWidth="1"/>
    <col min="7" max="7" width="14.425781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127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4" t="s">
        <v>8</v>
      </c>
      <c r="B12" s="78">
        <v>331215696</v>
      </c>
      <c r="C12" s="68">
        <v>3.2329999999999998E-2</v>
      </c>
      <c r="D12" s="8">
        <f>+B12*C12</f>
        <v>10708203.451679999</v>
      </c>
      <c r="E12" s="25">
        <f>B12</f>
        <v>331215696</v>
      </c>
      <c r="F12" s="73">
        <v>3.279E-2</v>
      </c>
      <c r="G12" s="8">
        <f>+E12*F12</f>
        <v>10860562.671839999</v>
      </c>
    </row>
    <row r="13" spans="1:7">
      <c r="A13" t="s">
        <v>118</v>
      </c>
      <c r="B13" s="78">
        <v>-44845</v>
      </c>
      <c r="C13" s="71"/>
      <c r="D13" s="8"/>
      <c r="E13" s="25">
        <f>+B13</f>
        <v>-44845</v>
      </c>
      <c r="F13" s="76"/>
      <c r="G13" s="8"/>
    </row>
    <row r="14" spans="1:7">
      <c r="A14" t="s">
        <v>11</v>
      </c>
      <c r="B14" s="5">
        <f>SUM(B12:B13)</f>
        <v>331170851</v>
      </c>
      <c r="C14" s="71"/>
      <c r="D14" s="8"/>
      <c r="E14" s="25">
        <f>+B14</f>
        <v>331170851</v>
      </c>
      <c r="F14" s="76"/>
      <c r="G14" s="8"/>
    </row>
    <row r="15" spans="1:7">
      <c r="B15" s="5"/>
      <c r="C15" s="71"/>
      <c r="D15" s="8"/>
      <c r="E15" s="25"/>
      <c r="F15" s="76"/>
      <c r="G15" s="8"/>
    </row>
    <row r="16" spans="1:7">
      <c r="A16" s="4" t="s">
        <v>56</v>
      </c>
      <c r="B16" s="5"/>
      <c r="C16" s="71"/>
      <c r="D16" s="8"/>
      <c r="E16" s="25"/>
      <c r="F16" s="76"/>
      <c r="G16" s="8"/>
    </row>
    <row r="17" spans="1:7">
      <c r="A17" t="s">
        <v>47</v>
      </c>
      <c r="B17" s="78">
        <v>747347</v>
      </c>
      <c r="C17" s="71">
        <v>15</v>
      </c>
      <c r="D17" s="8">
        <f>+B17*C17</f>
        <v>11210205</v>
      </c>
      <c r="E17" s="25">
        <f>+B17</f>
        <v>747347</v>
      </c>
      <c r="F17" s="76">
        <v>17.46</v>
      </c>
      <c r="G17" s="8">
        <f>E17*F17</f>
        <v>13048678.620000001</v>
      </c>
    </row>
    <row r="18" spans="1:7">
      <c r="A18" t="s">
        <v>65</v>
      </c>
      <c r="B18" s="78">
        <v>4273</v>
      </c>
      <c r="C18" s="71">
        <v>5.56</v>
      </c>
      <c r="D18" s="8">
        <f>+B18*C18</f>
        <v>23757.879999999997</v>
      </c>
      <c r="E18" s="25">
        <f>+B18</f>
        <v>4273</v>
      </c>
      <c r="F18" s="76"/>
      <c r="G18" s="8"/>
    </row>
    <row r="19" spans="1:7">
      <c r="A19" t="s">
        <v>48</v>
      </c>
      <c r="B19" s="78"/>
      <c r="C19" s="71"/>
      <c r="D19" s="8"/>
      <c r="E19" s="78">
        <v>649744</v>
      </c>
      <c r="F19" s="76">
        <v>1.1000000000000001</v>
      </c>
      <c r="G19" s="8">
        <f>+E19*F19</f>
        <v>714718.4</v>
      </c>
    </row>
    <row r="20" spans="1:7">
      <c r="A20" s="19" t="s">
        <v>120</v>
      </c>
      <c r="B20" s="78">
        <v>0</v>
      </c>
      <c r="C20" s="71">
        <v>4.34</v>
      </c>
      <c r="D20" s="8">
        <f>+B20*C20</f>
        <v>0</v>
      </c>
      <c r="E20" s="25">
        <f>+B20</f>
        <v>0</v>
      </c>
      <c r="F20" s="76">
        <v>6.25</v>
      </c>
      <c r="G20" s="8">
        <f>+E20*F20</f>
        <v>0</v>
      </c>
    </row>
    <row r="21" spans="1:7">
      <c r="B21" s="78"/>
      <c r="C21" s="71"/>
      <c r="D21" s="8"/>
      <c r="E21" s="25"/>
      <c r="F21" s="76"/>
      <c r="G21" s="8"/>
    </row>
    <row r="22" spans="1:7">
      <c r="A22" t="s">
        <v>66</v>
      </c>
      <c r="B22" s="78">
        <v>114172</v>
      </c>
      <c r="C22" s="71">
        <v>0.69</v>
      </c>
      <c r="D22" s="8">
        <f>+B22*C22</f>
        <v>78778.679999999993</v>
      </c>
      <c r="E22" s="25">
        <f>+B22</f>
        <v>114172</v>
      </c>
      <c r="F22" s="76">
        <v>0.69</v>
      </c>
      <c r="G22" s="8">
        <f>+E22*F22</f>
        <v>78778.679999999993</v>
      </c>
    </row>
    <row r="23" spans="1:7">
      <c r="B23" s="78"/>
      <c r="C23" s="71"/>
      <c r="D23" s="8"/>
      <c r="E23" s="25"/>
      <c r="F23" s="76"/>
      <c r="G23" s="8"/>
    </row>
    <row r="24" spans="1:7">
      <c r="A24" s="61" t="s">
        <v>43</v>
      </c>
      <c r="B24" s="78"/>
      <c r="C24" s="71"/>
      <c r="D24" s="8">
        <v>150000</v>
      </c>
      <c r="E24" s="25"/>
      <c r="F24" s="76"/>
      <c r="G24" s="8">
        <f>+D24</f>
        <v>150000</v>
      </c>
    </row>
    <row r="25" spans="1:7">
      <c r="B25" s="78"/>
      <c r="C25" s="71"/>
      <c r="D25" s="8"/>
      <c r="E25" s="25"/>
      <c r="F25" s="76"/>
      <c r="G25" s="8"/>
    </row>
    <row r="26" spans="1:7">
      <c r="A26" t="s">
        <v>12</v>
      </c>
      <c r="B26" s="78">
        <v>479</v>
      </c>
      <c r="C26" s="71">
        <v>276</v>
      </c>
      <c r="D26" s="8">
        <f>+B26*C26</f>
        <v>132204</v>
      </c>
      <c r="E26" s="25">
        <f>+B26</f>
        <v>479</v>
      </c>
      <c r="F26" s="76">
        <v>276</v>
      </c>
      <c r="G26" s="8">
        <f>+E26*F26</f>
        <v>132204</v>
      </c>
    </row>
    <row r="27" spans="1:7">
      <c r="B27" s="78"/>
      <c r="C27" s="71"/>
      <c r="D27" s="8"/>
      <c r="E27" s="25"/>
      <c r="F27" s="76"/>
      <c r="G27" s="8"/>
    </row>
    <row r="28" spans="1:7">
      <c r="A28" t="s">
        <v>13</v>
      </c>
      <c r="B28" s="78">
        <v>480</v>
      </c>
      <c r="C28" s="71"/>
      <c r="D28" s="8"/>
      <c r="E28" s="25">
        <f>+B28</f>
        <v>480</v>
      </c>
      <c r="F28" s="76"/>
      <c r="G28" s="8"/>
    </row>
    <row r="29" spans="1:7">
      <c r="C29" s="71"/>
      <c r="D29" s="8"/>
      <c r="F29" s="76"/>
      <c r="G29" s="8"/>
    </row>
    <row r="30" spans="1:7">
      <c r="A30" t="str">
        <f>+RS!A$26</f>
        <v xml:space="preserve">Fuel </v>
      </c>
      <c r="C30" s="82">
        <f>+RS!C26</f>
        <v>2.0411219651722302E-3</v>
      </c>
      <c r="D30" s="8">
        <f>+B14*C30</f>
        <v>675960.09820087987</v>
      </c>
      <c r="F30" s="79">
        <f>+RS!F26</f>
        <v>2.0411219651722302E-3</v>
      </c>
      <c r="G30" s="8">
        <f>+E14*F30</f>
        <v>675960.09820087987</v>
      </c>
    </row>
    <row r="31" spans="1:7">
      <c r="D31" s="8"/>
      <c r="G31" s="8"/>
    </row>
    <row r="32" spans="1:7">
      <c r="A32" t="str">
        <f>+RS!A$28</f>
        <v>Asset Transfer Rider</v>
      </c>
      <c r="D32" s="60">
        <f>+ATR!D36</f>
        <v>1906533.07</v>
      </c>
      <c r="G32" s="60">
        <v>0</v>
      </c>
    </row>
    <row r="33" spans="1:7">
      <c r="D33" s="60"/>
      <c r="G33" s="60"/>
    </row>
    <row r="34" spans="1:7">
      <c r="A34" t="str">
        <f>RS!A30</f>
        <v>Economic Development Rider</v>
      </c>
      <c r="D34" s="60">
        <v>0</v>
      </c>
      <c r="E34" s="25">
        <f>E26</f>
        <v>479</v>
      </c>
      <c r="F34" s="76">
        <f>RS!F30</f>
        <v>0.15</v>
      </c>
      <c r="G34" s="60">
        <f>E34*F34</f>
        <v>71.849999999999994</v>
      </c>
    </row>
    <row r="35" spans="1:7">
      <c r="D35" s="60"/>
      <c r="E35" s="25"/>
      <c r="F35" s="76"/>
      <c r="G35" s="60"/>
    </row>
    <row r="36" spans="1:7">
      <c r="A36" t="str">
        <f>+'QP-SEC'!A33</f>
        <v>Big Sandy 1 Operations Rider - Energy</v>
      </c>
      <c r="D36" s="60">
        <v>0</v>
      </c>
      <c r="E36" s="25"/>
      <c r="F36" s="73">
        <f>+'QP-SEC'!F33</f>
        <v>1.39E-3</v>
      </c>
      <c r="G36" s="60">
        <f>+F36*E14</f>
        <v>460327.48288999998</v>
      </c>
    </row>
    <row r="37" spans="1:7">
      <c r="D37" s="60"/>
      <c r="E37" s="25"/>
      <c r="F37" s="76"/>
      <c r="G37" s="60"/>
    </row>
    <row r="38" spans="1:7">
      <c r="A38" t="str">
        <f>+'QP-SEC'!A35</f>
        <v>Big Sandy 1 Operations Rider - Demand</v>
      </c>
      <c r="D38" s="60">
        <v>0</v>
      </c>
      <c r="E38" s="25"/>
      <c r="F38" s="76">
        <f>+'QP-SEC'!F35</f>
        <v>0.55000000000000004</v>
      </c>
      <c r="G38" s="60">
        <f>+F38*E17</f>
        <v>411040.85000000003</v>
      </c>
    </row>
    <row r="39" spans="1:7">
      <c r="D39" s="60"/>
      <c r="E39" s="25"/>
      <c r="F39" s="76"/>
      <c r="G39" s="60"/>
    </row>
    <row r="40" spans="1:7">
      <c r="A40" t="str">
        <f>RS!A34</f>
        <v>Big Sandy Retirement Rider</v>
      </c>
      <c r="D40" s="60">
        <v>0</v>
      </c>
      <c r="E40" s="94">
        <f>SUM(G11:G39)-G30-G48</f>
        <v>16451130.386330001</v>
      </c>
      <c r="F40" s="100">
        <f>SGS!$F$30</f>
        <v>6.2296999999999998E-2</v>
      </c>
      <c r="G40" s="60">
        <f>E40*F40</f>
        <v>1024856.0696772001</v>
      </c>
    </row>
    <row r="41" spans="1:7">
      <c r="D41" s="60"/>
      <c r="E41" s="25"/>
      <c r="F41" s="76"/>
      <c r="G41" s="60"/>
    </row>
    <row r="42" spans="1:7">
      <c r="A42" t="str">
        <f>RS!A36</f>
        <v>Environmental Surcharge</v>
      </c>
      <c r="D42" s="60">
        <v>0</v>
      </c>
      <c r="E42" s="94">
        <f>E40</f>
        <v>16451130.386330001</v>
      </c>
      <c r="F42" s="100">
        <f>SGS!$F$32</f>
        <v>9.8027000000000003E-2</v>
      </c>
      <c r="G42" s="60">
        <f>E42*F42</f>
        <v>1612654.9583807711</v>
      </c>
    </row>
    <row r="43" spans="1:7">
      <c r="D43" s="8"/>
      <c r="G43" s="8"/>
    </row>
    <row r="44" spans="1:7">
      <c r="A44" t="s">
        <v>14</v>
      </c>
      <c r="D44" s="8">
        <f>SUM(D12:D42)</f>
        <v>24885642.179880876</v>
      </c>
      <c r="G44" s="8">
        <f>SUM(G12:G42)</f>
        <v>29169853.680988852</v>
      </c>
    </row>
    <row r="45" spans="1:7">
      <c r="G45" s="25"/>
    </row>
    <row r="46" spans="1:7">
      <c r="G46" s="25"/>
    </row>
    <row r="47" spans="1:7">
      <c r="G47" s="25"/>
    </row>
    <row r="48" spans="1:7">
      <c r="A48" s="61" t="s">
        <v>216</v>
      </c>
      <c r="F48" s="79">
        <f>SGS!$F$38</f>
        <v>2.8400000000000002E-2</v>
      </c>
      <c r="G48" s="8">
        <f>+E14*F48</f>
        <v>9405252.1684000008</v>
      </c>
    </row>
  </sheetData>
  <phoneticPr fontId="0" type="noConversion"/>
  <pageMargins left="0.75" right="0.75" top="1" bottom="1" header="0.5" footer="0.5"/>
  <pageSetup scale="7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5"/>
  <sheetViews>
    <sheetView workbookViewId="0"/>
  </sheetViews>
  <sheetFormatPr defaultRowHeight="12.75"/>
  <cols>
    <col min="1" max="1" width="22.5703125" customWidth="1"/>
    <col min="2" max="2" width="13.42578125" customWidth="1"/>
    <col min="3" max="3" width="11.85546875" customWidth="1"/>
    <col min="4" max="4" width="16.140625" customWidth="1"/>
    <col min="5" max="5" width="16.28515625" style="21" customWidth="1"/>
    <col min="6" max="6" width="13.5703125" style="21" customWidth="1"/>
    <col min="7" max="7" width="14.42578125" style="21" customWidth="1"/>
    <col min="8" max="8" width="8.85546875" style="21" customWidth="1"/>
    <col min="9" max="9" width="14.28515625" style="21" customWidth="1"/>
    <col min="10" max="10" width="8.85546875" style="21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SEPTEMBER 30, 2014</v>
      </c>
    </row>
    <row r="5" spans="1:9">
      <c r="A5" t="s">
        <v>67</v>
      </c>
    </row>
    <row r="8" spans="1:9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9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9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9">
      <c r="A12" s="4" t="s">
        <v>8</v>
      </c>
      <c r="B12" s="78">
        <v>342877689</v>
      </c>
      <c r="C12" s="68">
        <v>3.2009999999999997E-2</v>
      </c>
      <c r="D12" s="8">
        <f>+B12*C12</f>
        <v>10975514.824889999</v>
      </c>
      <c r="E12" s="25">
        <f>B12</f>
        <v>342877689</v>
      </c>
      <c r="F12" s="73">
        <v>3.2419999999999997E-2</v>
      </c>
      <c r="G12" s="8">
        <f>+E12*F12</f>
        <v>11116094.677379999</v>
      </c>
      <c r="I12" s="94"/>
    </row>
    <row r="13" spans="1:9">
      <c r="A13" t="s">
        <v>118</v>
      </c>
      <c r="B13" s="78">
        <v>-466815</v>
      </c>
      <c r="C13" s="71"/>
      <c r="D13" s="8"/>
      <c r="E13" s="25">
        <f>+B13</f>
        <v>-466815</v>
      </c>
      <c r="F13" s="76"/>
      <c r="G13" s="8"/>
    </row>
    <row r="14" spans="1:9">
      <c r="A14" t="s">
        <v>11</v>
      </c>
      <c r="B14" s="5">
        <f>SUM(B12:B13)</f>
        <v>342410874</v>
      </c>
      <c r="C14" s="71"/>
      <c r="D14" s="8"/>
      <c r="E14" s="25">
        <f>+B14</f>
        <v>342410874</v>
      </c>
      <c r="F14" s="76"/>
      <c r="G14" s="8"/>
    </row>
    <row r="15" spans="1:9">
      <c r="B15" s="5"/>
      <c r="C15" s="71"/>
      <c r="D15" s="8"/>
      <c r="E15" s="25"/>
      <c r="F15" s="76"/>
      <c r="G15" s="8"/>
    </row>
    <row r="16" spans="1:9">
      <c r="A16" s="4" t="s">
        <v>56</v>
      </c>
      <c r="B16" s="5"/>
      <c r="C16" s="71"/>
      <c r="D16" s="8"/>
      <c r="E16" s="25"/>
      <c r="F16" s="76"/>
      <c r="G16" s="8"/>
    </row>
    <row r="17" spans="1:9">
      <c r="A17" t="s">
        <v>47</v>
      </c>
      <c r="B17" s="78">
        <v>927247</v>
      </c>
      <c r="C17" s="71">
        <v>10.130000000000001</v>
      </c>
      <c r="D17" s="8">
        <f>+B17*C17</f>
        <v>9393012.1100000013</v>
      </c>
      <c r="E17" s="25">
        <f>+B17</f>
        <v>927247</v>
      </c>
      <c r="F17" s="76">
        <v>10.74</v>
      </c>
      <c r="G17" s="8">
        <f>+E17*F17</f>
        <v>9958632.7799999993</v>
      </c>
      <c r="I17" s="94"/>
    </row>
    <row r="18" spans="1:9">
      <c r="A18" t="s">
        <v>65</v>
      </c>
      <c r="B18" s="78">
        <v>12051</v>
      </c>
      <c r="C18" s="71">
        <v>1.2</v>
      </c>
      <c r="D18" s="8">
        <f>+B18*C18</f>
        <v>14461.199999999999</v>
      </c>
      <c r="E18" s="25">
        <f>+B18</f>
        <v>12051</v>
      </c>
      <c r="F18" s="76"/>
      <c r="G18" s="8"/>
      <c r="I18" s="94"/>
    </row>
    <row r="19" spans="1:9">
      <c r="A19" t="s">
        <v>48</v>
      </c>
      <c r="B19" s="78"/>
      <c r="C19" s="71"/>
      <c r="D19" s="8"/>
      <c r="E19" s="78">
        <v>816264</v>
      </c>
      <c r="F19" s="76">
        <v>1.08</v>
      </c>
      <c r="G19" s="8">
        <f>+E19*F19</f>
        <v>881565.12000000011</v>
      </c>
      <c r="I19" s="94"/>
    </row>
    <row r="20" spans="1:9">
      <c r="B20" s="78"/>
      <c r="C20" s="71"/>
      <c r="D20" s="8"/>
      <c r="E20" s="25"/>
      <c r="F20" s="76"/>
      <c r="G20" s="8"/>
    </row>
    <row r="21" spans="1:9">
      <c r="A21" t="s">
        <v>66</v>
      </c>
      <c r="B21" s="78">
        <v>265869</v>
      </c>
      <c r="C21" s="71">
        <v>0.69</v>
      </c>
      <c r="D21" s="8">
        <f>+B21*C21</f>
        <v>183449.61</v>
      </c>
      <c r="E21" s="25">
        <f>+B21</f>
        <v>265869</v>
      </c>
      <c r="F21" s="76">
        <v>0.69</v>
      </c>
      <c r="G21" s="8">
        <f>+E21*F21</f>
        <v>183449.61</v>
      </c>
      <c r="I21" s="94"/>
    </row>
    <row r="22" spans="1:9">
      <c r="B22" s="78"/>
      <c r="C22" s="71"/>
      <c r="D22" s="8"/>
      <c r="E22" s="25"/>
      <c r="F22" s="76"/>
      <c r="G22" s="8"/>
    </row>
    <row r="23" spans="1:9">
      <c r="A23" t="s">
        <v>12</v>
      </c>
      <c r="B23" s="78">
        <v>307</v>
      </c>
      <c r="C23" s="71">
        <v>662</v>
      </c>
      <c r="D23" s="8">
        <f>+B23*C23</f>
        <v>203234</v>
      </c>
      <c r="E23" s="25">
        <f>+B23</f>
        <v>307</v>
      </c>
      <c r="F23" s="76">
        <v>794</v>
      </c>
      <c r="G23" s="8">
        <f>+E23*F23</f>
        <v>243758</v>
      </c>
      <c r="I23" s="94"/>
    </row>
    <row r="24" spans="1:9">
      <c r="B24" s="78"/>
      <c r="C24" s="71"/>
      <c r="D24" s="8"/>
      <c r="E24" s="25"/>
      <c r="F24" s="76"/>
      <c r="G24" s="8"/>
      <c r="I24" s="94"/>
    </row>
    <row r="25" spans="1:9">
      <c r="A25" t="s">
        <v>13</v>
      </c>
      <c r="B25" s="78">
        <v>312</v>
      </c>
      <c r="C25" s="71"/>
      <c r="D25" s="8"/>
      <c r="E25" s="25">
        <f>+B25</f>
        <v>312</v>
      </c>
      <c r="F25" s="76"/>
      <c r="G25" s="8"/>
    </row>
    <row r="26" spans="1:9">
      <c r="C26" s="71"/>
      <c r="D26" s="8"/>
      <c r="E26" s="25"/>
      <c r="F26" s="76"/>
      <c r="G26" s="8"/>
    </row>
    <row r="27" spans="1:9">
      <c r="A27" t="str">
        <f>+RS!A$26</f>
        <v xml:space="preserve">Fuel </v>
      </c>
      <c r="C27" s="82">
        <f>+RS!C26</f>
        <v>2.0411219651722302E-3</v>
      </c>
      <c r="D27" s="8">
        <f>+B14*C27</f>
        <v>698902.3560352209</v>
      </c>
      <c r="F27" s="79">
        <f>+RS!F26</f>
        <v>2.0411219651722302E-3</v>
      </c>
      <c r="G27" s="8">
        <f>+E14*F27</f>
        <v>698902.3560352209</v>
      </c>
    </row>
    <row r="28" spans="1:9">
      <c r="D28" s="8"/>
      <c r="G28" s="8"/>
    </row>
    <row r="29" spans="1:9">
      <c r="A29" t="str">
        <f>+RS!A$28</f>
        <v>Asset Transfer Rider</v>
      </c>
      <c r="D29" s="60">
        <f>+ATR!D37</f>
        <v>1767822.28</v>
      </c>
      <c r="G29" s="60">
        <v>0</v>
      </c>
    </row>
    <row r="30" spans="1:9">
      <c r="D30" s="60"/>
      <c r="G30" s="60"/>
    </row>
    <row r="31" spans="1:9">
      <c r="A31" t="str">
        <f>RS!A30</f>
        <v>Economic Development Rider</v>
      </c>
      <c r="D31" s="60">
        <v>0</v>
      </c>
      <c r="E31" s="25">
        <f>E23</f>
        <v>307</v>
      </c>
      <c r="F31" s="76">
        <f>RS!F30</f>
        <v>0.15</v>
      </c>
      <c r="G31" s="60">
        <f>E31*F31</f>
        <v>46.05</v>
      </c>
    </row>
    <row r="32" spans="1:9">
      <c r="D32" s="60"/>
      <c r="E32" s="25"/>
      <c r="F32" s="76"/>
      <c r="G32" s="60"/>
    </row>
    <row r="33" spans="1:7">
      <c r="A33" t="str">
        <f>+'QP-SEC'!A33</f>
        <v>Big Sandy 1 Operations Rider - Energy</v>
      </c>
      <c r="D33" s="60">
        <v>0</v>
      </c>
      <c r="E33" s="25"/>
      <c r="F33" s="73">
        <f>+'QP-SEC'!F33</f>
        <v>1.39E-3</v>
      </c>
      <c r="G33" s="60">
        <f>+F33*E14</f>
        <v>475951.11485999997</v>
      </c>
    </row>
    <row r="34" spans="1:7">
      <c r="D34" s="60"/>
      <c r="E34" s="25"/>
      <c r="F34" s="76"/>
      <c r="G34" s="60"/>
    </row>
    <row r="35" spans="1:7">
      <c r="A35" t="str">
        <f>+'QP-SEC'!A35</f>
        <v>Big Sandy 1 Operations Rider - Demand</v>
      </c>
      <c r="D35" s="60">
        <v>0</v>
      </c>
      <c r="E35" s="25"/>
      <c r="F35" s="76">
        <f>+'QP-SEC'!F35</f>
        <v>0.55000000000000004</v>
      </c>
      <c r="G35" s="60">
        <f>+F35*E17</f>
        <v>509985.85000000003</v>
      </c>
    </row>
    <row r="36" spans="1:7">
      <c r="D36" s="60"/>
      <c r="E36" s="25"/>
      <c r="F36" s="76"/>
      <c r="G36" s="60"/>
    </row>
    <row r="37" spans="1:7">
      <c r="A37" t="str">
        <f>RS!A34</f>
        <v>Big Sandy Retirement Rider</v>
      </c>
      <c r="D37" s="60">
        <v>0</v>
      </c>
      <c r="E37" s="94">
        <f>SUM(G11:G36)-G27-G45</f>
        <v>13645014.380639996</v>
      </c>
      <c r="F37" s="100">
        <f>SGS!$F$30</f>
        <v>6.2296999999999998E-2</v>
      </c>
      <c r="G37" s="60">
        <f>E37*F37</f>
        <v>850043.46087072988</v>
      </c>
    </row>
    <row r="38" spans="1:7">
      <c r="D38" s="60"/>
      <c r="E38" s="25"/>
      <c r="F38" s="76"/>
      <c r="G38" s="60"/>
    </row>
    <row r="39" spans="1:7">
      <c r="A39" t="str">
        <f>RS!A36</f>
        <v>Environmental Surcharge</v>
      </c>
      <c r="D39" s="60">
        <v>0</v>
      </c>
      <c r="E39" s="94">
        <f>E37</f>
        <v>13645014.380639996</v>
      </c>
      <c r="F39" s="100">
        <f>SGS!$F$32</f>
        <v>9.8027000000000003E-2</v>
      </c>
      <c r="G39" s="60">
        <f>E39*F39</f>
        <v>1337579.8246909969</v>
      </c>
    </row>
    <row r="40" spans="1:7">
      <c r="D40" s="8"/>
      <c r="G40" s="8"/>
    </row>
    <row r="41" spans="1:7">
      <c r="A41" t="s">
        <v>14</v>
      </c>
      <c r="D41" s="8">
        <f>SUM(D12:D39)</f>
        <v>23236396.380925223</v>
      </c>
      <c r="G41" s="8">
        <f>SUM(G12:G39)</f>
        <v>26256008.843836948</v>
      </c>
    </row>
    <row r="42" spans="1:7">
      <c r="G42" s="25"/>
    </row>
    <row r="43" spans="1:7">
      <c r="G43" s="25"/>
    </row>
    <row r="45" spans="1:7">
      <c r="A45" s="61" t="s">
        <v>216</v>
      </c>
      <c r="F45" s="79">
        <f>SGS!$F$38</f>
        <v>2.8400000000000002E-2</v>
      </c>
      <c r="G45" s="8">
        <f>+E14*F45</f>
        <v>9724468.8216000013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5"/>
  <sheetViews>
    <sheetView workbookViewId="0"/>
  </sheetViews>
  <sheetFormatPr defaultRowHeight="12.75"/>
  <cols>
    <col min="1" max="1" width="22.140625" customWidth="1"/>
    <col min="2" max="3" width="12.28515625" customWidth="1"/>
    <col min="4" max="4" width="15.85546875" customWidth="1"/>
    <col min="5" max="5" width="16.28515625" style="21" customWidth="1"/>
    <col min="6" max="6" width="14.28515625" style="21" customWidth="1"/>
    <col min="7" max="7" width="13.85546875" style="21" customWidth="1"/>
    <col min="8" max="8" width="8.85546875" style="21" customWidth="1"/>
    <col min="9" max="9" width="11.7109375" style="21" bestFit="1" customWidth="1"/>
    <col min="10" max="10" width="8.85546875" style="21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SEPTEMBER 30, 2014</v>
      </c>
    </row>
    <row r="5" spans="1:9">
      <c r="A5" t="s">
        <v>68</v>
      </c>
    </row>
    <row r="8" spans="1:9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9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9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1" spans="1:9">
      <c r="B11" s="1"/>
      <c r="C11" s="1"/>
      <c r="D11" s="1"/>
      <c r="E11" s="22"/>
      <c r="F11" s="22"/>
      <c r="G11" s="22"/>
    </row>
    <row r="12" spans="1:9">
      <c r="A12" s="4" t="s">
        <v>8</v>
      </c>
      <c r="B12" s="78">
        <v>66309341</v>
      </c>
      <c r="C12" s="68">
        <v>3.1759999999999997E-2</v>
      </c>
      <c r="D12" s="8">
        <f>+B12*C12</f>
        <v>2105984.6701599997</v>
      </c>
      <c r="E12" s="25">
        <f>B12</f>
        <v>66309341</v>
      </c>
      <c r="F12" s="73">
        <v>3.2039999999999999E-2</v>
      </c>
      <c r="G12" s="8">
        <f>+E12*F12</f>
        <v>2124551.2856399999</v>
      </c>
      <c r="I12" s="94"/>
    </row>
    <row r="13" spans="1:9">
      <c r="A13" t="s">
        <v>118</v>
      </c>
      <c r="B13" s="78">
        <v>-36624</v>
      </c>
      <c r="C13" s="71"/>
      <c r="D13" s="8"/>
      <c r="E13" s="25">
        <f>+B13</f>
        <v>-36624</v>
      </c>
      <c r="F13" s="76"/>
      <c r="G13" s="8"/>
    </row>
    <row r="14" spans="1:9">
      <c r="A14" t="s">
        <v>11</v>
      </c>
      <c r="B14" s="5">
        <f>SUM(B12:B13)</f>
        <v>66272717</v>
      </c>
      <c r="C14" s="71"/>
      <c r="D14" s="8"/>
      <c r="E14" s="25">
        <f>+B14</f>
        <v>66272717</v>
      </c>
      <c r="F14" s="76"/>
      <c r="G14" s="8"/>
    </row>
    <row r="15" spans="1:9">
      <c r="B15" s="5"/>
      <c r="C15" s="71"/>
      <c r="D15" s="8"/>
      <c r="E15" s="25"/>
      <c r="F15" s="76"/>
      <c r="G15" s="8"/>
    </row>
    <row r="16" spans="1:9">
      <c r="A16" s="4" t="s">
        <v>56</v>
      </c>
      <c r="B16" s="5"/>
      <c r="C16" s="71"/>
      <c r="D16" s="8"/>
      <c r="E16" s="25"/>
      <c r="F16" s="76"/>
      <c r="G16" s="8"/>
    </row>
    <row r="17" spans="1:7">
      <c r="A17" t="s">
        <v>47</v>
      </c>
      <c r="B17" s="78">
        <v>145830</v>
      </c>
      <c r="C17" s="71">
        <v>9</v>
      </c>
      <c r="D17" s="8">
        <f>+B17*C17</f>
        <v>1312470</v>
      </c>
      <c r="E17" s="25">
        <f>+B17</f>
        <v>145830</v>
      </c>
      <c r="F17" s="76">
        <v>10.45</v>
      </c>
      <c r="G17" s="8">
        <f>+E17*F17</f>
        <v>1523923.5</v>
      </c>
    </row>
    <row r="18" spans="1:7">
      <c r="A18" t="s">
        <v>65</v>
      </c>
      <c r="B18" s="78">
        <v>2250</v>
      </c>
      <c r="C18" s="71">
        <v>1.1000000000000001</v>
      </c>
      <c r="D18" s="8">
        <f>+B18*C18</f>
        <v>2475</v>
      </c>
      <c r="E18" s="25">
        <f>+B18</f>
        <v>2250</v>
      </c>
      <c r="F18" s="76"/>
      <c r="G18" s="8"/>
    </row>
    <row r="19" spans="1:7">
      <c r="A19" t="s">
        <v>48</v>
      </c>
      <c r="B19" s="78"/>
      <c r="C19" s="71"/>
      <c r="D19" s="8"/>
      <c r="E19" s="78">
        <v>142365</v>
      </c>
      <c r="F19" s="76">
        <v>1.07</v>
      </c>
      <c r="G19" s="8">
        <f>+E19*F19</f>
        <v>152330.55000000002</v>
      </c>
    </row>
    <row r="20" spans="1:7">
      <c r="B20" s="78"/>
      <c r="C20" s="71"/>
      <c r="D20" s="8"/>
      <c r="E20" s="25"/>
      <c r="F20" s="76"/>
      <c r="G20" s="8"/>
    </row>
    <row r="21" spans="1:7">
      <c r="A21" t="s">
        <v>66</v>
      </c>
      <c r="B21" s="78">
        <v>76675</v>
      </c>
      <c r="C21" s="71">
        <v>0.69</v>
      </c>
      <c r="D21" s="8">
        <f>+B21*C21</f>
        <v>52905.749999999993</v>
      </c>
      <c r="E21" s="25">
        <f>+B21</f>
        <v>76675</v>
      </c>
      <c r="F21" s="76">
        <v>0.69</v>
      </c>
      <c r="G21" s="8">
        <f>+E21*F21</f>
        <v>52905.749999999993</v>
      </c>
    </row>
    <row r="22" spans="1:7">
      <c r="B22" s="78"/>
      <c r="C22" s="71"/>
      <c r="D22" s="8"/>
      <c r="E22" s="25"/>
      <c r="F22" s="76"/>
      <c r="G22" s="8"/>
    </row>
    <row r="23" spans="1:7">
      <c r="A23" t="s">
        <v>12</v>
      </c>
      <c r="B23" s="78">
        <v>60</v>
      </c>
      <c r="C23" s="71">
        <v>1353</v>
      </c>
      <c r="D23" s="8">
        <f>+B23*C23</f>
        <v>81180</v>
      </c>
      <c r="E23" s="25">
        <f>+B23</f>
        <v>60</v>
      </c>
      <c r="F23" s="76">
        <v>1353</v>
      </c>
      <c r="G23" s="8">
        <f>+E23*F23</f>
        <v>81180</v>
      </c>
    </row>
    <row r="24" spans="1:7">
      <c r="B24" s="78"/>
      <c r="C24" s="71"/>
      <c r="D24" s="8"/>
      <c r="E24" s="25"/>
      <c r="F24" s="76"/>
      <c r="G24" s="8"/>
    </row>
    <row r="25" spans="1:7">
      <c r="A25" t="s">
        <v>13</v>
      </c>
      <c r="B25" s="78">
        <v>60</v>
      </c>
      <c r="C25" s="71"/>
      <c r="D25" s="8"/>
      <c r="E25" s="25">
        <f>+B25</f>
        <v>60</v>
      </c>
      <c r="F25" s="76"/>
      <c r="G25" s="8"/>
    </row>
    <row r="26" spans="1:7">
      <c r="C26" s="71"/>
      <c r="D26" s="8"/>
      <c r="F26" s="76"/>
      <c r="G26" s="8"/>
    </row>
    <row r="27" spans="1:7">
      <c r="A27" t="str">
        <f>+RS!A$26</f>
        <v xml:space="preserve">Fuel </v>
      </c>
      <c r="C27" s="11">
        <f>+RS!C26</f>
        <v>2.0411219651722302E-3</v>
      </c>
      <c r="D27" s="8">
        <f>+B14*C27</f>
        <v>135270.69836034309</v>
      </c>
      <c r="F27" s="79">
        <f>+RS!F26</f>
        <v>2.0411219651722302E-3</v>
      </c>
      <c r="G27" s="8">
        <f>+E14*F27</f>
        <v>135270.69836034309</v>
      </c>
    </row>
    <row r="28" spans="1:7">
      <c r="D28" s="8"/>
      <c r="G28" s="8"/>
    </row>
    <row r="29" spans="1:7">
      <c r="A29" t="str">
        <f>+RS!A$28</f>
        <v>Asset Transfer Rider</v>
      </c>
      <c r="D29" s="60">
        <f>+ATR!D38</f>
        <v>369295.99</v>
      </c>
      <c r="G29" s="60">
        <v>0</v>
      </c>
    </row>
    <row r="30" spans="1:7">
      <c r="D30" s="60"/>
      <c r="G30" s="60"/>
    </row>
    <row r="31" spans="1:7">
      <c r="A31" t="str">
        <f>RS!A30</f>
        <v>Economic Development Rider</v>
      </c>
      <c r="D31" s="60">
        <v>0</v>
      </c>
      <c r="E31" s="25">
        <f>E23</f>
        <v>60</v>
      </c>
      <c r="F31" s="76">
        <f>RS!F30</f>
        <v>0.15</v>
      </c>
      <c r="G31" s="60">
        <f>E31*F31</f>
        <v>9</v>
      </c>
    </row>
    <row r="32" spans="1:7">
      <c r="D32" s="60"/>
      <c r="E32" s="25"/>
      <c r="F32" s="76"/>
      <c r="G32" s="60"/>
    </row>
    <row r="33" spans="1:7">
      <c r="A33" t="str">
        <f>+'QP-SEC'!A33</f>
        <v>Big Sandy 1 Operations Rider - Energy</v>
      </c>
      <c r="D33" s="60">
        <v>0</v>
      </c>
      <c r="E33" s="25"/>
      <c r="F33" s="73">
        <f>+'QP-SEC'!F33</f>
        <v>1.39E-3</v>
      </c>
      <c r="G33" s="60">
        <f>+F33*E14</f>
        <v>92119.076629999996</v>
      </c>
    </row>
    <row r="34" spans="1:7">
      <c r="D34" s="60"/>
      <c r="E34" s="25"/>
      <c r="F34" s="76"/>
      <c r="G34" s="60"/>
    </row>
    <row r="35" spans="1:7">
      <c r="A35" t="str">
        <f>+'QP-SEC'!A35</f>
        <v>Big Sandy 1 Operations Rider - Demand</v>
      </c>
      <c r="D35" s="60">
        <v>0</v>
      </c>
      <c r="E35" s="25"/>
      <c r="F35" s="76">
        <f>+'QP-SEC'!F35</f>
        <v>0.55000000000000004</v>
      </c>
      <c r="G35" s="60">
        <f>+F35*E17</f>
        <v>80206.5</v>
      </c>
    </row>
    <row r="36" spans="1:7">
      <c r="D36" s="60"/>
      <c r="E36" s="25"/>
      <c r="F36" s="76"/>
      <c r="G36" s="60"/>
    </row>
    <row r="37" spans="1:7">
      <c r="A37" t="str">
        <f>RS!A34</f>
        <v>Big Sandy Retirement Rider</v>
      </c>
      <c r="D37" s="60">
        <v>0</v>
      </c>
      <c r="E37" s="94">
        <f>SUM(G11:G36)-G27-G45</f>
        <v>2225080.4994699997</v>
      </c>
      <c r="F37" s="100">
        <f>SGS!$F$30</f>
        <v>6.2296999999999998E-2</v>
      </c>
      <c r="G37" s="60">
        <f>E37*F37</f>
        <v>138615.83987548258</v>
      </c>
    </row>
    <row r="38" spans="1:7">
      <c r="D38" s="60"/>
      <c r="E38" s="25"/>
      <c r="F38" s="76"/>
      <c r="G38" s="60"/>
    </row>
    <row r="39" spans="1:7">
      <c r="A39" t="str">
        <f>RS!A36</f>
        <v>Environmental Surcharge</v>
      </c>
      <c r="D39" s="60">
        <v>0</v>
      </c>
      <c r="E39" s="94">
        <f>E37</f>
        <v>2225080.4994699997</v>
      </c>
      <c r="F39" s="100">
        <f>SGS!$F$32</f>
        <v>9.8027000000000003E-2</v>
      </c>
      <c r="G39" s="60">
        <f>E39*F39</f>
        <v>218117.96612154567</v>
      </c>
    </row>
    <row r="40" spans="1:7">
      <c r="D40" s="8"/>
      <c r="G40" s="8"/>
    </row>
    <row r="41" spans="1:7">
      <c r="A41" t="s">
        <v>14</v>
      </c>
      <c r="D41" s="8">
        <f>SUM(D12:D39)</f>
        <v>4059582.108520343</v>
      </c>
      <c r="G41" s="8">
        <f>SUM(G12:G39)</f>
        <v>4599230.1666273717</v>
      </c>
    </row>
    <row r="42" spans="1:7">
      <c r="G42" s="25"/>
    </row>
    <row r="45" spans="1:7">
      <c r="A45" s="61" t="s">
        <v>216</v>
      </c>
      <c r="F45" s="79">
        <f>SGS!$F$38</f>
        <v>2.8400000000000002E-2</v>
      </c>
      <c r="G45" s="8">
        <f>+E14*F45</f>
        <v>1882145.1628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6"/>
  <sheetViews>
    <sheetView workbookViewId="0"/>
  </sheetViews>
  <sheetFormatPr defaultRowHeight="12.75"/>
  <cols>
    <col min="1" max="1" width="23.28515625" customWidth="1"/>
    <col min="2" max="2" width="14.42578125" customWidth="1"/>
    <col min="3" max="3" width="14.140625" customWidth="1"/>
    <col min="4" max="4" width="16.28515625" customWidth="1"/>
    <col min="5" max="5" width="16.28515625" style="21" customWidth="1"/>
    <col min="6" max="6" width="13.28515625" style="21" customWidth="1"/>
    <col min="7" max="7" width="17.8554687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69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9" t="s">
        <v>8</v>
      </c>
      <c r="B12" s="78">
        <v>1764053671</v>
      </c>
      <c r="C12" s="86">
        <v>2.9059999999999999E-2</v>
      </c>
      <c r="D12" s="8">
        <f>+B12*C12</f>
        <v>51263399.679260001</v>
      </c>
      <c r="E12" s="25">
        <f>+B12</f>
        <v>1764053671</v>
      </c>
      <c r="F12" s="84">
        <v>3.2419999999999997E-2</v>
      </c>
      <c r="G12" s="8">
        <f>+E12*F12</f>
        <v>57190620.013819993</v>
      </c>
    </row>
    <row r="13" spans="1:7">
      <c r="C13" s="61"/>
      <c r="D13" s="8"/>
      <c r="E13" s="25"/>
      <c r="F13" s="75"/>
      <c r="G13" s="8"/>
    </row>
    <row r="14" spans="1:7">
      <c r="A14" t="s">
        <v>11</v>
      </c>
      <c r="B14" s="5">
        <f>B12</f>
        <v>1764053671</v>
      </c>
      <c r="C14" s="61"/>
      <c r="D14" s="8"/>
      <c r="E14" s="25">
        <f>+B14</f>
        <v>1764053671</v>
      </c>
      <c r="F14" s="75"/>
      <c r="G14" s="8"/>
    </row>
    <row r="15" spans="1:7">
      <c r="C15" s="61"/>
      <c r="D15" s="8"/>
      <c r="E15" s="25"/>
      <c r="F15" s="75"/>
      <c r="G15" s="8"/>
    </row>
    <row r="16" spans="1:7">
      <c r="A16" s="4" t="s">
        <v>56</v>
      </c>
      <c r="C16" s="61"/>
      <c r="D16" s="8"/>
      <c r="E16" s="25"/>
      <c r="F16" s="75"/>
      <c r="G16" s="8"/>
    </row>
    <row r="17" spans="1:7">
      <c r="A17" t="s">
        <v>47</v>
      </c>
      <c r="B17" s="78">
        <v>2915472</v>
      </c>
      <c r="C17" s="83">
        <v>12.06</v>
      </c>
      <c r="D17" s="8">
        <f>+B17*C17</f>
        <v>35160592.32</v>
      </c>
      <c r="E17" s="25">
        <f>+B17</f>
        <v>2915472</v>
      </c>
      <c r="F17" s="85">
        <v>10.74</v>
      </c>
      <c r="G17" s="8">
        <f>+E17*F17</f>
        <v>31312169.280000001</v>
      </c>
    </row>
    <row r="18" spans="1:7">
      <c r="A18" t="s">
        <v>70</v>
      </c>
      <c r="B18" s="78">
        <v>3028911</v>
      </c>
      <c r="C18" s="83">
        <v>1.2</v>
      </c>
      <c r="D18" s="8">
        <f>+B18*C18</f>
        <v>3634693.1999999997</v>
      </c>
      <c r="E18" s="25">
        <f>+B18</f>
        <v>3028911</v>
      </c>
      <c r="F18" s="85">
        <v>1.08</v>
      </c>
      <c r="G18" s="8">
        <f>+E18*F18</f>
        <v>3271223.8800000004</v>
      </c>
    </row>
    <row r="19" spans="1:7">
      <c r="A19" t="s">
        <v>71</v>
      </c>
      <c r="B19" s="78">
        <v>87948</v>
      </c>
      <c r="C19" s="83">
        <v>12.17</v>
      </c>
      <c r="D19" s="8">
        <f>+B19*C19</f>
        <v>1070327.1599999999</v>
      </c>
      <c r="E19" s="25">
        <f>+B19</f>
        <v>87948</v>
      </c>
      <c r="F19" s="85">
        <v>12.07</v>
      </c>
      <c r="G19" s="8">
        <f>+E19*F19</f>
        <v>1061532.3600000001</v>
      </c>
    </row>
    <row r="20" spans="1:7">
      <c r="A20" t="s">
        <v>121</v>
      </c>
      <c r="B20" s="78">
        <v>0</v>
      </c>
      <c r="C20" s="83"/>
      <c r="D20" s="8"/>
      <c r="E20" s="25">
        <f>+B20</f>
        <v>0</v>
      </c>
      <c r="F20" s="85"/>
      <c r="G20" s="8"/>
    </row>
    <row r="21" spans="1:7">
      <c r="B21" s="75"/>
      <c r="C21" s="83"/>
      <c r="D21" s="8"/>
      <c r="E21" s="25"/>
      <c r="F21" s="85"/>
      <c r="G21" s="8"/>
    </row>
    <row r="22" spans="1:7">
      <c r="A22" t="s">
        <v>66</v>
      </c>
      <c r="B22" s="78">
        <v>202954</v>
      </c>
      <c r="C22" s="83">
        <v>0.69</v>
      </c>
      <c r="D22" s="8">
        <f>+B22*C22</f>
        <v>140038.25999999998</v>
      </c>
      <c r="E22" s="25">
        <f>+B22</f>
        <v>202954</v>
      </c>
      <c r="F22" s="85">
        <v>0.69</v>
      </c>
      <c r="G22" s="8">
        <f>+E22*F22</f>
        <v>140038.25999999998</v>
      </c>
    </row>
    <row r="23" spans="1:7">
      <c r="B23" s="75"/>
      <c r="C23" s="87"/>
      <c r="D23" s="8"/>
      <c r="E23" s="25"/>
      <c r="F23" s="88"/>
      <c r="G23" s="8"/>
    </row>
    <row r="24" spans="1:7">
      <c r="A24" t="s">
        <v>12</v>
      </c>
      <c r="B24" s="78">
        <v>107</v>
      </c>
      <c r="C24" s="83">
        <v>794</v>
      </c>
      <c r="D24" s="8">
        <f>+B24*C24</f>
        <v>84958</v>
      </c>
      <c r="E24" s="25">
        <f>+B24</f>
        <v>107</v>
      </c>
      <c r="F24" s="85">
        <v>794</v>
      </c>
      <c r="G24" s="8">
        <f>+E24*F24</f>
        <v>84958</v>
      </c>
    </row>
    <row r="25" spans="1:7">
      <c r="B25" s="75"/>
      <c r="C25" s="61"/>
      <c r="D25" s="8"/>
      <c r="E25" s="25"/>
      <c r="F25" s="75"/>
      <c r="G25" s="8"/>
    </row>
    <row r="26" spans="1:7">
      <c r="A26" t="s">
        <v>72</v>
      </c>
      <c r="B26" s="78">
        <v>108</v>
      </c>
      <c r="C26" s="61"/>
      <c r="D26" s="8"/>
      <c r="E26" s="25">
        <f>+B26</f>
        <v>108</v>
      </c>
      <c r="F26" s="75"/>
      <c r="G26" s="8"/>
    </row>
    <row r="27" spans="1:7">
      <c r="C27" s="61"/>
      <c r="D27" s="8"/>
      <c r="E27" s="25"/>
      <c r="F27" s="75"/>
      <c r="G27" s="8"/>
    </row>
    <row r="28" spans="1:7">
      <c r="A28" t="str">
        <f>+RS!A$26</f>
        <v xml:space="preserve">Fuel </v>
      </c>
      <c r="C28" s="82">
        <f>+RS!C26</f>
        <v>2.0411219651722302E-3</v>
      </c>
      <c r="D28" s="8">
        <f>+B14*C28</f>
        <v>3600648.6956208069</v>
      </c>
      <c r="E28" s="25"/>
      <c r="F28" s="79">
        <f>+RS!F26</f>
        <v>2.0411219651722302E-3</v>
      </c>
      <c r="G28" s="8">
        <f>+E14*F28</f>
        <v>3600648.6956208069</v>
      </c>
    </row>
    <row r="29" spans="1:7">
      <c r="D29" s="8"/>
      <c r="G29" s="8"/>
    </row>
    <row r="30" spans="1:7">
      <c r="A30" t="str">
        <f>+RS!A$28</f>
        <v>Asset Transfer Rider</v>
      </c>
      <c r="D30" s="60">
        <f>+ATR!D41</f>
        <v>6060400.3700000001</v>
      </c>
      <c r="G30" s="60">
        <v>0</v>
      </c>
    </row>
    <row r="31" spans="1:7">
      <c r="D31" s="60"/>
      <c r="G31" s="60"/>
    </row>
    <row r="32" spans="1:7">
      <c r="A32" t="str">
        <f>RS!A30</f>
        <v>Economic Development Rider</v>
      </c>
      <c r="D32" s="60">
        <v>0</v>
      </c>
      <c r="E32" s="25">
        <f>E24</f>
        <v>107</v>
      </c>
      <c r="F32" s="85">
        <f>RS!F30</f>
        <v>0.15</v>
      </c>
      <c r="G32" s="60">
        <f>E32*F32</f>
        <v>16.05</v>
      </c>
    </row>
    <row r="33" spans="1:7">
      <c r="D33" s="60"/>
      <c r="E33" s="25"/>
      <c r="F33" s="85"/>
      <c r="G33" s="60"/>
    </row>
    <row r="34" spans="1:7">
      <c r="A34" t="str">
        <f>+'QP-SEC'!A33</f>
        <v>Big Sandy 1 Operations Rider - Energy</v>
      </c>
      <c r="D34" s="60">
        <v>0</v>
      </c>
      <c r="E34" s="25"/>
      <c r="F34" s="84">
        <f>+'QP-SEC'!F33</f>
        <v>1.39E-3</v>
      </c>
      <c r="G34" s="60">
        <f>+F34*E14</f>
        <v>2452034.6026900001</v>
      </c>
    </row>
    <row r="35" spans="1:7">
      <c r="D35" s="60"/>
      <c r="E35" s="25"/>
      <c r="F35" s="85"/>
      <c r="G35" s="60"/>
    </row>
    <row r="36" spans="1:7">
      <c r="A36" t="str">
        <f>+'QP-SEC'!A35</f>
        <v>Big Sandy 1 Operations Rider - Demand</v>
      </c>
      <c r="D36" s="60">
        <v>0</v>
      </c>
      <c r="E36" s="25"/>
      <c r="F36" s="85">
        <f>+'QP-SEC'!F35</f>
        <v>0.55000000000000004</v>
      </c>
      <c r="G36" s="60">
        <f>+F36*(E17+E19)</f>
        <v>1651881.0000000002</v>
      </c>
    </row>
    <row r="37" spans="1:7">
      <c r="D37" s="60"/>
      <c r="E37" s="25"/>
      <c r="F37" s="85"/>
      <c r="G37" s="60"/>
    </row>
    <row r="38" spans="1:7">
      <c r="A38" t="str">
        <f>RS!A34</f>
        <v>Big Sandy Retirement Rider</v>
      </c>
      <c r="D38" s="60">
        <v>0</v>
      </c>
      <c r="E38" s="94">
        <f>SUM(G12:G37)-G28-G46</f>
        <v>47065349.190109983</v>
      </c>
      <c r="F38" s="100">
        <f>SGS!$F$30</f>
        <v>6.2296999999999998E-2</v>
      </c>
      <c r="G38" s="60">
        <f>E38*F38</f>
        <v>2932030.0584962815</v>
      </c>
    </row>
    <row r="39" spans="1:7">
      <c r="D39" s="60"/>
      <c r="E39" s="25"/>
      <c r="F39" s="76"/>
      <c r="G39" s="60"/>
    </row>
    <row r="40" spans="1:7">
      <c r="A40" t="str">
        <f>+RS!A$36</f>
        <v>Environmental Surcharge</v>
      </c>
      <c r="D40" s="60">
        <v>0</v>
      </c>
      <c r="E40" s="94">
        <f>E38</f>
        <v>47065349.190109983</v>
      </c>
      <c r="F40" s="100">
        <f>SGS!$F$32</f>
        <v>9.8027000000000003E-2</v>
      </c>
      <c r="G40" s="60">
        <f>E40*F40</f>
        <v>4613674.9850589111</v>
      </c>
    </row>
    <row r="41" spans="1:7">
      <c r="D41" s="8"/>
      <c r="G41" s="8"/>
    </row>
    <row r="42" spans="1:7">
      <c r="A42" t="s">
        <v>14</v>
      </c>
      <c r="D42" s="8">
        <f>SUM(D12:D40)</f>
        <v>101015057.68488082</v>
      </c>
      <c r="G42" s="8">
        <f>SUM(G12:G40)</f>
        <v>108310827.18568599</v>
      </c>
    </row>
    <row r="43" spans="1:7">
      <c r="G43" s="25"/>
    </row>
    <row r="44" spans="1:7">
      <c r="G44" s="25"/>
    </row>
    <row r="46" spans="1:7">
      <c r="A46" s="61" t="s">
        <v>216</v>
      </c>
      <c r="F46" s="79">
        <f>SGS!$F$38</f>
        <v>2.8400000000000002E-2</v>
      </c>
      <c r="G46" s="8">
        <f>+E14*F46</f>
        <v>50099124.256400004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6"/>
  <sheetViews>
    <sheetView workbookViewId="0"/>
  </sheetViews>
  <sheetFormatPr defaultRowHeight="12.75"/>
  <cols>
    <col min="1" max="1" width="21.7109375" customWidth="1"/>
    <col min="2" max="2" width="15" customWidth="1"/>
    <col min="3" max="3" width="11.7109375" customWidth="1"/>
    <col min="4" max="4" width="14" customWidth="1"/>
    <col min="5" max="5" width="16.28515625" style="21" customWidth="1"/>
    <col min="6" max="6" width="14.7109375" style="21" customWidth="1"/>
    <col min="7" max="7" width="16.1406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73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s="9" t="s">
        <v>8</v>
      </c>
      <c r="B12" s="78">
        <v>292348340</v>
      </c>
      <c r="C12" s="86">
        <v>2.8799999999999999E-2</v>
      </c>
      <c r="D12" s="8">
        <f>+B12*C12</f>
        <v>8419632.1919999998</v>
      </c>
      <c r="E12" s="25">
        <f>+B12</f>
        <v>292348340</v>
      </c>
      <c r="F12" s="84">
        <v>3.2039999999999999E-2</v>
      </c>
      <c r="G12" s="8">
        <f>+E12*F12</f>
        <v>9366840.8136</v>
      </c>
    </row>
    <row r="13" spans="1:7">
      <c r="B13" s="5"/>
      <c r="C13" s="61"/>
      <c r="D13" s="8"/>
      <c r="E13" s="25"/>
      <c r="F13" s="75"/>
      <c r="G13" s="8"/>
    </row>
    <row r="14" spans="1:7">
      <c r="A14" t="s">
        <v>11</v>
      </c>
      <c r="B14" s="5">
        <f>B12</f>
        <v>292348340</v>
      </c>
      <c r="C14" s="61"/>
      <c r="D14" s="8"/>
      <c r="E14" s="25">
        <f>+B14</f>
        <v>292348340</v>
      </c>
      <c r="F14" s="75"/>
      <c r="G14" s="8"/>
    </row>
    <row r="15" spans="1:7">
      <c r="B15" s="5"/>
      <c r="C15" s="61"/>
      <c r="D15" s="8"/>
      <c r="E15" s="25"/>
      <c r="F15" s="75"/>
      <c r="G15" s="8"/>
    </row>
    <row r="16" spans="1:7">
      <c r="A16" s="4" t="s">
        <v>56</v>
      </c>
      <c r="B16" s="5"/>
      <c r="C16" s="61"/>
      <c r="D16" s="8"/>
      <c r="E16" s="25"/>
      <c r="F16" s="75"/>
      <c r="G16" s="8"/>
    </row>
    <row r="17" spans="1:7">
      <c r="A17" t="s">
        <v>47</v>
      </c>
      <c r="B17" s="78">
        <v>428879</v>
      </c>
      <c r="C17" s="83">
        <v>10.98</v>
      </c>
      <c r="D17" s="8">
        <f>+B17*C17</f>
        <v>4709091.42</v>
      </c>
      <c r="E17" s="25">
        <f>+B17</f>
        <v>428879</v>
      </c>
      <c r="F17" s="85">
        <v>10.45</v>
      </c>
      <c r="G17" s="8">
        <f>+E17*F17</f>
        <v>4481785.55</v>
      </c>
    </row>
    <row r="18" spans="1:7">
      <c r="A18" t="s">
        <v>70</v>
      </c>
      <c r="B18" s="78">
        <v>414632</v>
      </c>
      <c r="C18" s="83">
        <v>1.1000000000000001</v>
      </c>
      <c r="D18" s="8">
        <f>+B18*C18</f>
        <v>456095.2</v>
      </c>
      <c r="E18" s="25">
        <f>+B18</f>
        <v>414632</v>
      </c>
      <c r="F18" s="85">
        <v>1.07</v>
      </c>
      <c r="G18" s="8">
        <f>+E18*F18</f>
        <v>443656.24000000005</v>
      </c>
    </row>
    <row r="19" spans="1:7">
      <c r="A19" t="s">
        <v>71</v>
      </c>
      <c r="B19" s="78">
        <v>124559</v>
      </c>
      <c r="C19" s="83">
        <v>11.09</v>
      </c>
      <c r="D19" s="8">
        <f>+B19*C19</f>
        <v>1381359.31</v>
      </c>
      <c r="E19" s="25">
        <f>+B19</f>
        <v>124559</v>
      </c>
      <c r="F19" s="85">
        <v>11.76</v>
      </c>
      <c r="G19" s="8">
        <f>+E19*F19</f>
        <v>1464813.84</v>
      </c>
    </row>
    <row r="20" spans="1:7">
      <c r="A20" t="s">
        <v>121</v>
      </c>
      <c r="B20" s="78">
        <v>0</v>
      </c>
      <c r="C20" s="83"/>
      <c r="D20" s="8"/>
      <c r="E20" s="25">
        <f>+B20</f>
        <v>0</v>
      </c>
      <c r="F20" s="85"/>
      <c r="G20" s="8"/>
    </row>
    <row r="21" spans="1:7">
      <c r="B21" s="78"/>
      <c r="C21" s="83"/>
      <c r="D21" s="8"/>
      <c r="E21" s="25"/>
      <c r="F21" s="85"/>
      <c r="G21" s="8"/>
    </row>
    <row r="22" spans="1:7">
      <c r="A22" t="s">
        <v>66</v>
      </c>
      <c r="B22" s="78">
        <v>20478</v>
      </c>
      <c r="C22" s="83">
        <v>0.69</v>
      </c>
      <c r="D22" s="8">
        <f>+B22*C22</f>
        <v>14129.82</v>
      </c>
      <c r="E22" s="25">
        <f>+B22</f>
        <v>20478</v>
      </c>
      <c r="F22" s="85">
        <v>0.69</v>
      </c>
      <c r="G22" s="8">
        <f>+E22*F22</f>
        <v>14129.82</v>
      </c>
    </row>
    <row r="23" spans="1:7">
      <c r="B23" s="78"/>
      <c r="C23" s="87"/>
      <c r="D23" s="8"/>
      <c r="E23" s="25"/>
      <c r="F23" s="88"/>
      <c r="G23" s="8"/>
    </row>
    <row r="24" spans="1:7">
      <c r="A24" t="s">
        <v>12</v>
      </c>
      <c r="B24" s="78">
        <v>24</v>
      </c>
      <c r="C24" s="83">
        <v>1353</v>
      </c>
      <c r="D24" s="8">
        <f>+B24*C24</f>
        <v>32472</v>
      </c>
      <c r="E24" s="25">
        <f>+B24</f>
        <v>24</v>
      </c>
      <c r="F24" s="85">
        <v>1353</v>
      </c>
      <c r="G24" s="8">
        <f>+E24*F24</f>
        <v>32472</v>
      </c>
    </row>
    <row r="25" spans="1:7">
      <c r="B25" s="78"/>
      <c r="C25" s="61"/>
      <c r="D25" s="8"/>
      <c r="E25" s="25"/>
      <c r="F25" s="75"/>
      <c r="G25" s="8"/>
    </row>
    <row r="26" spans="1:7">
      <c r="A26" t="s">
        <v>13</v>
      </c>
      <c r="B26" s="78">
        <v>24</v>
      </c>
      <c r="C26" s="61"/>
      <c r="D26" s="8"/>
      <c r="E26" s="25">
        <f>+B26</f>
        <v>24</v>
      </c>
      <c r="F26" s="75"/>
      <c r="G26" s="8"/>
    </row>
    <row r="27" spans="1:7">
      <c r="C27" s="61"/>
      <c r="D27" s="8"/>
      <c r="E27" s="25"/>
      <c r="F27" s="75"/>
      <c r="G27" s="8"/>
    </row>
    <row r="28" spans="1:7">
      <c r="A28" t="str">
        <f>+RS!A$26</f>
        <v xml:space="preserve">Fuel </v>
      </c>
      <c r="C28" s="82">
        <f>+RS!C26</f>
        <v>2.0411219651722302E-3</v>
      </c>
      <c r="D28" s="8">
        <f>+B14*C28</f>
        <v>596718.61825563933</v>
      </c>
      <c r="F28" s="79">
        <f>+RS!F26</f>
        <v>2.0411219651722302E-3</v>
      </c>
      <c r="G28" s="8">
        <f>+E14*F28</f>
        <v>596718.61825563933</v>
      </c>
    </row>
    <row r="29" spans="1:7">
      <c r="D29" s="8"/>
      <c r="G29" s="8"/>
    </row>
    <row r="30" spans="1:7">
      <c r="A30" t="str">
        <f>+RS!A$28</f>
        <v>Asset Transfer Rider</v>
      </c>
      <c r="D30" s="60">
        <f>+ATR!D42</f>
        <v>798685</v>
      </c>
      <c r="G30" s="60"/>
    </row>
    <row r="31" spans="1:7">
      <c r="D31" s="60"/>
      <c r="G31" s="60"/>
    </row>
    <row r="32" spans="1:7">
      <c r="A32" t="str">
        <f>RS!A30</f>
        <v>Economic Development Rider</v>
      </c>
      <c r="D32" s="60">
        <v>0</v>
      </c>
      <c r="E32" s="25">
        <f>E24</f>
        <v>24</v>
      </c>
      <c r="F32" s="85">
        <f>RS!F30</f>
        <v>0.15</v>
      </c>
      <c r="G32" s="60">
        <f>E32*F32</f>
        <v>3.5999999999999996</v>
      </c>
    </row>
    <row r="33" spans="1:7">
      <c r="D33" s="60"/>
      <c r="E33" s="25"/>
      <c r="F33" s="85"/>
      <c r="G33" s="60"/>
    </row>
    <row r="34" spans="1:7">
      <c r="A34" t="str">
        <f>+'QP-SEC'!A33</f>
        <v>Big Sandy 1 Operations Rider - Energy</v>
      </c>
      <c r="D34" s="60">
        <v>0</v>
      </c>
      <c r="E34" s="25"/>
      <c r="F34" s="84">
        <f>+'QP-SEC'!F33</f>
        <v>1.39E-3</v>
      </c>
      <c r="G34" s="60">
        <f>+F34*E14</f>
        <v>406364.19260000001</v>
      </c>
    </row>
    <row r="35" spans="1:7">
      <c r="D35" s="60"/>
      <c r="E35" s="25"/>
      <c r="F35" s="85"/>
      <c r="G35" s="60"/>
    </row>
    <row r="36" spans="1:7">
      <c r="A36" t="str">
        <f>+'QP-SEC'!A35</f>
        <v>Big Sandy 1 Operations Rider - Demand</v>
      </c>
      <c r="D36" s="60">
        <v>0</v>
      </c>
      <c r="E36" s="25"/>
      <c r="F36" s="85">
        <f>+'QP-SEC'!F35</f>
        <v>0.55000000000000004</v>
      </c>
      <c r="G36" s="60">
        <f>+F36*(E17+E19)</f>
        <v>304390.90000000002</v>
      </c>
    </row>
    <row r="37" spans="1:7">
      <c r="D37" s="60"/>
      <c r="E37" s="25"/>
      <c r="F37" s="85"/>
      <c r="G37" s="60"/>
    </row>
    <row r="38" spans="1:7">
      <c r="A38" t="str">
        <f>RS!A34</f>
        <v>Big Sandy Retirement Rider</v>
      </c>
      <c r="D38" s="60">
        <v>0</v>
      </c>
      <c r="E38" s="94">
        <f>SUM(G12:G37)-G28-G46</f>
        <v>8211764.1001999974</v>
      </c>
      <c r="F38" s="100">
        <f>SGS!$F$30</f>
        <v>6.2296999999999998E-2</v>
      </c>
      <c r="G38" s="60">
        <f>E38*F38</f>
        <v>511568.26815015922</v>
      </c>
    </row>
    <row r="39" spans="1:7">
      <c r="D39" s="60"/>
      <c r="E39" s="25"/>
      <c r="F39" s="76"/>
      <c r="G39" s="60"/>
    </row>
    <row r="40" spans="1:7">
      <c r="A40" t="str">
        <f>RS!A36</f>
        <v>Environmental Surcharge</v>
      </c>
      <c r="D40" s="60">
        <v>0</v>
      </c>
      <c r="E40" s="94">
        <f>E38</f>
        <v>8211764.1001999974</v>
      </c>
      <c r="F40" s="100">
        <f>SGS!$F$32</f>
        <v>9.8027000000000003E-2</v>
      </c>
      <c r="G40" s="60">
        <f>E40*F40</f>
        <v>804974.59945030522</v>
      </c>
    </row>
    <row r="41" spans="1:7">
      <c r="D41" s="8"/>
      <c r="G41" s="8"/>
    </row>
    <row r="42" spans="1:7">
      <c r="A42" t="s">
        <v>14</v>
      </c>
      <c r="D42" s="8">
        <f>SUM(D12:D40)</f>
        <v>16408183.560255639</v>
      </c>
      <c r="G42" s="8">
        <f>SUM(G12:G40)</f>
        <v>18427718.442056101</v>
      </c>
    </row>
    <row r="43" spans="1:7">
      <c r="G43" s="25"/>
    </row>
    <row r="46" spans="1:7">
      <c r="A46" s="61" t="s">
        <v>216</v>
      </c>
      <c r="F46" s="79">
        <f>SGS!$F$38</f>
        <v>2.8400000000000002E-2</v>
      </c>
      <c r="G46" s="8">
        <f>+E14*F46</f>
        <v>8302692.8560000006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39"/>
  <sheetViews>
    <sheetView workbookViewId="0"/>
  </sheetViews>
  <sheetFormatPr defaultRowHeight="12.75"/>
  <cols>
    <col min="1" max="1" width="22" customWidth="1"/>
    <col min="2" max="2" width="13.7109375" customWidth="1"/>
    <col min="3" max="3" width="13.28515625" customWidth="1"/>
    <col min="4" max="4" width="14.42578125" customWidth="1"/>
    <col min="5" max="5" width="16.28515625" style="21" customWidth="1"/>
    <col min="6" max="6" width="13" style="21" customWidth="1"/>
    <col min="7" max="7" width="14.28515625" style="21" customWidth="1"/>
    <col min="8" max="10" width="8.85546875" style="21" customWidth="1"/>
  </cols>
  <sheetData>
    <row r="1" spans="1:14">
      <c r="A1" t="str">
        <f>+RS!A1</f>
        <v>KENTUCKY POWER BILLING ANALYSIS</v>
      </c>
    </row>
    <row r="2" spans="1:14">
      <c r="A2" t="str">
        <f>+RS!A2</f>
        <v>PROFORMA</v>
      </c>
    </row>
    <row r="3" spans="1:14">
      <c r="A3" t="str">
        <f>+RS!A3</f>
        <v>TEST YEAR ENDED SEPTEMBER 30, 2014</v>
      </c>
    </row>
    <row r="5" spans="1:14">
      <c r="A5" t="s">
        <v>82</v>
      </c>
    </row>
    <row r="8" spans="1:14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14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14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14">
      <c r="A12" t="s">
        <v>52</v>
      </c>
      <c r="B12" s="78">
        <v>3841169</v>
      </c>
      <c r="C12" s="86">
        <v>8.3000000000000004E-2</v>
      </c>
      <c r="D12" s="8">
        <f>+B12*C12</f>
        <v>318817.027</v>
      </c>
      <c r="E12" s="25">
        <f>+B12</f>
        <v>3841169</v>
      </c>
      <c r="F12" s="84">
        <v>8.6010000000000003E-2</v>
      </c>
      <c r="G12" s="8">
        <f>+E12*F12</f>
        <v>330378.94569000002</v>
      </c>
    </row>
    <row r="13" spans="1:14">
      <c r="A13" t="s">
        <v>83</v>
      </c>
      <c r="B13" s="78">
        <v>22870</v>
      </c>
      <c r="C13" s="70"/>
      <c r="D13" s="8"/>
      <c r="E13" s="97">
        <f>+B13</f>
        <v>22870</v>
      </c>
      <c r="F13" s="98"/>
      <c r="G13" s="12"/>
      <c r="H13" s="99"/>
      <c r="I13" s="99"/>
      <c r="J13" s="99"/>
      <c r="K13" s="19"/>
      <c r="L13" s="19"/>
      <c r="M13" s="19"/>
      <c r="N13" s="19"/>
    </row>
    <row r="14" spans="1:14">
      <c r="C14" s="61"/>
      <c r="D14" s="8"/>
      <c r="E14" s="25"/>
      <c r="F14" s="75"/>
      <c r="G14" s="8"/>
    </row>
    <row r="15" spans="1:14">
      <c r="A15" t="s">
        <v>11</v>
      </c>
      <c r="B15" s="5">
        <f>SUM(B12:B13)</f>
        <v>3864039</v>
      </c>
      <c r="C15" s="61"/>
      <c r="D15" s="8"/>
      <c r="E15" s="25">
        <f>+B15</f>
        <v>3864039</v>
      </c>
      <c r="F15" s="75"/>
      <c r="G15" s="8"/>
    </row>
    <row r="16" spans="1:14">
      <c r="C16" s="61"/>
      <c r="D16" s="8"/>
      <c r="E16" s="25"/>
      <c r="F16" s="75"/>
      <c r="G16" s="8"/>
    </row>
    <row r="17" spans="1:7">
      <c r="A17" t="s">
        <v>84</v>
      </c>
      <c r="B17" s="78">
        <v>714</v>
      </c>
      <c r="C17" s="83">
        <v>4.0999999999999996</v>
      </c>
      <c r="D17" s="8">
        <f>+B17*C17</f>
        <v>2927.3999999999996</v>
      </c>
      <c r="E17" s="25">
        <f>+B17</f>
        <v>714</v>
      </c>
      <c r="F17" s="85">
        <v>8.1999999999999993</v>
      </c>
      <c r="G17" s="8">
        <f>+E17*F17</f>
        <v>5854.7999999999993</v>
      </c>
    </row>
    <row r="18" spans="1:7">
      <c r="B18" s="75"/>
      <c r="C18" s="83"/>
      <c r="D18" s="8"/>
      <c r="E18" s="25"/>
      <c r="F18" s="85"/>
      <c r="G18" s="8"/>
    </row>
    <row r="19" spans="1:7">
      <c r="A19" t="s">
        <v>12</v>
      </c>
      <c r="B19" s="78">
        <v>132</v>
      </c>
      <c r="C19" s="83">
        <v>22.9</v>
      </c>
      <c r="D19" s="8">
        <f>+B19*C19</f>
        <v>3022.7999999999997</v>
      </c>
      <c r="E19" s="25">
        <f>+B19</f>
        <v>132</v>
      </c>
      <c r="F19" s="85">
        <v>22.9</v>
      </c>
      <c r="G19" s="8">
        <f>+E19*F19</f>
        <v>3022.7999999999997</v>
      </c>
    </row>
    <row r="20" spans="1:7">
      <c r="B20" s="75"/>
      <c r="C20" s="61"/>
      <c r="D20" s="8"/>
      <c r="E20" s="25"/>
      <c r="F20" s="75"/>
      <c r="G20" s="8"/>
    </row>
    <row r="21" spans="1:7">
      <c r="A21" t="s">
        <v>13</v>
      </c>
      <c r="B21" s="78">
        <v>132</v>
      </c>
      <c r="C21" s="61"/>
      <c r="D21" s="8"/>
      <c r="E21" s="25">
        <f>+B21</f>
        <v>132</v>
      </c>
      <c r="F21" s="75"/>
      <c r="G21" s="8"/>
    </row>
    <row r="22" spans="1:7">
      <c r="C22" s="61"/>
      <c r="D22" s="8"/>
      <c r="E22" s="25"/>
      <c r="F22" s="75"/>
      <c r="G22" s="8"/>
    </row>
    <row r="23" spans="1:7">
      <c r="A23" t="str">
        <f>+RS!A$26</f>
        <v xml:space="preserve">Fuel </v>
      </c>
      <c r="C23" s="82">
        <f>+RS!C26</f>
        <v>2.0411219651722302E-3</v>
      </c>
      <c r="D23" s="8">
        <f>+B15*C23</f>
        <v>7886.9748771821396</v>
      </c>
      <c r="E23" s="25"/>
      <c r="F23" s="79">
        <f>+RS!F26</f>
        <v>2.0411219651722302E-3</v>
      </c>
      <c r="G23" s="8">
        <f>+E15*F23</f>
        <v>7886.9748771821396</v>
      </c>
    </row>
    <row r="24" spans="1:7">
      <c r="D24" s="8"/>
      <c r="G24" s="8"/>
    </row>
    <row r="25" spans="1:7">
      <c r="A25" t="str">
        <f>+RS!A$28</f>
        <v>Asset Transfer Rider</v>
      </c>
      <c r="D25" s="60">
        <f>+ATR!D47</f>
        <v>31629.360000000001</v>
      </c>
      <c r="G25" s="60"/>
    </row>
    <row r="26" spans="1:7">
      <c r="D26" s="60"/>
      <c r="G26" s="60"/>
    </row>
    <row r="27" spans="1:7">
      <c r="A27" t="str">
        <f>RS!A30</f>
        <v>Economic Development Rider</v>
      </c>
      <c r="D27" s="60">
        <v>0</v>
      </c>
      <c r="E27" s="25">
        <f>E19</f>
        <v>132</v>
      </c>
      <c r="F27" s="85">
        <f>RS!F30</f>
        <v>0.15</v>
      </c>
      <c r="G27" s="60">
        <f>E27*F27</f>
        <v>19.8</v>
      </c>
    </row>
    <row r="28" spans="1:7">
      <c r="D28" s="60"/>
      <c r="E28" s="25"/>
      <c r="F28" s="85"/>
      <c r="G28" s="60"/>
    </row>
    <row r="29" spans="1:7">
      <c r="A29" t="str">
        <f>RS!A32</f>
        <v>Big Sandy 1 Operations Rider</v>
      </c>
      <c r="D29" s="60">
        <v>0</v>
      </c>
      <c r="E29" s="25"/>
      <c r="F29" s="84">
        <v>2.48E-3</v>
      </c>
      <c r="G29" s="60">
        <f>+F29*E15</f>
        <v>9582.8167200000007</v>
      </c>
    </row>
    <row r="30" spans="1:7">
      <c r="D30" s="60"/>
      <c r="E30" s="25"/>
      <c r="F30" s="85"/>
      <c r="G30" s="60"/>
    </row>
    <row r="31" spans="1:7">
      <c r="A31" t="str">
        <f>RS!A34</f>
        <v>Big Sandy Retirement Rider</v>
      </c>
      <c r="D31" s="60">
        <v>0</v>
      </c>
      <c r="E31" s="94">
        <f>SUM(G11:G30)-G23-G39</f>
        <v>239120.45480999997</v>
      </c>
      <c r="F31" s="100">
        <f>SGS!$F$30</f>
        <v>6.2296999999999998E-2</v>
      </c>
      <c r="G31" s="60">
        <f>E31*F31</f>
        <v>14896.486973298568</v>
      </c>
    </row>
    <row r="32" spans="1:7">
      <c r="D32" s="60"/>
      <c r="E32" s="25"/>
      <c r="F32" s="76"/>
      <c r="G32" s="60"/>
    </row>
    <row r="33" spans="1:7">
      <c r="A33" t="str">
        <f>+RS!A$36</f>
        <v>Environmental Surcharge</v>
      </c>
      <c r="D33" s="60">
        <v>0</v>
      </c>
      <c r="E33" s="94">
        <f>E31</f>
        <v>239120.45480999997</v>
      </c>
      <c r="F33" s="100">
        <f>SGS!$F$32</f>
        <v>9.8027000000000003E-2</v>
      </c>
      <c r="G33" s="60">
        <f>E33*F33</f>
        <v>23440.260823659868</v>
      </c>
    </row>
    <row r="34" spans="1:7">
      <c r="D34" s="8"/>
      <c r="G34" s="8"/>
    </row>
    <row r="35" spans="1:7">
      <c r="A35" t="s">
        <v>14</v>
      </c>
      <c r="D35" s="8">
        <f>SUM(D12:D33)</f>
        <v>364283.56187718216</v>
      </c>
      <c r="G35" s="8">
        <f>SUM(G12:G33)</f>
        <v>395082.88508414064</v>
      </c>
    </row>
    <row r="36" spans="1:7">
      <c r="G36" s="25"/>
    </row>
    <row r="39" spans="1:7">
      <c r="A39" s="61" t="s">
        <v>216</v>
      </c>
      <c r="F39" s="79">
        <f>SGS!$F$38</f>
        <v>2.8400000000000002E-2</v>
      </c>
      <c r="G39" s="8">
        <f>+E15*F39</f>
        <v>109738.70760000001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72"/>
  <sheetViews>
    <sheetView workbookViewId="0"/>
  </sheetViews>
  <sheetFormatPr defaultRowHeight="12.75"/>
  <cols>
    <col min="1" max="1" width="31.5703125" customWidth="1"/>
    <col min="2" max="2" width="10.7109375" customWidth="1"/>
    <col min="3" max="3" width="14" customWidth="1"/>
    <col min="4" max="4" width="11.85546875" customWidth="1"/>
    <col min="5" max="5" width="16.28515625" style="21" customWidth="1"/>
    <col min="6" max="6" width="15.5703125" style="21" customWidth="1"/>
    <col min="7" max="7" width="14.42578125" style="21" bestFit="1" customWidth="1"/>
    <col min="8" max="8" width="8.85546875" style="21" customWidth="1"/>
    <col min="9" max="9" width="12.85546875" style="21" bestFit="1" customWidth="1"/>
    <col min="10" max="10" width="8.85546875" style="21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SEPTEMBER 30, 2014</v>
      </c>
    </row>
    <row r="5" spans="1:9">
      <c r="A5" t="s">
        <v>135</v>
      </c>
    </row>
    <row r="8" spans="1:9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9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9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9">
      <c r="A12" s="4" t="s">
        <v>24</v>
      </c>
    </row>
    <row r="13" spans="1:9">
      <c r="A13" t="s">
        <v>25</v>
      </c>
    </row>
    <row r="14" spans="1:9">
      <c r="A14" t="s">
        <v>26</v>
      </c>
      <c r="B14" s="78">
        <v>235073.40000000002</v>
      </c>
      <c r="C14" s="83">
        <v>8.75</v>
      </c>
      <c r="D14" s="8">
        <f>+B14*C14</f>
        <v>2056892.2500000002</v>
      </c>
      <c r="E14" s="67">
        <f>+B14</f>
        <v>235073.40000000002</v>
      </c>
      <c r="F14" s="85">
        <v>9.65</v>
      </c>
      <c r="G14" s="8">
        <f>+E14*F14</f>
        <v>2268458.3100000005</v>
      </c>
      <c r="I14" s="8"/>
    </row>
    <row r="15" spans="1:9">
      <c r="A15" t="s">
        <v>27</v>
      </c>
      <c r="B15" s="78">
        <v>221760.12</v>
      </c>
      <c r="C15" s="83">
        <v>9.9</v>
      </c>
      <c r="D15" s="8">
        <f>+B15*C15</f>
        <v>2195425.1880000001</v>
      </c>
      <c r="E15" s="67">
        <f>+B15</f>
        <v>221760.12</v>
      </c>
      <c r="F15" s="85">
        <v>10.95</v>
      </c>
      <c r="G15" s="8">
        <f>+E15*F15</f>
        <v>2428273.3139999998</v>
      </c>
      <c r="I15" s="8"/>
    </row>
    <row r="16" spans="1:9">
      <c r="A16" t="s">
        <v>28</v>
      </c>
      <c r="B16" s="78">
        <v>21654.720000000001</v>
      </c>
      <c r="C16" s="83">
        <v>12.2</v>
      </c>
      <c r="D16" s="8">
        <f>+B16*C16</f>
        <v>264187.58399999997</v>
      </c>
      <c r="E16" s="67">
        <f>+B16</f>
        <v>21654.720000000001</v>
      </c>
      <c r="F16" s="85">
        <v>13.45</v>
      </c>
      <c r="G16" s="8">
        <f>+E16*F16</f>
        <v>291255.984</v>
      </c>
      <c r="I16" s="8"/>
    </row>
    <row r="17" spans="1:9">
      <c r="A17" t="s">
        <v>139</v>
      </c>
      <c r="B17" s="89">
        <v>0</v>
      </c>
      <c r="C17" s="83">
        <v>13.35</v>
      </c>
      <c r="D17" s="8">
        <f>+B17*C17</f>
        <v>0</v>
      </c>
      <c r="E17" s="90">
        <f>+B17</f>
        <v>0</v>
      </c>
      <c r="F17" s="85">
        <v>18.100000000000001</v>
      </c>
      <c r="G17" s="8">
        <f>+E17*F17</f>
        <v>0</v>
      </c>
      <c r="I17" s="8"/>
    </row>
    <row r="18" spans="1:9">
      <c r="A18" t="s">
        <v>29</v>
      </c>
      <c r="B18" s="78">
        <v>2061.6000000000004</v>
      </c>
      <c r="C18" s="83">
        <v>19.149999999999999</v>
      </c>
      <c r="D18" s="8">
        <f>+B18*C18</f>
        <v>39479.640000000007</v>
      </c>
      <c r="E18" s="67">
        <f>+B18</f>
        <v>2061.6000000000004</v>
      </c>
      <c r="F18" s="85">
        <v>21.05</v>
      </c>
      <c r="G18" s="8">
        <f>+E18*F18</f>
        <v>43396.680000000008</v>
      </c>
      <c r="I18" s="8"/>
    </row>
    <row r="19" spans="1:9">
      <c r="B19" s="75"/>
      <c r="C19" s="83"/>
      <c r="D19" s="8"/>
      <c r="E19" s="61"/>
      <c r="F19" s="85"/>
      <c r="G19" s="8"/>
      <c r="I19" s="8"/>
    </row>
    <row r="20" spans="1:9">
      <c r="A20" t="s">
        <v>30</v>
      </c>
      <c r="B20" s="75"/>
      <c r="C20" s="83"/>
      <c r="D20" s="8"/>
      <c r="E20" s="61"/>
      <c r="F20" s="85"/>
      <c r="G20" s="8"/>
      <c r="I20" s="8"/>
    </row>
    <row r="21" spans="1:9">
      <c r="A21" t="s">
        <v>31</v>
      </c>
      <c r="B21" s="78">
        <v>10577.76</v>
      </c>
      <c r="C21" s="83">
        <v>9.75</v>
      </c>
      <c r="D21" s="8">
        <f>+B21*C21</f>
        <v>103133.16</v>
      </c>
      <c r="E21" s="67">
        <f>+B21</f>
        <v>10577.76</v>
      </c>
      <c r="F21" s="85">
        <v>10.75</v>
      </c>
      <c r="G21" s="8">
        <f>+E21*F21</f>
        <v>113710.92</v>
      </c>
      <c r="I21" s="8"/>
    </row>
    <row r="22" spans="1:9">
      <c r="A22" t="s">
        <v>32</v>
      </c>
      <c r="B22" s="78">
        <v>1023.24</v>
      </c>
      <c r="C22" s="83">
        <v>16.850000000000001</v>
      </c>
      <c r="D22" s="8">
        <f>+B22*C22</f>
        <v>17241.594000000001</v>
      </c>
      <c r="E22" s="67">
        <f>+B22</f>
        <v>1023.24</v>
      </c>
      <c r="F22" s="85">
        <v>18.600000000000001</v>
      </c>
      <c r="G22" s="8">
        <f>+E22*F22</f>
        <v>19032.264000000003</v>
      </c>
      <c r="I22" s="8"/>
    </row>
    <row r="23" spans="1:9">
      <c r="B23" s="75"/>
      <c r="C23" s="83"/>
      <c r="D23" s="8"/>
      <c r="E23" s="61"/>
      <c r="F23" s="85"/>
      <c r="G23" s="8"/>
      <c r="I23" s="8"/>
    </row>
    <row r="24" spans="1:9">
      <c r="A24" s="4" t="s">
        <v>33</v>
      </c>
      <c r="B24" s="75"/>
      <c r="C24" s="83"/>
      <c r="D24" s="8"/>
      <c r="E24" s="61"/>
      <c r="F24" s="85"/>
      <c r="G24" s="8"/>
      <c r="I24" s="8"/>
    </row>
    <row r="25" spans="1:9">
      <c r="A25" t="s">
        <v>140</v>
      </c>
      <c r="B25" s="75"/>
      <c r="C25" s="83"/>
      <c r="D25" s="8"/>
      <c r="E25" s="61"/>
      <c r="F25" s="85"/>
      <c r="G25" s="8"/>
      <c r="I25" s="8"/>
    </row>
    <row r="26" spans="1:9">
      <c r="A26" t="s">
        <v>34</v>
      </c>
      <c r="B26" s="78">
        <v>8322.119999999999</v>
      </c>
      <c r="C26" s="83">
        <v>13.1</v>
      </c>
      <c r="D26" s="8">
        <f>+B26*C26</f>
        <v>109019.77199999998</v>
      </c>
      <c r="E26" s="67">
        <f>+B26</f>
        <v>8322.119999999999</v>
      </c>
      <c r="F26" s="85">
        <v>14.45</v>
      </c>
      <c r="G26" s="8">
        <f>+E26*F26</f>
        <v>120254.63399999998</v>
      </c>
      <c r="I26" s="8"/>
    </row>
    <row r="27" spans="1:9">
      <c r="A27" t="s">
        <v>35</v>
      </c>
      <c r="B27" s="78">
        <v>735.12</v>
      </c>
      <c r="C27" s="83">
        <v>21.45</v>
      </c>
      <c r="D27" s="8">
        <f>+B27*C27</f>
        <v>15768.323999999999</v>
      </c>
      <c r="E27" s="67">
        <f>+B27</f>
        <v>735.12</v>
      </c>
      <c r="F27" s="85">
        <v>23.7</v>
      </c>
      <c r="G27" s="8">
        <f>+E27*F27</f>
        <v>17422.344000000001</v>
      </c>
      <c r="I27" s="8"/>
    </row>
    <row r="28" spans="1:9">
      <c r="B28" s="75"/>
      <c r="C28" s="83"/>
      <c r="D28" s="8"/>
      <c r="E28" s="61"/>
      <c r="F28" s="85"/>
      <c r="G28" s="8"/>
      <c r="I28" s="8"/>
    </row>
    <row r="29" spans="1:9">
      <c r="A29" t="s">
        <v>142</v>
      </c>
      <c r="B29" s="75"/>
      <c r="C29" s="83"/>
      <c r="D29" s="8"/>
      <c r="E29" s="61"/>
      <c r="F29" s="85"/>
      <c r="G29" s="8"/>
      <c r="I29" s="8"/>
    </row>
    <row r="30" spans="1:9">
      <c r="A30" t="s">
        <v>36</v>
      </c>
      <c r="B30" s="78">
        <v>93.12</v>
      </c>
      <c r="C30" s="83">
        <v>11.2</v>
      </c>
      <c r="D30" s="8">
        <f>+B30*C30</f>
        <v>1042.944</v>
      </c>
      <c r="E30" s="67">
        <f>+B30</f>
        <v>93.12</v>
      </c>
      <c r="F30" s="85">
        <v>12.3</v>
      </c>
      <c r="G30" s="8">
        <f>+E30*F30</f>
        <v>1145.3760000000002</v>
      </c>
      <c r="I30" s="8"/>
    </row>
    <row r="31" spans="1:9">
      <c r="B31" s="78"/>
      <c r="C31" s="83"/>
      <c r="D31" s="8"/>
      <c r="E31" s="67"/>
      <c r="F31" s="85"/>
      <c r="G31" s="8"/>
      <c r="I31" s="8"/>
    </row>
    <row r="32" spans="1:9">
      <c r="A32" t="s">
        <v>141</v>
      </c>
      <c r="B32" s="75"/>
      <c r="C32" s="83"/>
      <c r="D32" s="8"/>
      <c r="E32" s="61"/>
      <c r="F32" s="85"/>
      <c r="G32" s="8"/>
      <c r="I32" s="8"/>
    </row>
    <row r="33" spans="1:9">
      <c r="A33" t="s">
        <v>143</v>
      </c>
      <c r="B33" s="78">
        <v>0</v>
      </c>
      <c r="C33" s="83">
        <v>20</v>
      </c>
      <c r="D33" s="8">
        <f>+B33*C33</f>
        <v>0</v>
      </c>
      <c r="E33" s="67">
        <f>+B33</f>
        <v>0</v>
      </c>
      <c r="F33" s="85">
        <v>33.5</v>
      </c>
      <c r="G33" s="8">
        <f>+E33*F33</f>
        <v>0</v>
      </c>
      <c r="I33" s="8"/>
    </row>
    <row r="34" spans="1:9">
      <c r="A34" t="s">
        <v>134</v>
      </c>
      <c r="B34" s="78">
        <v>10.32</v>
      </c>
      <c r="C34" s="83">
        <v>24</v>
      </c>
      <c r="D34" s="8">
        <f>+B34*C34</f>
        <v>247.68</v>
      </c>
      <c r="E34" s="67">
        <f>+B34</f>
        <v>10.32</v>
      </c>
      <c r="F34" s="85">
        <v>50.05</v>
      </c>
      <c r="G34" s="8">
        <f>+E34*F34</f>
        <v>516.51599999999996</v>
      </c>
      <c r="I34" s="8"/>
    </row>
    <row r="35" spans="1:9">
      <c r="A35" t="s">
        <v>144</v>
      </c>
      <c r="B35" s="78">
        <v>0</v>
      </c>
      <c r="C35" s="83">
        <v>27.9</v>
      </c>
      <c r="D35" s="8">
        <f>+B35*C35</f>
        <v>0</v>
      </c>
      <c r="E35" s="67">
        <f>+B35</f>
        <v>0</v>
      </c>
      <c r="F35" s="85">
        <v>44.1</v>
      </c>
      <c r="G35" s="8">
        <f>+E35*F35</f>
        <v>0</v>
      </c>
      <c r="I35" s="8"/>
    </row>
    <row r="36" spans="1:9">
      <c r="B36" s="75"/>
      <c r="C36" s="83"/>
      <c r="D36" s="8"/>
      <c r="E36" s="61"/>
      <c r="F36" s="85"/>
      <c r="G36" s="8"/>
      <c r="I36" s="8"/>
    </row>
    <row r="37" spans="1:9">
      <c r="A37" s="4" t="s">
        <v>37</v>
      </c>
      <c r="B37" s="75"/>
      <c r="C37" s="83"/>
      <c r="D37" s="8"/>
      <c r="E37" s="61"/>
      <c r="F37" s="85"/>
      <c r="G37" s="8"/>
      <c r="I37" s="8"/>
    </row>
    <row r="38" spans="1:9">
      <c r="A38" t="s">
        <v>136</v>
      </c>
      <c r="B38" s="75"/>
      <c r="C38" s="83"/>
      <c r="D38" s="8"/>
      <c r="E38" s="61"/>
      <c r="F38" s="85"/>
      <c r="G38" s="8"/>
      <c r="I38" s="8"/>
    </row>
    <row r="39" spans="1:9">
      <c r="A39" t="s">
        <v>38</v>
      </c>
      <c r="B39" s="78">
        <v>18371.16</v>
      </c>
      <c r="C39" s="83">
        <v>13.6</v>
      </c>
      <c r="D39" s="8">
        <f>+B39*C39</f>
        <v>249847.77599999998</v>
      </c>
      <c r="E39" s="67">
        <f>+B39</f>
        <v>18371.16</v>
      </c>
      <c r="F39" s="85">
        <v>15</v>
      </c>
      <c r="G39" s="8">
        <f>+E39*F39</f>
        <v>275567.40000000002</v>
      </c>
      <c r="I39" s="8"/>
    </row>
    <row r="40" spans="1:9">
      <c r="A40" t="s">
        <v>39</v>
      </c>
      <c r="B40" s="78">
        <v>45422.04</v>
      </c>
      <c r="C40" s="83">
        <v>18.850000000000001</v>
      </c>
      <c r="D40" s="8">
        <f>+B40*C40</f>
        <v>856205.45400000003</v>
      </c>
      <c r="E40" s="67">
        <f>+B40</f>
        <v>45422.04</v>
      </c>
      <c r="F40" s="85">
        <v>20.8</v>
      </c>
      <c r="G40" s="8">
        <f>+E40*F40</f>
        <v>944778.43200000003</v>
      </c>
      <c r="I40" s="8"/>
    </row>
    <row r="41" spans="1:9">
      <c r="B41" s="75"/>
      <c r="C41" s="83"/>
      <c r="D41" s="8"/>
      <c r="E41" s="61"/>
      <c r="F41" s="85"/>
      <c r="G41" s="8"/>
      <c r="I41" s="8"/>
    </row>
    <row r="42" spans="1:9">
      <c r="A42" t="s">
        <v>137</v>
      </c>
      <c r="B42" s="75"/>
      <c r="C42" s="83"/>
      <c r="D42" s="8"/>
      <c r="E42" s="61"/>
      <c r="F42" s="85"/>
      <c r="G42" s="8"/>
      <c r="I42" s="8"/>
    </row>
    <row r="43" spans="1:9">
      <c r="A43" t="s">
        <v>40</v>
      </c>
      <c r="B43" s="78">
        <v>1382.6399999999999</v>
      </c>
      <c r="C43" s="83">
        <v>18.2</v>
      </c>
      <c r="D43" s="8">
        <f>+B43*C43</f>
        <v>25164.047999999995</v>
      </c>
      <c r="E43" s="67">
        <f>+B43</f>
        <v>1382.6399999999999</v>
      </c>
      <c r="F43" s="85">
        <v>20.100000000000001</v>
      </c>
      <c r="G43" s="8">
        <f>+E43*F43</f>
        <v>27791.063999999998</v>
      </c>
      <c r="I43" s="8"/>
    </row>
    <row r="44" spans="1:9">
      <c r="A44" t="s">
        <v>41</v>
      </c>
      <c r="B44" s="78">
        <v>9594</v>
      </c>
      <c r="C44" s="83">
        <v>24.1</v>
      </c>
      <c r="D44" s="8">
        <f>+B44*C44</f>
        <v>231215.40000000002</v>
      </c>
      <c r="E44" s="67">
        <f>+B44</f>
        <v>9594</v>
      </c>
      <c r="F44" s="85">
        <v>26.6</v>
      </c>
      <c r="G44" s="8">
        <f>+E44*F44</f>
        <v>255200.40000000002</v>
      </c>
      <c r="I44" s="8"/>
    </row>
    <row r="45" spans="1:9">
      <c r="A45" t="s">
        <v>42</v>
      </c>
      <c r="B45" s="78">
        <v>693.59999999999991</v>
      </c>
      <c r="C45" s="83">
        <v>52.2</v>
      </c>
      <c r="D45" s="8">
        <f>+B45*C45</f>
        <v>36205.919999999998</v>
      </c>
      <c r="E45" s="67">
        <f>+B45</f>
        <v>693.59999999999991</v>
      </c>
      <c r="F45" s="85">
        <v>67.349999999999994</v>
      </c>
      <c r="G45" s="8">
        <f>+E45*F45</f>
        <v>46713.959999999992</v>
      </c>
      <c r="I45" s="8"/>
    </row>
    <row r="46" spans="1:9">
      <c r="B46" s="78"/>
      <c r="C46" s="83"/>
      <c r="D46" s="8"/>
      <c r="E46" s="67"/>
      <c r="F46" s="85"/>
      <c r="G46" s="8"/>
      <c r="I46" s="8"/>
    </row>
    <row r="47" spans="1:9">
      <c r="A47" t="s">
        <v>138</v>
      </c>
      <c r="B47" s="75"/>
      <c r="C47" s="83"/>
      <c r="D47" s="8"/>
      <c r="E47" s="61"/>
      <c r="F47" s="85"/>
      <c r="G47" s="8"/>
      <c r="I47" s="8"/>
    </row>
    <row r="48" spans="1:9">
      <c r="A48" t="s">
        <v>145</v>
      </c>
      <c r="B48" s="78">
        <v>0</v>
      </c>
      <c r="C48" s="83">
        <v>21.8</v>
      </c>
      <c r="D48" s="8">
        <f>+B48*C48</f>
        <v>0</v>
      </c>
      <c r="E48" s="67">
        <f>+B48</f>
        <v>0</v>
      </c>
      <c r="F48" s="85">
        <v>25.3</v>
      </c>
      <c r="G48" s="8">
        <f>+E48*F48</f>
        <v>0</v>
      </c>
      <c r="I48" s="8"/>
    </row>
    <row r="49" spans="1:9">
      <c r="A49" t="s">
        <v>146</v>
      </c>
      <c r="B49" s="78">
        <v>0</v>
      </c>
      <c r="C49" s="83">
        <v>25.5</v>
      </c>
      <c r="D49" s="8">
        <f>+B49*C49</f>
        <v>0</v>
      </c>
      <c r="E49" s="67">
        <f>+B49</f>
        <v>0</v>
      </c>
      <c r="F49" s="85">
        <v>30.3</v>
      </c>
      <c r="G49" s="8">
        <f>+E49*F49</f>
        <v>0</v>
      </c>
      <c r="I49" s="8"/>
    </row>
    <row r="50" spans="1:9">
      <c r="B50" s="75"/>
      <c r="C50" s="83"/>
      <c r="D50" s="8"/>
      <c r="E50" s="61"/>
      <c r="F50" s="85"/>
      <c r="G50" s="8"/>
      <c r="I50" s="8"/>
    </row>
    <row r="51" spans="1:9">
      <c r="A51" t="s">
        <v>11</v>
      </c>
      <c r="B51" s="78">
        <v>37640598</v>
      </c>
      <c r="C51" s="83"/>
      <c r="D51" s="8"/>
      <c r="E51" s="67">
        <f>+B51</f>
        <v>37640598</v>
      </c>
      <c r="F51" s="85"/>
      <c r="G51" s="8"/>
      <c r="I51" s="8"/>
    </row>
    <row r="52" spans="1:9">
      <c r="B52" s="75"/>
      <c r="C52" s="83"/>
      <c r="D52" s="8"/>
      <c r="E52" s="61"/>
      <c r="F52" s="85"/>
      <c r="G52" s="8"/>
      <c r="I52" s="8"/>
    </row>
    <row r="53" spans="1:9">
      <c r="A53" t="s">
        <v>43</v>
      </c>
      <c r="B53" s="75"/>
      <c r="C53" s="83"/>
      <c r="D53" s="8"/>
      <c r="E53" s="61"/>
      <c r="F53" s="85"/>
      <c r="G53" s="8"/>
      <c r="I53" s="8"/>
    </row>
    <row r="54" spans="1:9">
      <c r="A54" t="s">
        <v>44</v>
      </c>
      <c r="B54" s="78">
        <v>45137.88</v>
      </c>
      <c r="C54" s="83">
        <v>2.85</v>
      </c>
      <c r="D54" s="8">
        <f>+B54*C54</f>
        <v>128642.958</v>
      </c>
      <c r="E54" s="67">
        <f>+B54</f>
        <v>45137.88</v>
      </c>
      <c r="F54" s="85">
        <v>3.15</v>
      </c>
      <c r="G54" s="8">
        <f>+E54*F54</f>
        <v>142184.32199999999</v>
      </c>
      <c r="I54" s="8"/>
    </row>
    <row r="55" spans="1:9">
      <c r="A55" t="s">
        <v>45</v>
      </c>
      <c r="B55" s="78">
        <v>48867.96</v>
      </c>
      <c r="C55" s="83">
        <v>1.6</v>
      </c>
      <c r="D55" s="8">
        <f>+B55*C55</f>
        <v>78188.736000000004</v>
      </c>
      <c r="E55" s="67">
        <f>+B55</f>
        <v>48867.96</v>
      </c>
      <c r="F55" s="85">
        <v>1.75</v>
      </c>
      <c r="G55" s="8">
        <f>+E55*F55</f>
        <v>85518.93</v>
      </c>
      <c r="I55" s="8"/>
    </row>
    <row r="56" spans="1:9">
      <c r="A56" t="s">
        <v>46</v>
      </c>
      <c r="B56" s="78">
        <v>641.88</v>
      </c>
      <c r="C56" s="83">
        <v>6.25</v>
      </c>
      <c r="D56" s="8">
        <f>+B56*C56</f>
        <v>4011.75</v>
      </c>
      <c r="E56" s="67">
        <f>+B56</f>
        <v>641.88</v>
      </c>
      <c r="F56" s="85">
        <v>6.9</v>
      </c>
      <c r="G56" s="8">
        <f>+E56*F56</f>
        <v>4428.9719999999998</v>
      </c>
      <c r="I56" s="8"/>
    </row>
    <row r="57" spans="1:9">
      <c r="B57" s="17"/>
      <c r="C57" s="83"/>
      <c r="D57" s="8"/>
      <c r="E57" s="61"/>
      <c r="F57" s="85"/>
      <c r="G57" s="8"/>
      <c r="I57" s="8"/>
    </row>
    <row r="58" spans="1:9">
      <c r="A58" t="str">
        <f>+RS!A$26</f>
        <v xml:space="preserve">Fuel </v>
      </c>
      <c r="C58" s="82">
        <f>+RS!C26</f>
        <v>2.0411219651722302E-3</v>
      </c>
      <c r="D58" s="8">
        <f>+B51*C58</f>
        <v>76829.051360017926</v>
      </c>
      <c r="E58" s="61"/>
      <c r="F58" s="79">
        <f>+RS!F26</f>
        <v>2.0411219651722302E-3</v>
      </c>
      <c r="G58" s="8">
        <f>+E51*F58</f>
        <v>76829.051360017926</v>
      </c>
      <c r="I58" s="8"/>
    </row>
    <row r="59" spans="1:9">
      <c r="C59" s="82"/>
      <c r="D59" s="8"/>
      <c r="E59" s="61"/>
      <c r="F59" s="79"/>
      <c r="G59" s="8"/>
      <c r="I59" s="8"/>
    </row>
    <row r="60" spans="1:9">
      <c r="A60" t="str">
        <f>+RS!A$28</f>
        <v>Asset Transfer Rider</v>
      </c>
      <c r="D60" s="60">
        <f>+ATR!D12</f>
        <v>767570.9</v>
      </c>
      <c r="G60" s="60">
        <f>+E60*F60</f>
        <v>0</v>
      </c>
      <c r="I60" s="60"/>
    </row>
    <row r="61" spans="1:9">
      <c r="C61" s="6"/>
      <c r="D61" s="8"/>
      <c r="E61" s="61"/>
      <c r="G61" s="8"/>
      <c r="I61" s="8"/>
    </row>
    <row r="62" spans="1:9">
      <c r="A62" t="str">
        <f>+RS!A32</f>
        <v>Big Sandy 1 Operations Rider</v>
      </c>
      <c r="C62" s="6"/>
      <c r="D62" s="8">
        <v>0</v>
      </c>
      <c r="E62" s="67"/>
      <c r="F62" s="73">
        <v>1.47E-3</v>
      </c>
      <c r="G62" s="60">
        <f>+B51*F62</f>
        <v>55331.679059999995</v>
      </c>
      <c r="I62" s="60"/>
    </row>
    <row r="63" spans="1:9">
      <c r="C63" s="6"/>
      <c r="D63" s="8"/>
      <c r="E63" s="61"/>
      <c r="G63" s="8"/>
      <c r="I63" s="8"/>
    </row>
    <row r="64" spans="1:9">
      <c r="A64" t="str">
        <f>+RS!A34</f>
        <v>Big Sandy Retirement Rider</v>
      </c>
      <c r="D64" s="8">
        <v>0</v>
      </c>
      <c r="E64" s="94">
        <f>SUM(G12:G63)-G58-G72</f>
        <v>6071988.5178599991</v>
      </c>
      <c r="F64" s="100">
        <f>SGS!$F$30</f>
        <v>6.2296999999999998E-2</v>
      </c>
      <c r="G64" s="60">
        <f>+E64*F64</f>
        <v>378266.66869712435</v>
      </c>
      <c r="I64" s="60"/>
    </row>
    <row r="65" spans="1:9">
      <c r="D65" s="60"/>
      <c r="E65" s="25"/>
      <c r="F65" s="76"/>
      <c r="G65" s="60"/>
      <c r="I65" s="60"/>
    </row>
    <row r="66" spans="1:9">
      <c r="A66" t="str">
        <f>+RS!A$36</f>
        <v>Environmental Surcharge</v>
      </c>
      <c r="D66" s="60">
        <v>0</v>
      </c>
      <c r="E66" s="94">
        <f>E64</f>
        <v>6071988.5178599991</v>
      </c>
      <c r="F66" s="100">
        <f>SGS!$F$32</f>
        <v>9.8027000000000003E-2</v>
      </c>
      <c r="G66" s="60">
        <f>+E66*F66</f>
        <v>595218.81844026211</v>
      </c>
      <c r="I66" s="60"/>
    </row>
    <row r="67" spans="1:9">
      <c r="D67" s="8"/>
      <c r="G67" s="8"/>
      <c r="I67" s="8"/>
    </row>
    <row r="68" spans="1:9">
      <c r="A68" t="s">
        <v>14</v>
      </c>
      <c r="C68" s="8"/>
      <c r="D68" s="8">
        <f>SUM(D14:D67)</f>
        <v>7256320.1293600164</v>
      </c>
      <c r="G68" s="8">
        <f>SUM(G14:G67)</f>
        <v>8191296.0395574039</v>
      </c>
      <c r="I68" s="8"/>
    </row>
    <row r="69" spans="1:9">
      <c r="G69" s="25"/>
      <c r="I69" s="25"/>
    </row>
    <row r="70" spans="1:9">
      <c r="G70" s="25"/>
      <c r="I70" s="25"/>
    </row>
    <row r="72" spans="1:9">
      <c r="A72" s="61" t="s">
        <v>216</v>
      </c>
      <c r="F72" s="79">
        <f>SGS!$F$38</f>
        <v>2.8400000000000002E-2</v>
      </c>
      <c r="G72" s="8">
        <f>+E51*F72</f>
        <v>1068992.9832000001</v>
      </c>
    </row>
  </sheetData>
  <phoneticPr fontId="0" type="noConversion"/>
  <pageMargins left="0.75" right="0.75" top="1" bottom="0.5" header="0.5" footer="0.5"/>
  <pageSetup scale="7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53"/>
  <sheetViews>
    <sheetView tabSelected="1" workbookViewId="0">
      <selection activeCell="A5" sqref="A5"/>
    </sheetView>
  </sheetViews>
  <sheetFormatPr defaultRowHeight="12.75"/>
  <cols>
    <col min="1" max="1" width="36.28515625" customWidth="1"/>
    <col min="2" max="3" width="12.85546875" customWidth="1"/>
    <col min="4" max="4" width="13.42578125" customWidth="1"/>
    <col min="5" max="5" width="16.28515625" style="21" customWidth="1"/>
    <col min="6" max="6" width="13.28515625" style="21" customWidth="1"/>
    <col min="7" max="7" width="14.5703125" style="21" customWidth="1"/>
    <col min="8" max="10" width="8.85546875" style="2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SEPTEMBER 30, 2014</v>
      </c>
    </row>
    <row r="5" spans="1:7">
      <c r="A5" t="s">
        <v>74</v>
      </c>
    </row>
    <row r="8" spans="1:7">
      <c r="B8" s="1" t="str">
        <f>+RS!B8</f>
        <v xml:space="preserve">Current </v>
      </c>
      <c r="C8" s="1"/>
      <c r="D8" s="1"/>
      <c r="E8" s="22" t="str">
        <f>+RS!E8</f>
        <v>Proposed</v>
      </c>
      <c r="F8" s="22"/>
      <c r="G8" s="22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22" t="str">
        <f>+RS!E9</f>
        <v xml:space="preserve">Billing </v>
      </c>
      <c r="F9" s="22" t="str">
        <f>+RS!F9</f>
        <v>Proposed</v>
      </c>
      <c r="G9" s="22" t="str">
        <f>+RS!G9</f>
        <v>Proposed</v>
      </c>
    </row>
    <row r="10" spans="1:7">
      <c r="B10" s="3" t="str">
        <f>+RS!B10</f>
        <v>Units</v>
      </c>
      <c r="C10" s="3" t="str">
        <f>+RS!C10</f>
        <v>Rate</v>
      </c>
      <c r="D10" s="3" t="str">
        <f>+RS!D10</f>
        <v>Revenue</v>
      </c>
      <c r="E10" s="24" t="str">
        <f>+RS!E10</f>
        <v>Units</v>
      </c>
      <c r="F10" s="24" t="str">
        <f>+RS!F10</f>
        <v>Rate</v>
      </c>
      <c r="G10" s="24" t="str">
        <f>+RS!G10</f>
        <v>Revenue</v>
      </c>
    </row>
    <row r="12" spans="1:7">
      <c r="A12" t="s">
        <v>75</v>
      </c>
    </row>
    <row r="13" spans="1:7">
      <c r="A13" t="s">
        <v>25</v>
      </c>
    </row>
    <row r="14" spans="1:7">
      <c r="A14" t="s">
        <v>76</v>
      </c>
      <c r="B14" s="91">
        <v>95940.203999999998</v>
      </c>
      <c r="C14" s="83">
        <v>7.25</v>
      </c>
      <c r="D14" s="8">
        <f>+B14*C14</f>
        <v>695566.47899999993</v>
      </c>
      <c r="E14" s="66">
        <f>+B14</f>
        <v>95940.203999999998</v>
      </c>
      <c r="F14" s="85">
        <v>8.0500000000000007</v>
      </c>
      <c r="G14" s="8">
        <f>+E14*F14</f>
        <v>772318.6422</v>
      </c>
    </row>
    <row r="15" spans="1:7">
      <c r="A15" t="s">
        <v>77</v>
      </c>
      <c r="B15" s="91">
        <v>1037.556</v>
      </c>
      <c r="C15" s="83">
        <v>8.3000000000000007</v>
      </c>
      <c r="D15" s="8">
        <f>+B15*C15</f>
        <v>8611.7148000000016</v>
      </c>
      <c r="E15" s="66">
        <f>+B15</f>
        <v>1037.556</v>
      </c>
      <c r="F15" s="85">
        <v>9.25</v>
      </c>
      <c r="G15" s="8">
        <f>+E15*F15</f>
        <v>9597.393</v>
      </c>
    </row>
    <row r="16" spans="1:7">
      <c r="A16" t="s">
        <v>78</v>
      </c>
      <c r="B16" s="91">
        <v>28868.412</v>
      </c>
      <c r="C16" s="83">
        <v>10.3</v>
      </c>
      <c r="D16" s="8">
        <f>+B16*C16</f>
        <v>297344.64360000001</v>
      </c>
      <c r="E16" s="66">
        <f>+B16</f>
        <v>28868.412</v>
      </c>
      <c r="F16" s="85">
        <v>11.45</v>
      </c>
      <c r="G16" s="8">
        <f>+E16*F16</f>
        <v>330543.3174</v>
      </c>
    </row>
    <row r="17" spans="1:7">
      <c r="A17" t="s">
        <v>79</v>
      </c>
      <c r="B17" s="91">
        <v>5702.1479999999992</v>
      </c>
      <c r="C17" s="83">
        <v>16.05</v>
      </c>
      <c r="D17" s="8">
        <f>+B17*C17</f>
        <v>91519.475399999996</v>
      </c>
      <c r="E17" s="66">
        <f>+B17</f>
        <v>5702.1479999999992</v>
      </c>
      <c r="F17" s="85">
        <v>17.8</v>
      </c>
      <c r="G17" s="8">
        <f>+E17*F17</f>
        <v>101498.23439999999</v>
      </c>
    </row>
    <row r="18" spans="1:7">
      <c r="B18" s="75"/>
      <c r="C18" s="83"/>
      <c r="D18" s="8"/>
      <c r="E18" s="66"/>
      <c r="F18" s="85"/>
      <c r="G18" s="8"/>
    </row>
    <row r="19" spans="1:7">
      <c r="A19" t="s">
        <v>80</v>
      </c>
      <c r="B19" s="75"/>
      <c r="C19" s="83"/>
      <c r="D19" s="8"/>
      <c r="E19" s="66"/>
      <c r="F19" s="85"/>
      <c r="G19" s="8"/>
    </row>
    <row r="20" spans="1:7">
      <c r="A20" t="s">
        <v>25</v>
      </c>
      <c r="B20" s="75"/>
      <c r="C20" s="83"/>
      <c r="D20" s="8"/>
      <c r="E20" s="66"/>
      <c r="F20" s="85"/>
      <c r="G20" s="8"/>
    </row>
    <row r="21" spans="1:7">
      <c r="A21" t="s">
        <v>76</v>
      </c>
      <c r="B21" s="91">
        <v>4619.28</v>
      </c>
      <c r="C21" s="83">
        <v>10.25</v>
      </c>
      <c r="D21" s="8">
        <f>+B21*C21</f>
        <v>47347.619999999995</v>
      </c>
      <c r="E21" s="66">
        <f>+B21</f>
        <v>4619.28</v>
      </c>
      <c r="F21" s="85">
        <v>11.35</v>
      </c>
      <c r="G21" s="8">
        <f>+E21*F21</f>
        <v>52428.827999999994</v>
      </c>
    </row>
    <row r="22" spans="1:7">
      <c r="A22" t="s">
        <v>77</v>
      </c>
      <c r="B22" s="91">
        <v>241.62</v>
      </c>
      <c r="C22" s="83">
        <v>11.4</v>
      </c>
      <c r="D22" s="8">
        <f>+B22*C22</f>
        <v>2754.4680000000003</v>
      </c>
      <c r="E22" s="66">
        <f>+B22</f>
        <v>241.62</v>
      </c>
      <c r="F22" s="85">
        <v>12.6</v>
      </c>
      <c r="G22" s="8">
        <f>+E22*F22</f>
        <v>3044.4119999999998</v>
      </c>
    </row>
    <row r="23" spans="1:7">
      <c r="A23" t="s">
        <v>78</v>
      </c>
      <c r="B23" s="91">
        <v>5045.6760000000004</v>
      </c>
      <c r="C23" s="83">
        <v>13.15</v>
      </c>
      <c r="D23" s="8">
        <f>+B23*C23</f>
        <v>66350.6394</v>
      </c>
      <c r="E23" s="66">
        <f>+B23</f>
        <v>5045.6760000000004</v>
      </c>
      <c r="F23" s="85">
        <v>14.6</v>
      </c>
      <c r="G23" s="8">
        <f>+E23*F23</f>
        <v>73666.869600000005</v>
      </c>
    </row>
    <row r="24" spans="1:7">
      <c r="A24" t="s">
        <v>79</v>
      </c>
      <c r="B24" s="91">
        <v>954.96</v>
      </c>
      <c r="C24" s="83">
        <v>18.45</v>
      </c>
      <c r="D24" s="8">
        <f>+B24*C24</f>
        <v>17619.011999999999</v>
      </c>
      <c r="E24" s="66">
        <f>+B24</f>
        <v>954.96</v>
      </c>
      <c r="F24" s="85">
        <v>20.45</v>
      </c>
      <c r="G24" s="8">
        <f>+E24*F24</f>
        <v>19528.932000000001</v>
      </c>
    </row>
    <row r="25" spans="1:7">
      <c r="B25" s="75"/>
      <c r="C25" s="83"/>
      <c r="D25" s="8"/>
      <c r="E25" s="66"/>
      <c r="F25" s="85"/>
      <c r="G25" s="8"/>
    </row>
    <row r="26" spans="1:7">
      <c r="A26" t="s">
        <v>81</v>
      </c>
      <c r="B26" s="75"/>
      <c r="C26" s="83"/>
      <c r="D26" s="8"/>
      <c r="E26" s="66"/>
      <c r="F26" s="85"/>
      <c r="G26" s="8"/>
    </row>
    <row r="27" spans="1:7">
      <c r="A27" t="s">
        <v>25</v>
      </c>
      <c r="B27" s="75"/>
      <c r="C27" s="83"/>
      <c r="D27" s="8"/>
      <c r="E27" s="66"/>
      <c r="F27" s="85"/>
      <c r="G27" s="8"/>
    </row>
    <row r="28" spans="1:7">
      <c r="A28" s="9" t="s">
        <v>76</v>
      </c>
      <c r="B28" s="91">
        <v>0</v>
      </c>
      <c r="C28" s="83">
        <v>18.899999999999999</v>
      </c>
      <c r="D28" s="8">
        <f>+B28*C28</f>
        <v>0</v>
      </c>
      <c r="E28" s="66">
        <f>+B28</f>
        <v>0</v>
      </c>
      <c r="F28" s="85">
        <v>20.95</v>
      </c>
      <c r="G28" s="8">
        <f>+E28*F28</f>
        <v>0</v>
      </c>
    </row>
    <row r="29" spans="1:7">
      <c r="A29" s="9" t="s">
        <v>77</v>
      </c>
      <c r="B29" s="91">
        <v>0</v>
      </c>
      <c r="C29" s="83">
        <v>19.850000000000001</v>
      </c>
      <c r="D29" s="8">
        <f>+B29*C29</f>
        <v>0</v>
      </c>
      <c r="E29" s="66">
        <f>+B29</f>
        <v>0</v>
      </c>
      <c r="F29" s="85">
        <v>22</v>
      </c>
      <c r="G29" s="8">
        <f>+E29*F29</f>
        <v>0</v>
      </c>
    </row>
    <row r="30" spans="1:7">
      <c r="A30" s="9" t="s">
        <v>78</v>
      </c>
      <c r="B30" s="91">
        <v>1080.204</v>
      </c>
      <c r="C30" s="83">
        <v>25.25</v>
      </c>
      <c r="D30" s="8">
        <f>+B30*C30</f>
        <v>27275.150999999998</v>
      </c>
      <c r="E30" s="66">
        <f>+B30</f>
        <v>1080.204</v>
      </c>
      <c r="F30" s="85">
        <v>28</v>
      </c>
      <c r="G30" s="8">
        <f>+E30*F30</f>
        <v>30245.712</v>
      </c>
    </row>
    <row r="31" spans="1:7">
      <c r="A31" s="9" t="s">
        <v>79</v>
      </c>
      <c r="B31" s="91">
        <v>0</v>
      </c>
      <c r="C31" s="83">
        <v>27.45</v>
      </c>
      <c r="D31" s="8">
        <f>+B31*C31</f>
        <v>0</v>
      </c>
      <c r="E31" s="66">
        <f>+B31</f>
        <v>0</v>
      </c>
      <c r="F31" s="85">
        <v>30.45</v>
      </c>
      <c r="G31" s="8">
        <f>+E31*F31</f>
        <v>0</v>
      </c>
    </row>
    <row r="32" spans="1:7">
      <c r="B32" s="92"/>
      <c r="D32" s="8"/>
      <c r="E32" s="66"/>
      <c r="F32" s="75"/>
      <c r="G32" s="8"/>
    </row>
    <row r="33" spans="1:7">
      <c r="A33" t="s">
        <v>11</v>
      </c>
      <c r="B33" s="78">
        <v>8190082</v>
      </c>
      <c r="D33" s="8"/>
      <c r="E33" s="66">
        <f>B33</f>
        <v>8190082</v>
      </c>
      <c r="F33" s="75"/>
      <c r="G33" s="8"/>
    </row>
    <row r="34" spans="1:7">
      <c r="B34" s="78"/>
      <c r="D34" s="8"/>
      <c r="E34" s="66"/>
      <c r="F34" s="75"/>
      <c r="G34" s="8"/>
    </row>
    <row r="35" spans="1:7">
      <c r="A35" s="61" t="s">
        <v>13</v>
      </c>
      <c r="B35" s="78">
        <f>56*12</f>
        <v>672</v>
      </c>
      <c r="D35" s="8"/>
      <c r="E35" s="66">
        <f>+B35</f>
        <v>672</v>
      </c>
      <c r="F35" s="75"/>
      <c r="G35" s="8"/>
    </row>
    <row r="36" spans="1:7">
      <c r="B36" s="17"/>
      <c r="D36" s="8"/>
      <c r="E36" s="66"/>
      <c r="F36" s="75"/>
      <c r="G36" s="8"/>
    </row>
    <row r="37" spans="1:7">
      <c r="A37" t="str">
        <f>+RS!A$26</f>
        <v xml:space="preserve">Fuel </v>
      </c>
      <c r="C37" s="11">
        <f>+RS!C26</f>
        <v>2.0411219651722302E-3</v>
      </c>
      <c r="D37" s="8">
        <f>+B33*C37</f>
        <v>16716.95626676171</v>
      </c>
      <c r="E37" s="66"/>
      <c r="F37" s="79">
        <f>+RS!F26</f>
        <v>2.0411219651722302E-3</v>
      </c>
      <c r="G37" s="8">
        <f>+E33*F37</f>
        <v>16716.95626676171</v>
      </c>
    </row>
    <row r="38" spans="1:7">
      <c r="D38" s="8"/>
      <c r="E38" s="66"/>
      <c r="G38" s="8"/>
    </row>
    <row r="39" spans="1:7">
      <c r="A39" t="str">
        <f>+RS!A$28</f>
        <v>Asset Transfer Rider</v>
      </c>
      <c r="D39" s="8">
        <f>+ATR!D45</f>
        <v>151602.35</v>
      </c>
      <c r="E39" s="66"/>
      <c r="G39" s="8">
        <f>E39*F39</f>
        <v>0</v>
      </c>
    </row>
    <row r="40" spans="1:7">
      <c r="D40" s="8"/>
      <c r="E40" s="66"/>
      <c r="G40" s="8"/>
    </row>
    <row r="41" spans="1:7">
      <c r="A41" t="str">
        <f>RS!A30</f>
        <v>Economic Development Rider</v>
      </c>
      <c r="D41" s="8">
        <v>0</v>
      </c>
      <c r="E41" s="66">
        <f>E35</f>
        <v>672</v>
      </c>
      <c r="F41" s="85">
        <f>RS!F30</f>
        <v>0.15</v>
      </c>
      <c r="G41" s="8">
        <f>E41*F41</f>
        <v>100.8</v>
      </c>
    </row>
    <row r="42" spans="1:7">
      <c r="D42" s="8"/>
      <c r="E42" s="66"/>
      <c r="F42" s="85"/>
      <c r="G42" s="8"/>
    </row>
    <row r="43" spans="1:7">
      <c r="A43" t="str">
        <f>RS!A32</f>
        <v>Big Sandy 1 Operations Rider</v>
      </c>
      <c r="D43" s="8">
        <v>0</v>
      </c>
      <c r="E43" s="66"/>
      <c r="F43" s="84">
        <v>1.47E-3</v>
      </c>
      <c r="G43" s="8">
        <f>+F43*E33</f>
        <v>12039.420539999999</v>
      </c>
    </row>
    <row r="44" spans="1:7">
      <c r="D44" s="8"/>
      <c r="E44" s="66"/>
      <c r="F44" s="85"/>
      <c r="G44" s="8"/>
    </row>
    <row r="45" spans="1:7">
      <c r="A45" t="str">
        <f>RS!A34</f>
        <v>Big Sandy Retirement Rider</v>
      </c>
      <c r="D45" s="8">
        <v>0</v>
      </c>
      <c r="E45" s="94">
        <f>SUM(G12:G43)-G37-G53</f>
        <v>1172414.2323400003</v>
      </c>
      <c r="F45" s="100">
        <f>SGS!$F$30</f>
        <v>6.2296999999999998E-2</v>
      </c>
      <c r="G45" s="8">
        <f>E45*F45</f>
        <v>73037.889432084994</v>
      </c>
    </row>
    <row r="46" spans="1:7">
      <c r="D46" s="8"/>
      <c r="E46" s="25"/>
      <c r="F46" s="76"/>
      <c r="G46" s="8"/>
    </row>
    <row r="47" spans="1:7">
      <c r="A47" t="str">
        <f>+RS!A$36</f>
        <v>Environmental Surcharge</v>
      </c>
      <c r="D47" s="60">
        <v>0</v>
      </c>
      <c r="E47" s="94">
        <f>E45</f>
        <v>1172414.2323400003</v>
      </c>
      <c r="F47" s="100">
        <f>SGS!$F$32</f>
        <v>9.8027000000000003E-2</v>
      </c>
      <c r="G47" s="8">
        <f>E47*F47</f>
        <v>114928.24995359321</v>
      </c>
    </row>
    <row r="48" spans="1:7">
      <c r="D48" s="8"/>
      <c r="E48" s="66"/>
      <c r="G48" s="8"/>
    </row>
    <row r="49" spans="1:7">
      <c r="A49" t="s">
        <v>14</v>
      </c>
      <c r="D49" s="8">
        <f>SUM(D14:D47)</f>
        <v>1422708.5094667622</v>
      </c>
      <c r="E49" s="66"/>
      <c r="F49" s="94"/>
      <c r="G49" s="8">
        <f>SUM(G14:G47)</f>
        <v>1609695.6567924402</v>
      </c>
    </row>
    <row r="50" spans="1:7">
      <c r="D50" s="8"/>
    </row>
    <row r="51" spans="1:7">
      <c r="D51" s="8"/>
    </row>
    <row r="53" spans="1:7">
      <c r="A53" s="61" t="s">
        <v>216</v>
      </c>
      <c r="F53" s="79">
        <f>SGS!$F$38</f>
        <v>2.8400000000000002E-2</v>
      </c>
      <c r="G53" s="8">
        <f>+E33*F53</f>
        <v>232598.32880000002</v>
      </c>
    </row>
  </sheetData>
  <phoneticPr fontId="0" type="noConversion"/>
  <pageMargins left="0.75" right="0.75" top="1" bottom="0.75" header="0.5" footer="0.5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SUMMARY</vt:lpstr>
      <vt:lpstr>Revenue Comparison</vt:lpstr>
      <vt:lpstr>Reconciliation</vt:lpstr>
      <vt:lpstr>ATR</vt:lpstr>
      <vt:lpstr>RS</vt:lpstr>
      <vt:lpstr>RSLMTOD</vt:lpstr>
      <vt:lpstr>RSTOD</vt:lpstr>
      <vt:lpstr>SGS</vt:lpstr>
      <vt:lpstr>SGSLMTOD</vt:lpstr>
      <vt:lpstr>SGSEXPTOD</vt:lpstr>
      <vt:lpstr>SGS-NM</vt:lpstr>
      <vt:lpstr>MGS RL</vt:lpstr>
      <vt:lpstr>MGS-SEC</vt:lpstr>
      <vt:lpstr>MGSLMTOD</vt:lpstr>
      <vt:lpstr>MGSTOD</vt:lpstr>
      <vt:lpstr>MGS-PRI</vt:lpstr>
      <vt:lpstr>MGS-SUB</vt:lpstr>
      <vt:lpstr>LGS-SEC</vt:lpstr>
      <vt:lpstr>LGSLMTOD</vt:lpstr>
      <vt:lpstr>LGS-PRI</vt:lpstr>
      <vt:lpstr>LGS-SUB</vt:lpstr>
      <vt:lpstr>LGS-TRAN</vt:lpstr>
      <vt:lpstr>QP-SEC</vt:lpstr>
      <vt:lpstr>QP-PRI</vt:lpstr>
      <vt:lpstr>QP-SUB</vt:lpstr>
      <vt:lpstr>QP-TRAN</vt:lpstr>
      <vt:lpstr>CIPTOD-SUB</vt:lpstr>
      <vt:lpstr>CIPTOD-TRAN</vt:lpstr>
      <vt:lpstr>MW</vt:lpstr>
      <vt:lpstr>OL</vt:lpstr>
      <vt:lpstr>SL</vt:lpstr>
    </vt:vector>
  </TitlesOfParts>
  <Company>IT-CPS-6/6/2-(Help#=8-835-3050) Full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s003217</dc:creator>
  <cp:lastModifiedBy>AEP</cp:lastModifiedBy>
  <cp:lastPrinted>2015-02-02T18:57:55Z</cp:lastPrinted>
  <dcterms:created xsi:type="dcterms:W3CDTF">2005-09-10T14:43:39Z</dcterms:created>
  <dcterms:modified xsi:type="dcterms:W3CDTF">2015-02-02T19:05:14Z</dcterms:modified>
</cp:coreProperties>
</file>