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20" windowWidth="19230" windowHeight="5865"/>
  </bookViews>
  <sheets>
    <sheet name="JMS-1 Page 1" sheetId="63" r:id="rId1"/>
    <sheet name="JMS-1 Page 2" sheetId="48" r:id="rId2"/>
    <sheet name="JMS-1 Page 3" sheetId="77" r:id="rId3"/>
    <sheet name="Revenue Summary" sheetId="62" r:id="rId4"/>
    <sheet name="PB Sum" sheetId="24" r:id="rId5"/>
    <sheet name="PB - Green" sheetId="61" r:id="rId6"/>
    <sheet name="PB - SS" sheetId="53" r:id="rId7"/>
    <sheet name="PB - CC" sheetId="54" r:id="rId8"/>
    <sheet name="PB - ES" sheetId="69" r:id="rId9"/>
    <sheet name="PB - AF" sheetId="56" r:id="rId10"/>
    <sheet name="YEM" sheetId="47" r:id="rId11"/>
    <sheet name="WNLA" sheetId="70" r:id="rId12"/>
    <sheet name="YEC" sheetId="52" r:id="rId13"/>
    <sheet name="ATR" sheetId="73" r:id="rId14"/>
    <sheet name="RS" sheetId="1" r:id="rId15"/>
    <sheet name="RSLMTOD" sheetId="2" r:id="rId16"/>
    <sheet name="RSTOD" sheetId="60" r:id="rId17"/>
    <sheet name="OL" sheetId="22" r:id="rId18"/>
    <sheet name="Annual Adj OL" sheetId="50" r:id="rId19"/>
    <sheet name="SGS" sheetId="3" r:id="rId20"/>
    <sheet name="SGSLMTOD" sheetId="58" r:id="rId21"/>
    <sheet name="SGS-NM" sheetId="18" r:id="rId22"/>
    <sheet name="SGS TOD2" sheetId="65" r:id="rId23"/>
    <sheet name="MGS-RL" sheetId="19" r:id="rId24"/>
    <sheet name="MGS-SEC" sheetId="4" r:id="rId25"/>
    <sheet name="MGSLMTOD" sheetId="20" r:id="rId26"/>
    <sheet name="MGSTOD" sheetId="5" r:id="rId27"/>
    <sheet name="MGS-PRI" sheetId="8" r:id="rId28"/>
    <sheet name="MGS-SUB" sheetId="9" r:id="rId29"/>
    <sheet name="LGS-SEC" sheetId="6" r:id="rId30"/>
    <sheet name="LGSLMTOD" sheetId="21" r:id="rId31"/>
    <sheet name="LGS-PRI" sheetId="11" r:id="rId32"/>
    <sheet name="LGS-SUB" sheetId="10" r:id="rId33"/>
    <sheet name="LGS-TRAN" sheetId="64" r:id="rId34"/>
    <sheet name="QP-SEC" sheetId="59" r:id="rId35"/>
    <sheet name="QP-PRI" sheetId="12" r:id="rId36"/>
    <sheet name="QP-SUB" sheetId="13" r:id="rId37"/>
    <sheet name="QP-TRAN" sheetId="7" r:id="rId38"/>
    <sheet name="CIPTOD-SUB" sheetId="15" r:id="rId39"/>
    <sheet name="CIPTOD-TRAN" sheetId="16" r:id="rId40"/>
    <sheet name="MW" sheetId="17" r:id="rId41"/>
    <sheet name="SL" sheetId="23" r:id="rId42"/>
    <sheet name="Annual Adj SL" sheetId="51" r:id="rId43"/>
    <sheet name="12 Months TS" sheetId="38" r:id="rId44"/>
    <sheet name="Monthly # of Customers" sheetId="49" r:id="rId45"/>
    <sheet name="B&amp;A Surcharges" sheetId="32" r:id="rId46"/>
    <sheet name="Fuel Adjustment" sheetId="57" r:id="rId47"/>
    <sheet name="ATR Adjustment WP" sheetId="72" r:id="rId48"/>
  </sheets>
  <definedNames>
    <definedName name="_xlnm.Print_Area" localSheetId="2">'JMS-1 Page 3'!$A$1:$E$51</definedName>
    <definedName name="_xlnm.Print_Area" localSheetId="31">'LGS-PRI'!$A$1:$P$35</definedName>
    <definedName name="_xlnm.Print_Area" localSheetId="29">'LGS-SEC'!$A$1:$P$35</definedName>
    <definedName name="_xlnm.Print_Area" localSheetId="27">'MGS-PRI'!$A$1:$P$39</definedName>
    <definedName name="_xlnm.Print_Area" localSheetId="24">'MGS-SEC'!$A$1:$P$38</definedName>
    <definedName name="_xlnm.Print_Area" localSheetId="35">'QP-PRI'!$A$1:$P$39</definedName>
    <definedName name="_xlnm.Print_Area" localSheetId="34">'QP-SEC'!$A$1:$N$38</definedName>
    <definedName name="_xlnm.Print_Area" localSheetId="19">SGS!$A$1:$N$32</definedName>
    <definedName name="_xlnm.Print_Area" localSheetId="21">'SGS-NM'!$A$1:$N$32</definedName>
    <definedName name="_xlnm.Print_Titles" localSheetId="43">'12 Months TS'!$1:$9</definedName>
    <definedName name="_xlnm.Print_Titles" localSheetId="44">'Monthly # of Customers'!$1:$8</definedName>
  </definedNames>
  <calcPr calcId="145621"/>
</workbook>
</file>

<file path=xl/calcChain.xml><?xml version="1.0" encoding="utf-8"?>
<calcChain xmlns="http://schemas.openxmlformats.org/spreadsheetml/2006/main">
  <c r="H61" i="62" l="1"/>
  <c r="D64" i="47"/>
  <c r="B64" i="47"/>
  <c r="E25" i="77"/>
  <c r="E21" i="77"/>
  <c r="E23" i="77"/>
  <c r="E27" i="77"/>
  <c r="E17" i="77"/>
  <c r="E47" i="77"/>
  <c r="E37" i="77"/>
  <c r="E49" i="77" s="1"/>
  <c r="E33" i="77"/>
  <c r="A15" i="77"/>
  <c r="A17" i="77" s="1"/>
  <c r="A19" i="77" s="1"/>
  <c r="A21" i="77" s="1"/>
  <c r="A23" i="77" s="1"/>
  <c r="A25" i="77" s="1"/>
  <c r="A27" i="77" s="1"/>
  <c r="A29" i="77" s="1"/>
  <c r="A33" i="77" s="1"/>
  <c r="A35" i="77" s="1"/>
  <c r="A37" i="77" s="1"/>
  <c r="A39" i="77" s="1"/>
  <c r="A41" i="77" s="1"/>
  <c r="A43" i="77" s="1"/>
  <c r="A45" i="77" s="1"/>
  <c r="A47" i="77" s="1"/>
  <c r="A49" i="77" s="1"/>
  <c r="A51" i="77" s="1"/>
  <c r="E29" i="77" l="1"/>
  <c r="E51" i="77" s="1"/>
  <c r="A3" i="51"/>
  <c r="G9" i="23"/>
  <c r="G6" i="23"/>
  <c r="G9" i="16"/>
  <c r="G6" i="16"/>
  <c r="G9" i="15"/>
  <c r="G6" i="15"/>
  <c r="G9" i="7"/>
  <c r="G6" i="7"/>
  <c r="G9" i="13"/>
  <c r="G6" i="13"/>
  <c r="G9" i="12"/>
  <c r="G6" i="12"/>
  <c r="G9" i="59"/>
  <c r="G6" i="59"/>
  <c r="G9" i="64"/>
  <c r="G6" i="64"/>
  <c r="G9" i="10"/>
  <c r="G6" i="10"/>
  <c r="G9" i="11"/>
  <c r="G6" i="11"/>
  <c r="G9" i="21"/>
  <c r="G6" i="21"/>
  <c r="G9" i="6"/>
  <c r="G6" i="6"/>
  <c r="G9" i="9"/>
  <c r="G6" i="9"/>
  <c r="G9" i="8"/>
  <c r="G6" i="8"/>
  <c r="G9" i="5"/>
  <c r="G6" i="5"/>
  <c r="G9" i="20"/>
  <c r="G6" i="20"/>
  <c r="G9" i="4"/>
  <c r="G6" i="4"/>
  <c r="R10" i="62" l="1"/>
  <c r="O44" i="62"/>
  <c r="R43" i="62" l="1"/>
  <c r="R42" i="62"/>
  <c r="R39" i="62"/>
  <c r="R40" i="62"/>
  <c r="R41" i="62"/>
  <c r="R38" i="62"/>
  <c r="N44" i="62"/>
  <c r="O50" i="62" l="1"/>
  <c r="N50" i="62"/>
  <c r="S44" i="62"/>
  <c r="L44" i="62"/>
  <c r="L50" i="62"/>
  <c r="L36" i="62"/>
  <c r="L29" i="62"/>
  <c r="L21" i="62"/>
  <c r="L13" i="62"/>
  <c r="R44" i="62" l="1"/>
  <c r="T44" i="62" l="1"/>
  <c r="R50" i="62"/>
  <c r="A2" i="73" l="1"/>
  <c r="A1" i="73"/>
  <c r="P9" i="23"/>
  <c r="O9" i="23"/>
  <c r="P8" i="23"/>
  <c r="O8" i="23"/>
  <c r="O7" i="23"/>
  <c r="P8" i="17"/>
  <c r="O8" i="17"/>
  <c r="P7" i="17"/>
  <c r="O7" i="17"/>
  <c r="O6" i="17"/>
  <c r="R9" i="16"/>
  <c r="Q9" i="16"/>
  <c r="R8" i="16"/>
  <c r="Q8" i="16"/>
  <c r="Q7" i="16"/>
  <c r="R9" i="15"/>
  <c r="Q9" i="15"/>
  <c r="R8" i="15"/>
  <c r="Q8" i="15"/>
  <c r="Q7" i="15"/>
  <c r="R9" i="7"/>
  <c r="Q9" i="7"/>
  <c r="R8" i="7"/>
  <c r="Q8" i="7"/>
  <c r="Q7" i="7"/>
  <c r="R9" i="13"/>
  <c r="Q9" i="13"/>
  <c r="R8" i="13"/>
  <c r="Q8" i="13"/>
  <c r="Q7" i="13"/>
  <c r="R9" i="12"/>
  <c r="Q9" i="12"/>
  <c r="R8" i="12"/>
  <c r="Q8" i="12"/>
  <c r="Q7" i="12"/>
  <c r="P9" i="59"/>
  <c r="O9" i="59"/>
  <c r="P8" i="59"/>
  <c r="O8" i="59"/>
  <c r="O6" i="59"/>
  <c r="R9" i="64"/>
  <c r="Q9" i="64"/>
  <c r="R8" i="64"/>
  <c r="Q8" i="64"/>
  <c r="Q7" i="64"/>
  <c r="R9" i="10"/>
  <c r="Q9" i="10"/>
  <c r="R8" i="10"/>
  <c r="Q8" i="10"/>
  <c r="Q7" i="10"/>
  <c r="R9" i="11"/>
  <c r="Q9" i="11"/>
  <c r="R8" i="11"/>
  <c r="Q8" i="11"/>
  <c r="Q7" i="11"/>
  <c r="P9" i="21"/>
  <c r="O9" i="21"/>
  <c r="P8" i="21"/>
  <c r="O8" i="21"/>
  <c r="O7" i="21"/>
  <c r="R9" i="6"/>
  <c r="Q9" i="6"/>
  <c r="R8" i="6"/>
  <c r="Q8" i="6"/>
  <c r="Q7" i="6"/>
  <c r="R9" i="9"/>
  <c r="Q9" i="9"/>
  <c r="R8" i="9"/>
  <c r="Q8" i="9"/>
  <c r="Q7" i="9"/>
  <c r="R9" i="8"/>
  <c r="Q9" i="8"/>
  <c r="R8" i="8"/>
  <c r="Q8" i="8"/>
  <c r="Q7" i="8"/>
  <c r="P9" i="5"/>
  <c r="O9" i="5"/>
  <c r="P8" i="5"/>
  <c r="O8" i="5"/>
  <c r="O7" i="5"/>
  <c r="P9" i="20"/>
  <c r="O9" i="20"/>
  <c r="P8" i="20"/>
  <c r="O8" i="20"/>
  <c r="O7" i="20"/>
  <c r="R8" i="4"/>
  <c r="R9" i="4"/>
  <c r="Q8" i="4"/>
  <c r="Q9" i="4"/>
  <c r="Q7" i="4"/>
  <c r="P9" i="19"/>
  <c r="O9" i="19"/>
  <c r="P8" i="19"/>
  <c r="O8" i="19"/>
  <c r="O7" i="19"/>
  <c r="P8" i="65"/>
  <c r="O8" i="65"/>
  <c r="P7" i="65"/>
  <c r="O7" i="65"/>
  <c r="O6" i="65"/>
  <c r="P8" i="18"/>
  <c r="O8" i="18"/>
  <c r="P7" i="18"/>
  <c r="O7" i="18"/>
  <c r="O6" i="18"/>
  <c r="P9" i="58"/>
  <c r="P8" i="58"/>
  <c r="O8" i="58"/>
  <c r="O9" i="58"/>
  <c r="O7" i="58"/>
  <c r="P7" i="3"/>
  <c r="P8" i="3"/>
  <c r="O8" i="3"/>
  <c r="O7" i="3"/>
  <c r="O6" i="3"/>
  <c r="P8" i="22"/>
  <c r="P9" i="22"/>
  <c r="O8" i="22"/>
  <c r="O9" i="22"/>
  <c r="O7" i="22"/>
  <c r="P7" i="60"/>
  <c r="P8" i="60"/>
  <c r="O7" i="60"/>
  <c r="O8" i="60"/>
  <c r="O6" i="60"/>
  <c r="S8" i="2"/>
  <c r="S9" i="2"/>
  <c r="R9" i="2"/>
  <c r="R8" i="2"/>
  <c r="R7" i="2"/>
  <c r="E63" i="72"/>
  <c r="C63" i="72"/>
  <c r="C41" i="72"/>
  <c r="C31" i="72"/>
  <c r="C25" i="72"/>
  <c r="C23" i="72"/>
  <c r="C21" i="72"/>
  <c r="C15" i="72"/>
  <c r="A2" i="72"/>
  <c r="A1" i="72"/>
  <c r="I40" i="63" l="1"/>
  <c r="G30" i="63"/>
  <c r="I30" i="63"/>
  <c r="L23" i="6" l="1"/>
  <c r="L34" i="6" s="1"/>
  <c r="J40" i="63" s="1"/>
  <c r="L26" i="4"/>
  <c r="G40" i="63"/>
  <c r="N31" i="4"/>
  <c r="N27" i="4"/>
  <c r="M9" i="4"/>
  <c r="C59" i="72" l="1"/>
  <c r="C57" i="72"/>
  <c r="C55" i="72"/>
  <c r="C53" i="72"/>
  <c r="C51" i="72"/>
  <c r="C49" i="72"/>
  <c r="C47" i="72"/>
  <c r="C45" i="72"/>
  <c r="C43" i="72"/>
  <c r="C39" i="72"/>
  <c r="C37" i="72"/>
  <c r="C35" i="72"/>
  <c r="C33" i="72"/>
  <c r="C29" i="72"/>
  <c r="C27" i="72"/>
  <c r="C19" i="72"/>
  <c r="C13" i="72"/>
  <c r="C11" i="72"/>
  <c r="C65" i="72" l="1"/>
  <c r="I12" i="63" l="1"/>
  <c r="M26" i="1"/>
  <c r="N19" i="2"/>
  <c r="I14" i="63"/>
  <c r="B7" i="52"/>
  <c r="B6" i="52"/>
  <c r="A2" i="70"/>
  <c r="A1" i="70"/>
  <c r="L27" i="2" l="1"/>
  <c r="A37" i="16"/>
  <c r="A35" i="16"/>
  <c r="A41" i="23" l="1"/>
  <c r="A39" i="23"/>
  <c r="A31" i="17"/>
  <c r="A29" i="17"/>
  <c r="A38" i="15"/>
  <c r="A36" i="15"/>
  <c r="A35" i="7"/>
  <c r="A33" i="7"/>
  <c r="A35" i="13"/>
  <c r="A33" i="13"/>
  <c r="A37" i="12"/>
  <c r="A35" i="12"/>
  <c r="A35" i="59"/>
  <c r="A33" i="59"/>
  <c r="A32" i="64"/>
  <c r="A30" i="64"/>
  <c r="A32" i="10"/>
  <c r="A30" i="10"/>
  <c r="A32" i="11"/>
  <c r="A30" i="11"/>
  <c r="A31" i="21"/>
  <c r="A29" i="21"/>
  <c r="A32" i="6"/>
  <c r="A30" i="6"/>
  <c r="A35" i="9"/>
  <c r="A33" i="9"/>
  <c r="A36" i="8"/>
  <c r="A34" i="8"/>
  <c r="A31" i="5"/>
  <c r="A29" i="5"/>
  <c r="A31" i="20"/>
  <c r="A29" i="20"/>
  <c r="A35" i="4"/>
  <c r="A33" i="4"/>
  <c r="A30" i="19"/>
  <c r="A28" i="19"/>
  <c r="A30" i="18"/>
  <c r="A29" i="58"/>
  <c r="A28" i="3"/>
  <c r="A30" i="3"/>
  <c r="A31" i="58"/>
  <c r="A58" i="22"/>
  <c r="A33" i="60"/>
  <c r="A38" i="2"/>
  <c r="D31" i="17"/>
  <c r="D41" i="23"/>
  <c r="D37" i="16"/>
  <c r="D38" i="15"/>
  <c r="D35" i="7"/>
  <c r="D35" i="13"/>
  <c r="D37" i="12"/>
  <c r="D35" i="59"/>
  <c r="D32" i="64"/>
  <c r="D32" i="10"/>
  <c r="D32" i="11"/>
  <c r="D31" i="21"/>
  <c r="D32" i="6"/>
  <c r="D35" i="9"/>
  <c r="D36" i="8"/>
  <c r="D31" i="5"/>
  <c r="D31" i="20"/>
  <c r="D35" i="4"/>
  <c r="D30" i="19"/>
  <c r="D31" i="65"/>
  <c r="D30" i="18"/>
  <c r="D31" i="58"/>
  <c r="D30" i="3"/>
  <c r="D58" i="22"/>
  <c r="D33" i="60"/>
  <c r="D38" i="2"/>
  <c r="D35" i="1"/>
  <c r="D69" i="69"/>
  <c r="D67" i="69"/>
  <c r="D69" i="54"/>
  <c r="D67" i="54"/>
  <c r="D69" i="53"/>
  <c r="D67" i="53"/>
  <c r="G39" i="23"/>
  <c r="G29" i="17"/>
  <c r="G35" i="16"/>
  <c r="G36" i="15"/>
  <c r="G33" i="7"/>
  <c r="G33" i="13"/>
  <c r="G35" i="12"/>
  <c r="G33" i="59"/>
  <c r="G20" i="59"/>
  <c r="G30" i="64"/>
  <c r="G30" i="10"/>
  <c r="G30" i="11"/>
  <c r="H30" i="11" s="1"/>
  <c r="G29" i="21"/>
  <c r="G30" i="6"/>
  <c r="G33" i="9"/>
  <c r="G34" i="8"/>
  <c r="G29" i="5"/>
  <c r="H29" i="5" s="1"/>
  <c r="G29" i="20"/>
  <c r="G33" i="4"/>
  <c r="H33" i="4" s="1"/>
  <c r="G28" i="19"/>
  <c r="H29" i="65"/>
  <c r="G29" i="65"/>
  <c r="G28" i="18"/>
  <c r="G29" i="58"/>
  <c r="G28" i="3"/>
  <c r="H28" i="3" s="1"/>
  <c r="G56" i="22"/>
  <c r="G31" i="60"/>
  <c r="G36" i="2"/>
  <c r="H33" i="1"/>
  <c r="I33" i="1" s="1"/>
  <c r="E35" i="1" l="1"/>
  <c r="F35" i="1" s="1"/>
  <c r="G35" i="1" s="1"/>
  <c r="H35" i="1" s="1"/>
  <c r="I35" i="1" s="1"/>
  <c r="L35" i="1" s="1"/>
  <c r="B11" i="72"/>
  <c r="E30" i="19"/>
  <c r="F30" i="19" s="1"/>
  <c r="G30" i="19" s="1"/>
  <c r="H30" i="19" s="1"/>
  <c r="K30" i="19" s="1"/>
  <c r="B27" i="72"/>
  <c r="E37" i="12"/>
  <c r="F37" i="12" s="1"/>
  <c r="G37" i="12" s="1"/>
  <c r="H37" i="12" s="1"/>
  <c r="K37" i="12" s="1"/>
  <c r="B51" i="72"/>
  <c r="E33" i="60"/>
  <c r="F33" i="60" s="1"/>
  <c r="G33" i="60" s="1"/>
  <c r="H33" i="60" s="1"/>
  <c r="K33" i="60" s="1"/>
  <c r="B15" i="72"/>
  <c r="E30" i="18"/>
  <c r="F30" i="18" s="1"/>
  <c r="G30" i="18" s="1"/>
  <c r="H30" i="18" s="1"/>
  <c r="K30" i="18" s="1"/>
  <c r="B23" i="72"/>
  <c r="E31" i="20"/>
  <c r="F31" i="20" s="1"/>
  <c r="G31" i="20" s="1"/>
  <c r="H31" i="20" s="1"/>
  <c r="K31" i="20" s="1"/>
  <c r="B31" i="72"/>
  <c r="E32" i="6"/>
  <c r="F32" i="6" s="1"/>
  <c r="G32" i="6" s="1"/>
  <c r="H32" i="6" s="1"/>
  <c r="K32" i="6" s="1"/>
  <c r="B39" i="72"/>
  <c r="E32" i="64"/>
  <c r="F32" i="64" s="1"/>
  <c r="G32" i="64" s="1"/>
  <c r="H32" i="64" s="1"/>
  <c r="K32" i="64" s="1"/>
  <c r="B47" i="72"/>
  <c r="E35" i="7"/>
  <c r="F35" i="7" s="1"/>
  <c r="G35" i="7" s="1"/>
  <c r="H35" i="7" s="1"/>
  <c r="K35" i="7" s="1"/>
  <c r="B55" i="72"/>
  <c r="E31" i="17"/>
  <c r="F31" i="17" s="1"/>
  <c r="G31" i="17" s="1"/>
  <c r="H31" i="17" s="1"/>
  <c r="K31" i="17" s="1"/>
  <c r="B63" i="72"/>
  <c r="E58" i="22"/>
  <c r="F58" i="22" s="1"/>
  <c r="G58" i="22" s="1"/>
  <c r="H58" i="22" s="1"/>
  <c r="K58" i="22" s="1"/>
  <c r="B17" i="72"/>
  <c r="E31" i="65"/>
  <c r="F31" i="65" s="1"/>
  <c r="G31" i="65" s="1"/>
  <c r="H31" i="65" s="1"/>
  <c r="K31" i="65" s="1"/>
  <c r="B25" i="72"/>
  <c r="E31" i="5"/>
  <c r="F31" i="5" s="1"/>
  <c r="G31" i="5" s="1"/>
  <c r="H31" i="5" s="1"/>
  <c r="K31" i="5" s="1"/>
  <c r="B33" i="72"/>
  <c r="E31" i="21"/>
  <c r="F31" i="21" s="1"/>
  <c r="G31" i="21" s="1"/>
  <c r="H31" i="21" s="1"/>
  <c r="K31" i="21" s="1"/>
  <c r="B41" i="72"/>
  <c r="E35" i="59"/>
  <c r="F35" i="59" s="1"/>
  <c r="G35" i="59" s="1"/>
  <c r="H35" i="59" s="1"/>
  <c r="K35" i="59" s="1"/>
  <c r="B49" i="72"/>
  <c r="E38" i="15"/>
  <c r="F38" i="15" s="1"/>
  <c r="G38" i="15" s="1"/>
  <c r="H38" i="15" s="1"/>
  <c r="K38" i="15" s="1"/>
  <c r="B57" i="72"/>
  <c r="E30" i="3"/>
  <c r="F30" i="3" s="1"/>
  <c r="G30" i="3" s="1"/>
  <c r="H30" i="3" s="1"/>
  <c r="K30" i="3" s="1"/>
  <c r="B19" i="72"/>
  <c r="E36" i="8"/>
  <c r="F36" i="8" s="1"/>
  <c r="G36" i="8" s="1"/>
  <c r="H36" i="8" s="1"/>
  <c r="K36" i="8" s="1"/>
  <c r="B35" i="72"/>
  <c r="E32" i="11"/>
  <c r="F32" i="11" s="1"/>
  <c r="G32" i="11" s="1"/>
  <c r="H32" i="11" s="1"/>
  <c r="K32" i="11" s="1"/>
  <c r="B43" i="72"/>
  <c r="E37" i="16"/>
  <c r="F37" i="16" s="1"/>
  <c r="G37" i="16" s="1"/>
  <c r="H37" i="16" s="1"/>
  <c r="K37" i="16" s="1"/>
  <c r="B59" i="72"/>
  <c r="E38" i="2"/>
  <c r="F38" i="2" s="1"/>
  <c r="G38" i="2" s="1"/>
  <c r="H38" i="2" s="1"/>
  <c r="K38" i="2" s="1"/>
  <c r="B13" i="72"/>
  <c r="E31" i="58"/>
  <c r="F31" i="58" s="1"/>
  <c r="G31" i="58" s="1"/>
  <c r="H31" i="58" s="1"/>
  <c r="K31" i="58" s="1"/>
  <c r="B21" i="72"/>
  <c r="E35" i="4"/>
  <c r="F35" i="4" s="1"/>
  <c r="G35" i="4" s="1"/>
  <c r="H35" i="4" s="1"/>
  <c r="K35" i="4" s="1"/>
  <c r="B29" i="72"/>
  <c r="E35" i="9"/>
  <c r="F35" i="9" s="1"/>
  <c r="G35" i="9" s="1"/>
  <c r="H35" i="9" s="1"/>
  <c r="K35" i="9" s="1"/>
  <c r="B37" i="72"/>
  <c r="E32" i="10"/>
  <c r="F32" i="10" s="1"/>
  <c r="G32" i="10" s="1"/>
  <c r="H32" i="10" s="1"/>
  <c r="K32" i="10" s="1"/>
  <c r="B45" i="72"/>
  <c r="E35" i="13"/>
  <c r="F35" i="13" s="1"/>
  <c r="G35" i="13" s="1"/>
  <c r="H35" i="13" s="1"/>
  <c r="K35" i="13" s="1"/>
  <c r="B53" i="72"/>
  <c r="E41" i="23"/>
  <c r="F41" i="23" s="1"/>
  <c r="G41" i="23" s="1"/>
  <c r="H41" i="23" s="1"/>
  <c r="K41" i="23" s="1"/>
  <c r="B61" i="72"/>
  <c r="N71" i="32"/>
  <c r="B65" i="72" l="1"/>
  <c r="D25" i="12"/>
  <c r="E25" i="12" s="1"/>
  <c r="F25" i="12" s="1"/>
  <c r="G25" i="12" l="1"/>
  <c r="H25" i="12" s="1"/>
  <c r="K25" i="12" s="1"/>
  <c r="P25" i="12" s="1"/>
  <c r="R25" i="12" s="1"/>
  <c r="O27" i="16"/>
  <c r="O25" i="7"/>
  <c r="H107" i="38" l="1"/>
  <c r="H105" i="38"/>
  <c r="S50" i="62" l="1"/>
  <c r="Q48" i="62"/>
  <c r="Q46" i="62"/>
  <c r="S36" i="62" l="1"/>
  <c r="R31" i="62" s="1"/>
  <c r="S29" i="62"/>
  <c r="S21" i="62"/>
  <c r="R17" i="62" s="1"/>
  <c r="S13" i="62"/>
  <c r="R24" i="62" l="1"/>
  <c r="Q24" i="62" s="1"/>
  <c r="R23" i="62"/>
  <c r="Q10" i="62"/>
  <c r="R11" i="62"/>
  <c r="Q11" i="62" s="1"/>
  <c r="R12" i="62"/>
  <c r="Q12" i="62" s="1"/>
  <c r="R25" i="62"/>
  <c r="Q25" i="62" s="1"/>
  <c r="R28" i="62"/>
  <c r="Q28" i="62" s="1"/>
  <c r="R27" i="62"/>
  <c r="Q27" i="62" s="1"/>
  <c r="R26" i="62"/>
  <c r="Q26" i="62" s="1"/>
  <c r="Q23" i="62"/>
  <c r="R34" i="62"/>
  <c r="Q34" i="62" s="1"/>
  <c r="R32" i="62"/>
  <c r="Q32" i="62" s="1"/>
  <c r="R35" i="62"/>
  <c r="Q35" i="62" s="1"/>
  <c r="Q31" i="62"/>
  <c r="R33" i="62"/>
  <c r="Q33" i="62" s="1"/>
  <c r="Q41" i="62"/>
  <c r="Q40" i="62"/>
  <c r="Q39" i="62"/>
  <c r="Q38" i="62"/>
  <c r="R18" i="62"/>
  <c r="Q17" i="62"/>
  <c r="R20" i="62"/>
  <c r="Q20" i="62" s="1"/>
  <c r="R19" i="62"/>
  <c r="Q19" i="62" s="1"/>
  <c r="Q42" i="62"/>
  <c r="Q43" i="62"/>
  <c r="Q18" i="62" l="1"/>
  <c r="T21" i="62"/>
  <c r="Q44" i="62"/>
  <c r="Q36" i="62"/>
  <c r="Q21" i="62"/>
  <c r="Q29" i="62"/>
  <c r="Q13" i="62"/>
  <c r="P13" i="62" s="1"/>
  <c r="B75" i="24" l="1"/>
  <c r="B74" i="24"/>
  <c r="I56" i="63" l="1"/>
  <c r="G56" i="63"/>
  <c r="C18" i="60" l="1"/>
  <c r="I19" i="60" l="1"/>
  <c r="A2" i="69" l="1"/>
  <c r="A1" i="69"/>
  <c r="G8" i="17"/>
  <c r="G7" i="17"/>
  <c r="G6" i="17"/>
  <c r="G9" i="19"/>
  <c r="G8" i="19"/>
  <c r="G7" i="19"/>
  <c r="G8" i="65"/>
  <c r="G7" i="65"/>
  <c r="G6" i="65"/>
  <c r="G8" i="18"/>
  <c r="G7" i="18"/>
  <c r="G6" i="18"/>
  <c r="G9" i="58"/>
  <c r="G6" i="58"/>
  <c r="D27" i="17"/>
  <c r="D37" i="23"/>
  <c r="D33" i="16"/>
  <c r="D34" i="15"/>
  <c r="D31" i="7"/>
  <c r="D31" i="13"/>
  <c r="D33" i="12"/>
  <c r="D31" i="59"/>
  <c r="D27" i="65"/>
  <c r="G7" i="3"/>
  <c r="G8" i="3"/>
  <c r="G6" i="3"/>
  <c r="G9" i="22"/>
  <c r="G6" i="22"/>
  <c r="G7" i="60"/>
  <c r="G8" i="60"/>
  <c r="G6" i="60"/>
  <c r="H36" i="2"/>
  <c r="G9" i="2"/>
  <c r="G6" i="2"/>
  <c r="L71" i="32" l="1"/>
  <c r="I15" i="7" l="1"/>
  <c r="I40" i="7" s="1"/>
  <c r="I15" i="10"/>
  <c r="I15" i="64"/>
  <c r="I15" i="11"/>
  <c r="C22" i="2" l="1"/>
  <c r="C21" i="2"/>
  <c r="C23" i="2" s="1"/>
  <c r="J21" i="1" l="1"/>
  <c r="C19" i="1"/>
  <c r="C20" i="1" s="1"/>
  <c r="A1" i="57" l="1"/>
  <c r="A2" i="57"/>
  <c r="A3" i="57"/>
  <c r="A1" i="32"/>
  <c r="A2" i="32"/>
  <c r="A3" i="32"/>
  <c r="D27" i="1"/>
  <c r="E27" i="1" s="1"/>
  <c r="F27" i="1" s="1"/>
  <c r="G27" i="1" s="1"/>
  <c r="D29" i="1"/>
  <c r="E29" i="1" s="1"/>
  <c r="D31" i="1"/>
  <c r="E31" i="1" s="1"/>
  <c r="F31" i="1" s="1"/>
  <c r="G31" i="1" s="1"/>
  <c r="D30" i="2"/>
  <c r="E30" i="2" s="1"/>
  <c r="F30" i="2" s="1"/>
  <c r="G30" i="2" s="1"/>
  <c r="D36" i="2"/>
  <c r="E36" i="2" s="1"/>
  <c r="D34" i="2"/>
  <c r="E34" i="2" s="1"/>
  <c r="F34" i="2" s="1"/>
  <c r="D27" i="60"/>
  <c r="D31" i="60"/>
  <c r="E31" i="60" s="1"/>
  <c r="D52" i="22"/>
  <c r="D56" i="22"/>
  <c r="E56" i="22" s="1"/>
  <c r="D22" i="3"/>
  <c r="E22" i="3" s="1"/>
  <c r="F22" i="3" s="1"/>
  <c r="D24" i="3"/>
  <c r="D28" i="3"/>
  <c r="E28" i="3" s="1"/>
  <c r="D26" i="3"/>
  <c r="E26" i="3" s="1"/>
  <c r="F26" i="3" s="1"/>
  <c r="D25" i="58"/>
  <c r="D29" i="58"/>
  <c r="E29" i="58" s="1"/>
  <c r="E27" i="65"/>
  <c r="F27" i="65" s="1"/>
  <c r="H27" i="65" s="1"/>
  <c r="D24" i="18"/>
  <c r="D28" i="18"/>
  <c r="E28" i="18" s="1"/>
  <c r="D23" i="65"/>
  <c r="D25" i="65"/>
  <c r="D29" i="65"/>
  <c r="E29" i="65" s="1"/>
  <c r="D22" i="19"/>
  <c r="E22" i="19" s="1"/>
  <c r="F22" i="19" s="1"/>
  <c r="G22" i="19" s="1"/>
  <c r="D24" i="19"/>
  <c r="D28" i="19"/>
  <c r="E28" i="19" s="1"/>
  <c r="D26" i="19"/>
  <c r="E26" i="19" s="1"/>
  <c r="F26" i="19" s="1"/>
  <c r="D27" i="4"/>
  <c r="E27" i="4" s="1"/>
  <c r="F27" i="4" s="1"/>
  <c r="G27" i="4" s="1"/>
  <c r="D29" i="4"/>
  <c r="D33" i="4"/>
  <c r="E33" i="4" s="1"/>
  <c r="D31" i="4"/>
  <c r="E31" i="4" s="1"/>
  <c r="F31" i="4" s="1"/>
  <c r="D23" i="20"/>
  <c r="E23" i="20" s="1"/>
  <c r="F23" i="20" s="1"/>
  <c r="G23" i="20" s="1"/>
  <c r="D29" i="20"/>
  <c r="E29" i="20" s="1"/>
  <c r="D23" i="5"/>
  <c r="E23" i="5" s="1"/>
  <c r="F23" i="5" s="1"/>
  <c r="D25" i="5"/>
  <c r="D29" i="5"/>
  <c r="E29" i="5" s="1"/>
  <c r="D28" i="8"/>
  <c r="E28" i="8" s="1"/>
  <c r="F28" i="8" s="1"/>
  <c r="G28" i="8" s="1"/>
  <c r="D30" i="8"/>
  <c r="D34" i="8"/>
  <c r="E34" i="8" s="1"/>
  <c r="D32" i="8"/>
  <c r="E32" i="8" s="1"/>
  <c r="F32" i="8" s="1"/>
  <c r="D27" i="9"/>
  <c r="E27" i="9" s="1"/>
  <c r="F27" i="9" s="1"/>
  <c r="G27" i="9" s="1"/>
  <c r="D29" i="9"/>
  <c r="D33" i="9"/>
  <c r="E33" i="9" s="1"/>
  <c r="D31" i="9"/>
  <c r="E31" i="9" s="1"/>
  <c r="F31" i="9" s="1"/>
  <c r="D24" i="6"/>
  <c r="E24" i="6" s="1"/>
  <c r="F24" i="6" s="1"/>
  <c r="G24" i="6" s="1"/>
  <c r="D26" i="6"/>
  <c r="D30" i="6"/>
  <c r="E30" i="6" s="1"/>
  <c r="D23" i="21"/>
  <c r="E23" i="21" s="1"/>
  <c r="F23" i="21" s="1"/>
  <c r="G23" i="21" s="1"/>
  <c r="D25" i="21"/>
  <c r="D29" i="21"/>
  <c r="E29" i="21" s="1"/>
  <c r="D27" i="21"/>
  <c r="E27" i="21" s="1"/>
  <c r="F27" i="21" s="1"/>
  <c r="D24" i="11"/>
  <c r="E24" i="11" s="1"/>
  <c r="F24" i="11" s="1"/>
  <c r="G24" i="11" s="1"/>
  <c r="D26" i="11"/>
  <c r="D30" i="11"/>
  <c r="E30" i="11" s="1"/>
  <c r="D28" i="11"/>
  <c r="E28" i="11" s="1"/>
  <c r="F28" i="11" s="1"/>
  <c r="H28" i="11" s="1"/>
  <c r="D24" i="10"/>
  <c r="E24" i="10" s="1"/>
  <c r="F24" i="10" s="1"/>
  <c r="G24" i="10" s="1"/>
  <c r="D30" i="10"/>
  <c r="E30" i="10" s="1"/>
  <c r="D28" i="10"/>
  <c r="E28" i="10" s="1"/>
  <c r="F28" i="10" s="1"/>
  <c r="D24" i="64"/>
  <c r="E24" i="64" s="1"/>
  <c r="F24" i="64" s="1"/>
  <c r="G24" i="64" s="1"/>
  <c r="D26" i="64"/>
  <c r="D30" i="64"/>
  <c r="E30" i="64" s="1"/>
  <c r="D27" i="59"/>
  <c r="E27" i="59" s="1"/>
  <c r="F27" i="59" s="1"/>
  <c r="G27" i="59" s="1"/>
  <c r="D29" i="59"/>
  <c r="D33" i="59"/>
  <c r="E33" i="59" s="1"/>
  <c r="D29" i="12"/>
  <c r="E29" i="12" s="1"/>
  <c r="F29" i="12" s="1"/>
  <c r="G29" i="12" s="1"/>
  <c r="D31" i="12"/>
  <c r="D35" i="12"/>
  <c r="E35" i="12" s="1"/>
  <c r="E33" i="12"/>
  <c r="F33" i="12" s="1"/>
  <c r="D27" i="13"/>
  <c r="E27" i="13" s="1"/>
  <c r="F27" i="13" s="1"/>
  <c r="G27" i="13" s="1"/>
  <c r="D29" i="13"/>
  <c r="D33" i="13"/>
  <c r="E33" i="13" s="1"/>
  <c r="E31" i="13"/>
  <c r="F31" i="13" s="1"/>
  <c r="D27" i="7"/>
  <c r="E27" i="7" s="1"/>
  <c r="F27" i="7" s="1"/>
  <c r="G27" i="7" s="1"/>
  <c r="D29" i="7"/>
  <c r="D33" i="7"/>
  <c r="E33" i="7" s="1"/>
  <c r="D30" i="15"/>
  <c r="E30" i="15" s="1"/>
  <c r="F30" i="15" s="1"/>
  <c r="G30" i="15" s="1"/>
  <c r="D32" i="15"/>
  <c r="D36" i="15"/>
  <c r="E36" i="15" s="1"/>
  <c r="E34" i="15"/>
  <c r="F34" i="15" s="1"/>
  <c r="D29" i="16"/>
  <c r="E29" i="16" s="1"/>
  <c r="F29" i="16" s="1"/>
  <c r="G29" i="16" s="1"/>
  <c r="D31" i="16"/>
  <c r="D35" i="16"/>
  <c r="E35" i="16" s="1"/>
  <c r="E33" i="16"/>
  <c r="F33" i="16" s="1"/>
  <c r="D33" i="23"/>
  <c r="E33" i="23" s="1"/>
  <c r="F33" i="23" s="1"/>
  <c r="G33" i="23" s="1"/>
  <c r="D35" i="23"/>
  <c r="D39" i="23"/>
  <c r="E39" i="23" s="1"/>
  <c r="E37" i="23"/>
  <c r="F37" i="23" s="1"/>
  <c r="D23" i="17"/>
  <c r="E23" i="17" s="1"/>
  <c r="F23" i="17" s="1"/>
  <c r="D25" i="17"/>
  <c r="D29" i="17"/>
  <c r="E29" i="17" s="1"/>
  <c r="E27" i="17"/>
  <c r="F27" i="17" s="1"/>
  <c r="A1" i="49"/>
  <c r="A2" i="49"/>
  <c r="A3" i="49"/>
  <c r="C7" i="49"/>
  <c r="D7" i="49" s="1"/>
  <c r="E7" i="49" s="1"/>
  <c r="F7" i="49" s="1"/>
  <c r="G7" i="49" s="1"/>
  <c r="H7" i="49" s="1"/>
  <c r="I7" i="49" s="1"/>
  <c r="J7" i="49" s="1"/>
  <c r="K7" i="49" s="1"/>
  <c r="L7" i="49" s="1"/>
  <c r="M7" i="49" s="1"/>
  <c r="M21" i="60"/>
  <c r="B31" i="49"/>
  <c r="C31" i="49"/>
  <c r="D31" i="49"/>
  <c r="E31" i="49"/>
  <c r="F31" i="49"/>
  <c r="G31" i="49"/>
  <c r="H31" i="49"/>
  <c r="I31" i="49"/>
  <c r="J31" i="49"/>
  <c r="K31" i="49"/>
  <c r="L31" i="49"/>
  <c r="M31" i="49"/>
  <c r="M20" i="3" s="1"/>
  <c r="C22" i="63"/>
  <c r="M22" i="63" s="1"/>
  <c r="D22" i="48" s="1"/>
  <c r="E37" i="49"/>
  <c r="F37" i="49"/>
  <c r="J37" i="49"/>
  <c r="B37" i="49"/>
  <c r="C28" i="63"/>
  <c r="M28" i="63" s="1"/>
  <c r="D28" i="48" s="1"/>
  <c r="B46" i="49"/>
  <c r="C46" i="49"/>
  <c r="M21" i="20"/>
  <c r="C34" i="63"/>
  <c r="M34" i="63" s="1"/>
  <c r="D34" i="48" s="1"/>
  <c r="F54" i="49"/>
  <c r="B54" i="49"/>
  <c r="D60" i="49"/>
  <c r="L60" i="49"/>
  <c r="M21" i="21"/>
  <c r="G66" i="49"/>
  <c r="H66" i="49"/>
  <c r="K66" i="49"/>
  <c r="B66" i="49"/>
  <c r="C66" i="49"/>
  <c r="D66" i="49"/>
  <c r="O22" i="10"/>
  <c r="G76" i="49"/>
  <c r="K76" i="49"/>
  <c r="B76" i="49"/>
  <c r="O25" i="13"/>
  <c r="O28" i="15"/>
  <c r="C64" i="63"/>
  <c r="M64" i="63" s="1"/>
  <c r="D64" i="48" s="1"/>
  <c r="A1" i="38"/>
  <c r="A2" i="38"/>
  <c r="A3" i="38"/>
  <c r="B16" i="60"/>
  <c r="I26" i="38"/>
  <c r="B14" i="24" s="1"/>
  <c r="I28" i="38"/>
  <c r="B17" i="58"/>
  <c r="I51" i="38"/>
  <c r="B20" i="24" s="1"/>
  <c r="B17" i="65"/>
  <c r="I57" i="38"/>
  <c r="B24" i="24" s="1"/>
  <c r="B16" i="19"/>
  <c r="I59" i="38"/>
  <c r="B26" i="24" s="1"/>
  <c r="B17" i="20"/>
  <c r="I67" i="38"/>
  <c r="B30" i="24" s="1"/>
  <c r="B17" i="5"/>
  <c r="I69" i="38"/>
  <c r="B32" i="24" s="1"/>
  <c r="B17" i="9"/>
  <c r="I75" i="38"/>
  <c r="B36" i="24" s="1"/>
  <c r="B17" i="21"/>
  <c r="I81" i="38"/>
  <c r="B40" i="24" s="1"/>
  <c r="B15" i="10"/>
  <c r="I87" i="38"/>
  <c r="B44" i="24" s="1"/>
  <c r="I89" i="38"/>
  <c r="B46" i="24" s="1"/>
  <c r="B15" i="59"/>
  <c r="I91" i="38"/>
  <c r="B48" i="24" s="1"/>
  <c r="I97" i="38"/>
  <c r="B52" i="24" s="1"/>
  <c r="B15" i="7"/>
  <c r="I99" i="38"/>
  <c r="B54" i="24" s="1"/>
  <c r="B16" i="15"/>
  <c r="I101" i="38"/>
  <c r="B56" i="24" s="1"/>
  <c r="I103" i="38"/>
  <c r="B58" i="24" s="1"/>
  <c r="I105" i="38"/>
  <c r="I107" i="38"/>
  <c r="I109" i="38"/>
  <c r="B31" i="23"/>
  <c r="I111" i="38"/>
  <c r="B60" i="24" s="1"/>
  <c r="I113" i="38"/>
  <c r="B62" i="24" s="1"/>
  <c r="H115" i="38"/>
  <c r="H15" i="51"/>
  <c r="H16" i="51"/>
  <c r="H17" i="51"/>
  <c r="H18" i="51"/>
  <c r="F21" i="51"/>
  <c r="H21" i="51"/>
  <c r="F22" i="51"/>
  <c r="F28" i="51" s="1"/>
  <c r="H22" i="51"/>
  <c r="F23" i="51"/>
  <c r="H23" i="51"/>
  <c r="F24" i="51"/>
  <c r="F30" i="51" s="1"/>
  <c r="H24" i="51"/>
  <c r="F27" i="51"/>
  <c r="H27" i="51"/>
  <c r="H28" i="51"/>
  <c r="F29" i="51"/>
  <c r="H29" i="51"/>
  <c r="H30" i="51"/>
  <c r="A1" i="23"/>
  <c r="A2" i="23"/>
  <c r="A3" i="23"/>
  <c r="A33" i="23"/>
  <c r="A35" i="23"/>
  <c r="F35" i="23"/>
  <c r="G35" i="23" s="1"/>
  <c r="A37" i="23"/>
  <c r="A43" i="23"/>
  <c r="A1" i="17"/>
  <c r="A2" i="17"/>
  <c r="A3" i="17"/>
  <c r="I15" i="17"/>
  <c r="A23" i="17"/>
  <c r="A25" i="17"/>
  <c r="F25" i="17"/>
  <c r="A27" i="17"/>
  <c r="A33" i="17"/>
  <c r="A1" i="16"/>
  <c r="A2" i="16"/>
  <c r="A3" i="16"/>
  <c r="M9" i="16"/>
  <c r="I15" i="16"/>
  <c r="I60" i="63"/>
  <c r="C23" i="16"/>
  <c r="L28" i="16" s="1"/>
  <c r="A29" i="16"/>
  <c r="A31" i="16"/>
  <c r="F31" i="16"/>
  <c r="G31" i="16" s="1"/>
  <c r="A33" i="16"/>
  <c r="A39" i="16"/>
  <c r="A1" i="15"/>
  <c r="A2" i="15"/>
  <c r="A3" i="15"/>
  <c r="M9" i="15"/>
  <c r="L16" i="15"/>
  <c r="I58" i="63" s="1"/>
  <c r="L29" i="15"/>
  <c r="A30" i="15"/>
  <c r="A32" i="15"/>
  <c r="F32" i="15"/>
  <c r="G32" i="15" s="1"/>
  <c r="A34" i="15"/>
  <c r="A40" i="15"/>
  <c r="A1" i="7"/>
  <c r="A2" i="7"/>
  <c r="A3" i="7"/>
  <c r="M9" i="7"/>
  <c r="C21" i="7"/>
  <c r="L26" i="7" s="1"/>
  <c r="A27" i="7"/>
  <c r="A29" i="7"/>
  <c r="F29" i="7"/>
  <c r="G29" i="7" s="1"/>
  <c r="A31" i="7"/>
  <c r="E31" i="7"/>
  <c r="F31" i="7" s="1"/>
  <c r="A37" i="7"/>
  <c r="A1" i="13"/>
  <c r="A2" i="13"/>
  <c r="A3" i="13"/>
  <c r="M9" i="13"/>
  <c r="L15" i="13"/>
  <c r="I54" i="63" s="1"/>
  <c r="C21" i="13"/>
  <c r="L26" i="13" s="1"/>
  <c r="A27" i="13"/>
  <c r="A29" i="13"/>
  <c r="F29" i="13"/>
  <c r="G29" i="13" s="1"/>
  <c r="A31" i="13"/>
  <c r="A37" i="13"/>
  <c r="A1" i="12"/>
  <c r="A2" i="12"/>
  <c r="A3" i="12"/>
  <c r="M9" i="12"/>
  <c r="L15" i="12"/>
  <c r="I52" i="63" s="1"/>
  <c r="C21" i="12"/>
  <c r="L28" i="12" s="1"/>
  <c r="A29" i="12"/>
  <c r="A31" i="12"/>
  <c r="F31" i="12"/>
  <c r="A33" i="12"/>
  <c r="A39" i="12"/>
  <c r="A1" i="59"/>
  <c r="A2" i="59"/>
  <c r="A3" i="59"/>
  <c r="A27" i="59"/>
  <c r="A29" i="59"/>
  <c r="F29" i="59"/>
  <c r="G29" i="59" s="1"/>
  <c r="H29" i="59" s="1"/>
  <c r="K29" i="59" s="1"/>
  <c r="A31" i="59"/>
  <c r="E31" i="59"/>
  <c r="F31" i="59" s="1"/>
  <c r="A37" i="59"/>
  <c r="A1" i="64"/>
  <c r="A2" i="64"/>
  <c r="A3" i="64"/>
  <c r="M9" i="64"/>
  <c r="L15" i="64"/>
  <c r="I48" i="63" s="1"/>
  <c r="C18" i="64"/>
  <c r="L23" i="64" s="1"/>
  <c r="A24" i="64"/>
  <c r="A26" i="64"/>
  <c r="F26" i="64"/>
  <c r="G26" i="64" s="1"/>
  <c r="A28" i="64"/>
  <c r="D28" i="64"/>
  <c r="E28" i="64" s="1"/>
  <c r="F28" i="64" s="1"/>
  <c r="A34" i="64"/>
  <c r="A1" i="10"/>
  <c r="A2" i="10"/>
  <c r="A3" i="10"/>
  <c r="M9" i="10"/>
  <c r="L15" i="10"/>
  <c r="I46" i="63" s="1"/>
  <c r="C18" i="10"/>
  <c r="L23" i="10" s="1"/>
  <c r="A24" i="10"/>
  <c r="A26" i="10"/>
  <c r="D26" i="10"/>
  <c r="F26" i="10"/>
  <c r="G26" i="10" s="1"/>
  <c r="A28" i="10"/>
  <c r="H30" i="10"/>
  <c r="K30" i="10"/>
  <c r="A34" i="10"/>
  <c r="A1" i="11"/>
  <c r="A2" i="11"/>
  <c r="A3" i="11"/>
  <c r="M9" i="11"/>
  <c r="L15" i="11"/>
  <c r="I44" i="63" s="1"/>
  <c r="C18" i="11"/>
  <c r="L23" i="11" s="1"/>
  <c r="A24" i="11"/>
  <c r="A26" i="11"/>
  <c r="F26" i="11"/>
  <c r="G26" i="11" s="1"/>
  <c r="H26" i="11" s="1"/>
  <c r="A28" i="11"/>
  <c r="A34" i="11"/>
  <c r="A1" i="21"/>
  <c r="A2" i="21"/>
  <c r="A3" i="21"/>
  <c r="I17" i="21"/>
  <c r="A23" i="21"/>
  <c r="A25" i="21"/>
  <c r="F25" i="21"/>
  <c r="G25" i="21" s="1"/>
  <c r="A27" i="21"/>
  <c r="H29" i="21"/>
  <c r="K29" i="21"/>
  <c r="A33" i="21"/>
  <c r="A1" i="6"/>
  <c r="A2" i="6"/>
  <c r="A3" i="6"/>
  <c r="M9" i="6"/>
  <c r="A24" i="6"/>
  <c r="A26" i="6"/>
  <c r="F26" i="6"/>
  <c r="G26" i="6" s="1"/>
  <c r="A28" i="6"/>
  <c r="D28" i="6"/>
  <c r="E28" i="6" s="1"/>
  <c r="F28" i="6" s="1"/>
  <c r="A34" i="6"/>
  <c r="A1" i="9"/>
  <c r="A2" i="9"/>
  <c r="A3" i="9"/>
  <c r="M9" i="9"/>
  <c r="I17" i="9"/>
  <c r="L17" i="9"/>
  <c r="I38" i="63" s="1"/>
  <c r="C21" i="9"/>
  <c r="L26" i="9" s="1"/>
  <c r="A27" i="9"/>
  <c r="A29" i="9"/>
  <c r="F29" i="9"/>
  <c r="G29" i="9" s="1"/>
  <c r="A31" i="9"/>
  <c r="A37" i="9"/>
  <c r="A1" i="8"/>
  <c r="A2" i="8"/>
  <c r="A3" i="8"/>
  <c r="M9" i="8"/>
  <c r="I18" i="8"/>
  <c r="L18" i="8"/>
  <c r="I36" i="63" s="1"/>
  <c r="C22" i="8"/>
  <c r="L27" i="8" s="1"/>
  <c r="A28" i="8"/>
  <c r="A30" i="8"/>
  <c r="F30" i="8"/>
  <c r="G30" i="8" s="1"/>
  <c r="A32" i="8"/>
  <c r="H34" i="8"/>
  <c r="K34" i="8" s="1"/>
  <c r="A38" i="8"/>
  <c r="A1" i="5"/>
  <c r="A2" i="5"/>
  <c r="A3" i="5"/>
  <c r="C14" i="5"/>
  <c r="C15" i="5"/>
  <c r="I17" i="5"/>
  <c r="A23" i="5"/>
  <c r="A25" i="5"/>
  <c r="F25" i="5"/>
  <c r="A27" i="5"/>
  <c r="D27" i="5"/>
  <c r="E27" i="5" s="1"/>
  <c r="F27" i="5" s="1"/>
  <c r="A33" i="5"/>
  <c r="A1" i="20"/>
  <c r="A2" i="20"/>
  <c r="A3" i="20"/>
  <c r="I17" i="20"/>
  <c r="A23" i="20"/>
  <c r="A25" i="20"/>
  <c r="D25" i="20"/>
  <c r="F25" i="20"/>
  <c r="A27" i="20"/>
  <c r="D27" i="20"/>
  <c r="E27" i="20" s="1"/>
  <c r="F27" i="20" s="1"/>
  <c r="A33" i="20"/>
  <c r="A1" i="4"/>
  <c r="A2" i="4"/>
  <c r="A3" i="4"/>
  <c r="I17" i="4"/>
  <c r="A27" i="4"/>
  <c r="A29" i="4"/>
  <c r="F29" i="4"/>
  <c r="G29" i="4" s="1"/>
  <c r="A31" i="4"/>
  <c r="A37" i="4"/>
  <c r="A1" i="19"/>
  <c r="A2" i="19"/>
  <c r="A3" i="19"/>
  <c r="A22" i="19"/>
  <c r="A24" i="19"/>
  <c r="F24" i="19"/>
  <c r="G24" i="19" s="1"/>
  <c r="H24" i="19" s="1"/>
  <c r="K24" i="19" s="1"/>
  <c r="A26" i="19"/>
  <c r="A32" i="19"/>
  <c r="A1" i="65"/>
  <c r="A2" i="65"/>
  <c r="A3" i="65"/>
  <c r="I17" i="65"/>
  <c r="A23" i="65"/>
  <c r="A25" i="65"/>
  <c r="F25" i="65"/>
  <c r="G25" i="65" s="1"/>
  <c r="H25" i="65" s="1"/>
  <c r="A27" i="65"/>
  <c r="A33" i="65"/>
  <c r="A1" i="18"/>
  <c r="A2" i="18"/>
  <c r="A3" i="18"/>
  <c r="C13" i="18"/>
  <c r="C14" i="18"/>
  <c r="I16" i="18"/>
  <c r="A22" i="18"/>
  <c r="D22" i="18"/>
  <c r="E22" i="18" s="1"/>
  <c r="F22" i="18" s="1"/>
  <c r="G22" i="18" s="1"/>
  <c r="A24" i="18"/>
  <c r="F24" i="18"/>
  <c r="G24" i="18" s="1"/>
  <c r="A26" i="18"/>
  <c r="D26" i="18"/>
  <c r="E26" i="18" s="1"/>
  <c r="F26" i="18" s="1"/>
  <c r="A28" i="18"/>
  <c r="A32" i="18"/>
  <c r="A1" i="58"/>
  <c r="A2" i="58"/>
  <c r="A3" i="58"/>
  <c r="I17" i="58"/>
  <c r="A23" i="58"/>
  <c r="A25" i="58"/>
  <c r="F25" i="58"/>
  <c r="G25" i="58" s="1"/>
  <c r="A27" i="58"/>
  <c r="A33" i="58"/>
  <c r="A1" i="3"/>
  <c r="A2" i="3"/>
  <c r="A3" i="3"/>
  <c r="I16" i="3"/>
  <c r="A22" i="3"/>
  <c r="A24" i="3"/>
  <c r="F24" i="3"/>
  <c r="A26" i="3"/>
  <c r="A32" i="3"/>
  <c r="A3" i="50"/>
  <c r="F8" i="50"/>
  <c r="H15" i="50"/>
  <c r="H16" i="50"/>
  <c r="H17" i="50"/>
  <c r="H18" i="50"/>
  <c r="H21" i="50"/>
  <c r="H22" i="50"/>
  <c r="H26" i="50"/>
  <c r="H27" i="50"/>
  <c r="H28" i="50"/>
  <c r="H31" i="50"/>
  <c r="H35" i="50"/>
  <c r="H36" i="50"/>
  <c r="H39" i="50"/>
  <c r="H40" i="50"/>
  <c r="H41" i="50"/>
  <c r="H44" i="50"/>
  <c r="H45" i="50"/>
  <c r="H46" i="50"/>
  <c r="A48" i="50"/>
  <c r="A1" i="22"/>
  <c r="A2" i="22"/>
  <c r="A3" i="22"/>
  <c r="A50" i="22"/>
  <c r="D50" i="22"/>
  <c r="A52" i="22"/>
  <c r="F52" i="22"/>
  <c r="G52" i="22" s="1"/>
  <c r="H52" i="22" s="1"/>
  <c r="K52" i="22" s="1"/>
  <c r="A54" i="22"/>
  <c r="D54" i="22"/>
  <c r="E54" i="22" s="1"/>
  <c r="F54" i="22" s="1"/>
  <c r="A56" i="22"/>
  <c r="H56" i="22"/>
  <c r="K56" i="22" s="1"/>
  <c r="A60" i="22"/>
  <c r="A1" i="60"/>
  <c r="A2" i="60"/>
  <c r="A3" i="60"/>
  <c r="I16" i="60"/>
  <c r="A23" i="60"/>
  <c r="E23" i="60"/>
  <c r="F23" i="60" s="1"/>
  <c r="G23" i="60" s="1"/>
  <c r="A25" i="60"/>
  <c r="D25" i="60"/>
  <c r="E25" i="60" s="1"/>
  <c r="F25" i="60" s="1"/>
  <c r="G25" i="60" s="1"/>
  <c r="A27" i="60"/>
  <c r="F27" i="60"/>
  <c r="G27" i="60" s="1"/>
  <c r="A29" i="60"/>
  <c r="D29" i="60"/>
  <c r="E29" i="60" s="1"/>
  <c r="F29" i="60" s="1"/>
  <c r="A31" i="60"/>
  <c r="A35" i="60"/>
  <c r="A1" i="2"/>
  <c r="A2" i="2"/>
  <c r="A3" i="2"/>
  <c r="I17" i="2"/>
  <c r="D19" i="2"/>
  <c r="E19" i="2" s="1"/>
  <c r="F19" i="2" s="1"/>
  <c r="J19" i="2"/>
  <c r="K19" i="2" s="1"/>
  <c r="A30" i="2"/>
  <c r="A32" i="2"/>
  <c r="D32" i="2"/>
  <c r="F32" i="2"/>
  <c r="G32" i="2" s="1"/>
  <c r="H32" i="2" s="1"/>
  <c r="K32" i="2" s="1"/>
  <c r="N32" i="2" s="1"/>
  <c r="A34" i="2"/>
  <c r="A36" i="2"/>
  <c r="K36" i="2"/>
  <c r="N36" i="2" s="1"/>
  <c r="A40" i="2"/>
  <c r="G29" i="1"/>
  <c r="D33" i="1"/>
  <c r="E33" i="1" s="1"/>
  <c r="F33" i="1" s="1"/>
  <c r="L33" i="1"/>
  <c r="O33" i="1" s="1"/>
  <c r="D37" i="1"/>
  <c r="F37" i="1"/>
  <c r="G37" i="1" s="1"/>
  <c r="A3" i="48"/>
  <c r="A3" i="63"/>
  <c r="G36" i="63"/>
  <c r="G38" i="63"/>
  <c r="G44" i="63"/>
  <c r="G46" i="63"/>
  <c r="G48" i="63"/>
  <c r="G52" i="63"/>
  <c r="G54" i="63"/>
  <c r="G58" i="63"/>
  <c r="G60" i="63"/>
  <c r="H66" i="63"/>
  <c r="A1" i="52"/>
  <c r="A2" i="52"/>
  <c r="A1" i="47"/>
  <c r="A2" i="47"/>
  <c r="A1" i="56"/>
  <c r="A2" i="56"/>
  <c r="A1" i="54"/>
  <c r="A2" i="54"/>
  <c r="A1" i="53"/>
  <c r="A2" i="53"/>
  <c r="A1" i="61"/>
  <c r="A2" i="61"/>
  <c r="A1" i="24"/>
  <c r="A2" i="24"/>
  <c r="A1" i="62"/>
  <c r="A2" i="62"/>
  <c r="P21" i="62"/>
  <c r="P36" i="62"/>
  <c r="P46" i="62"/>
  <c r="P48" i="62"/>
  <c r="J15" i="7" l="1"/>
  <c r="M15" i="7" s="1"/>
  <c r="D25" i="57"/>
  <c r="D62" i="63"/>
  <c r="N62" i="63" s="1"/>
  <c r="F62" i="48" s="1"/>
  <c r="G23" i="17"/>
  <c r="G25" i="17"/>
  <c r="H25" i="17" s="1"/>
  <c r="K25" i="17" s="1"/>
  <c r="H27" i="17"/>
  <c r="K27" i="17" s="1"/>
  <c r="G31" i="12"/>
  <c r="H31" i="12" s="1"/>
  <c r="K31" i="12" s="1"/>
  <c r="H27" i="5"/>
  <c r="K27" i="5" s="1"/>
  <c r="G25" i="5"/>
  <c r="H25" i="5" s="1"/>
  <c r="K25" i="5" s="1"/>
  <c r="G23" i="5"/>
  <c r="G25" i="20"/>
  <c r="H25" i="20" s="1"/>
  <c r="K25" i="20" s="1"/>
  <c r="H26" i="3"/>
  <c r="K26" i="3" s="1"/>
  <c r="G24" i="3"/>
  <c r="H24" i="3" s="1"/>
  <c r="K24" i="3" s="1"/>
  <c r="G22" i="3"/>
  <c r="G19" i="2"/>
  <c r="H19" i="2" s="1"/>
  <c r="H37" i="1"/>
  <c r="I37" i="1" s="1"/>
  <c r="H29" i="1"/>
  <c r="I29" i="1" s="1"/>
  <c r="L29" i="1"/>
  <c r="O29" i="1" s="1"/>
  <c r="H27" i="1"/>
  <c r="H35" i="23"/>
  <c r="K35" i="23" s="1"/>
  <c r="H39" i="23"/>
  <c r="K39" i="23" s="1"/>
  <c r="H29" i="17"/>
  <c r="K29" i="17" s="1"/>
  <c r="H35" i="16"/>
  <c r="K35" i="16" s="1"/>
  <c r="H31" i="16"/>
  <c r="K31" i="16" s="1"/>
  <c r="H36" i="15"/>
  <c r="K36" i="15" s="1"/>
  <c r="H32" i="15"/>
  <c r="K32" i="15" s="1"/>
  <c r="H29" i="7"/>
  <c r="K29" i="7" s="1"/>
  <c r="H33" i="7"/>
  <c r="K33" i="7" s="1"/>
  <c r="H33" i="13"/>
  <c r="K33" i="13" s="1"/>
  <c r="H29" i="13"/>
  <c r="K29" i="13" s="1"/>
  <c r="H35" i="12"/>
  <c r="K35" i="12" s="1"/>
  <c r="H33" i="59"/>
  <c r="K33" i="59" s="1"/>
  <c r="H26" i="64"/>
  <c r="K26" i="64" s="1"/>
  <c r="H30" i="64"/>
  <c r="K30" i="64" s="1"/>
  <c r="H26" i="10"/>
  <c r="K26" i="10" s="1"/>
  <c r="K26" i="11"/>
  <c r="K30" i="11"/>
  <c r="H25" i="21"/>
  <c r="K25" i="21" s="1"/>
  <c r="H30" i="6"/>
  <c r="K30" i="6" s="1"/>
  <c r="H26" i="6"/>
  <c r="K26" i="6" s="1"/>
  <c r="H29" i="9"/>
  <c r="K29" i="9" s="1"/>
  <c r="H33" i="9"/>
  <c r="K33" i="9" s="1"/>
  <c r="H30" i="8"/>
  <c r="K30" i="8" s="1"/>
  <c r="K29" i="5"/>
  <c r="H29" i="20"/>
  <c r="K29" i="20" s="1"/>
  <c r="H29" i="4"/>
  <c r="K29" i="4" s="1"/>
  <c r="K33" i="4"/>
  <c r="H28" i="19"/>
  <c r="K28" i="19" s="1"/>
  <c r="K25" i="65"/>
  <c r="K29" i="65"/>
  <c r="H28" i="18"/>
  <c r="K28" i="18" s="1"/>
  <c r="H24" i="18"/>
  <c r="K24" i="18" s="1"/>
  <c r="K28" i="3"/>
  <c r="H31" i="60"/>
  <c r="K31" i="60" s="1"/>
  <c r="H27" i="60"/>
  <c r="K27" i="60" s="1"/>
  <c r="H23" i="60"/>
  <c r="K23" i="60" s="1"/>
  <c r="L37" i="1"/>
  <c r="C26" i="63"/>
  <c r="M26" i="63" s="1"/>
  <c r="D26" i="48" s="1"/>
  <c r="M21" i="65"/>
  <c r="C48" i="63"/>
  <c r="M48" i="63" s="1"/>
  <c r="D48" i="48" s="1"/>
  <c r="O22" i="64"/>
  <c r="H31" i="7"/>
  <c r="K31" i="7" s="1"/>
  <c r="H34" i="15"/>
  <c r="K34" i="15" s="1"/>
  <c r="K28" i="11"/>
  <c r="H31" i="4"/>
  <c r="K31" i="4" s="1"/>
  <c r="H28" i="6"/>
  <c r="K28" i="6" s="1"/>
  <c r="H31" i="13"/>
  <c r="K31" i="13" s="1"/>
  <c r="H27" i="21"/>
  <c r="K27" i="21" s="1"/>
  <c r="H26" i="19"/>
  <c r="K26" i="19" s="1"/>
  <c r="H31" i="59"/>
  <c r="K31" i="59" s="1"/>
  <c r="H37" i="23"/>
  <c r="K37" i="23" s="1"/>
  <c r="H33" i="12"/>
  <c r="K33" i="12" s="1"/>
  <c r="H31" i="9"/>
  <c r="K31" i="9" s="1"/>
  <c r="K27" i="65"/>
  <c r="E23" i="65"/>
  <c r="F23" i="65" s="1"/>
  <c r="G23" i="65" s="1"/>
  <c r="H26" i="18"/>
  <c r="K26" i="18" s="1"/>
  <c r="H27" i="20"/>
  <c r="K27" i="20" s="1"/>
  <c r="H33" i="16"/>
  <c r="K33" i="16" s="1"/>
  <c r="H28" i="10"/>
  <c r="K28" i="10" s="1"/>
  <c r="H32" i="8"/>
  <c r="K32" i="8" s="1"/>
  <c r="J16" i="60"/>
  <c r="H28" i="64"/>
  <c r="K28" i="64" s="1"/>
  <c r="G66" i="63"/>
  <c r="I66" i="63"/>
  <c r="J17" i="58"/>
  <c r="H29" i="58"/>
  <c r="K29" i="58" s="1"/>
  <c r="H25" i="58"/>
  <c r="K25" i="58" s="1"/>
  <c r="J15" i="59"/>
  <c r="J17" i="9"/>
  <c r="J17" i="5"/>
  <c r="J17" i="20"/>
  <c r="J17" i="65"/>
  <c r="H71" i="32"/>
  <c r="P44" i="62"/>
  <c r="D27" i="58"/>
  <c r="E27" i="58" s="1"/>
  <c r="F27" i="58" s="1"/>
  <c r="P29" i="62"/>
  <c r="M37" i="49"/>
  <c r="C24" i="63" s="1"/>
  <c r="M24" i="63" s="1"/>
  <c r="D24" i="48" s="1"/>
  <c r="I37" i="49"/>
  <c r="C32" i="63"/>
  <c r="M32" i="63" s="1"/>
  <c r="D32" i="48" s="1"/>
  <c r="C46" i="63"/>
  <c r="M46" i="63" s="1"/>
  <c r="D46" i="48" s="1"/>
  <c r="C20" i="63"/>
  <c r="M20" i="63" s="1"/>
  <c r="D20" i="48" s="1"/>
  <c r="M21" i="5"/>
  <c r="C16" i="63"/>
  <c r="M16" i="63" s="1"/>
  <c r="D16" i="48" s="1"/>
  <c r="M21" i="58"/>
  <c r="J71" i="32"/>
  <c r="B71" i="32"/>
  <c r="I54" i="49"/>
  <c r="M54" i="49"/>
  <c r="O26" i="8" s="1"/>
  <c r="D23" i="58"/>
  <c r="E23" i="58" s="1"/>
  <c r="F23" i="58" s="1"/>
  <c r="G23" i="58" s="1"/>
  <c r="D71" i="32"/>
  <c r="F71" i="32"/>
  <c r="T29" i="62"/>
  <c r="M21" i="17"/>
  <c r="E76" i="49"/>
  <c r="G60" i="49"/>
  <c r="M60" i="49"/>
  <c r="O22" i="6" s="1"/>
  <c r="F46" i="49"/>
  <c r="G55" i="38"/>
  <c r="I55" i="38" s="1"/>
  <c r="B22" i="24" s="1"/>
  <c r="F95" i="38"/>
  <c r="E54" i="49"/>
  <c r="L54" i="49"/>
  <c r="J46" i="49"/>
  <c r="M76" i="49"/>
  <c r="K60" i="49"/>
  <c r="C60" i="49"/>
  <c r="N14" i="49"/>
  <c r="N101" i="49"/>
  <c r="K109" i="49"/>
  <c r="K46" i="49"/>
  <c r="G23" i="49"/>
  <c r="D18" i="38"/>
  <c r="I76" i="49"/>
  <c r="E60" i="49"/>
  <c r="J54" i="49"/>
  <c r="C42" i="63"/>
  <c r="M42" i="63" s="1"/>
  <c r="D42" i="48" s="1"/>
  <c r="H60" i="49"/>
  <c r="B15" i="13"/>
  <c r="J66" i="49"/>
  <c r="F66" i="49"/>
  <c r="K23" i="49"/>
  <c r="C23" i="49"/>
  <c r="G46" i="49"/>
  <c r="E109" i="49"/>
  <c r="H54" i="49"/>
  <c r="D54" i="49"/>
  <c r="M46" i="49"/>
  <c r="O25" i="4" s="1"/>
  <c r="I46" i="49"/>
  <c r="E46" i="49"/>
  <c r="E73" i="38"/>
  <c r="B18" i="8" s="1"/>
  <c r="C55" i="38"/>
  <c r="L76" i="49"/>
  <c r="H76" i="49"/>
  <c r="D76" i="49"/>
  <c r="L37" i="49"/>
  <c r="H37" i="49"/>
  <c r="D37" i="49"/>
  <c r="M20" i="19"/>
  <c r="M66" i="49"/>
  <c r="O22" i="11" s="1"/>
  <c r="I66" i="49"/>
  <c r="E66" i="49"/>
  <c r="K54" i="49"/>
  <c r="G54" i="49"/>
  <c r="K37" i="49"/>
  <c r="G37" i="49"/>
  <c r="N25" i="49"/>
  <c r="B21" i="60" s="1"/>
  <c r="J21" i="60" s="1"/>
  <c r="B16" i="63" s="1"/>
  <c r="L16" i="63" s="1"/>
  <c r="B16" i="48" s="1"/>
  <c r="C16" i="48" s="1"/>
  <c r="J23" i="49"/>
  <c r="F23" i="49"/>
  <c r="B23" i="49"/>
  <c r="G95" i="38"/>
  <c r="I95" i="38" s="1"/>
  <c r="B50" i="24" s="1"/>
  <c r="E79" i="38"/>
  <c r="B15" i="6" s="1"/>
  <c r="D24" i="38"/>
  <c r="L66" i="49"/>
  <c r="J60" i="49"/>
  <c r="F60" i="49"/>
  <c r="B60" i="49"/>
  <c r="M23" i="49"/>
  <c r="P26" i="2" s="1"/>
  <c r="I23" i="49"/>
  <c r="E23" i="49"/>
  <c r="M17" i="49"/>
  <c r="C12" i="63" s="1"/>
  <c r="M12" i="63" s="1"/>
  <c r="D12" i="48" s="1"/>
  <c r="I17" i="49"/>
  <c r="E17" i="49"/>
  <c r="C58" i="63"/>
  <c r="M58" i="63" s="1"/>
  <c r="D58" i="48" s="1"/>
  <c r="E95" i="38"/>
  <c r="B15" i="12" s="1"/>
  <c r="G79" i="38"/>
  <c r="I79" i="38" s="1"/>
  <c r="B38" i="24" s="1"/>
  <c r="F73" i="38"/>
  <c r="G73" i="38"/>
  <c r="I73" i="38" s="1"/>
  <c r="B34" i="24" s="1"/>
  <c r="C73" i="38"/>
  <c r="D65" i="38"/>
  <c r="D55" i="38"/>
  <c r="F49" i="38"/>
  <c r="D49" i="38"/>
  <c r="J109" i="49"/>
  <c r="I60" i="49"/>
  <c r="H23" i="49"/>
  <c r="E45" i="38"/>
  <c r="B43" i="22" s="1"/>
  <c r="N107" i="49"/>
  <c r="N84" i="49"/>
  <c r="B27" i="16" s="1"/>
  <c r="J27" i="16" s="1"/>
  <c r="N78" i="49"/>
  <c r="B25" i="13" s="1"/>
  <c r="J25" i="13" s="1"/>
  <c r="N58" i="49"/>
  <c r="N21" i="49"/>
  <c r="L23" i="49"/>
  <c r="D23" i="49"/>
  <c r="L17" i="49"/>
  <c r="H17" i="49"/>
  <c r="D17" i="49"/>
  <c r="C60" i="63"/>
  <c r="M60" i="63" s="1"/>
  <c r="D60" i="48" s="1"/>
  <c r="C56" i="63"/>
  <c r="M56" i="63" s="1"/>
  <c r="D56" i="48" s="1"/>
  <c r="B15" i="16"/>
  <c r="E18" i="38"/>
  <c r="B17" i="1" s="1"/>
  <c r="N95" i="49"/>
  <c r="L109" i="49"/>
  <c r="H109" i="49"/>
  <c r="D109" i="49"/>
  <c r="N88" i="49"/>
  <c r="N39" i="49"/>
  <c r="B21" i="65" s="1"/>
  <c r="J21" i="65" s="1"/>
  <c r="B15" i="64"/>
  <c r="E24" i="38"/>
  <c r="B17" i="2" s="1"/>
  <c r="J76" i="49"/>
  <c r="F76" i="49"/>
  <c r="C54" i="49"/>
  <c r="N52" i="49"/>
  <c r="N50" i="49"/>
  <c r="B21" i="5" s="1"/>
  <c r="J21" i="5" s="1"/>
  <c r="B34" i="63" s="1"/>
  <c r="L34" i="63" s="1"/>
  <c r="B34" i="48" s="1"/>
  <c r="C34" i="48" s="1"/>
  <c r="E34" i="48" s="1"/>
  <c r="N44" i="49"/>
  <c r="L46" i="49"/>
  <c r="H46" i="49"/>
  <c r="D46" i="49"/>
  <c r="N41" i="49"/>
  <c r="B20" i="19" s="1"/>
  <c r="J20" i="19" s="1"/>
  <c r="B28" i="63" s="1"/>
  <c r="L28" i="63" s="1"/>
  <c r="B28" i="48" s="1"/>
  <c r="C28" i="48" s="1"/>
  <c r="E28" i="48" s="1"/>
  <c r="N15" i="49"/>
  <c r="J17" i="49"/>
  <c r="F17" i="49"/>
  <c r="B17" i="49"/>
  <c r="C54" i="63"/>
  <c r="M54" i="63" s="1"/>
  <c r="D54" i="48" s="1"/>
  <c r="B15" i="17"/>
  <c r="N105" i="49"/>
  <c r="M109" i="49"/>
  <c r="I109" i="49"/>
  <c r="N102" i="49"/>
  <c r="F109" i="49"/>
  <c r="B109" i="49"/>
  <c r="C37" i="49"/>
  <c r="N35" i="49"/>
  <c r="N33" i="49"/>
  <c r="B21" i="58" s="1"/>
  <c r="J21" i="58" s="1"/>
  <c r="N19" i="49"/>
  <c r="J17" i="21"/>
  <c r="E85" i="38"/>
  <c r="B15" i="11" s="1"/>
  <c r="E55" i="38"/>
  <c r="B16" i="18" s="1"/>
  <c r="E49" i="38"/>
  <c r="B16" i="3" s="1"/>
  <c r="G24" i="38"/>
  <c r="I24" i="38" s="1"/>
  <c r="B12" i="24" s="1"/>
  <c r="C24" i="38"/>
  <c r="F24" i="38"/>
  <c r="G18" i="38"/>
  <c r="I18" i="38" s="1"/>
  <c r="C18" i="38"/>
  <c r="N86" i="49"/>
  <c r="N53" i="49"/>
  <c r="N45" i="49"/>
  <c r="N36" i="49"/>
  <c r="N13" i="49"/>
  <c r="N10" i="49"/>
  <c r="K17" i="49"/>
  <c r="G17" i="49"/>
  <c r="N9" i="49"/>
  <c r="C17" i="49"/>
  <c r="N106" i="49"/>
  <c r="N100" i="49"/>
  <c r="N97" i="49"/>
  <c r="N96" i="49"/>
  <c r="N92" i="49"/>
  <c r="B21" i="17" s="1"/>
  <c r="J21" i="17" s="1"/>
  <c r="B64" i="63" s="1"/>
  <c r="L64" i="63" s="1"/>
  <c r="B64" i="48" s="1"/>
  <c r="C64" i="48" s="1"/>
  <c r="E64" i="48" s="1"/>
  <c r="N75" i="49"/>
  <c r="N70" i="49"/>
  <c r="B22" i="64" s="1"/>
  <c r="J22" i="64" s="1"/>
  <c r="N68" i="49"/>
  <c r="B22" i="10" s="1"/>
  <c r="J22" i="10" s="1"/>
  <c r="N64" i="49"/>
  <c r="N59" i="49"/>
  <c r="N30" i="49"/>
  <c r="N20" i="49"/>
  <c r="G65" i="38"/>
  <c r="I65" i="38" s="1"/>
  <c r="B28" i="24" s="1"/>
  <c r="C65" i="38"/>
  <c r="N111" i="49"/>
  <c r="G109" i="49"/>
  <c r="N108" i="49"/>
  <c r="N103" i="49"/>
  <c r="N98" i="49"/>
  <c r="N90" i="49"/>
  <c r="N80" i="49"/>
  <c r="B25" i="7" s="1"/>
  <c r="J25" i="7" s="1"/>
  <c r="N62" i="49"/>
  <c r="B21" i="21" s="1"/>
  <c r="J21" i="21" s="1"/>
  <c r="N22" i="49"/>
  <c r="N16" i="49"/>
  <c r="N11" i="49"/>
  <c r="F85" i="38"/>
  <c r="G85" i="38"/>
  <c r="I85" i="38" s="1"/>
  <c r="B42" i="24" s="1"/>
  <c r="D73" i="38"/>
  <c r="F65" i="38"/>
  <c r="F55" i="38"/>
  <c r="G49" i="38"/>
  <c r="I49" i="38" s="1"/>
  <c r="B18" i="24" s="1"/>
  <c r="C49" i="38"/>
  <c r="G45" i="38"/>
  <c r="I45" i="38" s="1"/>
  <c r="B16" i="24" s="1"/>
  <c r="N104" i="49"/>
  <c r="N99" i="49"/>
  <c r="N94" i="49"/>
  <c r="N82" i="49"/>
  <c r="B28" i="15" s="1"/>
  <c r="J28" i="15" s="1"/>
  <c r="N74" i="49"/>
  <c r="N65" i="49"/>
  <c r="N48" i="49"/>
  <c r="B21" i="20" s="1"/>
  <c r="J21" i="20" s="1"/>
  <c r="N43" i="49"/>
  <c r="N29" i="49"/>
  <c r="N12" i="49"/>
  <c r="E50" i="22"/>
  <c r="F50" i="22" s="1"/>
  <c r="G50" i="22" s="1"/>
  <c r="F79" i="38"/>
  <c r="E65" i="38"/>
  <c r="F45" i="38"/>
  <c r="F18" i="38"/>
  <c r="C109" i="49"/>
  <c r="C76" i="49"/>
  <c r="J15" i="10"/>
  <c r="N25" i="20" l="1"/>
  <c r="P25" i="20" s="1"/>
  <c r="R37" i="1"/>
  <c r="T37" i="1" s="1"/>
  <c r="O37" i="1"/>
  <c r="D56" i="63"/>
  <c r="N56" i="63" s="1"/>
  <c r="F56" i="48" s="1"/>
  <c r="H40" i="7"/>
  <c r="I41" i="7" s="1"/>
  <c r="D42" i="63"/>
  <c r="N42" i="63" s="1"/>
  <c r="F42" i="48" s="1"/>
  <c r="D32" i="63"/>
  <c r="N32" i="63" s="1"/>
  <c r="F32" i="48" s="1"/>
  <c r="D18" i="63"/>
  <c r="N18" i="63" s="1"/>
  <c r="F18" i="48" s="1"/>
  <c r="D34" i="63"/>
  <c r="N34" i="63" s="1"/>
  <c r="F34" i="48" s="1"/>
  <c r="D16" i="63"/>
  <c r="N16" i="63" s="1"/>
  <c r="F16" i="48" s="1"/>
  <c r="G16" i="48" s="1"/>
  <c r="J16" i="18"/>
  <c r="J15" i="12"/>
  <c r="J15" i="13"/>
  <c r="M15" i="13" s="1"/>
  <c r="D38" i="63"/>
  <c r="N38" i="63" s="1"/>
  <c r="F38" i="48" s="1"/>
  <c r="D22" i="63"/>
  <c r="N22" i="63" s="1"/>
  <c r="F22" i="48" s="1"/>
  <c r="J15" i="64"/>
  <c r="M15" i="64" s="1"/>
  <c r="J15" i="16"/>
  <c r="J16" i="3"/>
  <c r="J15" i="11"/>
  <c r="J15" i="17"/>
  <c r="J15" i="6"/>
  <c r="D26" i="63"/>
  <c r="N26" i="63" s="1"/>
  <c r="F26" i="48" s="1"/>
  <c r="D50" i="63"/>
  <c r="N50" i="63" s="1"/>
  <c r="F50" i="48" s="1"/>
  <c r="C30" i="63"/>
  <c r="M30" i="63" s="1"/>
  <c r="D30" i="48" s="1"/>
  <c r="B26" i="63"/>
  <c r="L26" i="63" s="1"/>
  <c r="B26" i="48" s="1"/>
  <c r="C26" i="48" s="1"/>
  <c r="N31" i="65"/>
  <c r="N31" i="5"/>
  <c r="N31" i="20"/>
  <c r="N33" i="60"/>
  <c r="N31" i="21"/>
  <c r="N31" i="17"/>
  <c r="F63" i="72" s="1"/>
  <c r="N30" i="19"/>
  <c r="N31" i="58"/>
  <c r="T36" i="62"/>
  <c r="T13" i="62"/>
  <c r="C52" i="63"/>
  <c r="M52" i="63" s="1"/>
  <c r="D52" i="48" s="1"/>
  <c r="O27" i="12"/>
  <c r="N20" i="19"/>
  <c r="P20" i="19" s="1"/>
  <c r="J17" i="2"/>
  <c r="H27" i="58"/>
  <c r="K27" i="58" s="1"/>
  <c r="N27" i="58" s="1"/>
  <c r="H54" i="22"/>
  <c r="K54" i="22" s="1"/>
  <c r="H29" i="60"/>
  <c r="K29" i="60" s="1"/>
  <c r="N29" i="60" s="1"/>
  <c r="H34" i="2"/>
  <c r="K34" i="2" s="1"/>
  <c r="I31" i="1"/>
  <c r="L31" i="1" s="1"/>
  <c r="M17" i="65"/>
  <c r="M17" i="5"/>
  <c r="E16" i="48"/>
  <c r="M20" i="18"/>
  <c r="L21" i="65"/>
  <c r="Q23" i="1"/>
  <c r="N29" i="58"/>
  <c r="P29" i="58" s="1"/>
  <c r="N23" i="60"/>
  <c r="B49" i="38"/>
  <c r="C36" i="63"/>
  <c r="M36" i="63" s="1"/>
  <c r="D36" i="48" s="1"/>
  <c r="M17" i="58"/>
  <c r="N25" i="65"/>
  <c r="P25" i="65" s="1"/>
  <c r="C40" i="63"/>
  <c r="M40" i="63" s="1"/>
  <c r="D40" i="48" s="1"/>
  <c r="M17" i="21"/>
  <c r="N26" i="19"/>
  <c r="N54" i="49"/>
  <c r="B26" i="8" s="1"/>
  <c r="J26" i="8" s="1"/>
  <c r="M26" i="8" s="1"/>
  <c r="N26" i="8" s="1"/>
  <c r="B79" i="38"/>
  <c r="N66" i="49"/>
  <c r="B22" i="11" s="1"/>
  <c r="J22" i="11" s="1"/>
  <c r="B44" i="63" s="1"/>
  <c r="L44" i="63" s="1"/>
  <c r="B44" i="48" s="1"/>
  <c r="C44" i="48" s="1"/>
  <c r="N31" i="49"/>
  <c r="B20" i="3" s="1"/>
  <c r="J20" i="3" s="1"/>
  <c r="N30" i="3" s="1"/>
  <c r="N27" i="65"/>
  <c r="B24" i="38"/>
  <c r="N25" i="17"/>
  <c r="P25" i="17" s="1"/>
  <c r="C14" i="63"/>
  <c r="M14" i="63" s="1"/>
  <c r="D14" i="48" s="1"/>
  <c r="B18" i="38"/>
  <c r="N29" i="20"/>
  <c r="P29" i="20" s="1"/>
  <c r="N25" i="58"/>
  <c r="P25" i="58" s="1"/>
  <c r="L20" i="19"/>
  <c r="N23" i="49"/>
  <c r="B26" i="2" s="1"/>
  <c r="J26" i="2" s="1"/>
  <c r="M17" i="20"/>
  <c r="C44" i="63"/>
  <c r="M44" i="63" s="1"/>
  <c r="D44" i="48" s="1"/>
  <c r="B73" i="38"/>
  <c r="B85" i="38"/>
  <c r="L21" i="60"/>
  <c r="B45" i="38"/>
  <c r="N37" i="49"/>
  <c r="B20" i="18" s="1"/>
  <c r="J20" i="18" s="1"/>
  <c r="B24" i="63" s="1"/>
  <c r="L24" i="63" s="1"/>
  <c r="B24" i="48" s="1"/>
  <c r="C24" i="48" s="1"/>
  <c r="E24" i="48" s="1"/>
  <c r="N29" i="65"/>
  <c r="P29" i="65" s="1"/>
  <c r="B55" i="38"/>
  <c r="B65" i="38"/>
  <c r="N31" i="60"/>
  <c r="P31" i="60" s="1"/>
  <c r="N17" i="49"/>
  <c r="B23" i="1" s="1"/>
  <c r="K23" i="1" s="1"/>
  <c r="N23" i="1" s="1"/>
  <c r="N27" i="20"/>
  <c r="N27" i="60"/>
  <c r="P27" i="60" s="1"/>
  <c r="M16" i="60"/>
  <c r="G115" i="38"/>
  <c r="N29" i="21"/>
  <c r="P29" i="21" s="1"/>
  <c r="N27" i="17"/>
  <c r="P27" i="17" s="1"/>
  <c r="M25" i="13"/>
  <c r="N25" i="13" s="1"/>
  <c r="B54" i="63"/>
  <c r="L54" i="63" s="1"/>
  <c r="B54" i="48" s="1"/>
  <c r="C54" i="48" s="1"/>
  <c r="N25" i="5"/>
  <c r="P25" i="5" s="1"/>
  <c r="L21" i="20"/>
  <c r="B32" i="63"/>
  <c r="L32" i="63" s="1"/>
  <c r="B32" i="48" s="1"/>
  <c r="C32" i="48" s="1"/>
  <c r="M28" i="15"/>
  <c r="B58" i="63"/>
  <c r="L58" i="63" s="1"/>
  <c r="B58" i="48" s="1"/>
  <c r="C58" i="48" s="1"/>
  <c r="M25" i="7"/>
  <c r="B56" i="63"/>
  <c r="L56" i="63" s="1"/>
  <c r="B56" i="48" s="1"/>
  <c r="C56" i="48" s="1"/>
  <c r="L21" i="17"/>
  <c r="N27" i="5"/>
  <c r="N28" i="19"/>
  <c r="P28" i="19" s="1"/>
  <c r="L21" i="58"/>
  <c r="B22" i="63"/>
  <c r="L22" i="63" s="1"/>
  <c r="B22" i="48" s="1"/>
  <c r="C22" i="48" s="1"/>
  <c r="N29" i="5"/>
  <c r="P29" i="5" s="1"/>
  <c r="L21" i="21"/>
  <c r="B42" i="63"/>
  <c r="L42" i="63" s="1"/>
  <c r="B42" i="48" s="1"/>
  <c r="C42" i="48" s="1"/>
  <c r="E42" i="48" s="1"/>
  <c r="M22" i="10"/>
  <c r="N22" i="10" s="1"/>
  <c r="B46" i="63"/>
  <c r="L46" i="63" s="1"/>
  <c r="B46" i="48" s="1"/>
  <c r="C46" i="48" s="1"/>
  <c r="E46" i="48" s="1"/>
  <c r="N46" i="49"/>
  <c r="B25" i="4" s="1"/>
  <c r="J25" i="4" s="1"/>
  <c r="M25" i="4" s="1"/>
  <c r="N60" i="49"/>
  <c r="B22" i="6" s="1"/>
  <c r="J22" i="6" s="1"/>
  <c r="M22" i="64"/>
  <c r="N22" i="64" s="1"/>
  <c r="B48" i="63"/>
  <c r="L48" i="63" s="1"/>
  <c r="B48" i="48" s="1"/>
  <c r="C48" i="48" s="1"/>
  <c r="E48" i="48" s="1"/>
  <c r="D24" i="63"/>
  <c r="N24" i="63" s="1"/>
  <c r="F24" i="48" s="1"/>
  <c r="N24" i="19"/>
  <c r="P24" i="19" s="1"/>
  <c r="N109" i="49"/>
  <c r="B95" i="38"/>
  <c r="N25" i="21"/>
  <c r="P25" i="21" s="1"/>
  <c r="N29" i="17"/>
  <c r="P29" i="17" s="1"/>
  <c r="N27" i="21"/>
  <c r="L21" i="5"/>
  <c r="M27" i="16"/>
  <c r="N27" i="16" s="1"/>
  <c r="B60" i="63"/>
  <c r="L60" i="63" s="1"/>
  <c r="B60" i="48" s="1"/>
  <c r="C60" i="48" s="1"/>
  <c r="E60" i="48" s="1"/>
  <c r="F115" i="38"/>
  <c r="I115" i="38"/>
  <c r="B10" i="24"/>
  <c r="B64" i="24" s="1"/>
  <c r="B69" i="24" s="1"/>
  <c r="B77" i="24" s="1"/>
  <c r="E115" i="38"/>
  <c r="I10" i="1" s="1"/>
  <c r="B17" i="4"/>
  <c r="N76" i="49"/>
  <c r="B27" i="12" s="1"/>
  <c r="J27" i="12" s="1"/>
  <c r="M15" i="10"/>
  <c r="D46" i="63"/>
  <c r="N46" i="63" s="1"/>
  <c r="F46" i="48" s="1"/>
  <c r="G46" i="48" s="1"/>
  <c r="D69" i="56" l="1"/>
  <c r="D69" i="47" s="1"/>
  <c r="D67" i="56"/>
  <c r="D67" i="47" s="1"/>
  <c r="L26" i="19"/>
  <c r="P26" i="19"/>
  <c r="L31" i="21"/>
  <c r="E41" i="72" s="1"/>
  <c r="F41" i="72"/>
  <c r="G24" i="48"/>
  <c r="H24" i="48" s="1"/>
  <c r="L29" i="60"/>
  <c r="P29" i="60"/>
  <c r="L31" i="58"/>
  <c r="E21" i="72" s="1"/>
  <c r="F21" i="72"/>
  <c r="G32" i="48"/>
  <c r="L27" i="5"/>
  <c r="P27" i="5"/>
  <c r="L27" i="20"/>
  <c r="P27" i="20"/>
  <c r="L30" i="19"/>
  <c r="E27" i="72" s="1"/>
  <c r="F27" i="72"/>
  <c r="L31" i="20"/>
  <c r="E31" i="72" s="1"/>
  <c r="F31" i="72"/>
  <c r="L30" i="3"/>
  <c r="E19" i="72" s="1"/>
  <c r="F19" i="72"/>
  <c r="L31" i="65"/>
  <c r="E25" i="72" s="1"/>
  <c r="F25" i="72"/>
  <c r="L33" i="60"/>
  <c r="E15" i="72" s="1"/>
  <c r="F15" i="72"/>
  <c r="M15" i="6"/>
  <c r="L27" i="21"/>
  <c r="P27" i="21"/>
  <c r="L27" i="65"/>
  <c r="P27" i="65"/>
  <c r="L23" i="60"/>
  <c r="P23" i="60"/>
  <c r="L27" i="58"/>
  <c r="P27" i="58"/>
  <c r="L31" i="5"/>
  <c r="E33" i="72" s="1"/>
  <c r="F33" i="72"/>
  <c r="G26" i="48"/>
  <c r="G42" i="48"/>
  <c r="H42" i="48" s="1"/>
  <c r="P35" i="4"/>
  <c r="M15" i="16"/>
  <c r="D44" i="63"/>
  <c r="N44" i="63" s="1"/>
  <c r="F44" i="48" s="1"/>
  <c r="G44" i="48" s="1"/>
  <c r="G22" i="48"/>
  <c r="G34" i="48"/>
  <c r="H34" i="48" s="1"/>
  <c r="D40" i="63"/>
  <c r="N40" i="63" s="1"/>
  <c r="F40" i="48" s="1"/>
  <c r="D60" i="63"/>
  <c r="N60" i="63" s="1"/>
  <c r="F60" i="48" s="1"/>
  <c r="G60" i="48" s="1"/>
  <c r="H60" i="48" s="1"/>
  <c r="M15" i="11"/>
  <c r="G56" i="48"/>
  <c r="D48" i="63"/>
  <c r="N48" i="63" s="1"/>
  <c r="F48" i="48" s="1"/>
  <c r="M15" i="12"/>
  <c r="M15" i="17"/>
  <c r="D64" i="63"/>
  <c r="N64" i="63" s="1"/>
  <c r="F64" i="48" s="1"/>
  <c r="D52" i="63"/>
  <c r="N52" i="63" s="1"/>
  <c r="F52" i="48" s="1"/>
  <c r="L17" i="65"/>
  <c r="D31" i="57"/>
  <c r="D54" i="63"/>
  <c r="N54" i="63" s="1"/>
  <c r="F54" i="48" s="1"/>
  <c r="G54" i="48" s="1"/>
  <c r="D20" i="63"/>
  <c r="N20" i="63" s="1"/>
  <c r="F20" i="48" s="1"/>
  <c r="D41" i="57"/>
  <c r="D21" i="57"/>
  <c r="L38" i="2"/>
  <c r="N25" i="4"/>
  <c r="L34" i="2"/>
  <c r="I27" i="1"/>
  <c r="E26" i="48"/>
  <c r="D14" i="63"/>
  <c r="N14" i="63" s="1"/>
  <c r="F14" i="48" s="1"/>
  <c r="M17" i="2"/>
  <c r="P23" i="1"/>
  <c r="B14" i="63"/>
  <c r="L14" i="63" s="1"/>
  <c r="B14" i="48" s="1"/>
  <c r="C14" i="48" s="1"/>
  <c r="E14" i="48" s="1"/>
  <c r="M26" i="2"/>
  <c r="O26" i="2" s="1"/>
  <c r="R31" i="1"/>
  <c r="N30" i="18"/>
  <c r="B20" i="63"/>
  <c r="L20" i="63" s="1"/>
  <c r="B20" i="48" s="1"/>
  <c r="C20" i="48" s="1"/>
  <c r="E20" i="48" s="1"/>
  <c r="N20" i="18"/>
  <c r="P20" i="18" s="1"/>
  <c r="H16" i="48"/>
  <c r="D33" i="57"/>
  <c r="N28" i="18"/>
  <c r="P28" i="18" s="1"/>
  <c r="L17" i="58"/>
  <c r="L17" i="5"/>
  <c r="M16" i="18"/>
  <c r="N24" i="18"/>
  <c r="P24" i="18" s="1"/>
  <c r="L17" i="21"/>
  <c r="M22" i="11"/>
  <c r="L17" i="20"/>
  <c r="L20" i="3"/>
  <c r="N26" i="3"/>
  <c r="E56" i="48"/>
  <c r="E44" i="48"/>
  <c r="B36" i="63"/>
  <c r="L36" i="63" s="1"/>
  <c r="B36" i="48" s="1"/>
  <c r="C36" i="48" s="1"/>
  <c r="E36" i="48" s="1"/>
  <c r="O15" i="10"/>
  <c r="M16" i="3"/>
  <c r="N28" i="3"/>
  <c r="P28" i="3" s="1"/>
  <c r="N24" i="3"/>
  <c r="P24" i="3" s="1"/>
  <c r="N26" i="18"/>
  <c r="L20" i="18"/>
  <c r="B115" i="38"/>
  <c r="D15" i="57"/>
  <c r="L16" i="60"/>
  <c r="M22" i="6"/>
  <c r="N22" i="6" s="1"/>
  <c r="B40" i="63"/>
  <c r="L40" i="63" s="1"/>
  <c r="B40" i="48" s="1"/>
  <c r="C40" i="48" s="1"/>
  <c r="E40" i="48" s="1"/>
  <c r="E32" i="48"/>
  <c r="B30" i="63"/>
  <c r="L30" i="63" s="1"/>
  <c r="B30" i="48" s="1"/>
  <c r="C30" i="48" s="1"/>
  <c r="E30" i="48" s="1"/>
  <c r="P29" i="4"/>
  <c r="R29" i="4" s="1"/>
  <c r="P33" i="4"/>
  <c r="R33" i="4" s="1"/>
  <c r="P31" i="4"/>
  <c r="R31" i="4" s="1"/>
  <c r="O15" i="64"/>
  <c r="N25" i="7"/>
  <c r="O15" i="7"/>
  <c r="E58" i="48"/>
  <c r="E22" i="48"/>
  <c r="N28" i="15"/>
  <c r="O15" i="13"/>
  <c r="E54" i="48"/>
  <c r="B12" i="63"/>
  <c r="R33" i="1"/>
  <c r="T33" i="1" s="1"/>
  <c r="R29" i="1"/>
  <c r="T29" i="1" s="1"/>
  <c r="M27" i="12"/>
  <c r="B52" i="63"/>
  <c r="L52" i="63" s="1"/>
  <c r="B52" i="48" s="1"/>
  <c r="C52" i="48" s="1"/>
  <c r="J17" i="4"/>
  <c r="H46" i="48"/>
  <c r="O15" i="16" l="1"/>
  <c r="L26" i="3"/>
  <c r="P26" i="3"/>
  <c r="L30" i="18"/>
  <c r="E23" i="72" s="1"/>
  <c r="F23" i="72"/>
  <c r="P31" i="1"/>
  <c r="T31" i="1"/>
  <c r="N38" i="2"/>
  <c r="Q38" i="2" s="1"/>
  <c r="D13" i="72"/>
  <c r="N35" i="4"/>
  <c r="E29" i="72" s="1"/>
  <c r="F29" i="72"/>
  <c r="L26" i="18"/>
  <c r="P26" i="18"/>
  <c r="G20" i="48"/>
  <c r="H20" i="48" s="1"/>
  <c r="G14" i="48"/>
  <c r="H14" i="48" s="1"/>
  <c r="G52" i="48"/>
  <c r="O15" i="11"/>
  <c r="G64" i="48"/>
  <c r="H64" i="48" s="1"/>
  <c r="G48" i="48"/>
  <c r="H48" i="48" s="1"/>
  <c r="G40" i="48"/>
  <c r="H40" i="48" s="1"/>
  <c r="H56" i="48"/>
  <c r="L15" i="17"/>
  <c r="H11" i="10"/>
  <c r="L24" i="10" s="1"/>
  <c r="D63" i="57"/>
  <c r="H11" i="58"/>
  <c r="N23" i="58" s="1"/>
  <c r="H11" i="16"/>
  <c r="H29" i="16" s="1"/>
  <c r="H11" i="6"/>
  <c r="H24" i="6" s="1"/>
  <c r="H26" i="48"/>
  <c r="H11" i="22"/>
  <c r="H50" i="22" s="1"/>
  <c r="K50" i="22" s="1"/>
  <c r="H11" i="64"/>
  <c r="P24" i="64" s="1"/>
  <c r="R24" i="64" s="1"/>
  <c r="H11" i="21"/>
  <c r="N23" i="21" s="1"/>
  <c r="H11" i="5"/>
  <c r="I23" i="5" s="1"/>
  <c r="H11" i="20"/>
  <c r="N23" i="20" s="1"/>
  <c r="H11" i="15"/>
  <c r="L30" i="15" s="1"/>
  <c r="H11" i="7"/>
  <c r="H27" i="7" s="1"/>
  <c r="H11" i="9"/>
  <c r="L27" i="9" s="1"/>
  <c r="H10" i="60"/>
  <c r="N25" i="60" s="1"/>
  <c r="N34" i="2"/>
  <c r="D30" i="63"/>
  <c r="N30" i="63" s="1"/>
  <c r="F30" i="48" s="1"/>
  <c r="M17" i="4"/>
  <c r="H11" i="23"/>
  <c r="H32" i="51" s="1"/>
  <c r="H11" i="19"/>
  <c r="H22" i="19" s="1"/>
  <c r="H10" i="65"/>
  <c r="N23" i="65" s="1"/>
  <c r="H11" i="4"/>
  <c r="H11" i="11"/>
  <c r="I24" i="11" s="1"/>
  <c r="H10" i="18"/>
  <c r="I22" i="18" s="1"/>
  <c r="H10" i="17"/>
  <c r="N23" i="17" s="1"/>
  <c r="M27" i="1"/>
  <c r="H11" i="8"/>
  <c r="L28" i="8" s="1"/>
  <c r="L38" i="8" s="1"/>
  <c r="H10" i="3"/>
  <c r="N22" i="3" s="1"/>
  <c r="H11" i="59"/>
  <c r="H27" i="59" s="1"/>
  <c r="H11" i="12"/>
  <c r="L29" i="12" s="1"/>
  <c r="H11" i="2"/>
  <c r="H30" i="2" s="1"/>
  <c r="H11" i="13"/>
  <c r="L27" i="13" s="1"/>
  <c r="L16" i="18"/>
  <c r="D23" i="57"/>
  <c r="N16" i="18"/>
  <c r="P16" i="18" s="1"/>
  <c r="N22" i="11"/>
  <c r="L16" i="3"/>
  <c r="D45" i="57"/>
  <c r="H44" i="48"/>
  <c r="P30" i="10"/>
  <c r="R30" i="10" s="1"/>
  <c r="N15" i="10"/>
  <c r="O15" i="6"/>
  <c r="P26" i="10"/>
  <c r="R26" i="10" s="1"/>
  <c r="D19" i="57"/>
  <c r="H32" i="48"/>
  <c r="H22" i="48"/>
  <c r="H54" i="48"/>
  <c r="N15" i="64"/>
  <c r="D47" i="57"/>
  <c r="P30" i="64"/>
  <c r="R30" i="64" s="1"/>
  <c r="P26" i="64"/>
  <c r="R26" i="64" s="1"/>
  <c r="D59" i="57"/>
  <c r="N15" i="16"/>
  <c r="P35" i="16"/>
  <c r="R35" i="16" s="1"/>
  <c r="P31" i="16"/>
  <c r="R31" i="16" s="1"/>
  <c r="P33" i="7"/>
  <c r="R33" i="7" s="1"/>
  <c r="D55" i="57"/>
  <c r="P29" i="7"/>
  <c r="R29" i="7" s="1"/>
  <c r="N15" i="7"/>
  <c r="D53" i="57"/>
  <c r="N15" i="13"/>
  <c r="P29" i="13"/>
  <c r="R29" i="13" s="1"/>
  <c r="P33" i="13"/>
  <c r="R33" i="13" s="1"/>
  <c r="E52" i="48"/>
  <c r="N27" i="12"/>
  <c r="O15" i="12"/>
  <c r="L12" i="63"/>
  <c r="I29" i="12" l="1"/>
  <c r="H23" i="5"/>
  <c r="F63" i="57"/>
  <c r="P23" i="17"/>
  <c r="F25" i="57"/>
  <c r="P23" i="65"/>
  <c r="F41" i="57"/>
  <c r="P23" i="21"/>
  <c r="F13" i="72"/>
  <c r="O38" i="2"/>
  <c r="E13" i="72" s="1"/>
  <c r="F19" i="57"/>
  <c r="P22" i="3"/>
  <c r="N23" i="5"/>
  <c r="F15" i="57"/>
  <c r="P25" i="60"/>
  <c r="F31" i="57"/>
  <c r="P23" i="20"/>
  <c r="F21" i="57"/>
  <c r="P23" i="58"/>
  <c r="P26" i="11"/>
  <c r="R26" i="11" s="1"/>
  <c r="I29" i="16"/>
  <c r="K29" i="16" s="1"/>
  <c r="P30" i="11"/>
  <c r="R30" i="11" s="1"/>
  <c r="L29" i="16"/>
  <c r="G30" i="48"/>
  <c r="H30" i="48" s="1"/>
  <c r="P24" i="10"/>
  <c r="I24" i="64"/>
  <c r="P29" i="16"/>
  <c r="N15" i="11"/>
  <c r="D43" i="57"/>
  <c r="I24" i="10"/>
  <c r="H33" i="23"/>
  <c r="K33" i="23" s="1"/>
  <c r="O17" i="4"/>
  <c r="I23" i="58"/>
  <c r="H23" i="58"/>
  <c r="I23" i="20"/>
  <c r="P27" i="7"/>
  <c r="L27" i="7"/>
  <c r="H24" i="10"/>
  <c r="P27" i="13"/>
  <c r="I24" i="6"/>
  <c r="K24" i="6" s="1"/>
  <c r="I27" i="7"/>
  <c r="K27" i="7" s="1"/>
  <c r="I23" i="65"/>
  <c r="I23" i="17"/>
  <c r="H23" i="21"/>
  <c r="H28" i="8"/>
  <c r="I23" i="21"/>
  <c r="L24" i="11"/>
  <c r="H24" i="64"/>
  <c r="P26" i="6"/>
  <c r="R26" i="6" s="1"/>
  <c r="H27" i="9"/>
  <c r="L24" i="64"/>
  <c r="I27" i="13"/>
  <c r="I25" i="60"/>
  <c r="I27" i="9"/>
  <c r="H30" i="15"/>
  <c r="H23" i="17"/>
  <c r="H25" i="60"/>
  <c r="H29" i="12"/>
  <c r="K29" i="12" s="1"/>
  <c r="H23" i="65"/>
  <c r="H23" i="20"/>
  <c r="H24" i="11"/>
  <c r="K24" i="11" s="1"/>
  <c r="H27" i="13"/>
  <c r="I28" i="8"/>
  <c r="I27" i="4"/>
  <c r="L27" i="4"/>
  <c r="L37" i="4" s="1"/>
  <c r="J30" i="63" s="1"/>
  <c r="I30" i="2"/>
  <c r="K30" i="2" s="1"/>
  <c r="L30" i="2"/>
  <c r="L40" i="2" s="1"/>
  <c r="J14" i="63" s="1"/>
  <c r="H22" i="3"/>
  <c r="P24" i="11"/>
  <c r="H22" i="18"/>
  <c r="K22" i="18" s="1"/>
  <c r="I27" i="59"/>
  <c r="K27" i="59" s="1"/>
  <c r="N22" i="18"/>
  <c r="H27" i="4"/>
  <c r="K23" i="5"/>
  <c r="L23" i="5" s="1"/>
  <c r="I22" i="3"/>
  <c r="P30" i="6"/>
  <c r="R30" i="6" s="1"/>
  <c r="P24" i="6"/>
  <c r="R24" i="6" s="1"/>
  <c r="N15" i="6"/>
  <c r="D39" i="57"/>
  <c r="F47" i="57"/>
  <c r="H52" i="48"/>
  <c r="B12" i="48"/>
  <c r="D51" i="57"/>
  <c r="P29" i="12"/>
  <c r="R29" i="12" s="1"/>
  <c r="N15" i="12"/>
  <c r="P31" i="12"/>
  <c r="R31" i="12" s="1"/>
  <c r="P35" i="12"/>
  <c r="R35" i="12" s="1"/>
  <c r="K25" i="60" l="1"/>
  <c r="L25" i="60" s="1"/>
  <c r="K23" i="21"/>
  <c r="L23" i="21" s="1"/>
  <c r="K24" i="10"/>
  <c r="N24" i="10" s="1"/>
  <c r="K22" i="3"/>
  <c r="L22" i="3" s="1"/>
  <c r="K28" i="8"/>
  <c r="K24" i="64"/>
  <c r="N24" i="64" s="1"/>
  <c r="F45" i="57"/>
  <c r="R24" i="10"/>
  <c r="F33" i="57"/>
  <c r="P23" i="5"/>
  <c r="F43" i="57"/>
  <c r="R24" i="11"/>
  <c r="F59" i="57"/>
  <c r="R29" i="16"/>
  <c r="F55" i="57"/>
  <c r="R27" i="7"/>
  <c r="F53" i="57"/>
  <c r="R27" i="13"/>
  <c r="F23" i="57"/>
  <c r="P22" i="18"/>
  <c r="K23" i="65"/>
  <c r="L23" i="65" s="1"/>
  <c r="K23" i="20"/>
  <c r="L23" i="20" s="1"/>
  <c r="K23" i="17"/>
  <c r="K23" i="58"/>
  <c r="L23" i="58" s="1"/>
  <c r="K27" i="9"/>
  <c r="K27" i="13"/>
  <c r="N27" i="13" s="1"/>
  <c r="K27" i="4"/>
  <c r="N30" i="2"/>
  <c r="N24" i="11"/>
  <c r="L22" i="18"/>
  <c r="F39" i="57"/>
  <c r="N24" i="6"/>
  <c r="F51" i="57"/>
  <c r="N29" i="12"/>
  <c r="C12" i="48"/>
  <c r="E12" i="48" l="1"/>
  <c r="O25" i="9" l="1"/>
  <c r="I113" i="49" l="1"/>
  <c r="E113" i="49"/>
  <c r="F113" i="49"/>
  <c r="J113" i="49"/>
  <c r="C45" i="38"/>
  <c r="D45" i="38"/>
  <c r="C95" i="38"/>
  <c r="D95" i="38"/>
  <c r="C113" i="49"/>
  <c r="G113" i="49"/>
  <c r="K113" i="49"/>
  <c r="N72" i="49"/>
  <c r="B25" i="59" s="1"/>
  <c r="J25" i="59" s="1"/>
  <c r="B50" i="63" s="1"/>
  <c r="L50" i="63" s="1"/>
  <c r="B50" i="48" s="1"/>
  <c r="C50" i="48" s="1"/>
  <c r="G50" i="48" s="1"/>
  <c r="D113" i="49"/>
  <c r="H113" i="49"/>
  <c r="L113" i="49"/>
  <c r="M25" i="59"/>
  <c r="C50" i="63"/>
  <c r="M50" i="63" s="1"/>
  <c r="D50" i="48" s="1"/>
  <c r="C38" i="63"/>
  <c r="M113" i="49"/>
  <c r="N56" i="49"/>
  <c r="B113" i="49"/>
  <c r="N35" i="59" l="1"/>
  <c r="E50" i="48"/>
  <c r="H50" i="48" s="1"/>
  <c r="N33" i="59"/>
  <c r="P33" i="59" s="1"/>
  <c r="L25" i="59"/>
  <c r="N29" i="59"/>
  <c r="P29" i="59" s="1"/>
  <c r="N31" i="59"/>
  <c r="M15" i="59"/>
  <c r="C85" i="38"/>
  <c r="D85" i="38"/>
  <c r="C79" i="38"/>
  <c r="D79" i="38"/>
  <c r="B25" i="9"/>
  <c r="J25" i="9" s="1"/>
  <c r="N113" i="49"/>
  <c r="M38" i="63"/>
  <c r="L31" i="59" l="1"/>
  <c r="P31" i="59"/>
  <c r="L35" i="59"/>
  <c r="E49" i="72" s="1"/>
  <c r="F49" i="72"/>
  <c r="C115" i="38"/>
  <c r="D115" i="38"/>
  <c r="N27" i="59"/>
  <c r="P27" i="59" s="1"/>
  <c r="L15" i="59"/>
  <c r="D49" i="57"/>
  <c r="D38" i="48"/>
  <c r="M25" i="9"/>
  <c r="B38" i="63"/>
  <c r="F49" i="57" l="1"/>
  <c r="L27" i="59"/>
  <c r="N25" i="9"/>
  <c r="L38" i="63"/>
  <c r="B38" i="48" l="1"/>
  <c r="C38" i="48" l="1"/>
  <c r="G38" i="48" s="1"/>
  <c r="E38" i="48" l="1"/>
  <c r="H38" i="48" l="1"/>
  <c r="L39" i="16" l="1"/>
  <c r="J60" i="63" s="1"/>
  <c r="D22" i="2" l="1"/>
  <c r="E22" i="2" s="1"/>
  <c r="F22" i="2" s="1"/>
  <c r="J22" i="2"/>
  <c r="M22" i="2" s="1"/>
  <c r="N22" i="2" s="1"/>
  <c r="G22" i="2" l="1"/>
  <c r="H22" i="2" s="1"/>
  <c r="K22" i="2"/>
  <c r="Q15" i="62" l="1"/>
  <c r="Q50" i="62" s="1"/>
  <c r="P15" i="62" l="1"/>
  <c r="P50" i="62"/>
  <c r="P17" i="2" l="1"/>
  <c r="P19" i="2"/>
  <c r="O19" i="2" s="1"/>
  <c r="P22" i="2"/>
  <c r="Q32" i="2"/>
  <c r="S32" i="2" s="1"/>
  <c r="Q34" i="2"/>
  <c r="Q36" i="2"/>
  <c r="S36" i="2" s="1"/>
  <c r="O22" i="2" l="1"/>
  <c r="O34" i="2"/>
  <c r="S34" i="2"/>
  <c r="O17" i="2"/>
  <c r="Q30" i="2"/>
  <c r="Q22" i="2"/>
  <c r="S22" i="2" s="1"/>
  <c r="D13" i="57"/>
  <c r="O30" i="2" l="1"/>
  <c r="S30" i="2"/>
  <c r="F13" i="57"/>
  <c r="I14" i="19" l="1"/>
  <c r="J14" i="1" l="1"/>
  <c r="K14" i="1" s="1"/>
  <c r="N14" i="1" s="1"/>
  <c r="J17" i="1"/>
  <c r="I16" i="19"/>
  <c r="K17" i="1" l="1"/>
  <c r="J27" i="1"/>
  <c r="L27" i="1" s="1"/>
  <c r="O27" i="1" s="1"/>
  <c r="J16" i="19"/>
  <c r="I22" i="19"/>
  <c r="K22" i="19" s="1"/>
  <c r="M35" i="1" l="1"/>
  <c r="M31" i="1"/>
  <c r="N17" i="1"/>
  <c r="D12" i="63"/>
  <c r="N12" i="63" s="1"/>
  <c r="F12" i="48" s="1"/>
  <c r="D28" i="63"/>
  <c r="N28" i="63" s="1"/>
  <c r="F28" i="48" s="1"/>
  <c r="M16" i="19"/>
  <c r="O35" i="1" l="1"/>
  <c r="R35" i="1" s="1"/>
  <c r="D11" i="72"/>
  <c r="D65" i="72" s="1"/>
  <c r="G28" i="48"/>
  <c r="H28" i="48" s="1"/>
  <c r="G12" i="48"/>
  <c r="H12" i="48" s="1"/>
  <c r="Q17" i="1"/>
  <c r="M39" i="1"/>
  <c r="J12" i="63" s="1"/>
  <c r="O31" i="1"/>
  <c r="N22" i="19"/>
  <c r="P22" i="19" s="1"/>
  <c r="N16" i="19"/>
  <c r="P16" i="19" s="1"/>
  <c r="L16" i="19"/>
  <c r="D27" i="57"/>
  <c r="F11" i="72" l="1"/>
  <c r="P35" i="1"/>
  <c r="E11" i="72" s="1"/>
  <c r="P17" i="1"/>
  <c r="P27" i="1" s="1"/>
  <c r="R27" i="1"/>
  <c r="T27" i="1" s="1"/>
  <c r="D11" i="57"/>
  <c r="F27" i="57"/>
  <c r="L22" i="19"/>
  <c r="F11" i="57" l="1"/>
  <c r="D26" i="15"/>
  <c r="E26" i="15" s="1"/>
  <c r="F26" i="15" s="1"/>
  <c r="G26" i="15" s="1"/>
  <c r="H26" i="15" s="1"/>
  <c r="J26" i="15"/>
  <c r="K26" i="15" l="1"/>
  <c r="M26" i="15"/>
  <c r="O26" i="15" s="1"/>
  <c r="M17" i="23"/>
  <c r="M48" i="22"/>
  <c r="N48" i="22" s="1"/>
  <c r="P48" i="22" s="1"/>
  <c r="M47" i="22"/>
  <c r="M46" i="22"/>
  <c r="N46" i="22" s="1"/>
  <c r="P46" i="22" s="1"/>
  <c r="M41" i="22"/>
  <c r="M40" i="22"/>
  <c r="M39" i="22"/>
  <c r="M36" i="22"/>
  <c r="M35" i="22"/>
  <c r="M31" i="22"/>
  <c r="M28" i="22"/>
  <c r="M27" i="22"/>
  <c r="M26" i="22"/>
  <c r="M22" i="22"/>
  <c r="N22" i="22" s="1"/>
  <c r="P22" i="22" s="1"/>
  <c r="M21" i="22"/>
  <c r="M18" i="22"/>
  <c r="M17" i="22"/>
  <c r="M16" i="22"/>
  <c r="N31" i="22" l="1"/>
  <c r="P31" i="22" s="1"/>
  <c r="N17" i="22"/>
  <c r="P17" i="22" s="1"/>
  <c r="N26" i="22"/>
  <c r="P26" i="22" s="1"/>
  <c r="N35" i="22"/>
  <c r="P35" i="22" s="1"/>
  <c r="N41" i="22"/>
  <c r="P41" i="22" s="1"/>
  <c r="N18" i="22"/>
  <c r="P18" i="22" s="1"/>
  <c r="N36" i="22"/>
  <c r="P36" i="22" s="1"/>
  <c r="P26" i="15"/>
  <c r="R26" i="15" s="1"/>
  <c r="N26" i="15"/>
  <c r="N16" i="22"/>
  <c r="P16" i="22" s="1"/>
  <c r="N40" i="22"/>
  <c r="P40" i="22" s="1"/>
  <c r="N17" i="23"/>
  <c r="P17" i="23" s="1"/>
  <c r="N27" i="22"/>
  <c r="P27" i="22" s="1"/>
  <c r="D54" i="50"/>
  <c r="C18" i="63" s="1"/>
  <c r="M15" i="22"/>
  <c r="N21" i="22"/>
  <c r="P21" i="22" s="1"/>
  <c r="N28" i="22"/>
  <c r="P28" i="22" s="1"/>
  <c r="N39" i="22"/>
  <c r="P39" i="22" s="1"/>
  <c r="N47" i="22"/>
  <c r="P47" i="22" s="1"/>
  <c r="M15" i="23"/>
  <c r="M28" i="23"/>
  <c r="M26" i="23"/>
  <c r="M27" i="23"/>
  <c r="M16" i="23"/>
  <c r="M21" i="23"/>
  <c r="M20" i="23"/>
  <c r="M29" i="23"/>
  <c r="M22" i="23"/>
  <c r="M23" i="23"/>
  <c r="L18" i="22"/>
  <c r="L31" i="22"/>
  <c r="L35" i="22"/>
  <c r="L27" i="22"/>
  <c r="L47" i="22"/>
  <c r="L40" i="22"/>
  <c r="L21" i="22"/>
  <c r="L17" i="22"/>
  <c r="J41" i="22" l="1"/>
  <c r="K41" i="22" s="1"/>
  <c r="B41" i="50"/>
  <c r="C41" i="50" s="1"/>
  <c r="E41" i="50" s="1"/>
  <c r="D41" i="22"/>
  <c r="E41" i="22" s="1"/>
  <c r="F41" i="22" s="1"/>
  <c r="G41" i="22" s="1"/>
  <c r="H41" i="22" s="1"/>
  <c r="N20" i="23"/>
  <c r="P20" i="23" s="1"/>
  <c r="B28" i="50"/>
  <c r="C28" i="50" s="1"/>
  <c r="E28" i="50" s="1"/>
  <c r="J28" i="22"/>
  <c r="K28" i="22" s="1"/>
  <c r="D28" i="22"/>
  <c r="E28" i="22" s="1"/>
  <c r="F28" i="22" s="1"/>
  <c r="G28" i="22" s="1"/>
  <c r="H28" i="22" s="1"/>
  <c r="L46" i="22"/>
  <c r="J46" i="22"/>
  <c r="D46" i="22"/>
  <c r="E46" i="22" s="1"/>
  <c r="F46" i="22" s="1"/>
  <c r="G46" i="22" s="1"/>
  <c r="H46" i="22" s="1"/>
  <c r="D36" i="22"/>
  <c r="E36" i="22" s="1"/>
  <c r="F36" i="22" s="1"/>
  <c r="G36" i="22" s="1"/>
  <c r="H36" i="22" s="1"/>
  <c r="J36" i="22"/>
  <c r="K36" i="22" s="1"/>
  <c r="B36" i="50"/>
  <c r="C36" i="50" s="1"/>
  <c r="E36" i="50" s="1"/>
  <c r="B15" i="50"/>
  <c r="D15" i="22"/>
  <c r="J15" i="22"/>
  <c r="K15" i="22" s="1"/>
  <c r="B39" i="50"/>
  <c r="C39" i="50" s="1"/>
  <c r="E39" i="50" s="1"/>
  <c r="J39" i="22"/>
  <c r="K39" i="22" s="1"/>
  <c r="D39" i="22"/>
  <c r="E39" i="22" s="1"/>
  <c r="F39" i="22" s="1"/>
  <c r="G39" i="22" s="1"/>
  <c r="H39" i="22" s="1"/>
  <c r="N29" i="23"/>
  <c r="P29" i="23" s="1"/>
  <c r="N27" i="23"/>
  <c r="P27" i="23" s="1"/>
  <c r="N15" i="23"/>
  <c r="P15" i="23" s="1"/>
  <c r="J18" i="3"/>
  <c r="D18" i="3"/>
  <c r="E18" i="3" s="1"/>
  <c r="F18" i="3" s="1"/>
  <c r="G18" i="3" s="1"/>
  <c r="H18" i="3" s="1"/>
  <c r="D13" i="19"/>
  <c r="J13" i="19"/>
  <c r="D19" i="5"/>
  <c r="E19" i="5" s="1"/>
  <c r="F19" i="5" s="1"/>
  <c r="G19" i="5" s="1"/>
  <c r="H19" i="5" s="1"/>
  <c r="J19" i="5"/>
  <c r="D19" i="21"/>
  <c r="E19" i="21" s="1"/>
  <c r="F19" i="21" s="1"/>
  <c r="G19" i="21" s="1"/>
  <c r="H19" i="21" s="1"/>
  <c r="J19" i="21"/>
  <c r="J19" i="17"/>
  <c r="D19" i="17"/>
  <c r="E19" i="17" s="1"/>
  <c r="F19" i="17" s="1"/>
  <c r="G19" i="17" s="1"/>
  <c r="H19" i="17" s="1"/>
  <c r="J24" i="8"/>
  <c r="D24" i="8"/>
  <c r="E24" i="8" s="1"/>
  <c r="F24" i="8" s="1"/>
  <c r="G24" i="8" s="1"/>
  <c r="H24" i="8" s="1"/>
  <c r="J20" i="10"/>
  <c r="D20" i="10"/>
  <c r="E20" i="10" s="1"/>
  <c r="F20" i="10" s="1"/>
  <c r="G20" i="10" s="1"/>
  <c r="H20" i="10" s="1"/>
  <c r="J23" i="13"/>
  <c r="D23" i="13"/>
  <c r="E23" i="13" s="1"/>
  <c r="F23" i="13" s="1"/>
  <c r="G23" i="13" s="1"/>
  <c r="H23" i="13" s="1"/>
  <c r="L39" i="22"/>
  <c r="M18" i="63"/>
  <c r="D26" i="22"/>
  <c r="E26" i="22" s="1"/>
  <c r="F26" i="22" s="1"/>
  <c r="G26" i="22" s="1"/>
  <c r="H26" i="22" s="1"/>
  <c r="B26" i="50"/>
  <c r="C26" i="50" s="1"/>
  <c r="E26" i="50" s="1"/>
  <c r="J26" i="22"/>
  <c r="K26" i="22" s="1"/>
  <c r="D17" i="22"/>
  <c r="E17" i="22" s="1"/>
  <c r="F17" i="22" s="1"/>
  <c r="G17" i="22" s="1"/>
  <c r="H17" i="22" s="1"/>
  <c r="B17" i="50"/>
  <c r="C17" i="50" s="1"/>
  <c r="E17" i="50" s="1"/>
  <c r="J17" i="22"/>
  <c r="K17" i="22" s="1"/>
  <c r="D17" i="23"/>
  <c r="E17" i="23" s="1"/>
  <c r="F17" i="23" s="1"/>
  <c r="G17" i="23" s="1"/>
  <c r="H17" i="23" s="1"/>
  <c r="B18" i="51"/>
  <c r="C18" i="51" s="1"/>
  <c r="E18" i="51" s="1"/>
  <c r="J17" i="23"/>
  <c r="K17" i="23" s="1"/>
  <c r="D19" i="20"/>
  <c r="E19" i="20" s="1"/>
  <c r="F19" i="20" s="1"/>
  <c r="G19" i="20" s="1"/>
  <c r="H19" i="20" s="1"/>
  <c r="J19" i="20"/>
  <c r="D23" i="4"/>
  <c r="E23" i="4" s="1"/>
  <c r="F23" i="4" s="1"/>
  <c r="G23" i="4" s="1"/>
  <c r="H23" i="4" s="1"/>
  <c r="J23" i="4"/>
  <c r="M23" i="4" s="1"/>
  <c r="D23" i="59"/>
  <c r="E23" i="59" s="1"/>
  <c r="F23" i="59" s="1"/>
  <c r="G23" i="59" s="1"/>
  <c r="H23" i="59" s="1"/>
  <c r="J23" i="59"/>
  <c r="L22" i="22"/>
  <c r="B22" i="50"/>
  <c r="C22" i="50" s="1"/>
  <c r="E22" i="50" s="1"/>
  <c r="D22" i="22"/>
  <c r="E22" i="22" s="1"/>
  <c r="F22" i="22" s="1"/>
  <c r="G22" i="22" s="1"/>
  <c r="H22" i="22" s="1"/>
  <c r="J22" i="22"/>
  <c r="K22" i="22" s="1"/>
  <c r="D16" i="22"/>
  <c r="E16" i="22" s="1"/>
  <c r="F16" i="22" s="1"/>
  <c r="G16" i="22" s="1"/>
  <c r="H16" i="22" s="1"/>
  <c r="J16" i="22"/>
  <c r="K16" i="22" s="1"/>
  <c r="B16" i="50"/>
  <c r="C16" i="50" s="1"/>
  <c r="E16" i="50" s="1"/>
  <c r="J40" i="22"/>
  <c r="K40" i="22" s="1"/>
  <c r="B40" i="50"/>
  <c r="C40" i="50" s="1"/>
  <c r="E40" i="50" s="1"/>
  <c r="D40" i="22"/>
  <c r="E40" i="22" s="1"/>
  <c r="F40" i="22" s="1"/>
  <c r="G40" i="22" s="1"/>
  <c r="H40" i="22" s="1"/>
  <c r="D35" i="22"/>
  <c r="E35" i="22" s="1"/>
  <c r="F35" i="22" s="1"/>
  <c r="G35" i="22" s="1"/>
  <c r="H35" i="22" s="1"/>
  <c r="J35" i="22"/>
  <c r="K35" i="22" s="1"/>
  <c r="B35" i="50"/>
  <c r="C35" i="50" s="1"/>
  <c r="E35" i="50" s="1"/>
  <c r="L48" i="22"/>
  <c r="J48" i="22"/>
  <c r="D48" i="22"/>
  <c r="E48" i="22" s="1"/>
  <c r="F48" i="22" s="1"/>
  <c r="G48" i="22" s="1"/>
  <c r="H48" i="22" s="1"/>
  <c r="N23" i="23"/>
  <c r="P23" i="23" s="1"/>
  <c r="N21" i="23"/>
  <c r="P21" i="23" s="1"/>
  <c r="D38" i="51"/>
  <c r="C62" i="63" s="1"/>
  <c r="M62" i="63" s="1"/>
  <c r="D62" i="48" s="1"/>
  <c r="M14" i="23"/>
  <c r="J20" i="11"/>
  <c r="D20" i="11"/>
  <c r="E20" i="11" s="1"/>
  <c r="F20" i="11" s="1"/>
  <c r="G20" i="11" s="1"/>
  <c r="H20" i="11" s="1"/>
  <c r="J20" i="64"/>
  <c r="D20" i="64"/>
  <c r="E20" i="64" s="1"/>
  <c r="F20" i="64" s="1"/>
  <c r="G20" i="64" s="1"/>
  <c r="H20" i="64" s="1"/>
  <c r="D23" i="12"/>
  <c r="E23" i="12" s="1"/>
  <c r="F23" i="12" s="1"/>
  <c r="G23" i="12" s="1"/>
  <c r="H23" i="12" s="1"/>
  <c r="J23" i="12"/>
  <c r="D23" i="7"/>
  <c r="E23" i="7" s="1"/>
  <c r="F23" i="7" s="1"/>
  <c r="G23" i="7" s="1"/>
  <c r="H23" i="7" s="1"/>
  <c r="J23" i="7"/>
  <c r="J40" i="7" s="1"/>
  <c r="J41" i="7" s="1"/>
  <c r="L41" i="22"/>
  <c r="L26" i="22"/>
  <c r="J27" i="22"/>
  <c r="K27" i="22" s="1"/>
  <c r="D27" i="22"/>
  <c r="E27" i="22" s="1"/>
  <c r="F27" i="22" s="1"/>
  <c r="G27" i="22" s="1"/>
  <c r="H27" i="22" s="1"/>
  <c r="B27" i="50"/>
  <c r="C27" i="50" s="1"/>
  <c r="E27" i="50" s="1"/>
  <c r="N26" i="23"/>
  <c r="P26" i="23" s="1"/>
  <c r="J25" i="16"/>
  <c r="D25" i="16"/>
  <c r="E25" i="16" s="1"/>
  <c r="F25" i="16" s="1"/>
  <c r="G25" i="16" s="1"/>
  <c r="H25" i="16" s="1"/>
  <c r="B21" i="50"/>
  <c r="C21" i="50" s="1"/>
  <c r="E21" i="50" s="1"/>
  <c r="J21" i="22"/>
  <c r="K21" i="22" s="1"/>
  <c r="D21" i="22"/>
  <c r="E21" i="22" s="1"/>
  <c r="F21" i="22" s="1"/>
  <c r="G21" i="22" s="1"/>
  <c r="H21" i="22" s="1"/>
  <c r="J47" i="22"/>
  <c r="D47" i="22"/>
  <c r="E47" i="22" s="1"/>
  <c r="F47" i="22" s="1"/>
  <c r="G47" i="22" s="1"/>
  <c r="H47" i="22" s="1"/>
  <c r="D31" i="22"/>
  <c r="E31" i="22" s="1"/>
  <c r="F31" i="22" s="1"/>
  <c r="G31" i="22" s="1"/>
  <c r="H31" i="22" s="1"/>
  <c r="B31" i="50"/>
  <c r="C31" i="50" s="1"/>
  <c r="E31" i="50" s="1"/>
  <c r="J31" i="22"/>
  <c r="K31" i="22" s="1"/>
  <c r="D18" i="22"/>
  <c r="E18" i="22" s="1"/>
  <c r="F18" i="22" s="1"/>
  <c r="G18" i="22" s="1"/>
  <c r="H18" i="22" s="1"/>
  <c r="J18" i="22"/>
  <c r="K18" i="22" s="1"/>
  <c r="B18" i="50"/>
  <c r="C18" i="50" s="1"/>
  <c r="E18" i="50" s="1"/>
  <c r="N22" i="23"/>
  <c r="P22" i="23" s="1"/>
  <c r="N16" i="23"/>
  <c r="P16" i="23" s="1"/>
  <c r="N28" i="23"/>
  <c r="P28" i="23" s="1"/>
  <c r="D19" i="65"/>
  <c r="E19" i="65" s="1"/>
  <c r="F19" i="65" s="1"/>
  <c r="G19" i="65" s="1"/>
  <c r="H19" i="65" s="1"/>
  <c r="J19" i="65"/>
  <c r="J18" i="60"/>
  <c r="D18" i="60"/>
  <c r="E18" i="60" s="1"/>
  <c r="F18" i="60" s="1"/>
  <c r="G18" i="60" s="1"/>
  <c r="H18" i="60" s="1"/>
  <c r="B19" i="60"/>
  <c r="J19" i="58"/>
  <c r="D19" i="58"/>
  <c r="E19" i="58" s="1"/>
  <c r="F19" i="58" s="1"/>
  <c r="G19" i="58" s="1"/>
  <c r="H19" i="58" s="1"/>
  <c r="D18" i="19"/>
  <c r="E18" i="19" s="1"/>
  <c r="F18" i="19" s="1"/>
  <c r="G18" i="19" s="1"/>
  <c r="H18" i="19" s="1"/>
  <c r="J18" i="19"/>
  <c r="D23" i="9"/>
  <c r="E23" i="9" s="1"/>
  <c r="F23" i="9" s="1"/>
  <c r="G23" i="9" s="1"/>
  <c r="H23" i="9" s="1"/>
  <c r="J23" i="9"/>
  <c r="J18" i="18"/>
  <c r="D18" i="18"/>
  <c r="E18" i="18" s="1"/>
  <c r="F18" i="18" s="1"/>
  <c r="G18" i="18" s="1"/>
  <c r="H18" i="18" s="1"/>
  <c r="J20" i="6"/>
  <c r="D20" i="6"/>
  <c r="E20" i="6" s="1"/>
  <c r="F20" i="6" s="1"/>
  <c r="G20" i="6" s="1"/>
  <c r="H20" i="6" s="1"/>
  <c r="L28" i="22"/>
  <c r="N15" i="22"/>
  <c r="P15" i="22" s="1"/>
  <c r="L15" i="22"/>
  <c r="L17" i="23"/>
  <c r="L16" i="22"/>
  <c r="L36" i="22"/>
  <c r="J17" i="8"/>
  <c r="M17" i="8" s="1"/>
  <c r="O17" i="8" s="1"/>
  <c r="J16" i="8"/>
  <c r="M16" i="8" s="1"/>
  <c r="O16" i="8" s="1"/>
  <c r="J16" i="4"/>
  <c r="J21" i="16"/>
  <c r="M21" i="16" s="1"/>
  <c r="O21" i="16" s="1"/>
  <c r="J16" i="9"/>
  <c r="M16" i="9" s="1"/>
  <c r="O16" i="9" s="1"/>
  <c r="I14" i="15"/>
  <c r="I16" i="15" s="1"/>
  <c r="L29" i="23"/>
  <c r="L26" i="23"/>
  <c r="J22" i="15"/>
  <c r="M22" i="15" s="1"/>
  <c r="O22" i="15" s="1"/>
  <c r="L27" i="23"/>
  <c r="L23" i="23"/>
  <c r="L21" i="23"/>
  <c r="J13" i="17"/>
  <c r="M13" i="17" s="1"/>
  <c r="N16" i="8" l="1"/>
  <c r="N21" i="16"/>
  <c r="L13" i="17"/>
  <c r="N22" i="15"/>
  <c r="N16" i="9"/>
  <c r="N17" i="8"/>
  <c r="M16" i="4"/>
  <c r="O16" i="4" s="1"/>
  <c r="J15" i="2"/>
  <c r="D15" i="2"/>
  <c r="E15" i="2" s="1"/>
  <c r="F15" i="2" s="1"/>
  <c r="G15" i="2" s="1"/>
  <c r="H15" i="2" s="1"/>
  <c r="D14" i="20"/>
  <c r="J14" i="20"/>
  <c r="J13" i="11"/>
  <c r="D13" i="11"/>
  <c r="J21" i="59"/>
  <c r="D21" i="59"/>
  <c r="E21" i="59" s="1"/>
  <c r="F21" i="59" s="1"/>
  <c r="G21" i="59" s="1"/>
  <c r="H21" i="59" s="1"/>
  <c r="D13" i="6"/>
  <c r="J13" i="6"/>
  <c r="J19" i="12"/>
  <c r="D19" i="12"/>
  <c r="E19" i="12" s="1"/>
  <c r="F19" i="12" s="1"/>
  <c r="G19" i="12" s="1"/>
  <c r="H19" i="12" s="1"/>
  <c r="D19" i="1"/>
  <c r="E19" i="1" s="1"/>
  <c r="F19" i="1" s="1"/>
  <c r="G19" i="1" s="1"/>
  <c r="H19" i="1" s="1"/>
  <c r="I19" i="1" s="1"/>
  <c r="K19" i="1"/>
  <c r="B21" i="1"/>
  <c r="D14" i="58"/>
  <c r="J14" i="58"/>
  <c r="D14" i="21"/>
  <c r="J14" i="21"/>
  <c r="D20" i="9"/>
  <c r="E20" i="9" s="1"/>
  <c r="F20" i="9" s="1"/>
  <c r="G20" i="9" s="1"/>
  <c r="H20" i="9" s="1"/>
  <c r="J20" i="9"/>
  <c r="J23" i="23"/>
  <c r="K23" i="23" s="1"/>
  <c r="D23" i="23"/>
  <c r="E23" i="23" s="1"/>
  <c r="F23" i="23" s="1"/>
  <c r="G23" i="23" s="1"/>
  <c r="H23" i="23" s="1"/>
  <c r="B24" i="51"/>
  <c r="C24" i="51" s="1"/>
  <c r="E24" i="51" s="1"/>
  <c r="J15" i="23"/>
  <c r="K15" i="23" s="1"/>
  <c r="B16" i="51"/>
  <c r="C16" i="51" s="1"/>
  <c r="E16" i="51" s="1"/>
  <c r="D15" i="23"/>
  <c r="E15" i="23" s="1"/>
  <c r="F15" i="23" s="1"/>
  <c r="G15" i="23" s="1"/>
  <c r="H15" i="23" s="1"/>
  <c r="D14" i="5"/>
  <c r="J14" i="5"/>
  <c r="J14" i="9"/>
  <c r="D14" i="9"/>
  <c r="B21" i="51"/>
  <c r="C21" i="51" s="1"/>
  <c r="E21" i="51" s="1"/>
  <c r="D20" i="23"/>
  <c r="E20" i="23" s="1"/>
  <c r="F20" i="23" s="1"/>
  <c r="G20" i="23" s="1"/>
  <c r="H20" i="23" s="1"/>
  <c r="J20" i="23"/>
  <c r="K20" i="23" s="1"/>
  <c r="B29" i="51"/>
  <c r="C29" i="51" s="1"/>
  <c r="E29" i="51" s="1"/>
  <c r="J28" i="23"/>
  <c r="K28" i="23" s="1"/>
  <c r="D28" i="23"/>
  <c r="E28" i="23" s="1"/>
  <c r="F28" i="23" s="1"/>
  <c r="G28" i="23" s="1"/>
  <c r="H28" i="23" s="1"/>
  <c r="D23" i="16"/>
  <c r="E23" i="16" s="1"/>
  <c r="F23" i="16" s="1"/>
  <c r="G23" i="16" s="1"/>
  <c r="H23" i="16" s="1"/>
  <c r="J23" i="16"/>
  <c r="J20" i="4"/>
  <c r="M20" i="4" s="1"/>
  <c r="O20" i="4" s="1"/>
  <c r="D20" i="4"/>
  <c r="E20" i="4" s="1"/>
  <c r="F20" i="4" s="1"/>
  <c r="G20" i="4" s="1"/>
  <c r="H20" i="4" s="1"/>
  <c r="D17" i="11"/>
  <c r="E17" i="11" s="1"/>
  <c r="F17" i="11" s="1"/>
  <c r="G17" i="11" s="1"/>
  <c r="H17" i="11" s="1"/>
  <c r="J17" i="11"/>
  <c r="J18" i="7"/>
  <c r="D18" i="7"/>
  <c r="E18" i="7" s="1"/>
  <c r="F18" i="7" s="1"/>
  <c r="G18" i="7" s="1"/>
  <c r="H18" i="7" s="1"/>
  <c r="J13" i="10"/>
  <c r="D13" i="10"/>
  <c r="J18" i="59"/>
  <c r="D18" i="59"/>
  <c r="E18" i="59" s="1"/>
  <c r="F18" i="59" s="1"/>
  <c r="G18" i="59" s="1"/>
  <c r="H18" i="59" s="1"/>
  <c r="D18" i="10"/>
  <c r="E18" i="10" s="1"/>
  <c r="F18" i="10" s="1"/>
  <c r="G18" i="10" s="1"/>
  <c r="H18" i="10" s="1"/>
  <c r="J18" i="10"/>
  <c r="D21" i="12"/>
  <c r="E21" i="12" s="1"/>
  <c r="F21" i="12" s="1"/>
  <c r="G21" i="12" s="1"/>
  <c r="H21" i="12" s="1"/>
  <c r="J21" i="12"/>
  <c r="M23" i="9"/>
  <c r="O23" i="9" s="1"/>
  <c r="K23" i="9"/>
  <c r="K18" i="60"/>
  <c r="M18" i="60"/>
  <c r="K47" i="22"/>
  <c r="B45" i="50"/>
  <c r="C45" i="50" s="1"/>
  <c r="E45" i="50" s="1"/>
  <c r="I45" i="50" s="1"/>
  <c r="I27" i="50"/>
  <c r="G27" i="50"/>
  <c r="M20" i="11"/>
  <c r="O20" i="11" s="1"/>
  <c r="K20" i="11"/>
  <c r="M23" i="59"/>
  <c r="K23" i="59"/>
  <c r="M19" i="20"/>
  <c r="K19" i="20"/>
  <c r="D18" i="48"/>
  <c r="M66" i="63"/>
  <c r="M19" i="5"/>
  <c r="K19" i="5"/>
  <c r="E15" i="22"/>
  <c r="D60" i="22"/>
  <c r="L20" i="23"/>
  <c r="D14" i="3"/>
  <c r="E14" i="3" s="1"/>
  <c r="F14" i="3" s="1"/>
  <c r="G14" i="3" s="1"/>
  <c r="H14" i="3" s="1"/>
  <c r="J14" i="3"/>
  <c r="D15" i="20"/>
  <c r="E15" i="20" s="1"/>
  <c r="F15" i="20" s="1"/>
  <c r="G15" i="20" s="1"/>
  <c r="H15" i="20" s="1"/>
  <c r="J15" i="20"/>
  <c r="D19" i="16"/>
  <c r="E19" i="16" s="1"/>
  <c r="F19" i="16" s="1"/>
  <c r="G19" i="16" s="1"/>
  <c r="H19" i="16" s="1"/>
  <c r="J19" i="16"/>
  <c r="D18" i="16"/>
  <c r="E18" i="16" s="1"/>
  <c r="F18" i="16" s="1"/>
  <c r="G18" i="16" s="1"/>
  <c r="H18" i="16" s="1"/>
  <c r="J18" i="16"/>
  <c r="D17" i="10"/>
  <c r="E17" i="10" s="1"/>
  <c r="F17" i="10" s="1"/>
  <c r="G17" i="10" s="1"/>
  <c r="H17" i="10" s="1"/>
  <c r="J17" i="10"/>
  <c r="J15" i="8"/>
  <c r="D15" i="8"/>
  <c r="E15" i="8" s="1"/>
  <c r="F15" i="8" s="1"/>
  <c r="G15" i="8" s="1"/>
  <c r="H15" i="8" s="1"/>
  <c r="J13" i="59"/>
  <c r="D13" i="59"/>
  <c r="D15" i="1"/>
  <c r="E15" i="1" s="1"/>
  <c r="F15" i="1" s="1"/>
  <c r="G15" i="1" s="1"/>
  <c r="H15" i="1" s="1"/>
  <c r="I15" i="1" s="1"/>
  <c r="K15" i="1"/>
  <c r="D14" i="2"/>
  <c r="J14" i="2"/>
  <c r="D15" i="58"/>
  <c r="E15" i="58" s="1"/>
  <c r="F15" i="58" s="1"/>
  <c r="G15" i="58" s="1"/>
  <c r="H15" i="58" s="1"/>
  <c r="J15" i="58"/>
  <c r="D13" i="3"/>
  <c r="J13" i="3"/>
  <c r="D20" i="15"/>
  <c r="E20" i="15" s="1"/>
  <c r="F20" i="15" s="1"/>
  <c r="G20" i="15" s="1"/>
  <c r="H20" i="15" s="1"/>
  <c r="J20" i="15"/>
  <c r="D15" i="5"/>
  <c r="E15" i="5" s="1"/>
  <c r="F15" i="5" s="1"/>
  <c r="G15" i="5" s="1"/>
  <c r="H15" i="5" s="1"/>
  <c r="J15" i="5"/>
  <c r="D21" i="15"/>
  <c r="E21" i="15" s="1"/>
  <c r="F21" i="15" s="1"/>
  <c r="G21" i="15" s="1"/>
  <c r="H21" i="15" s="1"/>
  <c r="J21" i="15"/>
  <c r="J27" i="23"/>
  <c r="K27" i="23" s="1"/>
  <c r="B28" i="51"/>
  <c r="C28" i="51" s="1"/>
  <c r="E28" i="51" s="1"/>
  <c r="D27" i="23"/>
  <c r="E27" i="23" s="1"/>
  <c r="F27" i="23" s="1"/>
  <c r="G27" i="23" s="1"/>
  <c r="H27" i="23" s="1"/>
  <c r="J16" i="23"/>
  <c r="K16" i="23" s="1"/>
  <c r="D16" i="23"/>
  <c r="E16" i="23" s="1"/>
  <c r="F16" i="23" s="1"/>
  <c r="G16" i="23" s="1"/>
  <c r="H16" i="23" s="1"/>
  <c r="B17" i="51"/>
  <c r="C17" i="51" s="1"/>
  <c r="E17" i="51" s="1"/>
  <c r="J24" i="15"/>
  <c r="D24" i="15"/>
  <c r="E24" i="15" s="1"/>
  <c r="F24" i="15" s="1"/>
  <c r="G24" i="15" s="1"/>
  <c r="H24" i="15" s="1"/>
  <c r="I30" i="15"/>
  <c r="K30" i="15" s="1"/>
  <c r="J16" i="15"/>
  <c r="D20" i="16"/>
  <c r="E20" i="16" s="1"/>
  <c r="F20" i="16" s="1"/>
  <c r="G20" i="16" s="1"/>
  <c r="H20" i="16" s="1"/>
  <c r="J20" i="16"/>
  <c r="D15" i="9"/>
  <c r="E15" i="9" s="1"/>
  <c r="F15" i="9" s="1"/>
  <c r="G15" i="9" s="1"/>
  <c r="H15" i="9" s="1"/>
  <c r="J15" i="9"/>
  <c r="D21" i="4"/>
  <c r="E21" i="4" s="1"/>
  <c r="F21" i="4" s="1"/>
  <c r="G21" i="4" s="1"/>
  <c r="H21" i="4" s="1"/>
  <c r="J21" i="4"/>
  <c r="M21" i="4" s="1"/>
  <c r="B15" i="51"/>
  <c r="J14" i="23"/>
  <c r="K14" i="23" s="1"/>
  <c r="D14" i="23"/>
  <c r="D18" i="64"/>
  <c r="E18" i="64" s="1"/>
  <c r="F18" i="64" s="1"/>
  <c r="G18" i="64" s="1"/>
  <c r="H18" i="64" s="1"/>
  <c r="J18" i="64"/>
  <c r="D21" i="7"/>
  <c r="E21" i="7" s="1"/>
  <c r="F21" i="7" s="1"/>
  <c r="G21" i="7" s="1"/>
  <c r="H21" i="7" s="1"/>
  <c r="J21" i="7"/>
  <c r="J18" i="12"/>
  <c r="D18" i="12"/>
  <c r="E18" i="12" s="1"/>
  <c r="F18" i="12" s="1"/>
  <c r="G18" i="12" s="1"/>
  <c r="H18" i="12" s="1"/>
  <c r="D21" i="8"/>
  <c r="E21" i="8" s="1"/>
  <c r="F21" i="8" s="1"/>
  <c r="G21" i="8" s="1"/>
  <c r="H21" i="8" s="1"/>
  <c r="J21" i="8"/>
  <c r="D21" i="13"/>
  <c r="E21" i="13" s="1"/>
  <c r="F21" i="13" s="1"/>
  <c r="G21" i="13" s="1"/>
  <c r="H21" i="13" s="1"/>
  <c r="J21" i="13"/>
  <c r="J19" i="7"/>
  <c r="D19" i="7"/>
  <c r="E19" i="7" s="1"/>
  <c r="F19" i="7" s="1"/>
  <c r="G19" i="7" s="1"/>
  <c r="H19" i="7" s="1"/>
  <c r="J13" i="13"/>
  <c r="D13" i="13"/>
  <c r="D13" i="12"/>
  <c r="J13" i="12"/>
  <c r="J22" i="8"/>
  <c r="D22" i="8"/>
  <c r="E22" i="8" s="1"/>
  <c r="F22" i="8" s="1"/>
  <c r="G22" i="8" s="1"/>
  <c r="H22" i="8" s="1"/>
  <c r="M20" i="6"/>
  <c r="O20" i="6" s="1"/>
  <c r="K20" i="6"/>
  <c r="M19" i="58"/>
  <c r="K19" i="58"/>
  <c r="M19" i="65"/>
  <c r="K19" i="65"/>
  <c r="L16" i="23"/>
  <c r="I18" i="50"/>
  <c r="G18" i="50"/>
  <c r="I31" i="50"/>
  <c r="G31" i="50"/>
  <c r="M25" i="16"/>
  <c r="O25" i="16" s="1"/>
  <c r="K25" i="16"/>
  <c r="M23" i="7"/>
  <c r="O23" i="7" s="1"/>
  <c r="K23" i="7"/>
  <c r="B46" i="50"/>
  <c r="C46" i="50" s="1"/>
  <c r="E46" i="50" s="1"/>
  <c r="I46" i="50" s="1"/>
  <c r="K48" i="22"/>
  <c r="I16" i="50"/>
  <c r="G16" i="50"/>
  <c r="I26" i="50"/>
  <c r="G26" i="50"/>
  <c r="M20" i="10"/>
  <c r="O20" i="10" s="1"/>
  <c r="K20" i="10"/>
  <c r="L32" i="10" s="1"/>
  <c r="M19" i="17"/>
  <c r="K19" i="17"/>
  <c r="M18" i="3"/>
  <c r="K18" i="3"/>
  <c r="C15" i="50"/>
  <c r="D21" i="2"/>
  <c r="E21" i="2" s="1"/>
  <c r="F21" i="2" s="1"/>
  <c r="G21" i="2" s="1"/>
  <c r="H21" i="2" s="1"/>
  <c r="B24" i="2"/>
  <c r="J21" i="2"/>
  <c r="J19" i="15"/>
  <c r="D19" i="15"/>
  <c r="E19" i="15" s="1"/>
  <c r="F19" i="15" s="1"/>
  <c r="G19" i="15" s="1"/>
  <c r="H19" i="15" s="1"/>
  <c r="J15" i="21"/>
  <c r="D15" i="21"/>
  <c r="E15" i="21" s="1"/>
  <c r="F15" i="21" s="1"/>
  <c r="G15" i="21" s="1"/>
  <c r="H15" i="21" s="1"/>
  <c r="J21" i="9"/>
  <c r="D21" i="9"/>
  <c r="E21" i="9" s="1"/>
  <c r="F21" i="9" s="1"/>
  <c r="G21" i="9" s="1"/>
  <c r="H21" i="9" s="1"/>
  <c r="D13" i="16"/>
  <c r="J13" i="16"/>
  <c r="D14" i="18"/>
  <c r="E14" i="18" s="1"/>
  <c r="F14" i="18" s="1"/>
  <c r="G14" i="18" s="1"/>
  <c r="H14" i="18" s="1"/>
  <c r="J14" i="18"/>
  <c r="D18" i="6"/>
  <c r="E18" i="6" s="1"/>
  <c r="F18" i="6" s="1"/>
  <c r="G18" i="6" s="1"/>
  <c r="H18" i="6" s="1"/>
  <c r="J18" i="6"/>
  <c r="M18" i="19"/>
  <c r="K18" i="19"/>
  <c r="D19" i="60"/>
  <c r="E19" i="60" s="1"/>
  <c r="F19" i="60" s="1"/>
  <c r="G19" i="60" s="1"/>
  <c r="H19" i="60" s="1"/>
  <c r="J19" i="60"/>
  <c r="K20" i="64"/>
  <c r="L32" i="64" s="1"/>
  <c r="E47" i="72" s="1"/>
  <c r="M20" i="64"/>
  <c r="O20" i="64" s="1"/>
  <c r="N14" i="23"/>
  <c r="P14" i="23" s="1"/>
  <c r="L14" i="23"/>
  <c r="I22" i="50"/>
  <c r="G22" i="50"/>
  <c r="O23" i="4"/>
  <c r="K23" i="4"/>
  <c r="I17" i="50"/>
  <c r="G17" i="50"/>
  <c r="K19" i="21"/>
  <c r="M19" i="21"/>
  <c r="M13" i="19"/>
  <c r="K13" i="19"/>
  <c r="K32" i="19" s="1"/>
  <c r="I39" i="50"/>
  <c r="G39" i="50"/>
  <c r="I36" i="50"/>
  <c r="G36" i="50"/>
  <c r="K46" i="22"/>
  <c r="B44" i="50"/>
  <c r="C44" i="50" s="1"/>
  <c r="E44" i="50" s="1"/>
  <c r="I44" i="50" s="1"/>
  <c r="G28" i="50"/>
  <c r="I28" i="50"/>
  <c r="G41" i="50"/>
  <c r="I41" i="50"/>
  <c r="D20" i="1"/>
  <c r="E20" i="1" s="1"/>
  <c r="F20" i="1" s="1"/>
  <c r="G20" i="1" s="1"/>
  <c r="H20" i="1" s="1"/>
  <c r="I20" i="1" s="1"/>
  <c r="D25" i="1"/>
  <c r="E25" i="1" s="1"/>
  <c r="F25" i="1" s="1"/>
  <c r="G25" i="1" s="1"/>
  <c r="H25" i="1" s="1"/>
  <c r="I25" i="1" s="1"/>
  <c r="L25" i="1" s="1"/>
  <c r="K20" i="1"/>
  <c r="J23" i="2"/>
  <c r="D23" i="2"/>
  <c r="E23" i="2" s="1"/>
  <c r="F23" i="2" s="1"/>
  <c r="G23" i="2" s="1"/>
  <c r="H23" i="2" s="1"/>
  <c r="D28" i="2"/>
  <c r="E28" i="2" s="1"/>
  <c r="F28" i="2" s="1"/>
  <c r="G28" i="2" s="1"/>
  <c r="H28" i="2" s="1"/>
  <c r="K28" i="2" s="1"/>
  <c r="D13" i="60"/>
  <c r="J13" i="60"/>
  <c r="J14" i="60"/>
  <c r="D14" i="60"/>
  <c r="E14" i="60" s="1"/>
  <c r="F14" i="60" s="1"/>
  <c r="G14" i="60" s="1"/>
  <c r="H14" i="60" s="1"/>
  <c r="J21" i="23"/>
  <c r="K21" i="23" s="1"/>
  <c r="D21" i="23"/>
  <c r="E21" i="23" s="1"/>
  <c r="F21" i="23" s="1"/>
  <c r="G21" i="23" s="1"/>
  <c r="H21" i="23" s="1"/>
  <c r="B22" i="51"/>
  <c r="C22" i="51" s="1"/>
  <c r="E22" i="51" s="1"/>
  <c r="D17" i="17"/>
  <c r="E17" i="17" s="1"/>
  <c r="F17" i="17" s="1"/>
  <c r="G17" i="17" s="1"/>
  <c r="H17" i="17" s="1"/>
  <c r="J17" i="17"/>
  <c r="J12" i="17"/>
  <c r="D12" i="17"/>
  <c r="J13" i="15"/>
  <c r="D13" i="15"/>
  <c r="J26" i="23"/>
  <c r="K26" i="23" s="1"/>
  <c r="D26" i="23"/>
  <c r="E26" i="23" s="1"/>
  <c r="F26" i="23" s="1"/>
  <c r="G26" i="23" s="1"/>
  <c r="H26" i="23" s="1"/>
  <c r="B27" i="51"/>
  <c r="C27" i="51" s="1"/>
  <c r="E27" i="51" s="1"/>
  <c r="J29" i="23"/>
  <c r="K29" i="23" s="1"/>
  <c r="D29" i="23"/>
  <c r="E29" i="23" s="1"/>
  <c r="F29" i="23" s="1"/>
  <c r="G29" i="23" s="1"/>
  <c r="H29" i="23" s="1"/>
  <c r="B30" i="51"/>
  <c r="C30" i="51" s="1"/>
  <c r="E30" i="51" s="1"/>
  <c r="B23" i="51"/>
  <c r="C23" i="51" s="1"/>
  <c r="E23" i="51" s="1"/>
  <c r="D22" i="23"/>
  <c r="E22" i="23" s="1"/>
  <c r="F22" i="23" s="1"/>
  <c r="G22" i="23" s="1"/>
  <c r="H22" i="23" s="1"/>
  <c r="J22" i="23"/>
  <c r="K22" i="23" s="1"/>
  <c r="J14" i="4"/>
  <c r="M14" i="4" s="1"/>
  <c r="O14" i="4" s="1"/>
  <c r="D14" i="4"/>
  <c r="D15" i="4"/>
  <c r="E15" i="4" s="1"/>
  <c r="F15" i="4" s="1"/>
  <c r="G15" i="4" s="1"/>
  <c r="H15" i="4" s="1"/>
  <c r="J15" i="4"/>
  <c r="M15" i="4" s="1"/>
  <c r="O15" i="4" s="1"/>
  <c r="J18" i="11"/>
  <c r="D18" i="11"/>
  <c r="E18" i="11" s="1"/>
  <c r="F18" i="11" s="1"/>
  <c r="G18" i="11" s="1"/>
  <c r="H18" i="11" s="1"/>
  <c r="D13" i="18"/>
  <c r="J13" i="18"/>
  <c r="J17" i="6"/>
  <c r="D17" i="6"/>
  <c r="E17" i="6" s="1"/>
  <c r="F17" i="6" s="1"/>
  <c r="G17" i="6" s="1"/>
  <c r="H17" i="6" s="1"/>
  <c r="D18" i="13"/>
  <c r="E18" i="13" s="1"/>
  <c r="F18" i="13" s="1"/>
  <c r="G18" i="13" s="1"/>
  <c r="H18" i="13" s="1"/>
  <c r="J18" i="13"/>
  <c r="D13" i="7"/>
  <c r="J13" i="7"/>
  <c r="D14" i="8"/>
  <c r="J14" i="8"/>
  <c r="J19" i="13"/>
  <c r="D19" i="13"/>
  <c r="E19" i="13" s="1"/>
  <c r="F19" i="13" s="1"/>
  <c r="G19" i="13" s="1"/>
  <c r="H19" i="13" s="1"/>
  <c r="J19" i="59"/>
  <c r="D19" i="59"/>
  <c r="E19" i="59" s="1"/>
  <c r="F19" i="59" s="1"/>
  <c r="G19" i="59" s="1"/>
  <c r="H19" i="59" s="1"/>
  <c r="K18" i="18"/>
  <c r="M18" i="18"/>
  <c r="L28" i="23"/>
  <c r="L22" i="23"/>
  <c r="G21" i="50"/>
  <c r="I21" i="50"/>
  <c r="K23" i="12"/>
  <c r="M23" i="12"/>
  <c r="O23" i="12" s="1"/>
  <c r="I35" i="50"/>
  <c r="G35" i="50"/>
  <c r="G40" i="50"/>
  <c r="I40" i="50"/>
  <c r="I18" i="51"/>
  <c r="G18" i="51"/>
  <c r="C66" i="63"/>
  <c r="M23" i="13"/>
  <c r="O23" i="13" s="1"/>
  <c r="K23" i="13"/>
  <c r="M24" i="8"/>
  <c r="O24" i="8" s="1"/>
  <c r="K24" i="8"/>
  <c r="D32" i="19"/>
  <c r="E13" i="19"/>
  <c r="L15" i="23"/>
  <c r="N23" i="4" l="1"/>
  <c r="C26" i="47"/>
  <c r="B26" i="70" s="1"/>
  <c r="C26" i="70" s="1"/>
  <c r="I23" i="62" s="1"/>
  <c r="N16" i="4"/>
  <c r="K60" i="22"/>
  <c r="C16" i="47" s="1"/>
  <c r="M19" i="59"/>
  <c r="K19" i="59"/>
  <c r="K17" i="17"/>
  <c r="M17" i="17"/>
  <c r="N19" i="17"/>
  <c r="P19" i="17" s="1"/>
  <c r="L19" i="17"/>
  <c r="D32" i="3"/>
  <c r="E13" i="3"/>
  <c r="J13" i="65"/>
  <c r="D13" i="65"/>
  <c r="D15" i="65"/>
  <c r="E15" i="65" s="1"/>
  <c r="F15" i="65" s="1"/>
  <c r="G15" i="65" s="1"/>
  <c r="H15" i="65" s="1"/>
  <c r="J15" i="65"/>
  <c r="P23" i="12"/>
  <c r="R23" i="12" s="1"/>
  <c r="N23" i="12"/>
  <c r="M14" i="8"/>
  <c r="K14" i="8"/>
  <c r="J18" i="8"/>
  <c r="K18" i="13"/>
  <c r="M18" i="13"/>
  <c r="O18" i="13" s="1"/>
  <c r="K13" i="18"/>
  <c r="M13" i="18"/>
  <c r="N15" i="4"/>
  <c r="K15" i="4"/>
  <c r="K12" i="17"/>
  <c r="M12" i="17"/>
  <c r="K13" i="60"/>
  <c r="M13" i="60"/>
  <c r="M23" i="2"/>
  <c r="K23" i="2"/>
  <c r="N19" i="21"/>
  <c r="P19" i="21" s="1"/>
  <c r="L19" i="21"/>
  <c r="M19" i="60"/>
  <c r="K19" i="60"/>
  <c r="M21" i="9"/>
  <c r="O21" i="9" s="1"/>
  <c r="K21" i="9"/>
  <c r="K19" i="15"/>
  <c r="M19" i="15"/>
  <c r="O19" i="15" s="1"/>
  <c r="B54" i="50"/>
  <c r="B18" i="63" s="1"/>
  <c r="L19" i="65"/>
  <c r="N19" i="65"/>
  <c r="P19" i="65" s="1"/>
  <c r="N20" i="6"/>
  <c r="P20" i="6"/>
  <c r="R20" i="6" s="1"/>
  <c r="E13" i="12"/>
  <c r="D39" i="12"/>
  <c r="K19" i="7"/>
  <c r="M19" i="7"/>
  <c r="O19" i="7" s="1"/>
  <c r="K43" i="23"/>
  <c r="M15" i="9"/>
  <c r="O15" i="9" s="1"/>
  <c r="K15" i="9"/>
  <c r="M16" i="15"/>
  <c r="D58" i="63"/>
  <c r="N58" i="63" s="1"/>
  <c r="F58" i="48" s="1"/>
  <c r="I17" i="51"/>
  <c r="G17" i="51"/>
  <c r="I28" i="51"/>
  <c r="G28" i="51"/>
  <c r="M15" i="5"/>
  <c r="K15" i="5"/>
  <c r="M13" i="3"/>
  <c r="K13" i="3"/>
  <c r="M14" i="2"/>
  <c r="K14" i="2"/>
  <c r="E13" i="59"/>
  <c r="D37" i="59"/>
  <c r="M17" i="10"/>
  <c r="O17" i="10" s="1"/>
  <c r="K17" i="10"/>
  <c r="M19" i="16"/>
  <c r="O19" i="16" s="1"/>
  <c r="K19" i="16"/>
  <c r="K14" i="3"/>
  <c r="M14" i="3"/>
  <c r="E60" i="22"/>
  <c r="C16" i="53" s="1"/>
  <c r="F15" i="22"/>
  <c r="D66" i="48"/>
  <c r="L23" i="59"/>
  <c r="N23" i="59"/>
  <c r="P23" i="59" s="1"/>
  <c r="K18" i="59"/>
  <c r="M18" i="59"/>
  <c r="M18" i="7"/>
  <c r="O18" i="7" s="1"/>
  <c r="K18" i="7"/>
  <c r="N20" i="4"/>
  <c r="K20" i="4"/>
  <c r="G21" i="51"/>
  <c r="I21" i="51"/>
  <c r="D33" i="5"/>
  <c r="E14" i="5"/>
  <c r="I24" i="51"/>
  <c r="G24" i="51"/>
  <c r="D33" i="58"/>
  <c r="E14" i="58"/>
  <c r="K14" i="20"/>
  <c r="M14" i="20"/>
  <c r="E13" i="15"/>
  <c r="D40" i="15"/>
  <c r="N20" i="1"/>
  <c r="L20" i="1"/>
  <c r="M18" i="6"/>
  <c r="O18" i="6" s="1"/>
  <c r="K18" i="6"/>
  <c r="M13" i="16"/>
  <c r="O13" i="16" s="1"/>
  <c r="K13" i="16"/>
  <c r="M21" i="2"/>
  <c r="K21" i="2"/>
  <c r="C54" i="50"/>
  <c r="E15" i="50"/>
  <c r="E13" i="13"/>
  <c r="D37" i="13"/>
  <c r="M21" i="13"/>
  <c r="O21" i="13" s="1"/>
  <c r="K21" i="13"/>
  <c r="M18" i="64"/>
  <c r="O18" i="64" s="1"/>
  <c r="K18" i="64"/>
  <c r="E14" i="2"/>
  <c r="K13" i="59"/>
  <c r="M13" i="59"/>
  <c r="K18" i="10"/>
  <c r="M18" i="10"/>
  <c r="O18" i="10" s="1"/>
  <c r="D34" i="10"/>
  <c r="E13" i="10"/>
  <c r="M17" i="11"/>
  <c r="O17" i="11" s="1"/>
  <c r="K17" i="11"/>
  <c r="K23" i="16"/>
  <c r="M23" i="16"/>
  <c r="O23" i="16" s="1"/>
  <c r="I29" i="51"/>
  <c r="G29" i="51"/>
  <c r="D37" i="9"/>
  <c r="E14" i="9"/>
  <c r="K14" i="21"/>
  <c r="M14" i="21"/>
  <c r="D21" i="1"/>
  <c r="E21" i="1" s="1"/>
  <c r="F21" i="1" s="1"/>
  <c r="G21" i="1" s="1"/>
  <c r="H21" i="1" s="1"/>
  <c r="I21" i="1" s="1"/>
  <c r="K21" i="1"/>
  <c r="M19" i="12"/>
  <c r="O19" i="12" s="1"/>
  <c r="K19" i="12"/>
  <c r="M21" i="59"/>
  <c r="K21" i="59"/>
  <c r="E14" i="20"/>
  <c r="D33" i="20"/>
  <c r="D13" i="1"/>
  <c r="K13" i="1"/>
  <c r="J14" i="65"/>
  <c r="D14" i="65"/>
  <c r="E14" i="65" s="1"/>
  <c r="F14" i="65" s="1"/>
  <c r="G14" i="65" s="1"/>
  <c r="H14" i="65" s="1"/>
  <c r="J17" i="64"/>
  <c r="D17" i="64"/>
  <c r="E17" i="64" s="1"/>
  <c r="F17" i="64" s="1"/>
  <c r="G17" i="64" s="1"/>
  <c r="H17" i="64" s="1"/>
  <c r="E32" i="19"/>
  <c r="C26" i="53" s="1"/>
  <c r="F13" i="19"/>
  <c r="L18" i="18"/>
  <c r="N18" i="18"/>
  <c r="P18" i="18" s="1"/>
  <c r="J14" i="7"/>
  <c r="K13" i="7"/>
  <c r="M13" i="7"/>
  <c r="D37" i="4"/>
  <c r="E14" i="4"/>
  <c r="G23" i="51"/>
  <c r="I23" i="51"/>
  <c r="G27" i="51"/>
  <c r="I27" i="51"/>
  <c r="M13" i="15"/>
  <c r="O13" i="15" s="1"/>
  <c r="K13" i="15"/>
  <c r="Q28" i="2"/>
  <c r="N28" i="2"/>
  <c r="O25" i="1"/>
  <c r="R25" i="1"/>
  <c r="E28" i="63"/>
  <c r="O28" i="63" s="1"/>
  <c r="I28" i="48" s="1"/>
  <c r="J28" i="48" s="1"/>
  <c r="N20" i="64"/>
  <c r="P20" i="64"/>
  <c r="R20" i="64" s="1"/>
  <c r="E13" i="16"/>
  <c r="D39" i="16"/>
  <c r="M15" i="21"/>
  <c r="K15" i="21"/>
  <c r="J24" i="2"/>
  <c r="D24" i="2"/>
  <c r="E24" i="2" s="1"/>
  <c r="F24" i="2" s="1"/>
  <c r="G24" i="2" s="1"/>
  <c r="H24" i="2" s="1"/>
  <c r="N19" i="58"/>
  <c r="P19" i="58" s="1"/>
  <c r="L19" i="58"/>
  <c r="K22" i="8"/>
  <c r="M22" i="8"/>
  <c r="O22" i="8" s="1"/>
  <c r="K13" i="13"/>
  <c r="J14" i="13"/>
  <c r="M13" i="13"/>
  <c r="M18" i="12"/>
  <c r="O18" i="12" s="1"/>
  <c r="K18" i="12"/>
  <c r="K21" i="4"/>
  <c r="O21" i="4"/>
  <c r="M20" i="16"/>
  <c r="O20" i="16" s="1"/>
  <c r="K20" i="16"/>
  <c r="K21" i="15"/>
  <c r="M21" i="15"/>
  <c r="O21" i="15" s="1"/>
  <c r="K20" i="15"/>
  <c r="M20" i="15"/>
  <c r="O20" i="15" s="1"/>
  <c r="M15" i="58"/>
  <c r="K15" i="58"/>
  <c r="L15" i="1"/>
  <c r="N15" i="1"/>
  <c r="K18" i="16"/>
  <c r="M18" i="16"/>
  <c r="O18" i="16" s="1"/>
  <c r="M15" i="20"/>
  <c r="K15" i="20"/>
  <c r="N19" i="5"/>
  <c r="P19" i="5" s="1"/>
  <c r="L19" i="5"/>
  <c r="N19" i="20"/>
  <c r="P19" i="20" s="1"/>
  <c r="L19" i="20"/>
  <c r="N20" i="11"/>
  <c r="P20" i="11"/>
  <c r="R20" i="11" s="1"/>
  <c r="N23" i="9"/>
  <c r="P23" i="9"/>
  <c r="R23" i="9" s="1"/>
  <c r="K13" i="10"/>
  <c r="M13" i="10"/>
  <c r="O13" i="10" s="1"/>
  <c r="J14" i="10"/>
  <c r="M14" i="10" s="1"/>
  <c r="M14" i="9"/>
  <c r="K14" i="9"/>
  <c r="I16" i="51"/>
  <c r="G16" i="51"/>
  <c r="E14" i="21"/>
  <c r="D33" i="21"/>
  <c r="L19" i="1"/>
  <c r="N19" i="1"/>
  <c r="M13" i="6"/>
  <c r="O13" i="6" s="1"/>
  <c r="J14" i="6"/>
  <c r="M14" i="6" s="1"/>
  <c r="K13" i="6"/>
  <c r="D34" i="11"/>
  <c r="E13" i="11"/>
  <c r="D13" i="64"/>
  <c r="J13" i="64"/>
  <c r="N24" i="8"/>
  <c r="P24" i="8"/>
  <c r="R24" i="8" s="1"/>
  <c r="D38" i="8"/>
  <c r="E14" i="8"/>
  <c r="E13" i="18"/>
  <c r="D32" i="18"/>
  <c r="E13" i="60"/>
  <c r="D35" i="60"/>
  <c r="P23" i="4"/>
  <c r="R23" i="4" s="1"/>
  <c r="P25" i="16"/>
  <c r="R25" i="16" s="1"/>
  <c r="N25" i="16"/>
  <c r="C15" i="51"/>
  <c r="B38" i="51"/>
  <c r="B62" i="63" s="1"/>
  <c r="L62" i="63" s="1"/>
  <c r="B62" i="48" s="1"/>
  <c r="C62" i="48" s="1"/>
  <c r="C26" i="24"/>
  <c r="C26" i="61"/>
  <c r="N23" i="13"/>
  <c r="P23" i="13"/>
  <c r="R23" i="13" s="1"/>
  <c r="M19" i="13"/>
  <c r="O19" i="13" s="1"/>
  <c r="K19" i="13"/>
  <c r="E13" i="7"/>
  <c r="D37" i="7"/>
  <c r="M17" i="6"/>
  <c r="O17" i="6" s="1"/>
  <c r="K17" i="6"/>
  <c r="K18" i="11"/>
  <c r="M18" i="11"/>
  <c r="O18" i="11" s="1"/>
  <c r="K14" i="4"/>
  <c r="N14" i="4"/>
  <c r="I30" i="51"/>
  <c r="G30" i="51"/>
  <c r="E12" i="17"/>
  <c r="D33" i="17"/>
  <c r="G22" i="51"/>
  <c r="I22" i="51"/>
  <c r="M14" i="60"/>
  <c r="K14" i="60"/>
  <c r="L13" i="19"/>
  <c r="N13" i="19"/>
  <c r="P13" i="19" s="1"/>
  <c r="L18" i="19"/>
  <c r="N18" i="19"/>
  <c r="P18" i="19" s="1"/>
  <c r="M14" i="18"/>
  <c r="K14" i="18"/>
  <c r="L18" i="3"/>
  <c r="N18" i="3"/>
  <c r="P18" i="3" s="1"/>
  <c r="N20" i="10"/>
  <c r="P20" i="10"/>
  <c r="R20" i="10" s="1"/>
  <c r="N23" i="7"/>
  <c r="P23" i="7"/>
  <c r="R23" i="7" s="1"/>
  <c r="J14" i="12"/>
  <c r="M13" i="12"/>
  <c r="K13" i="12"/>
  <c r="K21" i="8"/>
  <c r="M21" i="8"/>
  <c r="O21" i="8" s="1"/>
  <c r="K21" i="7"/>
  <c r="M21" i="7"/>
  <c r="O21" i="7" s="1"/>
  <c r="D43" i="23"/>
  <c r="E14" i="23"/>
  <c r="K24" i="15"/>
  <c r="M24" i="15"/>
  <c r="O24" i="15" s="1"/>
  <c r="M15" i="8"/>
  <c r="O15" i="8" s="1"/>
  <c r="K15" i="8"/>
  <c r="C16" i="24"/>
  <c r="C16" i="61"/>
  <c r="L18" i="60"/>
  <c r="N18" i="60"/>
  <c r="P18" i="60" s="1"/>
  <c r="M21" i="12"/>
  <c r="O21" i="12" s="1"/>
  <c r="K21" i="12"/>
  <c r="M14" i="5"/>
  <c r="K14" i="5"/>
  <c r="M20" i="9"/>
  <c r="O20" i="9" s="1"/>
  <c r="K20" i="9"/>
  <c r="K14" i="58"/>
  <c r="M14" i="58"/>
  <c r="E13" i="6"/>
  <c r="D34" i="6"/>
  <c r="J14" i="11"/>
  <c r="M14" i="11" s="1"/>
  <c r="M13" i="11"/>
  <c r="O13" i="11" s="1"/>
  <c r="K13" i="11"/>
  <c r="K15" i="2"/>
  <c r="M15" i="2"/>
  <c r="N21" i="4" l="1"/>
  <c r="O28" i="2"/>
  <c r="S28" i="2"/>
  <c r="P25" i="1"/>
  <c r="T25" i="1"/>
  <c r="H23" i="62"/>
  <c r="G58" i="48"/>
  <c r="H58" i="48" s="1"/>
  <c r="K33" i="17"/>
  <c r="C62" i="47" s="1"/>
  <c r="L35" i="9"/>
  <c r="O16" i="15"/>
  <c r="D36" i="63"/>
  <c r="N36" i="63" s="1"/>
  <c r="K37" i="4"/>
  <c r="K33" i="58"/>
  <c r="N32" i="19"/>
  <c r="B26" i="73" s="1"/>
  <c r="K33" i="5"/>
  <c r="L28" i="10"/>
  <c r="L34" i="10" s="1"/>
  <c r="J46" i="63" s="1"/>
  <c r="L37" i="12"/>
  <c r="L14" i="58"/>
  <c r="N14" i="58"/>
  <c r="P14" i="58" s="1"/>
  <c r="N21" i="8"/>
  <c r="P21" i="8"/>
  <c r="R21" i="8" s="1"/>
  <c r="C38" i="51"/>
  <c r="E15" i="51"/>
  <c r="F13" i="18"/>
  <c r="E32" i="18"/>
  <c r="C22" i="53" s="1"/>
  <c r="O19" i="1"/>
  <c r="Q19" i="1"/>
  <c r="N15" i="20"/>
  <c r="P15" i="20" s="1"/>
  <c r="L15" i="20"/>
  <c r="P22" i="8"/>
  <c r="R22" i="8" s="1"/>
  <c r="N22" i="8"/>
  <c r="C58" i="61"/>
  <c r="C58" i="24"/>
  <c r="K37" i="7"/>
  <c r="L31" i="7"/>
  <c r="C30" i="61"/>
  <c r="C30" i="24"/>
  <c r="N18" i="10"/>
  <c r="P18" i="10"/>
  <c r="R18" i="10" s="1"/>
  <c r="F13" i="15"/>
  <c r="E40" i="15"/>
  <c r="C56" i="53" s="1"/>
  <c r="K34" i="11"/>
  <c r="E34" i="6"/>
  <c r="C38" i="53" s="1"/>
  <c r="F13" i="6"/>
  <c r="N20" i="9"/>
  <c r="P20" i="9"/>
  <c r="R20" i="9" s="1"/>
  <c r="N21" i="12"/>
  <c r="P21" i="12"/>
  <c r="R21" i="12" s="1"/>
  <c r="B16" i="61"/>
  <c r="D16" i="61" s="1"/>
  <c r="E16" i="61" s="1"/>
  <c r="B15" i="62"/>
  <c r="D16" i="24"/>
  <c r="E16" i="24" s="1"/>
  <c r="M14" i="12"/>
  <c r="O13" i="12"/>
  <c r="P18" i="11"/>
  <c r="R18" i="11" s="1"/>
  <c r="N18" i="11"/>
  <c r="C54" i="24"/>
  <c r="C54" i="61"/>
  <c r="G62" i="48"/>
  <c r="E62" i="48"/>
  <c r="C22" i="24"/>
  <c r="C22" i="61"/>
  <c r="F13" i="11"/>
  <c r="E34" i="11"/>
  <c r="C42" i="53" s="1"/>
  <c r="O14" i="6"/>
  <c r="N13" i="6"/>
  <c r="N14" i="6" s="1"/>
  <c r="P13" i="6"/>
  <c r="R13" i="6" s="1"/>
  <c r="E33" i="21"/>
  <c r="C40" i="53" s="1"/>
  <c r="F14" i="21"/>
  <c r="O14" i="9"/>
  <c r="M17" i="9"/>
  <c r="O15" i="1"/>
  <c r="Q15" i="1"/>
  <c r="P20" i="15"/>
  <c r="R20" i="15" s="1"/>
  <c r="N20" i="15"/>
  <c r="K37" i="13"/>
  <c r="L31" i="13"/>
  <c r="L15" i="21"/>
  <c r="N15" i="21"/>
  <c r="P15" i="21" s="1"/>
  <c r="K40" i="15"/>
  <c r="M14" i="7"/>
  <c r="O13" i="7"/>
  <c r="M17" i="64"/>
  <c r="O17" i="64" s="1"/>
  <c r="K17" i="64"/>
  <c r="D39" i="1"/>
  <c r="C10" i="24" s="1"/>
  <c r="E13" i="1"/>
  <c r="L21" i="59"/>
  <c r="N21" i="59"/>
  <c r="P21" i="59" s="1"/>
  <c r="C36" i="24"/>
  <c r="C36" i="61"/>
  <c r="C44" i="24"/>
  <c r="C44" i="61"/>
  <c r="K37" i="59"/>
  <c r="N18" i="64"/>
  <c r="P18" i="64"/>
  <c r="R18" i="64" s="1"/>
  <c r="F13" i="13"/>
  <c r="E37" i="13"/>
  <c r="C52" i="53" s="1"/>
  <c r="P21" i="2"/>
  <c r="N21" i="2"/>
  <c r="N18" i="6"/>
  <c r="P18" i="6"/>
  <c r="R18" i="6" s="1"/>
  <c r="C56" i="24"/>
  <c r="C56" i="61"/>
  <c r="E33" i="58"/>
  <c r="C20" i="53" s="1"/>
  <c r="F14" i="58"/>
  <c r="E33" i="5"/>
  <c r="C32" i="53" s="1"/>
  <c r="F14" i="5"/>
  <c r="N18" i="59"/>
  <c r="P18" i="59" s="1"/>
  <c r="L18" i="59"/>
  <c r="L14" i="3"/>
  <c r="N14" i="3"/>
  <c r="P14" i="3" s="1"/>
  <c r="K34" i="10"/>
  <c r="L35" i="7"/>
  <c r="N19" i="15"/>
  <c r="P19" i="15"/>
  <c r="R19" i="15" s="1"/>
  <c r="L12" i="17"/>
  <c r="N12" i="17"/>
  <c r="P12" i="17" s="1"/>
  <c r="N13" i="18"/>
  <c r="P13" i="18" s="1"/>
  <c r="L13" i="18"/>
  <c r="M13" i="65"/>
  <c r="K13" i="65"/>
  <c r="N19" i="59"/>
  <c r="P19" i="59" s="1"/>
  <c r="L19" i="59"/>
  <c r="P13" i="11"/>
  <c r="R13" i="11" s="1"/>
  <c r="O14" i="11"/>
  <c r="N13" i="11"/>
  <c r="N14" i="11" s="1"/>
  <c r="E43" i="23"/>
  <c r="C60" i="53" s="1"/>
  <c r="F14" i="23"/>
  <c r="N14" i="18"/>
  <c r="P14" i="18" s="1"/>
  <c r="L14" i="18"/>
  <c r="C42" i="24"/>
  <c r="C42" i="61"/>
  <c r="P18" i="12"/>
  <c r="R18" i="12" s="1"/>
  <c r="N18" i="12"/>
  <c r="F32" i="19"/>
  <c r="C26" i="54" s="1"/>
  <c r="G13" i="19"/>
  <c r="D40" i="2"/>
  <c r="I15" i="50"/>
  <c r="E54" i="50"/>
  <c r="G15" i="50"/>
  <c r="G13" i="50" s="1"/>
  <c r="C20" i="61"/>
  <c r="C20" i="24"/>
  <c r="C32" i="24"/>
  <c r="C32" i="61"/>
  <c r="N17" i="10"/>
  <c r="P17" i="10"/>
  <c r="R17" i="10" s="1"/>
  <c r="N14" i="2"/>
  <c r="P14" i="2"/>
  <c r="N15" i="5"/>
  <c r="P15" i="5" s="1"/>
  <c r="L15" i="5"/>
  <c r="P15" i="9"/>
  <c r="R15" i="9" s="1"/>
  <c r="N15" i="9"/>
  <c r="C50" i="61"/>
  <c r="C50" i="24"/>
  <c r="M38" i="15"/>
  <c r="N19" i="60"/>
  <c r="L19" i="60"/>
  <c r="P23" i="2"/>
  <c r="N23" i="2"/>
  <c r="K32" i="18"/>
  <c r="K38" i="8"/>
  <c r="J36" i="63"/>
  <c r="M15" i="65"/>
  <c r="K15" i="65"/>
  <c r="E32" i="3"/>
  <c r="C18" i="53" s="1"/>
  <c r="F13" i="3"/>
  <c r="N17" i="17"/>
  <c r="P17" i="17" s="1"/>
  <c r="L17" i="17"/>
  <c r="N15" i="2"/>
  <c r="P15" i="2"/>
  <c r="L14" i="5"/>
  <c r="N14" i="5"/>
  <c r="P14" i="5" s="1"/>
  <c r="P15" i="8"/>
  <c r="R15" i="8" s="1"/>
  <c r="N15" i="8"/>
  <c r="C60" i="24"/>
  <c r="C60" i="61"/>
  <c r="C62" i="61"/>
  <c r="C62" i="24"/>
  <c r="P14" i="4"/>
  <c r="R14" i="4" s="1"/>
  <c r="L35" i="13"/>
  <c r="C23" i="62"/>
  <c r="B26" i="53"/>
  <c r="D26" i="53" s="1"/>
  <c r="E26" i="53" s="1"/>
  <c r="C14" i="24"/>
  <c r="C14" i="61"/>
  <c r="F14" i="8"/>
  <c r="E38" i="8"/>
  <c r="C34" i="53" s="1"/>
  <c r="M13" i="64"/>
  <c r="O13" i="64" s="1"/>
  <c r="J14" i="64"/>
  <c r="M14" i="64" s="1"/>
  <c r="K13" i="64"/>
  <c r="K34" i="6"/>
  <c r="P13" i="10"/>
  <c r="N13" i="10"/>
  <c r="N14" i="10" s="1"/>
  <c r="O14" i="10"/>
  <c r="P18" i="16"/>
  <c r="R18" i="16" s="1"/>
  <c r="N18" i="16"/>
  <c r="P21" i="15"/>
  <c r="R21" i="15" s="1"/>
  <c r="N21" i="15"/>
  <c r="P21" i="4"/>
  <c r="R21" i="4" s="1"/>
  <c r="O13" i="13"/>
  <c r="M14" i="13"/>
  <c r="M24" i="2"/>
  <c r="K24" i="2"/>
  <c r="K40" i="2" s="1"/>
  <c r="F13" i="16"/>
  <c r="E39" i="16"/>
  <c r="C58" i="53" s="1"/>
  <c r="F14" i="4"/>
  <c r="E37" i="4"/>
  <c r="C28" i="53" s="1"/>
  <c r="B26" i="54"/>
  <c r="D23" i="62"/>
  <c r="K14" i="65"/>
  <c r="M14" i="65"/>
  <c r="E33" i="20"/>
  <c r="C30" i="53" s="1"/>
  <c r="F14" i="20"/>
  <c r="N19" i="12"/>
  <c r="P19" i="12"/>
  <c r="R19" i="12" s="1"/>
  <c r="K33" i="21"/>
  <c r="N17" i="11"/>
  <c r="P17" i="11"/>
  <c r="R17" i="11" s="1"/>
  <c r="F14" i="2"/>
  <c r="E40" i="2"/>
  <c r="C12" i="53" s="1"/>
  <c r="P21" i="13"/>
  <c r="R21" i="13" s="1"/>
  <c r="N21" i="13"/>
  <c r="P13" i="16"/>
  <c r="R13" i="16" s="1"/>
  <c r="N13" i="16"/>
  <c r="N14" i="20"/>
  <c r="P14" i="20" s="1"/>
  <c r="L14" i="20"/>
  <c r="F60" i="22"/>
  <c r="C16" i="54" s="1"/>
  <c r="G15" i="22"/>
  <c r="C48" i="24"/>
  <c r="C48" i="61"/>
  <c r="K32" i="3"/>
  <c r="C60" i="47"/>
  <c r="E39" i="12"/>
  <c r="C50" i="53" s="1"/>
  <c r="F13" i="12"/>
  <c r="N13" i="60"/>
  <c r="P13" i="60" s="1"/>
  <c r="L13" i="60"/>
  <c r="P18" i="13"/>
  <c r="R18" i="13" s="1"/>
  <c r="N18" i="13"/>
  <c r="O14" i="8"/>
  <c r="M18" i="8"/>
  <c r="C18" i="24"/>
  <c r="C18" i="61"/>
  <c r="F13" i="7"/>
  <c r="E37" i="7"/>
  <c r="C54" i="53" s="1"/>
  <c r="P20" i="16"/>
  <c r="R20" i="16" s="1"/>
  <c r="N20" i="16"/>
  <c r="N13" i="15"/>
  <c r="P13" i="15"/>
  <c r="R13" i="15" s="1"/>
  <c r="N14" i="21"/>
  <c r="P14" i="21" s="1"/>
  <c r="L14" i="21"/>
  <c r="P20" i="4"/>
  <c r="R20" i="4" s="1"/>
  <c r="C38" i="24"/>
  <c r="C38" i="61"/>
  <c r="C15" i="62"/>
  <c r="B16" i="53"/>
  <c r="D16" i="53" s="1"/>
  <c r="E16" i="53" s="1"/>
  <c r="P24" i="15"/>
  <c r="R24" i="15" s="1"/>
  <c r="N24" i="15"/>
  <c r="N21" i="7"/>
  <c r="P21" i="7"/>
  <c r="R21" i="7" s="1"/>
  <c r="K39" i="12"/>
  <c r="L33" i="12"/>
  <c r="N14" i="60"/>
  <c r="P14" i="60" s="1"/>
  <c r="L14" i="60"/>
  <c r="E33" i="17"/>
  <c r="C62" i="53" s="1"/>
  <c r="F12" i="17"/>
  <c r="N17" i="6"/>
  <c r="P17" i="6"/>
  <c r="R17" i="6" s="1"/>
  <c r="P19" i="13"/>
  <c r="R19" i="13" s="1"/>
  <c r="N19" i="13"/>
  <c r="B26" i="61"/>
  <c r="D26" i="61" s="1"/>
  <c r="E26" i="61" s="1"/>
  <c r="D26" i="24"/>
  <c r="E26" i="24" s="1"/>
  <c r="B23" i="62"/>
  <c r="F13" i="60"/>
  <c r="E35" i="60"/>
  <c r="C14" i="53" s="1"/>
  <c r="C34" i="24"/>
  <c r="C34" i="61"/>
  <c r="E13" i="64"/>
  <c r="D34" i="64"/>
  <c r="C40" i="24"/>
  <c r="C40" i="61"/>
  <c r="K37" i="9"/>
  <c r="L31" i="9"/>
  <c r="K39" i="16"/>
  <c r="L15" i="58"/>
  <c r="N15" i="58"/>
  <c r="P15" i="58" s="1"/>
  <c r="B26" i="52"/>
  <c r="D26" i="70"/>
  <c r="E26" i="70" s="1"/>
  <c r="C28" i="61"/>
  <c r="C28" i="24"/>
  <c r="N13" i="1"/>
  <c r="L13" i="1"/>
  <c r="N21" i="1"/>
  <c r="L21" i="1"/>
  <c r="E37" i="9"/>
  <c r="C36" i="53" s="1"/>
  <c r="F14" i="9"/>
  <c r="P23" i="16"/>
  <c r="R23" i="16" s="1"/>
  <c r="N23" i="16"/>
  <c r="E34" i="10"/>
  <c r="C44" i="53" s="1"/>
  <c r="F13" i="10"/>
  <c r="L13" i="59"/>
  <c r="N13" i="59"/>
  <c r="P13" i="59" s="1"/>
  <c r="C52" i="61"/>
  <c r="C52" i="24"/>
  <c r="O20" i="1"/>
  <c r="Q20" i="1"/>
  <c r="K33" i="20"/>
  <c r="N18" i="7"/>
  <c r="P18" i="7"/>
  <c r="R18" i="7" s="1"/>
  <c r="B16" i="54"/>
  <c r="D15" i="62"/>
  <c r="P19" i="16"/>
  <c r="R19" i="16" s="1"/>
  <c r="N19" i="16"/>
  <c r="F13" i="59"/>
  <c r="E37" i="59"/>
  <c r="C48" i="53" s="1"/>
  <c r="N13" i="3"/>
  <c r="P13" i="3" s="1"/>
  <c r="L13" i="3"/>
  <c r="N19" i="7"/>
  <c r="P19" i="7"/>
  <c r="R19" i="7" s="1"/>
  <c r="B66" i="63"/>
  <c r="L18" i="63"/>
  <c r="P21" i="9"/>
  <c r="R21" i="9" s="1"/>
  <c r="N21" i="9"/>
  <c r="K35" i="60"/>
  <c r="P15" i="4"/>
  <c r="R15" i="4" s="1"/>
  <c r="D33" i="65"/>
  <c r="E13" i="65"/>
  <c r="E18" i="63"/>
  <c r="O18" i="63" s="1"/>
  <c r="I18" i="48" s="1"/>
  <c r="J18" i="48" s="1"/>
  <c r="H15" i="62"/>
  <c r="B16" i="70"/>
  <c r="C16" i="70" s="1"/>
  <c r="I15" i="62" s="1"/>
  <c r="P19" i="60" l="1"/>
  <c r="L39" i="1"/>
  <c r="M35" i="7"/>
  <c r="M35" i="13"/>
  <c r="R13" i="10"/>
  <c r="M37" i="12"/>
  <c r="N16" i="15"/>
  <c r="N33" i="21"/>
  <c r="P36" i="15"/>
  <c r="R36" i="15" s="1"/>
  <c r="D66" i="63"/>
  <c r="N33" i="5"/>
  <c r="P32" i="15"/>
  <c r="R32" i="15" s="1"/>
  <c r="P30" i="15"/>
  <c r="P34" i="15" s="1"/>
  <c r="R34" i="15" s="1"/>
  <c r="D57" i="57"/>
  <c r="L37" i="9"/>
  <c r="J38" i="63" s="1"/>
  <c r="H48" i="62"/>
  <c r="E64" i="63"/>
  <c r="O64" i="63" s="1"/>
  <c r="I64" i="48" s="1"/>
  <c r="J64" i="48" s="1"/>
  <c r="B62" i="70"/>
  <c r="C62" i="70" s="1"/>
  <c r="C30" i="47"/>
  <c r="B30" i="70" s="1"/>
  <c r="C30" i="70" s="1"/>
  <c r="I25" i="62" s="1"/>
  <c r="C48" i="47"/>
  <c r="H38" i="62" s="1"/>
  <c r="C44" i="47"/>
  <c r="B44" i="70" s="1"/>
  <c r="C44" i="70" s="1"/>
  <c r="I34" i="62" s="1"/>
  <c r="C52" i="47"/>
  <c r="C58" i="47"/>
  <c r="E60" i="63" s="1"/>
  <c r="O60" i="63" s="1"/>
  <c r="I60" i="48" s="1"/>
  <c r="J60" i="48" s="1"/>
  <c r="C40" i="47"/>
  <c r="B40" i="70" s="1"/>
  <c r="C40" i="70" s="1"/>
  <c r="I32" i="62" s="1"/>
  <c r="N17" i="4"/>
  <c r="C34" i="47"/>
  <c r="H27" i="62" s="1"/>
  <c r="C42" i="47"/>
  <c r="B42" i="70" s="1"/>
  <c r="C42" i="70" s="1"/>
  <c r="I33" i="62" s="1"/>
  <c r="C54" i="47"/>
  <c r="H41" i="62" s="1"/>
  <c r="C26" i="52"/>
  <c r="J23" i="62" s="1"/>
  <c r="C18" i="47"/>
  <c r="B18" i="70" s="1"/>
  <c r="C18" i="70" s="1"/>
  <c r="I17" i="62" s="1"/>
  <c r="C12" i="47"/>
  <c r="B12" i="70" s="1"/>
  <c r="C38" i="47"/>
  <c r="E40" i="63" s="1"/>
  <c r="O40" i="63" s="1"/>
  <c r="I40" i="48" s="1"/>
  <c r="J40" i="48" s="1"/>
  <c r="C22" i="47"/>
  <c r="B22" i="70" s="1"/>
  <c r="C22" i="70" s="1"/>
  <c r="I19" i="62" s="1"/>
  <c r="C20" i="47"/>
  <c r="E22" i="63" s="1"/>
  <c r="O22" i="63" s="1"/>
  <c r="I22" i="48" s="1"/>
  <c r="J22" i="48" s="1"/>
  <c r="C14" i="47"/>
  <c r="E16" i="63" s="1"/>
  <c r="O16" i="63" s="1"/>
  <c r="I16" i="48" s="1"/>
  <c r="J16" i="48" s="1"/>
  <c r="C36" i="47"/>
  <c r="H28" i="62" s="1"/>
  <c r="C50" i="47"/>
  <c r="H39" i="62" s="1"/>
  <c r="C56" i="47"/>
  <c r="B56" i="70" s="1"/>
  <c r="C56" i="70" s="1"/>
  <c r="I42" i="62" s="1"/>
  <c r="C28" i="47"/>
  <c r="C32" i="47"/>
  <c r="N32" i="3"/>
  <c r="B18" i="73" s="1"/>
  <c r="L34" i="11"/>
  <c r="J44" i="63" s="1"/>
  <c r="N33" i="20"/>
  <c r="B30" i="73" s="1"/>
  <c r="K33" i="65"/>
  <c r="P20" i="1"/>
  <c r="R20" i="1"/>
  <c r="T20" i="1" s="1"/>
  <c r="B62" i="54"/>
  <c r="D48" i="62"/>
  <c r="B38" i="61"/>
  <c r="D38" i="61" s="1"/>
  <c r="E38" i="61" s="1"/>
  <c r="D38" i="24"/>
  <c r="E38" i="24" s="1"/>
  <c r="B31" i="62"/>
  <c r="P33" i="16"/>
  <c r="R33" i="16" s="1"/>
  <c r="P37" i="16"/>
  <c r="N14" i="65"/>
  <c r="P14" i="65" s="1"/>
  <c r="L14" i="65"/>
  <c r="B62" i="61"/>
  <c r="D62" i="61" s="1"/>
  <c r="E62" i="61" s="1"/>
  <c r="D62" i="24"/>
  <c r="E62" i="24" s="1"/>
  <c r="B48" i="62"/>
  <c r="C26" i="62"/>
  <c r="B32" i="53"/>
  <c r="D32" i="53" s="1"/>
  <c r="E32" i="53" s="1"/>
  <c r="D52" i="24"/>
  <c r="E52" i="24" s="1"/>
  <c r="B52" i="61"/>
  <c r="D52" i="61" s="1"/>
  <c r="E52" i="61" s="1"/>
  <c r="B40" i="62"/>
  <c r="F34" i="10"/>
  <c r="C44" i="54" s="1"/>
  <c r="G13" i="10"/>
  <c r="G14" i="9"/>
  <c r="F37" i="9"/>
  <c r="C36" i="54" s="1"/>
  <c r="B32" i="62"/>
  <c r="D40" i="24"/>
  <c r="E40" i="24" s="1"/>
  <c r="B40" i="61"/>
  <c r="D40" i="61" s="1"/>
  <c r="E40" i="61" s="1"/>
  <c r="B27" i="62"/>
  <c r="B34" i="61"/>
  <c r="D34" i="61" s="1"/>
  <c r="E34" i="61" s="1"/>
  <c r="D34" i="24"/>
  <c r="E34" i="24" s="1"/>
  <c r="G13" i="7"/>
  <c r="F37" i="7"/>
  <c r="C54" i="54" s="1"/>
  <c r="B18" i="53"/>
  <c r="D18" i="53" s="1"/>
  <c r="E18" i="53" s="1"/>
  <c r="C17" i="62"/>
  <c r="F39" i="12"/>
  <c r="C50" i="54" s="1"/>
  <c r="G13" i="12"/>
  <c r="H46" i="62"/>
  <c r="E62" i="63"/>
  <c r="O62" i="63" s="1"/>
  <c r="I62" i="48" s="1"/>
  <c r="J62" i="48" s="1"/>
  <c r="B60" i="70"/>
  <c r="C60" i="70" s="1"/>
  <c r="I46" i="62" s="1"/>
  <c r="B48" i="61"/>
  <c r="D48" i="61" s="1"/>
  <c r="E48" i="61" s="1"/>
  <c r="D48" i="24"/>
  <c r="E48" i="24" s="1"/>
  <c r="B38" i="62"/>
  <c r="G14" i="20"/>
  <c r="F33" i="20"/>
  <c r="C30" i="54" s="1"/>
  <c r="N24" i="2"/>
  <c r="N40" i="2" s="1"/>
  <c r="P24" i="2"/>
  <c r="D27" i="62"/>
  <c r="B34" i="54"/>
  <c r="C46" i="62"/>
  <c r="B60" i="53"/>
  <c r="D60" i="53" s="1"/>
  <c r="E60" i="53" s="1"/>
  <c r="N15" i="65"/>
  <c r="P15" i="65" s="1"/>
  <c r="L15" i="65"/>
  <c r="O23" i="2"/>
  <c r="Q23" i="2"/>
  <c r="S23" i="2" s="1"/>
  <c r="D50" i="24"/>
  <c r="E50" i="24" s="1"/>
  <c r="B39" i="62"/>
  <c r="B50" i="61"/>
  <c r="D50" i="61" s="1"/>
  <c r="E50" i="61" s="1"/>
  <c r="B18" i="62"/>
  <c r="D20" i="24"/>
  <c r="E20" i="24" s="1"/>
  <c r="B20" i="61"/>
  <c r="D20" i="61" s="1"/>
  <c r="E20" i="61" s="1"/>
  <c r="B33" i="62"/>
  <c r="B42" i="61"/>
  <c r="D42" i="61" s="1"/>
  <c r="E42" i="61" s="1"/>
  <c r="D42" i="24"/>
  <c r="E42" i="24" s="1"/>
  <c r="B60" i="54"/>
  <c r="D46" i="62"/>
  <c r="N33" i="17"/>
  <c r="B62" i="73" s="1"/>
  <c r="D26" i="62"/>
  <c r="B32" i="54"/>
  <c r="B42" i="62"/>
  <c r="D56" i="24"/>
  <c r="E56" i="24" s="1"/>
  <c r="B56" i="61"/>
  <c r="D56" i="61" s="1"/>
  <c r="E56" i="61" s="1"/>
  <c r="Q21" i="2"/>
  <c r="S21" i="2" s="1"/>
  <c r="O21" i="2"/>
  <c r="C28" i="62"/>
  <c r="B36" i="53"/>
  <c r="D36" i="53" s="1"/>
  <c r="E36" i="53" s="1"/>
  <c r="F13" i="1"/>
  <c r="E39" i="1"/>
  <c r="C10" i="61" s="1"/>
  <c r="N13" i="7"/>
  <c r="O14" i="7"/>
  <c r="P13" i="7"/>
  <c r="R13" i="7" s="1"/>
  <c r="P32" i="6"/>
  <c r="P28" i="6"/>
  <c r="F34" i="11"/>
  <c r="C42" i="54" s="1"/>
  <c r="G13" i="11"/>
  <c r="G13" i="6"/>
  <c r="F34" i="6"/>
  <c r="C38" i="54" s="1"/>
  <c r="B56" i="54"/>
  <c r="D42" i="62"/>
  <c r="D30" i="24"/>
  <c r="E30" i="24" s="1"/>
  <c r="B25" i="62"/>
  <c r="B30" i="61"/>
  <c r="D30" i="61" s="1"/>
  <c r="E30" i="61" s="1"/>
  <c r="D58" i="24"/>
  <c r="E58" i="24" s="1"/>
  <c r="B43" i="62"/>
  <c r="B58" i="61"/>
  <c r="D58" i="61" s="1"/>
  <c r="E58" i="61" s="1"/>
  <c r="B22" i="54"/>
  <c r="D19" i="62"/>
  <c r="B24" i="62"/>
  <c r="D28" i="24"/>
  <c r="E28" i="24" s="1"/>
  <c r="B28" i="61"/>
  <c r="D28" i="61" s="1"/>
  <c r="E28" i="61" s="1"/>
  <c r="F35" i="60"/>
  <c r="C14" i="54" s="1"/>
  <c r="G13" i="60"/>
  <c r="N13" i="13"/>
  <c r="P13" i="13"/>
  <c r="R13" i="13" s="1"/>
  <c r="O14" i="13"/>
  <c r="B18" i="48"/>
  <c r="L66" i="63"/>
  <c r="B48" i="54"/>
  <c r="D38" i="62"/>
  <c r="C40" i="62"/>
  <c r="B52" i="53"/>
  <c r="D52" i="53" s="1"/>
  <c r="E52" i="53" s="1"/>
  <c r="D34" i="62"/>
  <c r="B44" i="54"/>
  <c r="D28" i="62"/>
  <c r="B36" i="54"/>
  <c r="Q13" i="1"/>
  <c r="O13" i="1"/>
  <c r="C46" i="61"/>
  <c r="C46" i="24"/>
  <c r="B14" i="54"/>
  <c r="D12" i="62"/>
  <c r="F33" i="17"/>
  <c r="C62" i="54" s="1"/>
  <c r="G12" i="17"/>
  <c r="M33" i="12"/>
  <c r="L39" i="12"/>
  <c r="J52" i="63" s="1"/>
  <c r="B38" i="53"/>
  <c r="D38" i="53" s="1"/>
  <c r="E38" i="53" s="1"/>
  <c r="C31" i="62"/>
  <c r="B18" i="61"/>
  <c r="D18" i="61" s="1"/>
  <c r="E18" i="61" s="1"/>
  <c r="D18" i="24"/>
  <c r="E18" i="24" s="1"/>
  <c r="B17" i="62"/>
  <c r="B50" i="54"/>
  <c r="D39" i="62"/>
  <c r="G60" i="22"/>
  <c r="C16" i="69" s="1"/>
  <c r="F15" i="62" s="1"/>
  <c r="H15" i="22"/>
  <c r="H60" i="22" s="1"/>
  <c r="B12" i="54"/>
  <c r="D11" i="62"/>
  <c r="B30" i="54"/>
  <c r="D25" i="62"/>
  <c r="D43" i="62"/>
  <c r="B58" i="54"/>
  <c r="K34" i="64"/>
  <c r="L28" i="64"/>
  <c r="L34" i="64" s="1"/>
  <c r="J48" i="63" s="1"/>
  <c r="F38" i="8"/>
  <c r="C34" i="54" s="1"/>
  <c r="G14" i="8"/>
  <c r="B46" i="62"/>
  <c r="B60" i="61"/>
  <c r="D60" i="61" s="1"/>
  <c r="E60" i="61" s="1"/>
  <c r="D60" i="24"/>
  <c r="E60" i="24" s="1"/>
  <c r="Q15" i="2"/>
  <c r="S15" i="2" s="1"/>
  <c r="O15" i="2"/>
  <c r="G13" i="3"/>
  <c r="F32" i="3"/>
  <c r="C18" i="54" s="1"/>
  <c r="C39" i="62"/>
  <c r="B50" i="53"/>
  <c r="D50" i="53" s="1"/>
  <c r="E50" i="53" s="1"/>
  <c r="B20" i="53"/>
  <c r="D20" i="53" s="1"/>
  <c r="E20" i="53" s="1"/>
  <c r="C18" i="62"/>
  <c r="C12" i="61"/>
  <c r="C12" i="24"/>
  <c r="F36" i="48"/>
  <c r="G36" i="48" s="1"/>
  <c r="N66" i="63"/>
  <c r="F33" i="58"/>
  <c r="C20" i="54" s="1"/>
  <c r="G14" i="58"/>
  <c r="D40" i="62"/>
  <c r="B52" i="54"/>
  <c r="B36" i="61"/>
  <c r="D36" i="61" s="1"/>
  <c r="E36" i="61" s="1"/>
  <c r="B28" i="62"/>
  <c r="D36" i="24"/>
  <c r="E36" i="24" s="1"/>
  <c r="D10" i="24"/>
  <c r="E10" i="24" s="1"/>
  <c r="B10" i="62"/>
  <c r="B10" i="61"/>
  <c r="N14" i="9"/>
  <c r="N17" i="9" s="1"/>
  <c r="N27" i="9" s="1"/>
  <c r="O17" i="9"/>
  <c r="P14" i="9"/>
  <c r="R14" i="9" s="1"/>
  <c r="C19" i="62"/>
  <c r="B22" i="53"/>
  <c r="D22" i="53" s="1"/>
  <c r="E22" i="53" s="1"/>
  <c r="C41" i="62"/>
  <c r="B54" i="53"/>
  <c r="D54" i="53" s="1"/>
  <c r="E54" i="53" s="1"/>
  <c r="D31" i="62"/>
  <c r="B38" i="54"/>
  <c r="F40" i="15"/>
  <c r="C56" i="54" s="1"/>
  <c r="G13" i="15"/>
  <c r="C25" i="62"/>
  <c r="B30" i="53"/>
  <c r="D30" i="53" s="1"/>
  <c r="E30" i="53" s="1"/>
  <c r="C43" i="62"/>
  <c r="B58" i="53"/>
  <c r="D58" i="53" s="1"/>
  <c r="E58" i="53" s="1"/>
  <c r="G13" i="18"/>
  <c r="F32" i="18"/>
  <c r="C22" i="54" s="1"/>
  <c r="F13" i="65"/>
  <c r="E33" i="65"/>
  <c r="C24" i="53" s="1"/>
  <c r="F37" i="59"/>
  <c r="C48" i="54" s="1"/>
  <c r="G13" i="59"/>
  <c r="E34" i="64"/>
  <c r="C46" i="53" s="1"/>
  <c r="F13" i="64"/>
  <c r="B16" i="69"/>
  <c r="D16" i="54"/>
  <c r="E16" i="54" s="1"/>
  <c r="E15" i="62"/>
  <c r="G14" i="2"/>
  <c r="F40" i="2"/>
  <c r="C12" i="54" s="1"/>
  <c r="B28" i="54"/>
  <c r="D24" i="62"/>
  <c r="F39" i="16"/>
  <c r="C58" i="54" s="1"/>
  <c r="G13" i="16"/>
  <c r="B14" i="53"/>
  <c r="D14" i="53" s="1"/>
  <c r="E14" i="53" s="1"/>
  <c r="C12" i="62"/>
  <c r="D17" i="62"/>
  <c r="B18" i="54"/>
  <c r="O14" i="2"/>
  <c r="Q14" i="2"/>
  <c r="S14" i="2" s="1"/>
  <c r="G48" i="50"/>
  <c r="I48" i="50" s="1"/>
  <c r="I50" i="50" s="1"/>
  <c r="I52" i="50" s="1"/>
  <c r="I54" i="50" s="1"/>
  <c r="L43" i="22"/>
  <c r="G32" i="19"/>
  <c r="C26" i="69" s="1"/>
  <c r="H13" i="19"/>
  <c r="H32" i="19" s="1"/>
  <c r="N37" i="59"/>
  <c r="B48" i="73" s="1"/>
  <c r="D18" i="62"/>
  <c r="B20" i="54"/>
  <c r="G13" i="13"/>
  <c r="F37" i="13"/>
  <c r="C52" i="54" s="1"/>
  <c r="C34" i="62"/>
  <c r="B44" i="53"/>
  <c r="D44" i="53" s="1"/>
  <c r="E44" i="53" s="1"/>
  <c r="L37" i="13"/>
  <c r="J54" i="63" s="1"/>
  <c r="M31" i="13"/>
  <c r="R15" i="1"/>
  <c r="T15" i="1" s="1"/>
  <c r="P15" i="1"/>
  <c r="F33" i="21"/>
  <c r="C40" i="54" s="1"/>
  <c r="G14" i="21"/>
  <c r="B22" i="61"/>
  <c r="D22" i="61" s="1"/>
  <c r="E22" i="61" s="1"/>
  <c r="D22" i="24"/>
  <c r="E22" i="24" s="1"/>
  <c r="B19" i="62"/>
  <c r="B41" i="62"/>
  <c r="D54" i="24"/>
  <c r="E54" i="24" s="1"/>
  <c r="B54" i="61"/>
  <c r="D54" i="61" s="1"/>
  <c r="E54" i="61" s="1"/>
  <c r="L37" i="7"/>
  <c r="J56" i="63" s="1"/>
  <c r="M31" i="7"/>
  <c r="P19" i="1"/>
  <c r="R19" i="1"/>
  <c r="T19" i="1" s="1"/>
  <c r="E38" i="51"/>
  <c r="G15" i="51"/>
  <c r="G32" i="51" s="1"/>
  <c r="I15" i="51"/>
  <c r="N33" i="58"/>
  <c r="B20" i="73" s="1"/>
  <c r="D16" i="70"/>
  <c r="E16" i="70" s="1"/>
  <c r="B16" i="52"/>
  <c r="C24" i="24"/>
  <c r="C24" i="61"/>
  <c r="O21" i="1"/>
  <c r="Q21" i="1"/>
  <c r="B28" i="53"/>
  <c r="D28" i="53" s="1"/>
  <c r="E28" i="53" s="1"/>
  <c r="C24" i="62"/>
  <c r="C32" i="62"/>
  <c r="B40" i="53"/>
  <c r="D40" i="53" s="1"/>
  <c r="E40" i="53" s="1"/>
  <c r="B34" i="53"/>
  <c r="D34" i="53" s="1"/>
  <c r="E34" i="53" s="1"/>
  <c r="C27" i="62"/>
  <c r="P38" i="15"/>
  <c r="D41" i="62"/>
  <c r="B54" i="54"/>
  <c r="O18" i="8"/>
  <c r="N14" i="8"/>
  <c r="N18" i="8" s="1"/>
  <c r="P14" i="8"/>
  <c r="R14" i="8" s="1"/>
  <c r="N35" i="60"/>
  <c r="B14" i="73" s="1"/>
  <c r="C38" i="62"/>
  <c r="B48" i="53"/>
  <c r="D48" i="53" s="1"/>
  <c r="E48" i="53" s="1"/>
  <c r="G14" i="4"/>
  <c r="F37" i="4"/>
  <c r="C28" i="54" s="1"/>
  <c r="P28" i="10"/>
  <c r="P32" i="10"/>
  <c r="N13" i="64"/>
  <c r="N14" i="64" s="1"/>
  <c r="P13" i="64"/>
  <c r="R13" i="64" s="1"/>
  <c r="O14" i="64"/>
  <c r="D14" i="24"/>
  <c r="E14" i="24" s="1"/>
  <c r="B14" i="61"/>
  <c r="D14" i="61" s="1"/>
  <c r="E14" i="61" s="1"/>
  <c r="B12" i="62"/>
  <c r="P27" i="4"/>
  <c r="R27" i="4" s="1"/>
  <c r="D29" i="57"/>
  <c r="B62" i="53"/>
  <c r="D62" i="53" s="1"/>
  <c r="E62" i="53" s="1"/>
  <c r="C48" i="62"/>
  <c r="B32" i="61"/>
  <c r="D32" i="61" s="1"/>
  <c r="E32" i="61" s="1"/>
  <c r="D32" i="24"/>
  <c r="E32" i="24" s="1"/>
  <c r="B26" i="62"/>
  <c r="E23" i="62"/>
  <c r="D26" i="54"/>
  <c r="E26" i="54" s="1"/>
  <c r="B26" i="69"/>
  <c r="B42" i="53"/>
  <c r="D42" i="53" s="1"/>
  <c r="E42" i="53" s="1"/>
  <c r="C33" i="62"/>
  <c r="F43" i="23"/>
  <c r="C60" i="54" s="1"/>
  <c r="G14" i="23"/>
  <c r="P28" i="11"/>
  <c r="P32" i="11"/>
  <c r="N13" i="65"/>
  <c r="P13" i="65" s="1"/>
  <c r="L13" i="65"/>
  <c r="N32" i="18"/>
  <c r="B22" i="73" s="1"/>
  <c r="G14" i="5"/>
  <c r="F33" i="5"/>
  <c r="C32" i="54" s="1"/>
  <c r="C42" i="62"/>
  <c r="B56" i="53"/>
  <c r="D56" i="53" s="1"/>
  <c r="E56" i="53" s="1"/>
  <c r="D44" i="24"/>
  <c r="E44" i="24" s="1"/>
  <c r="B44" i="61"/>
  <c r="D44" i="61" s="1"/>
  <c r="E44" i="61" s="1"/>
  <c r="B34" i="62"/>
  <c r="P17" i="64"/>
  <c r="R17" i="64" s="1"/>
  <c r="N17" i="64"/>
  <c r="L40" i="15"/>
  <c r="J58" i="63" s="1"/>
  <c r="M34" i="15"/>
  <c r="D32" i="62"/>
  <c r="B40" i="54"/>
  <c r="D33" i="62"/>
  <c r="B42" i="54"/>
  <c r="P13" i="12"/>
  <c r="R13" i="12" s="1"/>
  <c r="N13" i="12"/>
  <c r="O14" i="12"/>
  <c r="D44" i="62" l="1"/>
  <c r="B44" i="62"/>
  <c r="C44" i="62"/>
  <c r="B62" i="52"/>
  <c r="I48" i="62"/>
  <c r="N14" i="13"/>
  <c r="N14" i="12"/>
  <c r="H40" i="62"/>
  <c r="N38" i="15"/>
  <c r="E57" i="72" s="1"/>
  <c r="F57" i="72"/>
  <c r="N28" i="6"/>
  <c r="R28" i="6"/>
  <c r="N37" i="16"/>
  <c r="E59" i="72" s="1"/>
  <c r="F59" i="72"/>
  <c r="N32" i="6"/>
  <c r="E39" i="72" s="1"/>
  <c r="F39" i="72"/>
  <c r="N28" i="11"/>
  <c r="R28" i="11"/>
  <c r="F57" i="57"/>
  <c r="R30" i="15"/>
  <c r="N28" i="10"/>
  <c r="R28" i="10"/>
  <c r="C32" i="52"/>
  <c r="J26" i="62" s="1"/>
  <c r="B32" i="73"/>
  <c r="N32" i="11"/>
  <c r="E43" i="72" s="1"/>
  <c r="F43" i="72"/>
  <c r="C40" i="52"/>
  <c r="J32" i="62" s="1"/>
  <c r="B40" i="73"/>
  <c r="N32" i="10"/>
  <c r="E45" i="72" s="1"/>
  <c r="F45" i="72"/>
  <c r="P34" i="10"/>
  <c r="B44" i="73" s="1"/>
  <c r="D67" i="52"/>
  <c r="H17" i="62"/>
  <c r="H12" i="62"/>
  <c r="E54" i="63"/>
  <c r="O54" i="63" s="1"/>
  <c r="I54" i="48" s="1"/>
  <c r="J54" i="48" s="1"/>
  <c r="B48" i="70"/>
  <c r="C48" i="70" s="1"/>
  <c r="B52" i="70"/>
  <c r="C52" i="70" s="1"/>
  <c r="E50" i="63"/>
  <c r="O50" i="63" s="1"/>
  <c r="I50" i="48" s="1"/>
  <c r="J50" i="48" s="1"/>
  <c r="E56" i="63"/>
  <c r="O56" i="63" s="1"/>
  <c r="I56" i="48" s="1"/>
  <c r="J56" i="48" s="1"/>
  <c r="B54" i="70"/>
  <c r="C54" i="70" s="1"/>
  <c r="E32" i="63"/>
  <c r="O32" i="63" s="1"/>
  <c r="I32" i="48" s="1"/>
  <c r="J32" i="48" s="1"/>
  <c r="E46" i="63"/>
  <c r="O46" i="63" s="1"/>
  <c r="I46" i="48" s="1"/>
  <c r="J46" i="48" s="1"/>
  <c r="B36" i="70"/>
  <c r="C36" i="70" s="1"/>
  <c r="B34" i="70"/>
  <c r="C34" i="70" s="1"/>
  <c r="E38" i="63"/>
  <c r="O38" i="63" s="1"/>
  <c r="I38" i="48" s="1"/>
  <c r="J38" i="48" s="1"/>
  <c r="E44" i="63"/>
  <c r="O44" i="63" s="1"/>
  <c r="I44" i="48" s="1"/>
  <c r="J44" i="48" s="1"/>
  <c r="H42" i="62"/>
  <c r="H34" i="62"/>
  <c r="B58" i="70"/>
  <c r="C58" i="70" s="1"/>
  <c r="E36" i="63"/>
  <c r="O36" i="63" s="1"/>
  <c r="I36" i="48" s="1"/>
  <c r="J36" i="48" s="1"/>
  <c r="D62" i="70"/>
  <c r="E62" i="70" s="1"/>
  <c r="H32" i="62"/>
  <c r="E52" i="63"/>
  <c r="O52" i="63" s="1"/>
  <c r="I52" i="48" s="1"/>
  <c r="J52" i="48" s="1"/>
  <c r="H43" i="62"/>
  <c r="E58" i="63"/>
  <c r="O58" i="63" s="1"/>
  <c r="I58" i="48" s="1"/>
  <c r="J58" i="48" s="1"/>
  <c r="E42" i="63"/>
  <c r="O42" i="63" s="1"/>
  <c r="I42" i="48" s="1"/>
  <c r="J42" i="48" s="1"/>
  <c r="E14" i="63"/>
  <c r="O14" i="63" s="1"/>
  <c r="I14" i="48" s="1"/>
  <c r="J14" i="48" s="1"/>
  <c r="H33" i="62"/>
  <c r="H19" i="62"/>
  <c r="B14" i="70"/>
  <c r="C14" i="70" s="1"/>
  <c r="B50" i="70"/>
  <c r="C50" i="70" s="1"/>
  <c r="H11" i="62"/>
  <c r="C20" i="52"/>
  <c r="J18" i="62" s="1"/>
  <c r="C48" i="52"/>
  <c r="J38" i="62" s="1"/>
  <c r="C16" i="56"/>
  <c r="G15" i="62" s="1"/>
  <c r="E20" i="63"/>
  <c r="O20" i="63" s="1"/>
  <c r="I20" i="48" s="1"/>
  <c r="J20" i="48" s="1"/>
  <c r="C62" i="52"/>
  <c r="J48" i="62" s="1"/>
  <c r="B38" i="70"/>
  <c r="C38" i="70" s="1"/>
  <c r="C12" i="70"/>
  <c r="C10" i="47"/>
  <c r="H10" i="62" s="1"/>
  <c r="C18" i="52"/>
  <c r="J17" i="62" s="1"/>
  <c r="H26" i="62"/>
  <c r="E34" i="63"/>
  <c r="O34" i="63" s="1"/>
  <c r="I34" i="48" s="1"/>
  <c r="J34" i="48" s="1"/>
  <c r="B32" i="70"/>
  <c r="C32" i="70" s="1"/>
  <c r="I26" i="62" s="1"/>
  <c r="C22" i="52"/>
  <c r="J19" i="62" s="1"/>
  <c r="E24" i="63"/>
  <c r="O24" i="63" s="1"/>
  <c r="I24" i="48" s="1"/>
  <c r="J24" i="48" s="1"/>
  <c r="C14" i="52"/>
  <c r="J12" i="62" s="1"/>
  <c r="C26" i="56"/>
  <c r="B26" i="47" s="1"/>
  <c r="D26" i="47" s="1"/>
  <c r="E26" i="47" s="1"/>
  <c r="H25" i="62"/>
  <c r="H31" i="62"/>
  <c r="C24" i="47"/>
  <c r="D26" i="52"/>
  <c r="K28" i="48" s="1"/>
  <c r="L28" i="48" s="1"/>
  <c r="C46" i="47"/>
  <c r="B46" i="70" s="1"/>
  <c r="C46" i="70" s="1"/>
  <c r="I35" i="62" s="1"/>
  <c r="C30" i="52"/>
  <c r="J25" i="62" s="1"/>
  <c r="B28" i="70"/>
  <c r="C28" i="70" s="1"/>
  <c r="I24" i="62" s="1"/>
  <c r="H24" i="62"/>
  <c r="E30" i="63"/>
  <c r="O30" i="63" s="1"/>
  <c r="I30" i="48" s="1"/>
  <c r="J30" i="48" s="1"/>
  <c r="H18" i="62"/>
  <c r="B20" i="70"/>
  <c r="C20" i="70" s="1"/>
  <c r="I18" i="62" s="1"/>
  <c r="N33" i="65"/>
  <c r="B24" i="73" s="1"/>
  <c r="B29" i="62"/>
  <c r="C29" i="62"/>
  <c r="D29" i="62"/>
  <c r="P34" i="6"/>
  <c r="B38" i="73" s="1"/>
  <c r="D32" i="54"/>
  <c r="E32" i="54" s="1"/>
  <c r="B32" i="69"/>
  <c r="E26" i="62"/>
  <c r="P32" i="64"/>
  <c r="P28" i="64"/>
  <c r="E32" i="62"/>
  <c r="B40" i="69"/>
  <c r="D40" i="54"/>
  <c r="E40" i="54" s="1"/>
  <c r="B46" i="54"/>
  <c r="D35" i="62"/>
  <c r="D36" i="62" s="1"/>
  <c r="H13" i="59"/>
  <c r="H37" i="59" s="1"/>
  <c r="G37" i="59"/>
  <c r="C48" i="69" s="1"/>
  <c r="G33" i="5"/>
  <c r="C32" i="69" s="1"/>
  <c r="H14" i="5"/>
  <c r="H33" i="5" s="1"/>
  <c r="P34" i="11"/>
  <c r="B42" i="73" s="1"/>
  <c r="E24" i="62"/>
  <c r="D28" i="54"/>
  <c r="E28" i="54" s="1"/>
  <c r="B28" i="69"/>
  <c r="C20" i="62"/>
  <c r="C21" i="62" s="1"/>
  <c r="B24" i="53"/>
  <c r="D24" i="53" s="1"/>
  <c r="E24" i="53" s="1"/>
  <c r="D56" i="70"/>
  <c r="E56" i="70" s="1"/>
  <c r="B56" i="52"/>
  <c r="D44" i="70"/>
  <c r="E44" i="70" s="1"/>
  <c r="B44" i="52"/>
  <c r="D48" i="54"/>
  <c r="E48" i="54" s="1"/>
  <c r="E38" i="62"/>
  <c r="B48" i="69"/>
  <c r="H13" i="18"/>
  <c r="H32" i="18" s="1"/>
  <c r="G32" i="18"/>
  <c r="C22" i="69" s="1"/>
  <c r="H14" i="58"/>
  <c r="H33" i="58" s="1"/>
  <c r="G33" i="58"/>
  <c r="C20" i="69" s="1"/>
  <c r="D12" i="24"/>
  <c r="E12" i="24" s="1"/>
  <c r="B12" i="61"/>
  <c r="D12" i="61" s="1"/>
  <c r="E12" i="61" s="1"/>
  <c r="B11" i="62"/>
  <c r="B13" i="62" s="1"/>
  <c r="G32" i="3"/>
  <c r="C18" i="69" s="1"/>
  <c r="H13" i="3"/>
  <c r="H32" i="3" s="1"/>
  <c r="H14" i="8"/>
  <c r="H38" i="8" s="1"/>
  <c r="G38" i="8"/>
  <c r="C34" i="69" s="1"/>
  <c r="D40" i="70"/>
  <c r="E40" i="70" s="1"/>
  <c r="B40" i="52"/>
  <c r="H12" i="17"/>
  <c r="H33" i="17" s="1"/>
  <c r="G33" i="17"/>
  <c r="C62" i="69" s="1"/>
  <c r="D46" i="24"/>
  <c r="E46" i="24" s="1"/>
  <c r="B46" i="61"/>
  <c r="D46" i="61" s="1"/>
  <c r="E46" i="61" s="1"/>
  <c r="B35" i="62"/>
  <c r="B36" i="62" s="1"/>
  <c r="O39" i="1"/>
  <c r="P31" i="13"/>
  <c r="P35" i="13"/>
  <c r="D18" i="70"/>
  <c r="E18" i="70" s="1"/>
  <c r="B18" i="52"/>
  <c r="H13" i="60"/>
  <c r="H35" i="60" s="1"/>
  <c r="G35" i="60"/>
  <c r="C14" i="69" s="1"/>
  <c r="F12" i="62" s="1"/>
  <c r="G34" i="6"/>
  <c r="C38" i="69" s="1"/>
  <c r="H13" i="6"/>
  <c r="H34" i="6" s="1"/>
  <c r="Q24" i="2"/>
  <c r="O24" i="2"/>
  <c r="H14" i="20"/>
  <c r="H33" i="20" s="1"/>
  <c r="G33" i="20"/>
  <c r="C30" i="69" s="1"/>
  <c r="B60" i="52"/>
  <c r="D60" i="70"/>
  <c r="E60" i="70" s="1"/>
  <c r="B50" i="69"/>
  <c r="E39" i="62"/>
  <c r="D50" i="54"/>
  <c r="E50" i="54" s="1"/>
  <c r="H13" i="7"/>
  <c r="H37" i="7" s="1"/>
  <c r="G37" i="7"/>
  <c r="C54" i="69" s="1"/>
  <c r="E28" i="62"/>
  <c r="B36" i="69"/>
  <c r="D36" i="54"/>
  <c r="E36" i="54" s="1"/>
  <c r="P39" i="16"/>
  <c r="B58" i="73" s="1"/>
  <c r="B22" i="52"/>
  <c r="D22" i="70"/>
  <c r="E22" i="70" s="1"/>
  <c r="P34" i="8"/>
  <c r="R34" i="8" s="1"/>
  <c r="P30" i="8"/>
  <c r="R30" i="8" s="1"/>
  <c r="P28" i="8"/>
  <c r="D35" i="57"/>
  <c r="B22" i="69"/>
  <c r="D22" i="54"/>
  <c r="E22" i="54" s="1"/>
  <c r="E19" i="62"/>
  <c r="H36" i="48"/>
  <c r="F66" i="48"/>
  <c r="D38" i="54"/>
  <c r="E38" i="54" s="1"/>
  <c r="B38" i="69"/>
  <c r="E31" i="62"/>
  <c r="D30" i="54"/>
  <c r="E30" i="54" s="1"/>
  <c r="E25" i="62"/>
  <c r="B30" i="69"/>
  <c r="E41" i="62"/>
  <c r="B54" i="69"/>
  <c r="D54" i="54"/>
  <c r="E54" i="54" s="1"/>
  <c r="E34" i="62"/>
  <c r="B44" i="69"/>
  <c r="D44" i="54"/>
  <c r="E44" i="54" s="1"/>
  <c r="B60" i="69"/>
  <c r="D60" i="54"/>
  <c r="E60" i="54" s="1"/>
  <c r="E46" i="62"/>
  <c r="G37" i="4"/>
  <c r="C28" i="69" s="1"/>
  <c r="H14" i="4"/>
  <c r="H37" i="4" s="1"/>
  <c r="P36" i="8"/>
  <c r="B24" i="61"/>
  <c r="D24" i="61" s="1"/>
  <c r="E24" i="61" s="1"/>
  <c r="D24" i="24"/>
  <c r="E24" i="24" s="1"/>
  <c r="B20" i="62"/>
  <c r="B21" i="62" s="1"/>
  <c r="B52" i="69"/>
  <c r="D52" i="54"/>
  <c r="E52" i="54" s="1"/>
  <c r="E40" i="62"/>
  <c r="B26" i="56"/>
  <c r="D26" i="69"/>
  <c r="E26" i="69" s="1"/>
  <c r="F23" i="62"/>
  <c r="G39" i="16"/>
  <c r="C58" i="69" s="1"/>
  <c r="H13" i="16"/>
  <c r="H39" i="16" s="1"/>
  <c r="D12" i="54"/>
  <c r="E12" i="54" s="1"/>
  <c r="E11" i="62"/>
  <c r="B12" i="69"/>
  <c r="B24" i="54"/>
  <c r="D20" i="62"/>
  <c r="D21" i="62" s="1"/>
  <c r="H13" i="15"/>
  <c r="H40" i="15" s="1"/>
  <c r="G40" i="15"/>
  <c r="C56" i="69" s="1"/>
  <c r="P35" i="9"/>
  <c r="C64" i="24"/>
  <c r="D64" i="24" s="1"/>
  <c r="E64" i="24" s="1"/>
  <c r="E18" i="62"/>
  <c r="B20" i="69"/>
  <c r="D20" i="54"/>
  <c r="E20" i="54" s="1"/>
  <c r="B12" i="53"/>
  <c r="D12" i="53" s="1"/>
  <c r="E12" i="53" s="1"/>
  <c r="C11" i="62"/>
  <c r="E27" i="62"/>
  <c r="D34" i="54"/>
  <c r="E34" i="54" s="1"/>
  <c r="B34" i="69"/>
  <c r="B62" i="69"/>
  <c r="E48" i="62"/>
  <c r="D62" i="54"/>
  <c r="E62" i="54" s="1"/>
  <c r="C35" i="62"/>
  <c r="C36" i="62" s="1"/>
  <c r="B46" i="53"/>
  <c r="D46" i="53" s="1"/>
  <c r="E46" i="53" s="1"/>
  <c r="P13" i="1"/>
  <c r="R13" i="1"/>
  <c r="T13" i="1" s="1"/>
  <c r="D30" i="70"/>
  <c r="E30" i="70" s="1"/>
  <c r="B30" i="52"/>
  <c r="E12" i="62"/>
  <c r="B14" i="69"/>
  <c r="D14" i="54"/>
  <c r="E14" i="54" s="1"/>
  <c r="H13" i="11"/>
  <c r="H34" i="11" s="1"/>
  <c r="G34" i="11"/>
  <c r="C42" i="69" s="1"/>
  <c r="C64" i="61"/>
  <c r="B10" i="53"/>
  <c r="D10" i="61"/>
  <c r="C10" i="62"/>
  <c r="G37" i="9"/>
  <c r="C36" i="69" s="1"/>
  <c r="H14" i="9"/>
  <c r="H37" i="9" s="1"/>
  <c r="H14" i="23"/>
  <c r="H43" i="23" s="1"/>
  <c r="G43" i="23"/>
  <c r="C60" i="69" s="1"/>
  <c r="P40" i="15"/>
  <c r="B56" i="73" s="1"/>
  <c r="N34" i="15"/>
  <c r="D18" i="54"/>
  <c r="E18" i="54" s="1"/>
  <c r="B18" i="69"/>
  <c r="E17" i="62"/>
  <c r="G39" i="12"/>
  <c r="C50" i="69" s="1"/>
  <c r="H13" i="12"/>
  <c r="H39" i="12" s="1"/>
  <c r="D42" i="70"/>
  <c r="E42" i="70" s="1"/>
  <c r="B42" i="52"/>
  <c r="P33" i="12"/>
  <c r="P37" i="12"/>
  <c r="F29" i="57"/>
  <c r="P21" i="1"/>
  <c r="R21" i="1"/>
  <c r="L31" i="23"/>
  <c r="I32" i="51"/>
  <c r="I34" i="51" s="1"/>
  <c r="I36" i="51" s="1"/>
  <c r="I38" i="51" s="1"/>
  <c r="H14" i="21"/>
  <c r="H33" i="21" s="1"/>
  <c r="G33" i="21"/>
  <c r="C40" i="69" s="1"/>
  <c r="H13" i="13"/>
  <c r="H37" i="13" s="1"/>
  <c r="G37" i="13"/>
  <c r="C52" i="69" s="1"/>
  <c r="M43" i="22"/>
  <c r="H18" i="48"/>
  <c r="B58" i="69"/>
  <c r="D58" i="54"/>
  <c r="E58" i="54" s="1"/>
  <c r="E43" i="62"/>
  <c r="H14" i="2"/>
  <c r="H40" i="2" s="1"/>
  <c r="G40" i="2"/>
  <c r="C12" i="69" s="1"/>
  <c r="F11" i="62" s="1"/>
  <c r="F34" i="64"/>
  <c r="C46" i="54" s="1"/>
  <c r="G13" i="64"/>
  <c r="F33" i="65"/>
  <c r="C24" i="54" s="1"/>
  <c r="G13" i="65"/>
  <c r="B56" i="69"/>
  <c r="E42" i="62"/>
  <c r="D56" i="54"/>
  <c r="E56" i="54" s="1"/>
  <c r="P27" i="9"/>
  <c r="P33" i="9"/>
  <c r="R33" i="9" s="1"/>
  <c r="D37" i="57"/>
  <c r="P29" i="9"/>
  <c r="R29" i="9" s="1"/>
  <c r="J66" i="63"/>
  <c r="P37" i="4"/>
  <c r="B28" i="73" s="1"/>
  <c r="D16" i="69"/>
  <c r="E16" i="69" s="1"/>
  <c r="B16" i="56"/>
  <c r="C18" i="48"/>
  <c r="G18" i="48" s="1"/>
  <c r="B66" i="48"/>
  <c r="D42" i="54"/>
  <c r="E42" i="54" s="1"/>
  <c r="B42" i="69"/>
  <c r="E33" i="62"/>
  <c r="P31" i="7"/>
  <c r="R31" i="7" s="1"/>
  <c r="P35" i="7"/>
  <c r="F39" i="1"/>
  <c r="C10" i="53" s="1"/>
  <c r="G13" i="1"/>
  <c r="H13" i="10"/>
  <c r="H34" i="10" s="1"/>
  <c r="G34" i="10"/>
  <c r="C44" i="69" s="1"/>
  <c r="E44" i="62" l="1"/>
  <c r="B12" i="52"/>
  <c r="I11" i="62"/>
  <c r="H44" i="62"/>
  <c r="B58" i="52"/>
  <c r="I43" i="62"/>
  <c r="D52" i="70"/>
  <c r="E52" i="70" s="1"/>
  <c r="I40" i="62"/>
  <c r="D50" i="70"/>
  <c r="E50" i="70" s="1"/>
  <c r="I39" i="62"/>
  <c r="B36" i="52"/>
  <c r="I28" i="62"/>
  <c r="B54" i="52"/>
  <c r="I41" i="62"/>
  <c r="B48" i="52"/>
  <c r="D48" i="52" s="1"/>
  <c r="K50" i="48" s="1"/>
  <c r="I38" i="62"/>
  <c r="D34" i="70"/>
  <c r="E34" i="70" s="1"/>
  <c r="I27" i="62"/>
  <c r="B38" i="52"/>
  <c r="I31" i="62"/>
  <c r="I36" i="62" s="1"/>
  <c r="D14" i="70"/>
  <c r="E14" i="70" s="1"/>
  <c r="I12" i="62"/>
  <c r="T21" i="1"/>
  <c r="D40" i="52"/>
  <c r="K42" i="48" s="1"/>
  <c r="B14" i="52"/>
  <c r="D14" i="52" s="1"/>
  <c r="E14" i="52" s="1"/>
  <c r="N37" i="12"/>
  <c r="E51" i="72" s="1"/>
  <c r="F51" i="72"/>
  <c r="N35" i="13"/>
  <c r="E53" i="72" s="1"/>
  <c r="F53" i="72"/>
  <c r="N35" i="7"/>
  <c r="E55" i="72" s="1"/>
  <c r="F55" i="72"/>
  <c r="N33" i="12"/>
  <c r="R33" i="12"/>
  <c r="N36" i="8"/>
  <c r="E35" i="72" s="1"/>
  <c r="F35" i="72"/>
  <c r="Q40" i="2"/>
  <c r="B12" i="73" s="1"/>
  <c r="S24" i="2"/>
  <c r="N31" i="13"/>
  <c r="R31" i="13"/>
  <c r="N28" i="64"/>
  <c r="R28" i="64"/>
  <c r="N35" i="9"/>
  <c r="E37" i="72" s="1"/>
  <c r="F37" i="72"/>
  <c r="P32" i="8"/>
  <c r="R28" i="8"/>
  <c r="N32" i="64"/>
  <c r="F47" i="72"/>
  <c r="F37" i="57"/>
  <c r="R27" i="9"/>
  <c r="D54" i="70"/>
  <c r="E54" i="70" s="1"/>
  <c r="D48" i="70"/>
  <c r="E48" i="70" s="1"/>
  <c r="B52" i="52"/>
  <c r="D58" i="70"/>
  <c r="E58" i="70" s="1"/>
  <c r="B34" i="52"/>
  <c r="G23" i="62"/>
  <c r="D62" i="52"/>
  <c r="K64" i="48" s="1"/>
  <c r="L64" i="48" s="1"/>
  <c r="D36" i="70"/>
  <c r="E36" i="70" s="1"/>
  <c r="H29" i="62"/>
  <c r="D16" i="56"/>
  <c r="E16" i="56" s="1"/>
  <c r="B10" i="70"/>
  <c r="B16" i="47"/>
  <c r="D16" i="47" s="1"/>
  <c r="E16" i="47" s="1"/>
  <c r="E12" i="63"/>
  <c r="O12" i="63" s="1"/>
  <c r="E48" i="63"/>
  <c r="O48" i="63" s="1"/>
  <c r="I48" i="48" s="1"/>
  <c r="J48" i="48" s="1"/>
  <c r="C64" i="47"/>
  <c r="H35" i="62"/>
  <c r="H36" i="62" s="1"/>
  <c r="D12" i="70"/>
  <c r="E12" i="70" s="1"/>
  <c r="B50" i="52"/>
  <c r="E26" i="52"/>
  <c r="M28" i="48"/>
  <c r="D22" i="52"/>
  <c r="K24" i="48" s="1"/>
  <c r="D38" i="70"/>
  <c r="E38" i="70" s="1"/>
  <c r="D30" i="52"/>
  <c r="K32" i="48" s="1"/>
  <c r="C28" i="56"/>
  <c r="G24" i="62" s="1"/>
  <c r="C54" i="56"/>
  <c r="B54" i="47" s="1"/>
  <c r="D54" i="47" s="1"/>
  <c r="E54" i="47" s="1"/>
  <c r="C18" i="56"/>
  <c r="G17" i="62" s="1"/>
  <c r="C42" i="52"/>
  <c r="J33" i="62" s="1"/>
  <c r="C40" i="56"/>
  <c r="B40" i="47" s="1"/>
  <c r="D40" i="47" s="1"/>
  <c r="E40" i="47" s="1"/>
  <c r="C50" i="56"/>
  <c r="G39" i="62" s="1"/>
  <c r="C56" i="52"/>
  <c r="J42" i="62" s="1"/>
  <c r="C14" i="56"/>
  <c r="B14" i="47" s="1"/>
  <c r="D14" i="47" s="1"/>
  <c r="E14" i="47" s="1"/>
  <c r="C22" i="56"/>
  <c r="G19" i="62" s="1"/>
  <c r="C32" i="56"/>
  <c r="G26" i="62" s="1"/>
  <c r="E26" i="63"/>
  <c r="O26" i="63" s="1"/>
  <c r="I26" i="48" s="1"/>
  <c r="J26" i="48" s="1"/>
  <c r="H20" i="62"/>
  <c r="H21" i="62" s="1"/>
  <c r="B32" i="52"/>
  <c r="D32" i="52" s="1"/>
  <c r="D32" i="70"/>
  <c r="E32" i="70" s="1"/>
  <c r="C44" i="56"/>
  <c r="B44" i="47" s="1"/>
  <c r="D44" i="47" s="1"/>
  <c r="E44" i="47" s="1"/>
  <c r="C28" i="52"/>
  <c r="J24" i="62" s="1"/>
  <c r="C36" i="56"/>
  <c r="B36" i="47" s="1"/>
  <c r="D36" i="47" s="1"/>
  <c r="E36" i="47" s="1"/>
  <c r="C56" i="56"/>
  <c r="B56" i="47" s="1"/>
  <c r="D56" i="47" s="1"/>
  <c r="E56" i="47" s="1"/>
  <c r="C58" i="56"/>
  <c r="B58" i="47" s="1"/>
  <c r="D58" i="47" s="1"/>
  <c r="E58" i="47" s="1"/>
  <c r="D26" i="56"/>
  <c r="E26" i="56" s="1"/>
  <c r="C44" i="52"/>
  <c r="J34" i="62" s="1"/>
  <c r="C38" i="56"/>
  <c r="G31" i="62" s="1"/>
  <c r="D18" i="52"/>
  <c r="E18" i="52" s="1"/>
  <c r="C10" i="70"/>
  <c r="C20" i="56"/>
  <c r="B20" i="47" s="1"/>
  <c r="D20" i="47" s="1"/>
  <c r="E20" i="47" s="1"/>
  <c r="C38" i="52"/>
  <c r="J31" i="62" s="1"/>
  <c r="B24" i="70"/>
  <c r="C24" i="70" s="1"/>
  <c r="D20" i="70"/>
  <c r="E20" i="70" s="1"/>
  <c r="B20" i="52"/>
  <c r="D20" i="52" s="1"/>
  <c r="E20" i="52" s="1"/>
  <c r="C12" i="56"/>
  <c r="G11" i="62" s="1"/>
  <c r="C52" i="56"/>
  <c r="G40" i="62" s="1"/>
  <c r="C60" i="56"/>
  <c r="G46" i="62" s="1"/>
  <c r="C42" i="56"/>
  <c r="B42" i="47" s="1"/>
  <c r="D42" i="47" s="1"/>
  <c r="E42" i="47" s="1"/>
  <c r="C58" i="52"/>
  <c r="J43" i="62" s="1"/>
  <c r="C30" i="56"/>
  <c r="B30" i="47" s="1"/>
  <c r="D30" i="47" s="1"/>
  <c r="E30" i="47" s="1"/>
  <c r="C62" i="56"/>
  <c r="B62" i="47" s="1"/>
  <c r="D62" i="47" s="1"/>
  <c r="E62" i="47" s="1"/>
  <c r="C34" i="56"/>
  <c r="B34" i="47" s="1"/>
  <c r="D34" i="47" s="1"/>
  <c r="E34" i="47" s="1"/>
  <c r="C48" i="56"/>
  <c r="G38" i="62" s="1"/>
  <c r="C24" i="52"/>
  <c r="J20" i="62" s="1"/>
  <c r="B28" i="52"/>
  <c r="D28" i="70"/>
  <c r="E28" i="70" s="1"/>
  <c r="B50" i="62"/>
  <c r="B64" i="53"/>
  <c r="E29" i="62"/>
  <c r="P34" i="64"/>
  <c r="B46" i="73" s="1"/>
  <c r="P37" i="7"/>
  <c r="B54" i="73" s="1"/>
  <c r="C66" i="48"/>
  <c r="G66" i="48" s="1"/>
  <c r="E18" i="48"/>
  <c r="E66" i="48" s="1"/>
  <c r="D32" i="69"/>
  <c r="E32" i="69" s="1"/>
  <c r="B32" i="56"/>
  <c r="F26" i="62"/>
  <c r="D48" i="69"/>
  <c r="E48" i="69" s="1"/>
  <c r="B48" i="56"/>
  <c r="F38" i="62"/>
  <c r="G34" i="64"/>
  <c r="C46" i="69" s="1"/>
  <c r="H13" i="64"/>
  <c r="H34" i="64" s="1"/>
  <c r="H62" i="48"/>
  <c r="M31" i="23"/>
  <c r="B36" i="56"/>
  <c r="F28" i="62"/>
  <c r="D36" i="69"/>
  <c r="E36" i="69" s="1"/>
  <c r="D56" i="69"/>
  <c r="E56" i="69" s="1"/>
  <c r="B56" i="56"/>
  <c r="F42" i="62"/>
  <c r="B46" i="52"/>
  <c r="D46" i="70"/>
  <c r="E46" i="70" s="1"/>
  <c r="F35" i="57"/>
  <c r="N28" i="8"/>
  <c r="F25" i="62"/>
  <c r="B30" i="56"/>
  <c r="D30" i="69"/>
  <c r="E30" i="69" s="1"/>
  <c r="B64" i="61"/>
  <c r="B28" i="56"/>
  <c r="F24" i="62"/>
  <c r="D28" i="69"/>
  <c r="E28" i="69" s="1"/>
  <c r="H13" i="1"/>
  <c r="G39" i="1"/>
  <c r="C10" i="54" s="1"/>
  <c r="B12" i="56"/>
  <c r="D12" i="69"/>
  <c r="E12" i="69" s="1"/>
  <c r="N56" i="22"/>
  <c r="P56" i="22" s="1"/>
  <c r="N50" i="22"/>
  <c r="P50" i="22" s="1"/>
  <c r="D17" i="57"/>
  <c r="N52" i="22"/>
  <c r="P52" i="22" s="1"/>
  <c r="D10" i="62"/>
  <c r="B10" i="54"/>
  <c r="B64" i="54" s="1"/>
  <c r="C64" i="53"/>
  <c r="D10" i="53"/>
  <c r="G33" i="65"/>
  <c r="C24" i="69" s="1"/>
  <c r="H13" i="65"/>
  <c r="H33" i="65" s="1"/>
  <c r="D46" i="54"/>
  <c r="E46" i="54" s="1"/>
  <c r="B46" i="69"/>
  <c r="E35" i="62"/>
  <c r="E36" i="62" s="1"/>
  <c r="F32" i="62"/>
  <c r="B40" i="56"/>
  <c r="D40" i="69"/>
  <c r="E40" i="69" s="1"/>
  <c r="C13" i="62"/>
  <c r="C50" i="62"/>
  <c r="B42" i="56"/>
  <c r="D42" i="69"/>
  <c r="E42" i="69" s="1"/>
  <c r="F33" i="62"/>
  <c r="R39" i="1"/>
  <c r="B10" i="73" s="1"/>
  <c r="F41" i="62"/>
  <c r="D54" i="69"/>
  <c r="E54" i="69" s="1"/>
  <c r="B54" i="56"/>
  <c r="F31" i="62"/>
  <c r="D38" i="69"/>
  <c r="E38" i="69" s="1"/>
  <c r="B38" i="56"/>
  <c r="B62" i="56"/>
  <c r="F48" i="62"/>
  <c r="D62" i="69"/>
  <c r="E62" i="69" s="1"/>
  <c r="D18" i="69"/>
  <c r="E18" i="69" s="1"/>
  <c r="B18" i="56"/>
  <c r="F17" i="62"/>
  <c r="F18" i="62"/>
  <c r="D20" i="69"/>
  <c r="E20" i="69" s="1"/>
  <c r="B20" i="56"/>
  <c r="B22" i="56"/>
  <c r="F19" i="62"/>
  <c r="D22" i="69"/>
  <c r="E22" i="69" s="1"/>
  <c r="D52" i="69"/>
  <c r="E52" i="69" s="1"/>
  <c r="B52" i="56"/>
  <c r="F40" i="62"/>
  <c r="D44" i="69"/>
  <c r="E44" i="69" s="1"/>
  <c r="F34" i="62"/>
  <c r="B44" i="56"/>
  <c r="E20" i="62"/>
  <c r="E21" i="62" s="1"/>
  <c r="D24" i="54"/>
  <c r="E24" i="54" s="1"/>
  <c r="B24" i="69"/>
  <c r="P39" i="12"/>
  <c r="B50" i="73" s="1"/>
  <c r="D50" i="69"/>
  <c r="E50" i="69" s="1"/>
  <c r="F39" i="62"/>
  <c r="B50" i="56"/>
  <c r="F46" i="62"/>
  <c r="B60" i="56"/>
  <c r="D60" i="69"/>
  <c r="E60" i="69" s="1"/>
  <c r="E10" i="61"/>
  <c r="D64" i="61"/>
  <c r="P31" i="9"/>
  <c r="D58" i="69"/>
  <c r="E58" i="69" s="1"/>
  <c r="F43" i="62"/>
  <c r="B58" i="56"/>
  <c r="B14" i="56"/>
  <c r="D14" i="69"/>
  <c r="E14" i="69" s="1"/>
  <c r="P37" i="13"/>
  <c r="B52" i="73" s="1"/>
  <c r="B34" i="56"/>
  <c r="D34" i="69"/>
  <c r="E34" i="69" s="1"/>
  <c r="F27" i="62"/>
  <c r="H13" i="62"/>
  <c r="I29" i="62" l="1"/>
  <c r="B10" i="52"/>
  <c r="I10" i="62"/>
  <c r="I13" i="62"/>
  <c r="D24" i="70"/>
  <c r="E24" i="70" s="1"/>
  <c r="I20" i="62"/>
  <c r="I21" i="62" s="1"/>
  <c r="E40" i="52"/>
  <c r="I44" i="62"/>
  <c r="F44" i="62"/>
  <c r="E22" i="52"/>
  <c r="C12" i="52"/>
  <c r="D12" i="52" s="1"/>
  <c r="K14" i="48" s="1"/>
  <c r="R32" i="8"/>
  <c r="N32" i="8"/>
  <c r="G25" i="62"/>
  <c r="N31" i="9"/>
  <c r="R31" i="9"/>
  <c r="P38" i="8"/>
  <c r="B34" i="73" s="1"/>
  <c r="M64" i="48"/>
  <c r="G33" i="62"/>
  <c r="G27" i="62"/>
  <c r="D40" i="56"/>
  <c r="E40" i="56" s="1"/>
  <c r="G32" i="62"/>
  <c r="B12" i="47"/>
  <c r="D12" i="47" s="1"/>
  <c r="E12" i="47" s="1"/>
  <c r="E62" i="52"/>
  <c r="E30" i="52"/>
  <c r="D58" i="56"/>
  <c r="E58" i="56" s="1"/>
  <c r="K16" i="48"/>
  <c r="L16" i="48" s="1"/>
  <c r="D50" i="56"/>
  <c r="E50" i="56" s="1"/>
  <c r="G43" i="62"/>
  <c r="B50" i="47"/>
  <c r="D50" i="47" s="1"/>
  <c r="E50" i="47" s="1"/>
  <c r="D38" i="52"/>
  <c r="E38" i="52" s="1"/>
  <c r="G28" i="62"/>
  <c r="D58" i="52"/>
  <c r="K60" i="48" s="1"/>
  <c r="K20" i="48"/>
  <c r="L20" i="48" s="1"/>
  <c r="D44" i="52"/>
  <c r="E44" i="52" s="1"/>
  <c r="B22" i="47"/>
  <c r="D22" i="47" s="1"/>
  <c r="E22" i="47" s="1"/>
  <c r="G41" i="62"/>
  <c r="D22" i="56"/>
  <c r="E22" i="56" s="1"/>
  <c r="D30" i="56"/>
  <c r="E30" i="56" s="1"/>
  <c r="B28" i="47"/>
  <c r="D28" i="47" s="1"/>
  <c r="E28" i="47" s="1"/>
  <c r="D20" i="56"/>
  <c r="E20" i="56" s="1"/>
  <c r="D28" i="56"/>
  <c r="E28" i="56" s="1"/>
  <c r="B52" i="47"/>
  <c r="G34" i="62"/>
  <c r="G18" i="62"/>
  <c r="D34" i="56"/>
  <c r="E34" i="56" s="1"/>
  <c r="E48" i="52"/>
  <c r="D44" i="56"/>
  <c r="E44" i="56" s="1"/>
  <c r="D52" i="56"/>
  <c r="E52" i="56" s="1"/>
  <c r="D42" i="56"/>
  <c r="E42" i="56" s="1"/>
  <c r="B64" i="70"/>
  <c r="B24" i="52"/>
  <c r="D24" i="52" s="1"/>
  <c r="E24" i="52" s="1"/>
  <c r="J21" i="62"/>
  <c r="H50" i="62"/>
  <c r="E66" i="63"/>
  <c r="D18" i="56"/>
  <c r="E18" i="56" s="1"/>
  <c r="D62" i="56"/>
  <c r="E62" i="56" s="1"/>
  <c r="D28" i="52"/>
  <c r="E28" i="52" s="1"/>
  <c r="D12" i="56"/>
  <c r="E12" i="56" s="1"/>
  <c r="B18" i="47"/>
  <c r="D18" i="47" s="1"/>
  <c r="E18" i="47" s="1"/>
  <c r="K22" i="48"/>
  <c r="L22" i="48" s="1"/>
  <c r="G48" i="62"/>
  <c r="B60" i="47"/>
  <c r="D60" i="47" s="1"/>
  <c r="E60" i="47" s="1"/>
  <c r="G12" i="62"/>
  <c r="C64" i="70"/>
  <c r="D56" i="52"/>
  <c r="K58" i="48" s="1"/>
  <c r="L58" i="48" s="1"/>
  <c r="C46" i="56"/>
  <c r="B46" i="47" s="1"/>
  <c r="D46" i="47" s="1"/>
  <c r="E46" i="47" s="1"/>
  <c r="E32" i="52"/>
  <c r="K34" i="48"/>
  <c r="C52" i="52"/>
  <c r="J40" i="62" s="1"/>
  <c r="D38" i="56"/>
  <c r="E38" i="56" s="1"/>
  <c r="G42" i="62"/>
  <c r="B38" i="47"/>
  <c r="D38" i="47" s="1"/>
  <c r="E38" i="47" s="1"/>
  <c r="C46" i="52"/>
  <c r="J35" i="62" s="1"/>
  <c r="B32" i="47"/>
  <c r="D32" i="47" s="1"/>
  <c r="E32" i="47" s="1"/>
  <c r="C50" i="52"/>
  <c r="D50" i="52" s="1"/>
  <c r="D10" i="70"/>
  <c r="E10" i="70" s="1"/>
  <c r="D54" i="56"/>
  <c r="E54" i="56" s="1"/>
  <c r="C24" i="56"/>
  <c r="B24" i="47" s="1"/>
  <c r="D24" i="47" s="1"/>
  <c r="E24" i="47" s="1"/>
  <c r="B48" i="47"/>
  <c r="D48" i="47" s="1"/>
  <c r="E48" i="47" s="1"/>
  <c r="D32" i="56"/>
  <c r="E32" i="56" s="1"/>
  <c r="D42" i="52"/>
  <c r="K44" i="48" s="1"/>
  <c r="M44" i="48" s="1"/>
  <c r="D14" i="56"/>
  <c r="E14" i="56" s="1"/>
  <c r="D60" i="56"/>
  <c r="E60" i="56" s="1"/>
  <c r="C10" i="52"/>
  <c r="J10" i="62" s="1"/>
  <c r="D56" i="56"/>
  <c r="E56" i="56" s="1"/>
  <c r="D36" i="56"/>
  <c r="E36" i="56" s="1"/>
  <c r="D48" i="56"/>
  <c r="E48" i="56" s="1"/>
  <c r="C54" i="52"/>
  <c r="J41" i="62" s="1"/>
  <c r="E64" i="61"/>
  <c r="D13" i="62"/>
  <c r="D50" i="62"/>
  <c r="D64" i="53"/>
  <c r="E10" i="53"/>
  <c r="E10" i="62"/>
  <c r="D10" i="54"/>
  <c r="B10" i="69"/>
  <c r="C64" i="54"/>
  <c r="L32" i="48"/>
  <c r="M32" i="48"/>
  <c r="L24" i="48"/>
  <c r="M24" i="48"/>
  <c r="L42" i="48"/>
  <c r="M42" i="48"/>
  <c r="B46" i="56"/>
  <c r="D46" i="69"/>
  <c r="E46" i="69" s="1"/>
  <c r="F35" i="62"/>
  <c r="F36" i="62" s="1"/>
  <c r="P37" i="9"/>
  <c r="B36" i="73" s="1"/>
  <c r="F20" i="62"/>
  <c r="F21" i="62" s="1"/>
  <c r="D24" i="69"/>
  <c r="E24" i="69" s="1"/>
  <c r="B24" i="56"/>
  <c r="H39" i="1"/>
  <c r="C10" i="69" s="1"/>
  <c r="F10" i="62" s="1"/>
  <c r="I13" i="1"/>
  <c r="I39" i="1" s="1"/>
  <c r="F29" i="62"/>
  <c r="L50" i="48"/>
  <c r="M50" i="48"/>
  <c r="O66" i="63"/>
  <c r="I12" i="48"/>
  <c r="F17" i="57"/>
  <c r="L50" i="22"/>
  <c r="H66" i="48"/>
  <c r="D61" i="57"/>
  <c r="D65" i="57" s="1"/>
  <c r="N35" i="23"/>
  <c r="P35" i="23" s="1"/>
  <c r="N33" i="23"/>
  <c r="P33" i="23" s="1"/>
  <c r="N39" i="23"/>
  <c r="P39" i="23" s="1"/>
  <c r="I50" i="62" l="1"/>
  <c r="G44" i="62"/>
  <c r="E12" i="52"/>
  <c r="D52" i="52"/>
  <c r="K54" i="48" s="1"/>
  <c r="D52" i="47"/>
  <c r="E52" i="47" s="1"/>
  <c r="J11" i="62"/>
  <c r="C34" i="52"/>
  <c r="D34" i="52" s="1"/>
  <c r="E34" i="52" s="1"/>
  <c r="E64" i="53"/>
  <c r="D71" i="53"/>
  <c r="G29" i="62"/>
  <c r="L44" i="48"/>
  <c r="M20" i="48"/>
  <c r="K40" i="48"/>
  <c r="M40" i="48" s="1"/>
  <c r="M16" i="48"/>
  <c r="D10" i="52"/>
  <c r="K46" i="48"/>
  <c r="L46" i="48" s="1"/>
  <c r="E58" i="52"/>
  <c r="D24" i="56"/>
  <c r="E24" i="56" s="1"/>
  <c r="D64" i="70"/>
  <c r="E64" i="70" s="1"/>
  <c r="D54" i="52"/>
  <c r="K56" i="48" s="1"/>
  <c r="L56" i="48" s="1"/>
  <c r="K26" i="48"/>
  <c r="B64" i="52"/>
  <c r="G35" i="62"/>
  <c r="G36" i="62" s="1"/>
  <c r="K30" i="48"/>
  <c r="L30" i="48" s="1"/>
  <c r="M58" i="48"/>
  <c r="E42" i="52"/>
  <c r="M22" i="48"/>
  <c r="E56" i="52"/>
  <c r="J36" i="62"/>
  <c r="D46" i="52"/>
  <c r="K48" i="48" s="1"/>
  <c r="C10" i="56"/>
  <c r="B10" i="47" s="1"/>
  <c r="C36" i="52"/>
  <c r="D36" i="52" s="1"/>
  <c r="J39" i="62"/>
  <c r="G20" i="62"/>
  <c r="G21" i="62" s="1"/>
  <c r="M34" i="48"/>
  <c r="L34" i="48"/>
  <c r="D46" i="56"/>
  <c r="E46" i="56" s="1"/>
  <c r="L40" i="48"/>
  <c r="I66" i="48"/>
  <c r="J12" i="48"/>
  <c r="E50" i="52"/>
  <c r="K52" i="48"/>
  <c r="E13" i="62"/>
  <c r="E50" i="62"/>
  <c r="L14" i="48"/>
  <c r="M14" i="48"/>
  <c r="B64" i="69"/>
  <c r="L33" i="23"/>
  <c r="F61" i="57"/>
  <c r="F65" i="57" s="1"/>
  <c r="N41" i="23"/>
  <c r="C64" i="69"/>
  <c r="B10" i="56"/>
  <c r="B64" i="56" s="1"/>
  <c r="D10" i="69"/>
  <c r="E10" i="54"/>
  <c r="D64" i="54"/>
  <c r="L60" i="48"/>
  <c r="M60" i="48"/>
  <c r="E52" i="52" l="1"/>
  <c r="J27" i="62"/>
  <c r="J44" i="62"/>
  <c r="K36" i="48"/>
  <c r="L36" i="48" s="1"/>
  <c r="J13" i="62"/>
  <c r="E64" i="54"/>
  <c r="D71" i="54"/>
  <c r="L41" i="23"/>
  <c r="E61" i="72" s="1"/>
  <c r="F61" i="72"/>
  <c r="E10" i="52"/>
  <c r="K12" i="48"/>
  <c r="L12" i="48" s="1"/>
  <c r="J28" i="62"/>
  <c r="M46" i="48"/>
  <c r="E54" i="52"/>
  <c r="M56" i="48"/>
  <c r="C64" i="56"/>
  <c r="M30" i="48"/>
  <c r="G10" i="62"/>
  <c r="G13" i="62" s="1"/>
  <c r="E46" i="52"/>
  <c r="E10" i="69"/>
  <c r="D64" i="69"/>
  <c r="F50" i="62"/>
  <c r="F13" i="62"/>
  <c r="L54" i="48"/>
  <c r="M54" i="48"/>
  <c r="L52" i="48"/>
  <c r="M52" i="48"/>
  <c r="E36" i="52"/>
  <c r="K38" i="48"/>
  <c r="N37" i="23"/>
  <c r="P37" i="23" s="1"/>
  <c r="D10" i="47"/>
  <c r="E10" i="47" s="1"/>
  <c r="D10" i="56"/>
  <c r="M36" i="48" l="1"/>
  <c r="E64" i="47"/>
  <c r="D71" i="47"/>
  <c r="J29" i="62"/>
  <c r="G50" i="62"/>
  <c r="E64" i="69"/>
  <c r="D71" i="69"/>
  <c r="M12" i="48"/>
  <c r="L38" i="48"/>
  <c r="M38" i="48"/>
  <c r="E10" i="56"/>
  <c r="D64" i="56"/>
  <c r="L37" i="23"/>
  <c r="N43" i="23"/>
  <c r="B60" i="73" s="1"/>
  <c r="E64" i="56" l="1"/>
  <c r="D71" i="56"/>
  <c r="C60" i="52"/>
  <c r="J46" i="62" s="1"/>
  <c r="D60" i="52" l="1"/>
  <c r="E60" i="52" s="1"/>
  <c r="K62" i="48" l="1"/>
  <c r="L62" i="48" s="1"/>
  <c r="M62" i="48" l="1"/>
  <c r="L54" i="22" l="1"/>
  <c r="P54" i="22"/>
  <c r="N58" i="22"/>
  <c r="F17" i="72" s="1"/>
  <c r="F65" i="72" l="1"/>
  <c r="N60" i="22"/>
  <c r="L58" i="22"/>
  <c r="E17" i="72" s="1"/>
  <c r="E65" i="72" s="1"/>
  <c r="B16" i="73" l="1"/>
  <c r="B64" i="73" s="1"/>
  <c r="C16" i="52"/>
  <c r="G69" i="72"/>
  <c r="G70" i="72" s="1"/>
  <c r="G17" i="72" s="1"/>
  <c r="O58" i="22" l="1"/>
  <c r="P58" i="22" s="1"/>
  <c r="P60" i="22" s="1"/>
  <c r="C16" i="73" s="1"/>
  <c r="D16" i="73" s="1"/>
  <c r="E16" i="73" s="1"/>
  <c r="K15" i="62"/>
  <c r="G41" i="72"/>
  <c r="G15" i="72"/>
  <c r="G51" i="72"/>
  <c r="G59" i="72"/>
  <c r="G35" i="72"/>
  <c r="G33" i="72"/>
  <c r="G29" i="72"/>
  <c r="G63" i="72"/>
  <c r="G57" i="72"/>
  <c r="G27" i="72"/>
  <c r="G61" i="72"/>
  <c r="G21" i="72"/>
  <c r="G31" i="72"/>
  <c r="G43" i="72"/>
  <c r="G47" i="72"/>
  <c r="G19" i="72"/>
  <c r="G23" i="72"/>
  <c r="J15" i="62"/>
  <c r="C64" i="52"/>
  <c r="D64" i="52" s="1"/>
  <c r="E64" i="52" s="1"/>
  <c r="D16" i="52"/>
  <c r="G49" i="72"/>
  <c r="G11" i="72"/>
  <c r="K10" i="62" s="1"/>
  <c r="G25" i="72"/>
  <c r="G39" i="72"/>
  <c r="G37" i="72"/>
  <c r="G55" i="72"/>
  <c r="G45" i="72"/>
  <c r="G53" i="72"/>
  <c r="G13" i="72"/>
  <c r="M15" i="62" l="1"/>
  <c r="Q35" i="7"/>
  <c r="R35" i="7" s="1"/>
  <c r="R37" i="7" s="1"/>
  <c r="C54" i="73" s="1"/>
  <c r="D54" i="73" s="1"/>
  <c r="E54" i="73" s="1"/>
  <c r="K41" i="62"/>
  <c r="M41" i="62" s="1"/>
  <c r="O30" i="19"/>
  <c r="P30" i="19" s="1"/>
  <c r="P32" i="19" s="1"/>
  <c r="C26" i="73" s="1"/>
  <c r="D26" i="73" s="1"/>
  <c r="E26" i="73" s="1"/>
  <c r="K23" i="62"/>
  <c r="O33" i="60"/>
  <c r="P33" i="60" s="1"/>
  <c r="P35" i="60" s="1"/>
  <c r="C14" i="73" s="1"/>
  <c r="D14" i="73" s="1"/>
  <c r="E14" i="73" s="1"/>
  <c r="K12" i="62"/>
  <c r="M12" i="62" s="1"/>
  <c r="Q35" i="9"/>
  <c r="R35" i="9" s="1"/>
  <c r="R37" i="9" s="1"/>
  <c r="C36" i="73" s="1"/>
  <c r="D36" i="73" s="1"/>
  <c r="E36" i="73" s="1"/>
  <c r="K28" i="62"/>
  <c r="M28" i="62" s="1"/>
  <c r="O35" i="59"/>
  <c r="P35" i="59" s="1"/>
  <c r="P37" i="59" s="1"/>
  <c r="C48" i="73" s="1"/>
  <c r="D48" i="73" s="1"/>
  <c r="E48" i="73" s="1"/>
  <c r="K38" i="62"/>
  <c r="O30" i="18"/>
  <c r="P30" i="18" s="1"/>
  <c r="P32" i="18" s="1"/>
  <c r="C22" i="73" s="1"/>
  <c r="D22" i="73" s="1"/>
  <c r="E22" i="73" s="1"/>
  <c r="K19" i="62"/>
  <c r="M19" i="62" s="1"/>
  <c r="O31" i="20"/>
  <c r="P31" i="20" s="1"/>
  <c r="P33" i="20" s="1"/>
  <c r="C30" i="73" s="1"/>
  <c r="D30" i="73" s="1"/>
  <c r="E30" i="73" s="1"/>
  <c r="K25" i="62"/>
  <c r="M25" i="62" s="1"/>
  <c r="Q38" i="15"/>
  <c r="R38" i="15" s="1"/>
  <c r="R40" i="15" s="1"/>
  <c r="C56" i="73" s="1"/>
  <c r="D56" i="73" s="1"/>
  <c r="E56" i="73" s="1"/>
  <c r="K42" i="62"/>
  <c r="M42" i="62" s="1"/>
  <c r="Q36" i="8"/>
  <c r="R36" i="8" s="1"/>
  <c r="R38" i="8" s="1"/>
  <c r="C34" i="73" s="1"/>
  <c r="D34" i="73" s="1"/>
  <c r="E34" i="73" s="1"/>
  <c r="K27" i="62"/>
  <c r="M27" i="62" s="1"/>
  <c r="O31" i="21"/>
  <c r="P31" i="21" s="1"/>
  <c r="P33" i="21" s="1"/>
  <c r="C40" i="73" s="1"/>
  <c r="D40" i="73" s="1"/>
  <c r="E40" i="73" s="1"/>
  <c r="K32" i="62"/>
  <c r="M32" i="62" s="1"/>
  <c r="Q35" i="13"/>
  <c r="R35" i="13" s="1"/>
  <c r="R37" i="13" s="1"/>
  <c r="C52" i="73" s="1"/>
  <c r="D52" i="73" s="1"/>
  <c r="E52" i="73" s="1"/>
  <c r="K40" i="62"/>
  <c r="M40" i="62" s="1"/>
  <c r="Q32" i="6"/>
  <c r="R32" i="6" s="1"/>
  <c r="R34" i="6" s="1"/>
  <c r="C38" i="73" s="1"/>
  <c r="D38" i="73" s="1"/>
  <c r="E38" i="73" s="1"/>
  <c r="K31" i="62"/>
  <c r="O30" i="3"/>
  <c r="P30" i="3" s="1"/>
  <c r="P32" i="3" s="1"/>
  <c r="C18" i="73" s="1"/>
  <c r="D18" i="73" s="1"/>
  <c r="E18" i="73" s="1"/>
  <c r="K17" i="62"/>
  <c r="O31" i="58"/>
  <c r="P31" i="58" s="1"/>
  <c r="P33" i="58" s="1"/>
  <c r="C20" i="73" s="1"/>
  <c r="D20" i="73" s="1"/>
  <c r="E20" i="73" s="1"/>
  <c r="K18" i="62"/>
  <c r="M18" i="62" s="1"/>
  <c r="O31" i="17"/>
  <c r="P31" i="17" s="1"/>
  <c r="P33" i="17" s="1"/>
  <c r="C62" i="73" s="1"/>
  <c r="D62" i="73" s="1"/>
  <c r="E62" i="73" s="1"/>
  <c r="K48" i="62"/>
  <c r="M48" i="62" s="1"/>
  <c r="Q37" i="16"/>
  <c r="R37" i="16" s="1"/>
  <c r="R39" i="16" s="1"/>
  <c r="C58" i="73" s="1"/>
  <c r="D58" i="73" s="1"/>
  <c r="E58" i="73" s="1"/>
  <c r="K43" i="62"/>
  <c r="M43" i="62" s="1"/>
  <c r="M10" i="62"/>
  <c r="Q32" i="11"/>
  <c r="R32" i="11" s="1"/>
  <c r="R34" i="11" s="1"/>
  <c r="C42" i="73" s="1"/>
  <c r="D42" i="73" s="1"/>
  <c r="E42" i="73" s="1"/>
  <c r="K33" i="62"/>
  <c r="M33" i="62" s="1"/>
  <c r="O31" i="5"/>
  <c r="P31" i="5" s="1"/>
  <c r="P33" i="5" s="1"/>
  <c r="C32" i="73" s="1"/>
  <c r="D32" i="73" s="1"/>
  <c r="E32" i="73" s="1"/>
  <c r="K26" i="62"/>
  <c r="M26" i="62" s="1"/>
  <c r="R38" i="2"/>
  <c r="S38" i="2" s="1"/>
  <c r="S40" i="2" s="1"/>
  <c r="C12" i="73" s="1"/>
  <c r="D12" i="73" s="1"/>
  <c r="E12" i="73" s="1"/>
  <c r="K11" i="62"/>
  <c r="M11" i="62" s="1"/>
  <c r="Q32" i="10"/>
  <c r="R32" i="10" s="1"/>
  <c r="R34" i="10" s="1"/>
  <c r="C44" i="73" s="1"/>
  <c r="D44" i="73" s="1"/>
  <c r="E44" i="73" s="1"/>
  <c r="K34" i="62"/>
  <c r="M34" i="62" s="1"/>
  <c r="O31" i="65"/>
  <c r="P31" i="65" s="1"/>
  <c r="P33" i="65" s="1"/>
  <c r="C24" i="73" s="1"/>
  <c r="D24" i="73" s="1"/>
  <c r="E24" i="73" s="1"/>
  <c r="K20" i="62"/>
  <c r="M20" i="62" s="1"/>
  <c r="Q32" i="64"/>
  <c r="R32" i="64" s="1"/>
  <c r="R34" i="64" s="1"/>
  <c r="C46" i="73" s="1"/>
  <c r="D46" i="73" s="1"/>
  <c r="E46" i="73" s="1"/>
  <c r="K35" i="62"/>
  <c r="M35" i="62" s="1"/>
  <c r="O41" i="23"/>
  <c r="P41" i="23" s="1"/>
  <c r="P43" i="23" s="1"/>
  <c r="C60" i="73" s="1"/>
  <c r="D60" i="73" s="1"/>
  <c r="E60" i="73" s="1"/>
  <c r="K46" i="62"/>
  <c r="M46" i="62" s="1"/>
  <c r="Q35" i="4"/>
  <c r="R35" i="4" s="1"/>
  <c r="R37" i="4" s="1"/>
  <c r="C28" i="73" s="1"/>
  <c r="D28" i="73" s="1"/>
  <c r="E28" i="73" s="1"/>
  <c r="K24" i="62"/>
  <c r="M24" i="62" s="1"/>
  <c r="Q37" i="12"/>
  <c r="R37" i="12" s="1"/>
  <c r="R39" i="12" s="1"/>
  <c r="C50" i="73" s="1"/>
  <c r="D50" i="73" s="1"/>
  <c r="E50" i="73" s="1"/>
  <c r="K39" i="62"/>
  <c r="M39" i="62" s="1"/>
  <c r="K18" i="48"/>
  <c r="E16" i="52"/>
  <c r="G65" i="72"/>
  <c r="S35" i="1"/>
  <c r="T35" i="1" s="1"/>
  <c r="T39" i="1" s="1"/>
  <c r="C10" i="73" s="1"/>
  <c r="J50" i="62"/>
  <c r="M13" i="62" l="1"/>
  <c r="K50" i="62"/>
  <c r="K21" i="62"/>
  <c r="M17" i="62"/>
  <c r="K44" i="62"/>
  <c r="M38" i="62"/>
  <c r="M44" i="62" s="1"/>
  <c r="K36" i="62"/>
  <c r="M31" i="62"/>
  <c r="M36" i="62" s="1"/>
  <c r="K29" i="62"/>
  <c r="M23" i="62"/>
  <c r="M29" i="62" s="1"/>
  <c r="K13" i="62"/>
  <c r="C64" i="73"/>
  <c r="D64" i="73" s="1"/>
  <c r="E64" i="73" s="1"/>
  <c r="D10" i="73"/>
  <c r="E10" i="73" s="1"/>
  <c r="K66" i="48"/>
  <c r="D68" i="52" s="1"/>
  <c r="D69" i="52" s="1"/>
  <c r="L18" i="48"/>
  <c r="M18" i="48"/>
  <c r="M66" i="48" s="1"/>
  <c r="M50" i="62" l="1"/>
  <c r="M21" i="62"/>
</calcChain>
</file>

<file path=xl/comments1.xml><?xml version="1.0" encoding="utf-8"?>
<comments xmlns="http://schemas.openxmlformats.org/spreadsheetml/2006/main">
  <authors>
    <author>AEP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From the Over/(Under) Recovery of Fuel exhibit.  Take Total Fuel Revenue less Over/(Under) and divide that by total B+A+E kWh.  That amount is netted against the 0.0284 in base rates per Tariff 5-2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Approximately 81.03% of employee-customers receive a credit for the full amount of their customer charge while the remaining 18.97% receive a credit for half of their customer charge.</t>
        </r>
      </text>
    </comment>
  </commentList>
</comments>
</file>

<file path=xl/comments2.xml><?xml version="1.0" encoding="utf-8"?>
<comments xmlns="http://schemas.openxmlformats.org/spreadsheetml/2006/main">
  <authors>
    <author>AEP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The migrations to MGS Sec involve customers with really, really low load factors which cause a large drop in on-peak demand and a small drop in billing kWh.</t>
        </r>
      </text>
    </comment>
  </commentList>
</comments>
</file>

<file path=xl/sharedStrings.xml><?xml version="1.0" encoding="utf-8"?>
<sst xmlns="http://schemas.openxmlformats.org/spreadsheetml/2006/main" count="2747" uniqueCount="448">
  <si>
    <t>KENTUCKY POWER BILLING ANALYSIS</t>
  </si>
  <si>
    <t>Description</t>
  </si>
  <si>
    <t>Tariff</t>
  </si>
  <si>
    <t>Tariff Summary</t>
  </si>
  <si>
    <t>Current</t>
  </si>
  <si>
    <t>Rate</t>
  </si>
  <si>
    <t>Revenue</t>
  </si>
  <si>
    <t>(1)</t>
  </si>
  <si>
    <t>(2)</t>
  </si>
  <si>
    <t>(3)</t>
  </si>
  <si>
    <t>(6)</t>
  </si>
  <si>
    <t>(7)=(5)x(6)</t>
  </si>
  <si>
    <t>Metered kWh</t>
  </si>
  <si>
    <t>Customer Charge</t>
  </si>
  <si>
    <t>Number of Customers</t>
  </si>
  <si>
    <t xml:space="preserve">Fuel </t>
  </si>
  <si>
    <t>Environmental Surcharge</t>
  </si>
  <si>
    <t>System Sales Clause</t>
  </si>
  <si>
    <t>Total</t>
  </si>
  <si>
    <t>Employee Discount</t>
  </si>
  <si>
    <t>All kWh</t>
  </si>
  <si>
    <t>Billing kW</t>
  </si>
  <si>
    <t>Billing kWh</t>
  </si>
  <si>
    <t xml:space="preserve">  On-peak kWh</t>
  </si>
  <si>
    <t xml:space="preserve">  Off-peak kWh</t>
  </si>
  <si>
    <t xml:space="preserve">  On-Peak</t>
  </si>
  <si>
    <t xml:space="preserve">  Off-Peak Excess</t>
  </si>
  <si>
    <t>Billing KVAR</t>
  </si>
  <si>
    <t>High Pressure Sodium</t>
  </si>
  <si>
    <t>Mercury Vapor</t>
  </si>
  <si>
    <t>Metal Halide</t>
  </si>
  <si>
    <t>OH Service on Distribution Poles</t>
  </si>
  <si>
    <t>Overhead Lighting Service</t>
  </si>
  <si>
    <t>Post Top Lighting Service</t>
  </si>
  <si>
    <t>Flood Lighting Service</t>
  </si>
  <si>
    <t>Facilities Charge</t>
  </si>
  <si>
    <t>MW</t>
  </si>
  <si>
    <t>MGS-Sub</t>
  </si>
  <si>
    <t>LGS-Sub</t>
  </si>
  <si>
    <t>QP-Pri</t>
  </si>
  <si>
    <t>QP-Sub</t>
  </si>
  <si>
    <t>QP-Tran</t>
  </si>
  <si>
    <t>CIP-TOD-Sub</t>
  </si>
  <si>
    <t>CIP-TOD-Tran</t>
  </si>
  <si>
    <t>OL</t>
  </si>
  <si>
    <t>SL</t>
  </si>
  <si>
    <t>011 RSW-LMWH</t>
  </si>
  <si>
    <t>012 RSW-A</t>
  </si>
  <si>
    <t>013 RSW-B</t>
  </si>
  <si>
    <t>014 RSW-C</t>
  </si>
  <si>
    <t>015 RS</t>
  </si>
  <si>
    <t>017 RS EMP</t>
  </si>
  <si>
    <t>022 RSW-RS</t>
  </si>
  <si>
    <t>028 AORH-W ON</t>
  </si>
  <si>
    <t>030 RSW-ONPK</t>
  </si>
  <si>
    <t>032 RS LM-ON</t>
  </si>
  <si>
    <t>034 AORH-ON</t>
  </si>
  <si>
    <t>204 SGS-MTRD</t>
  </si>
  <si>
    <t>211 SGS</t>
  </si>
  <si>
    <t>212 SGS - M</t>
  </si>
  <si>
    <t>213 SGS-UMR</t>
  </si>
  <si>
    <t>225 SGSTOD ON</t>
  </si>
  <si>
    <t>214 MGS - AF</t>
  </si>
  <si>
    <t>215 MGS SEC</t>
  </si>
  <si>
    <t>216 MGSCC SEC</t>
  </si>
  <si>
    <t>218 MGS M SEC</t>
  </si>
  <si>
    <t>223 MGS LM ON</t>
  </si>
  <si>
    <t>229 MGS-TOD</t>
  </si>
  <si>
    <t>217 MGS PRI</t>
  </si>
  <si>
    <t>220 MGSCC PRI</t>
  </si>
  <si>
    <t>240 LGS SEC</t>
  </si>
  <si>
    <t>242 LGS M SEC</t>
  </si>
  <si>
    <t>251 LGS-LM-TD</t>
  </si>
  <si>
    <t>244 LGS PRI</t>
  </si>
  <si>
    <t>246 LGS M PRI</t>
  </si>
  <si>
    <t>357 QPCONSLKY</t>
  </si>
  <si>
    <t>358 QP PRI</t>
  </si>
  <si>
    <t>093 OL 175 MV</t>
  </si>
  <si>
    <t>094 OL 100 HP</t>
  </si>
  <si>
    <t>095 OL 400 MV</t>
  </si>
  <si>
    <t>097 OL 200 HP</t>
  </si>
  <si>
    <t>098 OL 400 HP</t>
  </si>
  <si>
    <t>099 OL175 MVP</t>
  </si>
  <si>
    <t>107 OL 200HPF</t>
  </si>
  <si>
    <t>109 OL400 HPF</t>
  </si>
  <si>
    <t>110 OL 250 MH</t>
  </si>
  <si>
    <t>111 OL100 HPP</t>
  </si>
  <si>
    <t>113 OL 150 HP</t>
  </si>
  <si>
    <t>116 OL 400 MH</t>
  </si>
  <si>
    <t>122 OL150 HPP</t>
  </si>
  <si>
    <t>131 OL 1000MH</t>
  </si>
  <si>
    <t>PER BOOKS</t>
  </si>
  <si>
    <t>Total OL</t>
  </si>
  <si>
    <t>Total SGS Metered</t>
  </si>
  <si>
    <t>Total MGS Sec</t>
  </si>
  <si>
    <t>Total MGS Pri</t>
  </si>
  <si>
    <t>Total LGS Sec</t>
  </si>
  <si>
    <t>Total LGS Pri</t>
  </si>
  <si>
    <t>Total QP Pri</t>
  </si>
  <si>
    <t>Total SGS NM</t>
  </si>
  <si>
    <t>LGS Pri</t>
  </si>
  <si>
    <t>QP Pri</t>
  </si>
  <si>
    <t>Kwh</t>
  </si>
  <si>
    <t xml:space="preserve">Number of </t>
  </si>
  <si>
    <t>Customers</t>
  </si>
  <si>
    <t>C&amp;LM Credit</t>
  </si>
  <si>
    <t xml:space="preserve"> Standard</t>
  </si>
  <si>
    <t>MEDIUM GENERAL SERVICE - SECONDARY (215, 216, 218)</t>
  </si>
  <si>
    <t>MEDIUM GENERAL SERVICE - RECREATIONAL LIGHTING (214)</t>
  </si>
  <si>
    <t xml:space="preserve">  First 500 kWh</t>
  </si>
  <si>
    <t xml:space="preserve">  Over 500 kWh</t>
  </si>
  <si>
    <t xml:space="preserve">  First 200 kWh per kW</t>
  </si>
  <si>
    <t xml:space="preserve">  Over 200 kWh per kW</t>
  </si>
  <si>
    <t>MEDIUM GENERAL SERVICE - SUBTRANSMISSION (236)</t>
  </si>
  <si>
    <t>MEDIUM GENERAL SERVICE TIME-OF-DAY (229)</t>
  </si>
  <si>
    <t>LARGE GENERAL SERVICE - PRIMARY (244, 246)</t>
  </si>
  <si>
    <t>LARGE GENERAL SERVICE - SUBTRANSMISSION (248)</t>
  </si>
  <si>
    <t>QUANTITY POWER - SUBTRANSMISSION (359)</t>
  </si>
  <si>
    <t>QUANTITY POWER - PRIMARY (357, 358)</t>
  </si>
  <si>
    <t>QUANTITY POWER - TRANSMISSION (360)</t>
  </si>
  <si>
    <t xml:space="preserve">  Off-Peak </t>
  </si>
  <si>
    <t xml:space="preserve">  Minimum</t>
  </si>
  <si>
    <t>COMMERCIAL AND INDUSTRIAL POWER TIME-OF-DAY - SUBTRANSMISSION (371)</t>
  </si>
  <si>
    <t>COMMERCIAL AND INDUSTRIAL POWER TIME-OF-DAY - TRANSMISSION (372)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</si>
  <si>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</si>
  <si>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</si>
  <si>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</si>
  <si>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400 watts, 50,000 Lumens (098)</t>
  </si>
  <si>
    <t xml:space="preserve">  175 watts, 7,000 Lumens (093)</t>
  </si>
  <si>
    <t xml:space="preserve">  400 watts, 20,000 Lumens (095)</t>
  </si>
  <si>
    <t xml:space="preserve">  100 watts, 9,500 Lumens (111)</t>
  </si>
  <si>
    <t xml:space="preserve">  150 watts, 16,000 Lumens (122)</t>
  </si>
  <si>
    <t xml:space="preserve">  175 watts, 7,000 Lumens (099)</t>
  </si>
  <si>
    <t xml:space="preserve">  200 watts, 22,000 Lumens (107)</t>
  </si>
  <si>
    <t xml:space="preserve">  400 watts, 50,000 Lumens (109)</t>
  </si>
  <si>
    <t xml:space="preserve">  250 watts, 20,500 Lumens (110)</t>
  </si>
  <si>
    <t xml:space="preserve">  400 watts, 36,000 Lumens (116)</t>
  </si>
  <si>
    <t xml:space="preserve">  1000 watts, 110,000 Lumens (131)</t>
  </si>
  <si>
    <t xml:space="preserve">  Pole</t>
  </si>
  <si>
    <t xml:space="preserve">  Span</t>
  </si>
  <si>
    <t xml:space="preserve">  Lateral</t>
  </si>
  <si>
    <t>OUTDOOR LIGHTING (093, 094, 095, 097, 098, 099, 107, 109, 110, 111, 113, 116, 122, 131)</t>
  </si>
  <si>
    <t>STREET LIGHTING (528)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</si>
  <si>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</si>
  <si>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</si>
  <si>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</si>
  <si>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</si>
  <si>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Metal or Concrete Poles</t>
  </si>
  <si>
    <t>kWh</t>
  </si>
  <si>
    <t>MEDIUM GENERAL SERVICE - PRIMARY (217, 220)</t>
  </si>
  <si>
    <t>SMALL GENERAL SERVICE (211, 212)</t>
  </si>
  <si>
    <t>SMALL GENERAL SERVICE - NON METERED (204, 213)</t>
  </si>
  <si>
    <t>Billed &amp; Accrued</t>
  </si>
  <si>
    <t xml:space="preserve">Unbilled </t>
  </si>
  <si>
    <t>Fuel</t>
  </si>
  <si>
    <t xml:space="preserve">Total </t>
  </si>
  <si>
    <t xml:space="preserve">Per Books </t>
  </si>
  <si>
    <t xml:space="preserve">Calculated </t>
  </si>
  <si>
    <t>Difference</t>
  </si>
  <si>
    <t>%</t>
  </si>
  <si>
    <t xml:space="preserve"> Mining Minimum</t>
  </si>
  <si>
    <t>LARGE GENERAL SERVICE - SECONDARY (240, 242)</t>
  </si>
  <si>
    <t xml:space="preserve">  Off-Peak</t>
  </si>
  <si>
    <t>RS Total</t>
  </si>
  <si>
    <t>RSLMTOD Total</t>
  </si>
  <si>
    <t>OL Total</t>
  </si>
  <si>
    <t>SGS Metered Total</t>
  </si>
  <si>
    <t>SGS NM Total</t>
  </si>
  <si>
    <t>MGS RL (214)</t>
  </si>
  <si>
    <t>MGS Sec Total</t>
  </si>
  <si>
    <t>MGSLMTOD (223)</t>
  </si>
  <si>
    <t>MGSTOD (229)</t>
  </si>
  <si>
    <t>MGS Pri Total</t>
  </si>
  <si>
    <t>MGS Sub (236)</t>
  </si>
  <si>
    <t>LGS Sec Total</t>
  </si>
  <si>
    <t>LGSLMTOD (251)</t>
  </si>
  <si>
    <t>LGS Sub (248)</t>
  </si>
  <si>
    <t>QP Sub (359)</t>
  </si>
  <si>
    <t>QP Tran (360)</t>
  </si>
  <si>
    <t>CIP Sub (371)</t>
  </si>
  <si>
    <t>CIP Tran (372)</t>
  </si>
  <si>
    <t>SL (528)</t>
  </si>
  <si>
    <t>MW (540)</t>
  </si>
  <si>
    <t>LGS Pri Total</t>
  </si>
  <si>
    <t>QP Pri Total</t>
  </si>
  <si>
    <t>Total RS</t>
  </si>
  <si>
    <t>Total RSLMTOD</t>
  </si>
  <si>
    <t>Total MGS Sub (236)</t>
  </si>
  <si>
    <t>Total LGS Sub (248)</t>
  </si>
  <si>
    <t>Total QP Sub (359)</t>
  </si>
  <si>
    <t>Total QP Tran (360)</t>
  </si>
  <si>
    <t>Total CIP Sub (371)</t>
  </si>
  <si>
    <t>Total CIP Tran (372)</t>
  </si>
  <si>
    <t>12 MONTHS TARIFF SUMMARY</t>
  </si>
  <si>
    <t>Minimum kW</t>
  </si>
  <si>
    <t>Actual # of</t>
  </si>
  <si>
    <t>Monthly</t>
  </si>
  <si>
    <t>Year End</t>
  </si>
  <si>
    <t>Adjustment</t>
  </si>
  <si>
    <t>(8)</t>
  </si>
  <si>
    <t xml:space="preserve">  Minimum kWh</t>
  </si>
  <si>
    <t xml:space="preserve">Revised </t>
  </si>
  <si>
    <t>Migration</t>
  </si>
  <si>
    <t>Per Books</t>
  </si>
  <si>
    <t>Environmental</t>
  </si>
  <si>
    <t>System Sales</t>
  </si>
  <si>
    <t>KENTUCKY POWER COMPANY</t>
  </si>
  <si>
    <t>DEVELOPMENT OF ANNUALIZATION ADJUSTMENT</t>
  </si>
  <si>
    <t xml:space="preserve">Annual </t>
  </si>
  <si>
    <t>Average</t>
  </si>
  <si>
    <t>KWH</t>
  </si>
  <si>
    <t>Number of</t>
  </si>
  <si>
    <t xml:space="preserve">Customer </t>
  </si>
  <si>
    <t>Average KWH</t>
  </si>
  <si>
    <t>Annualization</t>
  </si>
  <si>
    <t xml:space="preserve">Revenue </t>
  </si>
  <si>
    <t>Growth</t>
  </si>
  <si>
    <t>Per Customer</t>
  </si>
  <si>
    <t>Per KWH</t>
  </si>
  <si>
    <t>Adjusted</t>
  </si>
  <si>
    <t>(4)</t>
  </si>
  <si>
    <t>(5)=(4)-(3)</t>
  </si>
  <si>
    <t>NO. OF CUSTOMERS BY TARIFF</t>
  </si>
  <si>
    <t>Metered</t>
  </si>
  <si>
    <t>(7)=(6)/(3)</t>
  </si>
  <si>
    <t>(8)=(5)x(7)</t>
  </si>
  <si>
    <t>(9)</t>
  </si>
  <si>
    <t>(10)=(9)/(6)</t>
  </si>
  <si>
    <t>(11)=(8)x(10)</t>
  </si>
  <si>
    <t>Service on New Wood Distribution Poles</t>
  </si>
  <si>
    <t>Lamps</t>
  </si>
  <si>
    <t>Customer</t>
  </si>
  <si>
    <t>Annualized</t>
  </si>
  <si>
    <t>Revised</t>
  </si>
  <si>
    <t>Lamp</t>
  </si>
  <si>
    <t>OUTDOOR LIGHTING</t>
  </si>
  <si>
    <t>(9)=(5)x(8)</t>
  </si>
  <si>
    <t>PER BOOKS SUMMARY</t>
  </si>
  <si>
    <t>YEAR END CUSTOMER ADJUSTMENT SUMMARY</t>
  </si>
  <si>
    <t xml:space="preserve">Year End </t>
  </si>
  <si>
    <t>Clause</t>
  </si>
  <si>
    <t>System</t>
  </si>
  <si>
    <t>Sales</t>
  </si>
  <si>
    <t>Surcharge</t>
  </si>
  <si>
    <t>Excl.</t>
  </si>
  <si>
    <t>with</t>
  </si>
  <si>
    <t>Annualized Fuel</t>
  </si>
  <si>
    <t>PER BOOKS WITHOUT SYSTEM SALES SUMMARY</t>
  </si>
  <si>
    <t>Without</t>
  </si>
  <si>
    <t>With</t>
  </si>
  <si>
    <t>YEAR END MIGRATION ADJUSTMENT SUMMARY</t>
  </si>
  <si>
    <t>PER BOOKS WITH ANNUALIZED FUEL SUMMARY</t>
  </si>
  <si>
    <t>BILLED &amp; ACCRUED SURCHARGES</t>
  </si>
  <si>
    <t>Minimum kWh</t>
  </si>
  <si>
    <t>Charge</t>
  </si>
  <si>
    <t>MUNICIPAL WATERWORKS (540)</t>
  </si>
  <si>
    <t>-</t>
  </si>
  <si>
    <t>Total Excluding Environmental Surcharge</t>
  </si>
  <si>
    <t>FUEL ADJUSTMENT</t>
  </si>
  <si>
    <t>Year-End Customer</t>
  </si>
  <si>
    <t>Kilowatthours</t>
  </si>
  <si>
    <t>Fuel Adj. Factor</t>
  </si>
  <si>
    <t>RESIDENTIAL LOAD MANAGEMENT TIME-OF-DAY SERVICE (028, 030, 032, 034)</t>
  </si>
  <si>
    <t>Check</t>
  </si>
  <si>
    <t>Total RS TOD</t>
  </si>
  <si>
    <t>Total QP Sec (356)</t>
  </si>
  <si>
    <t>Capacity</t>
  </si>
  <si>
    <t>Billed + Estimated</t>
  </si>
  <si>
    <t>RS TOD (36)</t>
  </si>
  <si>
    <t>QP Sec (356)</t>
  </si>
  <si>
    <t>RS TOD Total</t>
  </si>
  <si>
    <t>Capacity Charge</t>
  </si>
  <si>
    <t>PER BOOKS WITHOUT CAPACITY CHARGE</t>
  </si>
  <si>
    <t>036 RS TOD</t>
  </si>
  <si>
    <t>QP-Sec</t>
  </si>
  <si>
    <t>Adjustments</t>
  </si>
  <si>
    <t>QUANTITY POWER - SECONDARY (356)</t>
  </si>
  <si>
    <t>Excess kVa</t>
  </si>
  <si>
    <t>RESIDENTIAL TIME-OF-DAY SERVICE (036)</t>
  </si>
  <si>
    <t>Customer Charge *</t>
  </si>
  <si>
    <t>* Includes HEAP Charge</t>
  </si>
  <si>
    <t xml:space="preserve">  All kWh</t>
  </si>
  <si>
    <t>Specific</t>
  </si>
  <si>
    <t>(13)</t>
  </si>
  <si>
    <t xml:space="preserve">  Metered Voltage Adjustment</t>
  </si>
  <si>
    <t>Metered Voltage Adjustment</t>
  </si>
  <si>
    <t>Green Power Rider</t>
  </si>
  <si>
    <t>Green Rider</t>
  </si>
  <si>
    <t>PER BOOKS WITHOUT GREEN POWER SUMMARY</t>
  </si>
  <si>
    <t>Double</t>
  </si>
  <si>
    <t>Total QP Pri (358)</t>
  </si>
  <si>
    <t xml:space="preserve">  Book to Bill Adjustment</t>
  </si>
  <si>
    <t xml:space="preserve">  Maximum</t>
  </si>
  <si>
    <t>REVENUE SUMMARY SHEET</t>
  </si>
  <si>
    <t>Proposed</t>
  </si>
  <si>
    <t>Rate Design</t>
  </si>
  <si>
    <t xml:space="preserve">Verification </t>
  </si>
  <si>
    <t xml:space="preserve">Proposed </t>
  </si>
  <si>
    <t>Increase</t>
  </si>
  <si>
    <t>Residential Total</t>
  </si>
  <si>
    <t>SGS Total</t>
  </si>
  <si>
    <t>MGS Total</t>
  </si>
  <si>
    <t>LGS Total</t>
  </si>
  <si>
    <t>Green Power</t>
  </si>
  <si>
    <t>MGS Sec</t>
  </si>
  <si>
    <t>QP Pri (357,358)</t>
  </si>
  <si>
    <t xml:space="preserve">  Storage Water Heating</t>
  </si>
  <si>
    <t>(4)=(2)x(3)</t>
  </si>
  <si>
    <t>(5)</t>
  </si>
  <si>
    <t>(7)</t>
  </si>
  <si>
    <t>(10)</t>
  </si>
  <si>
    <t>(11)=(2)+(10)</t>
  </si>
  <si>
    <t>(12)=(3)x(11)</t>
  </si>
  <si>
    <t>(14)=(11)+(13)</t>
  </si>
  <si>
    <t>(14)</t>
  </si>
  <si>
    <t>(16)=(3)x(15)</t>
  </si>
  <si>
    <t>LARGE GENERAL SERVICE LOAD MANAGEMENT TIME-OF-DAY (251)</t>
  </si>
  <si>
    <t>Per Lamp</t>
  </si>
  <si>
    <t>Transmission</t>
  </si>
  <si>
    <t>Revenue w/</t>
  </si>
  <si>
    <t>After Specific Customer Adjustment</t>
  </si>
  <si>
    <t>(10)=(2)+(6)</t>
  </si>
  <si>
    <t>(11)=(3)+(7)</t>
  </si>
  <si>
    <t>(12)=(4)+(8)</t>
  </si>
  <si>
    <t>(13)=(5)+(9)</t>
  </si>
  <si>
    <r>
      <t>Adjustment</t>
    </r>
    <r>
      <rPr>
        <sz val="10"/>
        <rFont val="Arial"/>
        <family val="2"/>
      </rPr>
      <t xml:space="preserve"> **</t>
    </r>
  </si>
  <si>
    <r>
      <t>Customers</t>
    </r>
    <r>
      <rPr>
        <sz val="10"/>
        <rFont val="Arial"/>
        <family val="2"/>
      </rPr>
      <t xml:space="preserve"> *</t>
    </r>
  </si>
  <si>
    <r>
      <t>KWH</t>
    </r>
    <r>
      <rPr>
        <sz val="10"/>
        <rFont val="Arial"/>
        <family val="2"/>
      </rPr>
      <t xml:space="preserve"> *</t>
    </r>
  </si>
  <si>
    <r>
      <t>Revenue</t>
    </r>
    <r>
      <rPr>
        <sz val="10"/>
        <rFont val="Arial"/>
        <family val="2"/>
      </rPr>
      <t xml:space="preserve"> *</t>
    </r>
  </si>
  <si>
    <t>* After Specific Customer Adjustment</t>
  </si>
  <si>
    <t>** Values may not calculate due to rounding and calculation by lamp instead of customer for lighting.</t>
  </si>
  <si>
    <t>SGSLMTOD (225)</t>
  </si>
  <si>
    <t>SMALL GENERAL SERVICE LOAD MANAGEMENT TIME-OF-DAY (225)</t>
  </si>
  <si>
    <t>MEDIUM GENERAL SERVICE LOAD MANAGEMENT TIME-OF-DAY (223)</t>
  </si>
  <si>
    <t>LARGE GENERAL SERVICE - TRANSMISSION (250)</t>
  </si>
  <si>
    <t>LGS Tran (250)</t>
  </si>
  <si>
    <t>LGS-Tran</t>
  </si>
  <si>
    <t>Total LGS Tran (250)</t>
  </si>
  <si>
    <t>120 OL 250 HPP</t>
  </si>
  <si>
    <t>027 RS TOD 2</t>
  </si>
  <si>
    <t>062 RS-NT MTR</t>
  </si>
  <si>
    <t>SMALL GENERAL SERVICE EXPERIMENTAL TIME-OF-DAY (227)</t>
  </si>
  <si>
    <t xml:space="preserve">  Summer On-Peak</t>
  </si>
  <si>
    <t xml:space="preserve">  Winter On-Peak</t>
  </si>
  <si>
    <t>SGS TOD</t>
  </si>
  <si>
    <t>SGS TOD (227)</t>
  </si>
  <si>
    <t>SGS LMTOD (225)</t>
  </si>
  <si>
    <t>227 EXP SGS TOD</t>
  </si>
  <si>
    <t>367 RTP QP PRI</t>
  </si>
  <si>
    <t>368 RTP QP SUB</t>
  </si>
  <si>
    <t>378 RTP CIP SUB</t>
  </si>
  <si>
    <t>RS TOD2 (27)</t>
  </si>
  <si>
    <t>RTP QP PRI (367)</t>
  </si>
  <si>
    <t>RTP QP SUB (368)</t>
  </si>
  <si>
    <t>RTP CIP SUB (378)</t>
  </si>
  <si>
    <t>RESIDENTIAL SERVICE (011, 012, 013, 014, 015, 017, 022, 054, 062)</t>
  </si>
  <si>
    <t>Mar 2013</t>
  </si>
  <si>
    <t>TME Mar 2013</t>
  </si>
  <si>
    <t>DSM</t>
  </si>
  <si>
    <t xml:space="preserve">  250 watts, 28,000 Lumens (120)</t>
  </si>
  <si>
    <t>Annual KWH</t>
  </si>
  <si>
    <t>Employee Customer Charge</t>
  </si>
  <si>
    <t>Book to Bill Adjustment</t>
  </si>
  <si>
    <t>HEAP Charge</t>
  </si>
  <si>
    <t>Separate Meter Charge</t>
  </si>
  <si>
    <t>Retail Revenues per Income Statement</t>
  </si>
  <si>
    <t>Variance</t>
  </si>
  <si>
    <t>Reconciling Items:</t>
  </si>
  <si>
    <t>Unreconciled Variance</t>
  </si>
  <si>
    <t>Refund</t>
  </si>
  <si>
    <t>Excl. Env.</t>
  </si>
  <si>
    <t>(15)</t>
  </si>
  <si>
    <t>(17)=(3)x(16)</t>
  </si>
  <si>
    <t>Env Surch Refund</t>
  </si>
  <si>
    <t>-RTP QP Primary</t>
  </si>
  <si>
    <t>-RTP QP Subtransmission</t>
  </si>
  <si>
    <t>Revenues</t>
  </si>
  <si>
    <t>TEST YEAR ENDED SEPTEMBER 30, 2014</t>
  </si>
  <si>
    <t>Sept 2014</t>
  </si>
  <si>
    <t>(10)=(2)+(9)</t>
  </si>
  <si>
    <t>(11)=(3)x(10)</t>
  </si>
  <si>
    <t>(12)</t>
  </si>
  <si>
    <t>(13)=(10)+(12)</t>
  </si>
  <si>
    <t>(14)=(3)x(13)</t>
  </si>
  <si>
    <t>(15)=(13)+(14)</t>
  </si>
  <si>
    <t>Asset</t>
  </si>
  <si>
    <t>Transfer</t>
  </si>
  <si>
    <t>Rider</t>
  </si>
  <si>
    <t>Asset Transfer Rider</t>
  </si>
  <si>
    <t>Weather</t>
  </si>
  <si>
    <t>Normalization</t>
  </si>
  <si>
    <t>Normalized</t>
  </si>
  <si>
    <t>(15)=(3)x(14)</t>
  </si>
  <si>
    <t>WEATHER NORMALIZED LOAD ADJUSTMENT SUMMARY</t>
  </si>
  <si>
    <t>(16)</t>
  </si>
  <si>
    <t>(17)=(14)+(16)</t>
  </si>
  <si>
    <t>(18)=(3)x(17)</t>
  </si>
  <si>
    <t>(14)=(10)+(12)</t>
  </si>
  <si>
    <t>(16)=(13)+(15)</t>
  </si>
  <si>
    <t>Out-of-Period Corrections to RTP Tariffs in Nov. 2013</t>
  </si>
  <si>
    <t>Weather &amp; Specific Customer Adjustments</t>
  </si>
  <si>
    <t>Specific Customer Adjustments</t>
  </si>
  <si>
    <t>Customer Annualization Adjustments</t>
  </si>
  <si>
    <t>PER BOOKS WITHOUT ENVIRONMENTAL SURCHARGE</t>
  </si>
  <si>
    <t>Env. Surcharge</t>
  </si>
  <si>
    <t>CALCULATION OF ASSET TRANSFER RIDER ADJUSTMENT</t>
  </si>
  <si>
    <t>ATR</t>
  </si>
  <si>
    <t>Asset Transfer</t>
  </si>
  <si>
    <t>(19)</t>
  </si>
  <si>
    <t>(20)=(18)+(19)</t>
  </si>
  <si>
    <t>(18)</t>
  </si>
  <si>
    <t>(19)=(17)+(18)</t>
  </si>
  <si>
    <t>(16)=(14)+(15)</t>
  </si>
  <si>
    <t>(17)</t>
  </si>
  <si>
    <t>(18)=(16)+(17)</t>
  </si>
  <si>
    <t>Total Revenue Requirement</t>
  </si>
  <si>
    <t>Less:  Over/Under Accrual</t>
  </si>
  <si>
    <t>Less:  Test Year Adjusted Collections</t>
  </si>
  <si>
    <t>Grand Total</t>
  </si>
  <si>
    <t>Included in Prior Period Adjustment Removed as  Book-to-Bill Reconciling Item</t>
  </si>
  <si>
    <t>ASSET TRANSFER RIDER GROSS-UP ADJUSTMENT SUMMARY</t>
  </si>
  <si>
    <t>Over/Under</t>
  </si>
  <si>
    <t>QP/CIP Total</t>
  </si>
  <si>
    <t>September 2014</t>
  </si>
  <si>
    <t>DEVELOPMENT OF OPERATING RATIO</t>
  </si>
  <si>
    <t>TWELVE MONTHS ENDED SEPTEMBER 30, 2014</t>
  </si>
  <si>
    <t>Line</t>
  </si>
  <si>
    <t>No.</t>
  </si>
  <si>
    <t>Amount</t>
  </si>
  <si>
    <t>Operating Revenues</t>
  </si>
  <si>
    <t>Sales of Electricity</t>
  </si>
  <si>
    <t>ATR Over/Under Collection</t>
  </si>
  <si>
    <t>Capacity Charge Revenues Rockport Unit Power Agreement</t>
  </si>
  <si>
    <t>Customer Migration Adjustment</t>
  </si>
  <si>
    <t>System Sales Revenue Adjustment</t>
  </si>
  <si>
    <t>Environmental Surcharge Adjustment</t>
  </si>
  <si>
    <t>Revenue Out of Period Adjustment</t>
  </si>
  <si>
    <t>Fuel Under (Over) Revenues</t>
  </si>
  <si>
    <t>Operating Expenses</t>
  </si>
  <si>
    <t>Total Adjusted O&amp;M</t>
  </si>
  <si>
    <t>Less:  Customer Annualization O&amp;M Effect</t>
  </si>
  <si>
    <t>Subtotal</t>
  </si>
  <si>
    <t>Total O&amp;M Labor</t>
  </si>
  <si>
    <t>Big Sandy O&amp;M Adjustment - Labor</t>
  </si>
  <si>
    <t>Incentive Compensation Plan Adjustment</t>
  </si>
  <si>
    <t>Annualization of Employee Related Expenses</t>
  </si>
  <si>
    <t>Adjusted O&amp;M Less Labor Expense</t>
  </si>
  <si>
    <t>Operating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</si>
</sst>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0"/>
    <numFmt numFmtId="166" formatCode="&quot;$&quot;#,##0.00000"/>
    <numFmt numFmtId="167" formatCode="&quot;$&quot;#,##0.00"/>
    <numFmt numFmtId="168" formatCode="_(* #,##0_);_(* \(#,##0\);_(* &quot;-&quot;??_);_(@_)"/>
    <numFmt numFmtId="169" formatCode="&quot;$&quot;#,##0.00000_);\(&quot;$&quot;#,##0.00000\)"/>
    <numFmt numFmtId="170" formatCode="#,##0.0000_);\(#,##0.0000\)"/>
    <numFmt numFmtId="171" formatCode="#,##0.000"/>
    <numFmt numFmtId="172" formatCode="&quot;$&quot;#,##0.000000_);\(&quot;$&quot;#,##0.000000\)"/>
    <numFmt numFmtId="173" formatCode="&quot;$&quot;#,##0.0000000_);\(&quot;$&quot;#,##0.0000000\)"/>
    <numFmt numFmtId="174" formatCode="&quot;$&quot;#,##0.00000000_);\(&quot;$&quot;#,##0.00000000\)"/>
    <numFmt numFmtId="175" formatCode="_(* #,##0.000_);_(* \(#,##0.000\);_(* &quot;-&quot;??_);_(@_)"/>
    <numFmt numFmtId="176" formatCode="&quot;$&quot;#,##0"/>
    <numFmt numFmtId="177" formatCode="mmmm"/>
    <numFmt numFmtId="178" formatCode="mmmm\ yyyy"/>
    <numFmt numFmtId="179" formatCode="_(&quot;$&quot;* #,##0_);_(&quot;$&quot;* \(#,##0\);_(&quot;$&quot;* &quot;-&quot;??_);_(@_)"/>
    <numFmt numFmtId="180" formatCode="_(* #,##0.0_);_(* \(#,##0.0\);&quot;&quot;;_(@_)"/>
    <numFmt numFmtId="181" formatCode="[Blue]#,##0,_);[Red]\(#,##0,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37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4" fillId="20" borderId="10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0" fillId="0" borderId="0" applyNumberFormat="0" applyFont="0" applyFill="0" applyBorder="0" applyAlignment="0" applyProtection="0">
      <alignment horizontal="left"/>
    </xf>
    <xf numFmtId="4" fontId="30" fillId="0" borderId="0" applyFont="0" applyFill="0" applyBorder="0" applyAlignment="0" applyProtection="0"/>
    <xf numFmtId="0" fontId="29" fillId="0" borderId="2">
      <alignment horizontal="center"/>
    </xf>
    <xf numFmtId="3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/>
    <xf numFmtId="40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9" fillId="0" borderId="2">
      <alignment horizontal="center"/>
    </xf>
    <xf numFmtId="0" fontId="30" fillId="24" borderId="0" applyNumberFormat="0" applyFont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4" borderId="0" applyNumberFormat="0" applyFont="0" applyBorder="0" applyAlignment="0" applyProtection="0"/>
    <xf numFmtId="0" fontId="1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8" borderId="0" applyNumberFormat="0" applyBorder="0" applyAlignment="0" applyProtection="0"/>
    <xf numFmtId="0" fontId="3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1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1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1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12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14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1" fillId="21" borderId="4" applyNumberFormat="0" applyAlignment="0" applyProtection="0"/>
    <xf numFmtId="0" fontId="40" fillId="21" borderId="4" applyNumberFormat="0" applyAlignment="0" applyProtection="0"/>
    <xf numFmtId="0" fontId="14" fillId="21" borderId="4" applyNumberFormat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5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6" applyNumberFormat="0" applyFill="0" applyAlignment="0" applyProtection="0"/>
    <xf numFmtId="0" fontId="55" fillId="0" borderId="6" applyNumberFormat="0" applyFill="0" applyAlignment="0" applyProtection="0"/>
    <xf numFmtId="0" fontId="18" fillId="0" borderId="6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19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7" borderId="3" applyNumberFormat="0" applyAlignment="0" applyProtection="0"/>
    <xf numFmtId="0" fontId="60" fillId="7" borderId="3" applyNumberFormat="0" applyAlignment="0" applyProtection="0"/>
    <xf numFmtId="0" fontId="60" fillId="7" borderId="3" applyNumberFormat="0" applyAlignment="0" applyProtection="0"/>
    <xf numFmtId="0" fontId="61" fillId="7" borderId="3" applyNumberFormat="0" applyAlignment="0" applyProtection="0"/>
    <xf numFmtId="41" fontId="62" fillId="0" borderId="0">
      <alignment horizontal="left"/>
    </xf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/>
    <xf numFmtId="0" fontId="43" fillId="0" borderId="0"/>
    <xf numFmtId="37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25" fillId="0" borderId="0"/>
    <xf numFmtId="37" fontId="23" fillId="0" borderId="0"/>
    <xf numFmtId="0" fontId="25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68" fillId="0" borderId="0"/>
    <xf numFmtId="0" fontId="68" fillId="0" borderId="0"/>
    <xf numFmtId="37" fontId="23" fillId="0" borderId="0"/>
    <xf numFmtId="0" fontId="43" fillId="0" borderId="0"/>
    <xf numFmtId="0" fontId="25" fillId="0" borderId="0"/>
    <xf numFmtId="0" fontId="43" fillId="0" borderId="0"/>
    <xf numFmtId="0" fontId="43" fillId="0" borderId="0"/>
    <xf numFmtId="0" fontId="68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1" fillId="0" borderId="0" applyNumberFormat="0" applyFill="0" applyBorder="0" applyAlignment="0" applyProtection="0"/>
    <xf numFmtId="0" fontId="67" fillId="0" borderId="0"/>
    <xf numFmtId="0" fontId="67" fillId="0" borderId="0"/>
    <xf numFmtId="0" fontId="3" fillId="23" borderId="9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0" fontId="3" fillId="23" borderId="3" applyNumberFormat="0" applyFont="0" applyAlignment="0" applyProtection="0"/>
    <xf numFmtId="43" fontId="60" fillId="0" borderId="0"/>
    <xf numFmtId="181" fontId="69" fillId="0" borderId="0"/>
    <xf numFmtId="0" fontId="70" fillId="20" borderId="10" applyNumberFormat="0" applyAlignment="0" applyProtection="0"/>
    <xf numFmtId="0" fontId="70" fillId="20" borderId="10" applyNumberFormat="0" applyAlignment="0" applyProtection="0"/>
    <xf numFmtId="0" fontId="70" fillId="20" borderId="10" applyNumberFormat="0" applyAlignment="0" applyProtection="0"/>
    <xf numFmtId="0" fontId="71" fillId="20" borderId="10" applyNumberForma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3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0" fontId="29" fillId="0" borderId="2">
      <alignment horizontal="center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25" fillId="24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1" applyNumberFormat="0" applyFill="0" applyAlignment="0" applyProtection="0"/>
    <xf numFmtId="0" fontId="73" fillId="0" borderId="11" applyNumberFormat="0" applyFill="0" applyAlignment="0" applyProtection="0"/>
    <xf numFmtId="0" fontId="27" fillId="0" borderId="1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7" fontId="0" fillId="0" borderId="0" xfId="0" applyNumberFormat="1"/>
    <xf numFmtId="3" fontId="0" fillId="0" borderId="0" xfId="0" applyNumberFormat="1"/>
    <xf numFmtId="5" fontId="0" fillId="0" borderId="0" xfId="0" applyNumberFormat="1"/>
    <xf numFmtId="0" fontId="0" fillId="0" borderId="0" xfId="0" applyAlignment="1">
      <alignment horizontal="left"/>
    </xf>
    <xf numFmtId="7" fontId="0" fillId="0" borderId="0" xfId="0" applyNumberFormat="1"/>
    <xf numFmtId="39" fontId="0" fillId="0" borderId="0" xfId="0" applyNumberFormat="1"/>
    <xf numFmtId="4" fontId="0" fillId="0" borderId="0" xfId="0" applyNumberFormat="1"/>
    <xf numFmtId="0" fontId="0" fillId="0" borderId="1" xfId="0" applyBorder="1"/>
    <xf numFmtId="7" fontId="0" fillId="0" borderId="1" xfId="0" applyNumberFormat="1" applyBorder="1"/>
    <xf numFmtId="10" fontId="0" fillId="0" borderId="0" xfId="0" applyNumberFormat="1"/>
    <xf numFmtId="0" fontId="0" fillId="0" borderId="1" xfId="0" applyBorder="1" applyAlignment="1">
      <alignment horizontal="left"/>
    </xf>
    <xf numFmtId="37" fontId="0" fillId="0" borderId="1" xfId="0" applyNumberFormat="1" applyBorder="1"/>
    <xf numFmtId="3" fontId="0" fillId="0" borderId="1" xfId="0" applyNumberFormat="1" applyBorder="1"/>
    <xf numFmtId="0" fontId="0" fillId="0" borderId="0" xfId="0" applyBorder="1"/>
    <xf numFmtId="164" fontId="0" fillId="0" borderId="0" xfId="0" applyNumberFormat="1"/>
    <xf numFmtId="0" fontId="0" fillId="0" borderId="0" xfId="0" quotePrefix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1" applyNumberFormat="1" applyFont="1"/>
    <xf numFmtId="168" fontId="0" fillId="0" borderId="0" xfId="0" applyNumberFormat="1"/>
    <xf numFmtId="17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right"/>
    </xf>
    <xf numFmtId="43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Border="1"/>
    <xf numFmtId="5" fontId="0" fillId="0" borderId="0" xfId="0" applyNumberFormat="1" applyFill="1"/>
    <xf numFmtId="0" fontId="5" fillId="0" borderId="0" xfId="0" applyFont="1" applyAlignment="1">
      <alignment horizontal="center"/>
    </xf>
    <xf numFmtId="170" fontId="0" fillId="0" borderId="0" xfId="0" applyNumberFormat="1"/>
    <xf numFmtId="173" fontId="0" fillId="0" borderId="0" xfId="0" applyNumberFormat="1" applyAlignment="1">
      <alignment horizontal="center"/>
    </xf>
    <xf numFmtId="37" fontId="0" fillId="0" borderId="0" xfId="0" applyNumberFormat="1" applyBorder="1"/>
    <xf numFmtId="3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1" fontId="0" fillId="0" borderId="0" xfId="0" applyNumberFormat="1"/>
    <xf numFmtId="0" fontId="0" fillId="0" borderId="2" xfId="0" applyBorder="1"/>
    <xf numFmtId="37" fontId="0" fillId="0" borderId="2" xfId="0" applyNumberFormat="1" applyBorder="1"/>
    <xf numFmtId="37" fontId="0" fillId="0" borderId="0" xfId="0" quotePrefix="1" applyNumberFormat="1"/>
    <xf numFmtId="37" fontId="0" fillId="0" borderId="0" xfId="0" applyNumberFormat="1" applyFill="1"/>
    <xf numFmtId="37" fontId="0" fillId="0" borderId="1" xfId="0" applyNumberFormat="1" applyFill="1" applyBorder="1"/>
    <xf numFmtId="3" fontId="0" fillId="0" borderId="0" xfId="0" applyNumberFormat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2" xfId="0" applyNumberFormat="1" applyFill="1" applyBorder="1"/>
    <xf numFmtId="38" fontId="0" fillId="0" borderId="0" xfId="0" applyNumberFormat="1"/>
    <xf numFmtId="176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5" fontId="0" fillId="0" borderId="2" xfId="0" applyNumberFormat="1" applyBorder="1"/>
    <xf numFmtId="172" fontId="0" fillId="0" borderId="0" xfId="0" applyNumberFormat="1"/>
    <xf numFmtId="174" fontId="0" fillId="0" borderId="0" xfId="0" applyNumberFormat="1"/>
    <xf numFmtId="37" fontId="0" fillId="0" borderId="1" xfId="0" applyNumberFormat="1" applyBorder="1" applyAlignment="1">
      <alignment horizontal="right"/>
    </xf>
    <xf numFmtId="164" fontId="0" fillId="0" borderId="1" xfId="0" applyNumberFormat="1" applyBorder="1"/>
    <xf numFmtId="5" fontId="0" fillId="0" borderId="1" xfId="0" applyNumberFormat="1" applyFill="1" applyBorder="1"/>
    <xf numFmtId="169" fontId="0" fillId="0" borderId="1" xfId="0" applyNumberFormat="1" applyBorder="1"/>
    <xf numFmtId="165" fontId="0" fillId="0" borderId="1" xfId="0" applyNumberFormat="1" applyBorder="1"/>
    <xf numFmtId="37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178" fontId="0" fillId="0" borderId="0" xfId="0" quotePrefix="1" applyNumberFormat="1" applyAlignment="1">
      <alignment horizontal="center"/>
    </xf>
    <xf numFmtId="5" fontId="5" fillId="0" borderId="0" xfId="0" applyNumberFormat="1" applyFont="1"/>
    <xf numFmtId="38" fontId="6" fillId="0" borderId="0" xfId="0" applyNumberFormat="1" applyFont="1"/>
    <xf numFmtId="166" fontId="6" fillId="0" borderId="0" xfId="0" applyNumberFormat="1" applyFont="1"/>
    <xf numFmtId="0" fontId="6" fillId="0" borderId="0" xfId="0" applyFont="1"/>
    <xf numFmtId="167" fontId="6" fillId="0" borderId="0" xfId="0" applyNumberFormat="1" applyFont="1"/>
    <xf numFmtId="37" fontId="6" fillId="0" borderId="0" xfId="0" applyNumberFormat="1" applyFont="1"/>
    <xf numFmtId="3" fontId="6" fillId="0" borderId="0" xfId="0" applyNumberFormat="1" applyFont="1"/>
    <xf numFmtId="7" fontId="6" fillId="0" borderId="0" xfId="0" applyNumberFormat="1" applyFont="1"/>
    <xf numFmtId="168" fontId="6" fillId="0" borderId="0" xfId="1" applyNumberFormat="1" applyFont="1"/>
    <xf numFmtId="39" fontId="6" fillId="0" borderId="0" xfId="0" applyNumberFormat="1" applyFont="1"/>
    <xf numFmtId="165" fontId="6" fillId="0" borderId="0" xfId="0" applyNumberFormat="1" applyFont="1"/>
    <xf numFmtId="176" fontId="6" fillId="0" borderId="0" xfId="0" applyNumberFormat="1" applyFont="1"/>
    <xf numFmtId="37" fontId="5" fillId="0" borderId="0" xfId="0" applyNumberFormat="1" applyFont="1"/>
    <xf numFmtId="164" fontId="6" fillId="0" borderId="0" xfId="0" applyNumberFormat="1" applyFont="1"/>
    <xf numFmtId="164" fontId="6" fillId="0" borderId="0" xfId="1" applyNumberFormat="1" applyFont="1"/>
    <xf numFmtId="175" fontId="6" fillId="0" borderId="0" xfId="1" applyNumberFormat="1" applyFont="1"/>
    <xf numFmtId="171" fontId="6" fillId="0" borderId="0" xfId="0" applyNumberFormat="1" applyFont="1"/>
    <xf numFmtId="5" fontId="0" fillId="0" borderId="0" xfId="2" applyNumberFormat="1" applyFont="1"/>
    <xf numFmtId="37" fontId="3" fillId="0" borderId="0" xfId="0" applyNumberFormat="1" applyFont="1"/>
    <xf numFmtId="0" fontId="3" fillId="0" borderId="0" xfId="0" applyFont="1"/>
    <xf numFmtId="167" fontId="3" fillId="0" borderId="0" xfId="0" applyNumberFormat="1" applyFont="1"/>
    <xf numFmtId="38" fontId="3" fillId="0" borderId="0" xfId="0" applyNumberFormat="1" applyFont="1"/>
    <xf numFmtId="3" fontId="3" fillId="0" borderId="0" xfId="0" applyNumberFormat="1" applyFont="1"/>
    <xf numFmtId="6" fontId="0" fillId="0" borderId="0" xfId="0" applyNumberFormat="1"/>
    <xf numFmtId="0" fontId="0" fillId="0" borderId="0" xfId="0" applyAlignment="1">
      <alignment wrapText="1"/>
    </xf>
    <xf numFmtId="37" fontId="6" fillId="0" borderId="0" xfId="0" applyNumberFormat="1" applyFont="1" applyFill="1"/>
    <xf numFmtId="5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5" fontId="6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5" fontId="0" fillId="0" borderId="0" xfId="0" applyNumberFormat="1" applyFill="1" applyBorder="1"/>
    <xf numFmtId="0" fontId="0" fillId="0" borderId="2" xfId="0" applyFill="1" applyBorder="1"/>
    <xf numFmtId="17" fontId="3" fillId="0" borderId="0" xfId="0" quotePrefix="1" applyNumberFormat="1" applyFont="1" applyAlignment="1">
      <alignment horizontal="center"/>
    </xf>
    <xf numFmtId="168" fontId="6" fillId="0" borderId="0" xfId="0" applyNumberFormat="1" applyFont="1" applyFill="1"/>
    <xf numFmtId="7" fontId="0" fillId="0" borderId="0" xfId="0" applyNumberFormat="1" applyFill="1"/>
    <xf numFmtId="0" fontId="0" fillId="0" borderId="0" xfId="0" applyFont="1" applyAlignment="1">
      <alignment horizontal="center"/>
    </xf>
    <xf numFmtId="5" fontId="0" fillId="0" borderId="12" xfId="0" applyNumberFormat="1" applyBorder="1"/>
    <xf numFmtId="5" fontId="0" fillId="0" borderId="13" xfId="0" applyNumberFormat="1" applyBorder="1"/>
    <xf numFmtId="37" fontId="0" fillId="0" borderId="0" xfId="0" applyNumberFormat="1" applyAlignment="1">
      <alignment horizontal="center"/>
    </xf>
    <xf numFmtId="5" fontId="3" fillId="0" borderId="0" xfId="103" applyNumberFormat="1"/>
    <xf numFmtId="5" fontId="3" fillId="0" borderId="0" xfId="103" applyNumberFormat="1"/>
    <xf numFmtId="0" fontId="1" fillId="0" borderId="0" xfId="174"/>
    <xf numFmtId="0" fontId="1" fillId="0" borderId="0" xfId="174" applyAlignment="1">
      <alignment horizontal="center"/>
    </xf>
    <xf numFmtId="0" fontId="4" fillId="0" borderId="0" xfId="174" applyFont="1" applyAlignment="1">
      <alignment horizontal="center"/>
    </xf>
    <xf numFmtId="0" fontId="4" fillId="0" borderId="0" xfId="174" applyFont="1"/>
    <xf numFmtId="0" fontId="3" fillId="0" borderId="0" xfId="174" applyFont="1"/>
    <xf numFmtId="179" fontId="3" fillId="0" borderId="0" xfId="115" applyNumberFormat="1" applyFill="1"/>
    <xf numFmtId="179" fontId="3" fillId="0" borderId="0" xfId="115" applyNumberFormat="1"/>
    <xf numFmtId="179" fontId="1" fillId="0" borderId="0" xfId="174" applyNumberFormat="1"/>
    <xf numFmtId="0" fontId="1" fillId="0" borderId="0" xfId="174" applyFill="1"/>
    <xf numFmtId="168" fontId="3" fillId="0" borderId="0" xfId="112" applyNumberFormat="1" applyFill="1"/>
    <xf numFmtId="5" fontId="1" fillId="0" borderId="0" xfId="174" applyNumberFormat="1"/>
    <xf numFmtId="168" fontId="3" fillId="0" borderId="0" xfId="112" applyNumberFormat="1"/>
    <xf numFmtId="168" fontId="3" fillId="0" borderId="0" xfId="112" applyNumberFormat="1" applyFill="1" applyBorder="1"/>
    <xf numFmtId="0" fontId="3" fillId="0" borderId="0" xfId="174" applyFont="1" applyFill="1"/>
    <xf numFmtId="168" fontId="3" fillId="0" borderId="1" xfId="112" applyNumberFormat="1" applyFill="1" applyBorder="1"/>
    <xf numFmtId="0" fontId="1" fillId="0" borderId="0" xfId="174" applyAlignment="1">
      <alignment horizontal="left"/>
    </xf>
    <xf numFmtId="7" fontId="3" fillId="0" borderId="0" xfId="174" applyNumberFormat="1" applyFont="1" applyAlignment="1">
      <alignment horizontal="center"/>
    </xf>
    <xf numFmtId="0" fontId="3" fillId="0" borderId="0" xfId="174" applyFont="1" applyAlignment="1">
      <alignment horizontal="center"/>
    </xf>
    <xf numFmtId="5" fontId="1" fillId="0" borderId="1" xfId="174" applyNumberFormat="1" applyBorder="1"/>
    <xf numFmtId="5" fontId="1" fillId="0" borderId="0" xfId="174" applyNumberFormat="1" applyBorder="1"/>
    <xf numFmtId="0" fontId="3" fillId="0" borderId="0" xfId="174" applyFont="1" applyAlignment="1">
      <alignment horizontal="left" indent="2"/>
    </xf>
    <xf numFmtId="10" fontId="0" fillId="0" borderId="0" xfId="102" applyNumberFormat="1" applyFont="1"/>
    <xf numFmtId="10" fontId="1" fillId="0" borderId="0" xfId="174" applyNumberFormat="1"/>
    <xf numFmtId="6" fontId="1" fillId="0" borderId="0" xfId="174" applyNumberFormat="1"/>
    <xf numFmtId="168" fontId="1" fillId="0" borderId="0" xfId="174" applyNumberFormat="1"/>
    <xf numFmtId="0" fontId="3" fillId="0" borderId="1" xfId="0" applyFont="1" applyBorder="1" applyAlignment="1">
      <alignment horizontal="center"/>
    </xf>
  </cellXfs>
  <cellStyles count="619">
    <cellStyle name="20% - Accent1 2" xfId="3"/>
    <cellStyle name="20% - Accent1 2 2" xfId="175"/>
    <cellStyle name="20% - Accent1 2 3" xfId="176"/>
    <cellStyle name="20% - Accent1 3" xfId="177"/>
    <cellStyle name="20% - Accent1 4" xfId="178"/>
    <cellStyle name="20% - Accent1 5" xfId="179"/>
    <cellStyle name="20% - Accent1 6" xfId="180"/>
    <cellStyle name="20% - Accent1 7" xfId="181"/>
    <cellStyle name="20% - Accent1 8" xfId="182"/>
    <cellStyle name="20% - Accent2 2" xfId="4"/>
    <cellStyle name="20% - Accent2 2 2" xfId="183"/>
    <cellStyle name="20% - Accent2 3" xfId="184"/>
    <cellStyle name="20% - Accent2 4" xfId="185"/>
    <cellStyle name="20% - Accent2 5" xfId="186"/>
    <cellStyle name="20% - Accent2 6" xfId="187"/>
    <cellStyle name="20% - Accent3 2" xfId="5"/>
    <cellStyle name="20% - Accent3 2 2" xfId="188"/>
    <cellStyle name="20% - Accent3 2 3" xfId="189"/>
    <cellStyle name="20% - Accent3 3" xfId="190"/>
    <cellStyle name="20% - Accent3 4" xfId="191"/>
    <cellStyle name="20% - Accent3 5" xfId="192"/>
    <cellStyle name="20% - Accent3 6" xfId="193"/>
    <cellStyle name="20% - Accent3 7" xfId="194"/>
    <cellStyle name="20% - Accent3 8" xfId="195"/>
    <cellStyle name="20% - Accent4 2" xfId="6"/>
    <cellStyle name="20% - Accent4 2 2" xfId="196"/>
    <cellStyle name="20% - Accent4 2 3" xfId="197"/>
    <cellStyle name="20% - Accent4 3" xfId="198"/>
    <cellStyle name="20% - Accent4 4" xfId="199"/>
    <cellStyle name="20% - Accent4 5" xfId="200"/>
    <cellStyle name="20% - Accent4 6" xfId="201"/>
    <cellStyle name="20% - Accent4 7" xfId="202"/>
    <cellStyle name="20% - Accent4 8" xfId="203"/>
    <cellStyle name="20% - Accent5 2" xfId="7"/>
    <cellStyle name="20% - Accent5 2 2" xfId="204"/>
    <cellStyle name="20% - Accent5 3" xfId="205"/>
    <cellStyle name="20% - Accent5 4" xfId="206"/>
    <cellStyle name="20% - Accent5 5" xfId="207"/>
    <cellStyle name="20% - Accent5 6" xfId="208"/>
    <cellStyle name="20% - Accent6 2" xfId="8"/>
    <cellStyle name="20% - Accent6 2 2" xfId="209"/>
    <cellStyle name="20% - Accent6 3" xfId="210"/>
    <cellStyle name="20% - Accent6 4" xfId="211"/>
    <cellStyle name="20% - Accent6 5" xfId="212"/>
    <cellStyle name="20% - Accent6 6" xfId="213"/>
    <cellStyle name="40% - Accent1 2" xfId="9"/>
    <cellStyle name="40% - Accent1 2 2" xfId="214"/>
    <cellStyle name="40% - Accent1 2 3" xfId="215"/>
    <cellStyle name="40% - Accent1 3" xfId="216"/>
    <cellStyle name="40% - Accent1 4" xfId="217"/>
    <cellStyle name="40% - Accent1 5" xfId="218"/>
    <cellStyle name="40% - Accent1 6" xfId="219"/>
    <cellStyle name="40% - Accent1 7" xfId="220"/>
    <cellStyle name="40% - Accent1 8" xfId="221"/>
    <cellStyle name="40% - Accent2 2" xfId="10"/>
    <cellStyle name="40% - Accent2 2 2" xfId="222"/>
    <cellStyle name="40% - Accent2 3" xfId="223"/>
    <cellStyle name="40% - Accent2 4" xfId="224"/>
    <cellStyle name="40% - Accent2 5" xfId="225"/>
    <cellStyle name="40% - Accent2 6" xfId="226"/>
    <cellStyle name="40% - Accent3 2" xfId="11"/>
    <cellStyle name="40% - Accent3 2 2" xfId="227"/>
    <cellStyle name="40% - Accent3 2 3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4 2" xfId="12"/>
    <cellStyle name="40% - Accent4 2 2" xfId="235"/>
    <cellStyle name="40% - Accent4 2 3" xfId="236"/>
    <cellStyle name="40% - Accent4 3" xfId="237"/>
    <cellStyle name="40% - Accent4 4" xfId="238"/>
    <cellStyle name="40% - Accent4 5" xfId="239"/>
    <cellStyle name="40% - Accent4 6" xfId="240"/>
    <cellStyle name="40% - Accent4 7" xfId="241"/>
    <cellStyle name="40% - Accent4 8" xfId="242"/>
    <cellStyle name="40% - Accent5 2" xfId="13"/>
    <cellStyle name="40% - Accent5 2 2" xfId="243"/>
    <cellStyle name="40% - Accent5 3" xfId="244"/>
    <cellStyle name="40% - Accent5 4" xfId="245"/>
    <cellStyle name="40% - Accent5 5" xfId="246"/>
    <cellStyle name="40% - Accent5 6" xfId="247"/>
    <cellStyle name="40% - Accent6 2" xfId="14"/>
    <cellStyle name="40% - Accent6 2 2" xfId="248"/>
    <cellStyle name="40% - Accent6 2 3" xfId="249"/>
    <cellStyle name="40% - Accent6 3" xfId="250"/>
    <cellStyle name="40% - Accent6 4" xfId="251"/>
    <cellStyle name="40% - Accent6 5" xfId="252"/>
    <cellStyle name="40% - Accent6 6" xfId="253"/>
    <cellStyle name="40% - Accent6 7" xfId="254"/>
    <cellStyle name="40% - Accent6 8" xfId="255"/>
    <cellStyle name="60% - Accent1 2" xfId="15"/>
    <cellStyle name="60% - Accent1 2 2" xfId="256"/>
    <cellStyle name="60% - Accent1 3" xfId="257"/>
    <cellStyle name="60% - Accent1 4" xfId="258"/>
    <cellStyle name="60% - Accent1 5" xfId="259"/>
    <cellStyle name="60% - Accent1 6" xfId="260"/>
    <cellStyle name="60% - Accent1 7" xfId="261"/>
    <cellStyle name="60% - Accent1 8" xfId="262"/>
    <cellStyle name="60% - Accent2 2" xfId="16"/>
    <cellStyle name="60% - Accent2 3" xfId="263"/>
    <cellStyle name="60% - Accent2 4" xfId="264"/>
    <cellStyle name="60% - Accent2 5" xfId="265"/>
    <cellStyle name="60% - Accent2 6" xfId="266"/>
    <cellStyle name="60% - Accent3 2" xfId="17"/>
    <cellStyle name="60% - Accent3 2 2" xfId="267"/>
    <cellStyle name="60% - Accent3 3" xfId="268"/>
    <cellStyle name="60% - Accent3 4" xfId="269"/>
    <cellStyle name="60% - Accent3 5" xfId="270"/>
    <cellStyle name="60% - Accent3 6" xfId="271"/>
    <cellStyle name="60% - Accent3 7" xfId="272"/>
    <cellStyle name="60% - Accent3 8" xfId="273"/>
    <cellStyle name="60% - Accent4 2" xfId="18"/>
    <cellStyle name="60% - Accent4 2 2" xfId="274"/>
    <cellStyle name="60% - Accent4 3" xfId="275"/>
    <cellStyle name="60% - Accent4 4" xfId="276"/>
    <cellStyle name="60% - Accent4 5" xfId="277"/>
    <cellStyle name="60% - Accent4 6" xfId="278"/>
    <cellStyle name="60% - Accent4 7" xfId="279"/>
    <cellStyle name="60% - Accent4 8" xfId="280"/>
    <cellStyle name="60% - Accent5 2" xfId="19"/>
    <cellStyle name="60% - Accent5 3" xfId="281"/>
    <cellStyle name="60% - Accent5 4" xfId="282"/>
    <cellStyle name="60% - Accent5 5" xfId="283"/>
    <cellStyle name="60% - Accent5 6" xfId="284"/>
    <cellStyle name="60% - Accent6 2" xfId="20"/>
    <cellStyle name="60% - Accent6 2 2" xfId="285"/>
    <cellStyle name="60% - Accent6 3" xfId="286"/>
    <cellStyle name="60% - Accent6 4" xfId="287"/>
    <cellStyle name="60% - Accent6 5" xfId="288"/>
    <cellStyle name="60% - Accent6 6" xfId="289"/>
    <cellStyle name="60% - Accent6 7" xfId="290"/>
    <cellStyle name="60% - Accent6 8" xfId="291"/>
    <cellStyle name="Accent1 2" xfId="21"/>
    <cellStyle name="Accent1 2 2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2 2" xfId="22"/>
    <cellStyle name="Accent2 3" xfId="299"/>
    <cellStyle name="Accent2 4" xfId="300"/>
    <cellStyle name="Accent2 5" xfId="301"/>
    <cellStyle name="Accent2 6" xfId="302"/>
    <cellStyle name="Accent3 2" xfId="23"/>
    <cellStyle name="Accent3 3" xfId="303"/>
    <cellStyle name="Accent3 4" xfId="304"/>
    <cellStyle name="Accent3 5" xfId="305"/>
    <cellStyle name="Accent3 6" xfId="306"/>
    <cellStyle name="Accent4 2" xfId="24"/>
    <cellStyle name="Accent4 2 2" xfId="307"/>
    <cellStyle name="Accent4 3" xfId="308"/>
    <cellStyle name="Accent4 4" xfId="309"/>
    <cellStyle name="Accent4 5" xfId="310"/>
    <cellStyle name="Accent4 6" xfId="311"/>
    <cellStyle name="Accent4 7" xfId="312"/>
    <cellStyle name="Accent4 8" xfId="313"/>
    <cellStyle name="Accent5 2" xfId="25"/>
    <cellStyle name="Accent5 3" xfId="314"/>
    <cellStyle name="Accent5 4" xfId="315"/>
    <cellStyle name="Accent5 5" xfId="316"/>
    <cellStyle name="Accent5 6" xfId="317"/>
    <cellStyle name="Accent6 2" xfId="26"/>
    <cellStyle name="Accent6 3" xfId="318"/>
    <cellStyle name="Accent6 4" xfId="319"/>
    <cellStyle name="Accent6 5" xfId="320"/>
    <cellStyle name="Accent6 6" xfId="321"/>
    <cellStyle name="Bad 2" xfId="27"/>
    <cellStyle name="Bad 2 2" xfId="322"/>
    <cellStyle name="Bad 3" xfId="323"/>
    <cellStyle name="Bad 4" xfId="324"/>
    <cellStyle name="Bad 5" xfId="325"/>
    <cellStyle name="Bad 6" xfId="326"/>
    <cellStyle name="Bad 7" xfId="327"/>
    <cellStyle name="Bad 8" xfId="328"/>
    <cellStyle name="Calculation 2" xfId="28"/>
    <cellStyle name="Calculation 3" xfId="329"/>
    <cellStyle name="Calculation 4" xfId="330"/>
    <cellStyle name="Calculation 5" xfId="331"/>
    <cellStyle name="Calculation 6" xfId="332"/>
    <cellStyle name="Check Cell 2" xfId="29"/>
    <cellStyle name="Check Cell 2 2" xfId="333"/>
    <cellStyle name="Check Cell 3" xfId="334"/>
    <cellStyle name="Check Cell 4" xfId="335"/>
    <cellStyle name="Check Cell 5" xfId="336"/>
    <cellStyle name="Check Cell 6" xfId="337"/>
    <cellStyle name="Check Cell 7" xfId="338"/>
    <cellStyle name="Check Cell 8" xfId="339"/>
    <cellStyle name="Comma" xfId="1" builtinId="3"/>
    <cellStyle name="Comma 10" xfId="340"/>
    <cellStyle name="Comma 11" xfId="341"/>
    <cellStyle name="Comma 12" xfId="342"/>
    <cellStyle name="Comma 13" xfId="343"/>
    <cellStyle name="Comma 14" xfId="344"/>
    <cellStyle name="Comma 15" xfId="345"/>
    <cellStyle name="Comma 16" xfId="346"/>
    <cellStyle name="Comma 17" xfId="347"/>
    <cellStyle name="Comma 17 2" xfId="348"/>
    <cellStyle name="Comma 18" xfId="349"/>
    <cellStyle name="Comma 19" xfId="350"/>
    <cellStyle name="Comma 2" xfId="31"/>
    <cellStyle name="Comma 2 2" xfId="32"/>
    <cellStyle name="Comma 2 2 2" xfId="33"/>
    <cellStyle name="Comma 2 2 2 2" xfId="127"/>
    <cellStyle name="Comma 2 2 3" xfId="34"/>
    <cellStyle name="Comma 2 2 3 2" xfId="128"/>
    <cellStyle name="Comma 2 2 3 3" xfId="351"/>
    <cellStyle name="Comma 2 2 4" xfId="35"/>
    <cellStyle name="Comma 2 2 4 2" xfId="129"/>
    <cellStyle name="Comma 2 2 5" xfId="112"/>
    <cellStyle name="Comma 2 2 6" xfId="352"/>
    <cellStyle name="Comma 2 3" xfId="36"/>
    <cellStyle name="Comma 2 3 2" xfId="37"/>
    <cellStyle name="Comma 2 3 2 2" xfId="130"/>
    <cellStyle name="Comma 2 3 3" xfId="38"/>
    <cellStyle name="Comma 2 3 3 2" xfId="131"/>
    <cellStyle name="Comma 2 3 4" xfId="39"/>
    <cellStyle name="Comma 2 3 4 2" xfId="132"/>
    <cellStyle name="Comma 2 4" xfId="40"/>
    <cellStyle name="Comma 2 4 2" xfId="133"/>
    <cellStyle name="Comma 2 4 3" xfId="353"/>
    <cellStyle name="Comma 2 5" xfId="41"/>
    <cellStyle name="Comma 2 5 2" xfId="134"/>
    <cellStyle name="Comma 2 6" xfId="42"/>
    <cellStyle name="Comma 2 6 2" xfId="135"/>
    <cellStyle name="Comma 2 7" xfId="101"/>
    <cellStyle name="Comma 2 8" xfId="110"/>
    <cellStyle name="Comma 2_Allocators" xfId="354"/>
    <cellStyle name="Comma 20" xfId="355"/>
    <cellStyle name="Comma 20 2" xfId="356"/>
    <cellStyle name="Comma 3" xfId="43"/>
    <cellStyle name="Comma 3 10" xfId="357"/>
    <cellStyle name="Comma 3 10 2" xfId="358"/>
    <cellStyle name="Comma 3 11" xfId="359"/>
    <cellStyle name="Comma 3 12" xfId="360"/>
    <cellStyle name="Comma 3 2" xfId="44"/>
    <cellStyle name="Comma 3 2 2" xfId="136"/>
    <cellStyle name="Comma 3 3" xfId="45"/>
    <cellStyle name="Comma 3 3 2" xfId="137"/>
    <cellStyle name="Comma 3 4" xfId="46"/>
    <cellStyle name="Comma 3 4 2" xfId="138"/>
    <cellStyle name="Comma 3 4 2 2" xfId="361"/>
    <cellStyle name="Comma 3 4 3" xfId="362"/>
    <cellStyle name="Comma 3 5" xfId="113"/>
    <cellStyle name="Comma 3 5 2" xfId="165"/>
    <cellStyle name="Comma 3 6" xfId="363"/>
    <cellStyle name="Comma 3 6 2" xfId="364"/>
    <cellStyle name="Comma 3 6 3" xfId="365"/>
    <cellStyle name="Comma 3 7" xfId="366"/>
    <cellStyle name="Comma 3 7 2" xfId="367"/>
    <cellStyle name="Comma 3 8" xfId="368"/>
    <cellStyle name="Comma 3 8 2" xfId="369"/>
    <cellStyle name="Comma 3 9" xfId="370"/>
    <cellStyle name="Comma 3 9 2" xfId="371"/>
    <cellStyle name="Comma 4" xfId="169"/>
    <cellStyle name="Comma 4 2" xfId="114"/>
    <cellStyle name="Comma 4 3" xfId="372"/>
    <cellStyle name="Comma 5" xfId="30"/>
    <cellStyle name="Comma 5 2" xfId="373"/>
    <cellStyle name="Comma 6" xfId="374"/>
    <cellStyle name="Comma 6 2" xfId="375"/>
    <cellStyle name="Comma 7" xfId="99"/>
    <cellStyle name="Comma 7 2" xfId="164"/>
    <cellStyle name="Comma 7 2 2" xfId="376"/>
    <cellStyle name="Comma 7 3" xfId="377"/>
    <cellStyle name="Comma 8" xfId="378"/>
    <cellStyle name="Comma 8 2" xfId="379"/>
    <cellStyle name="Comma 9" xfId="380"/>
    <cellStyle name="CommaBlank" xfId="381"/>
    <cellStyle name="CommaBlank 2" xfId="382"/>
    <cellStyle name="Currency 10" xfId="383"/>
    <cellStyle name="Currency 10 2" xfId="384"/>
    <cellStyle name="Currency 2" xfId="47"/>
    <cellStyle name="Currency 2 2" xfId="48"/>
    <cellStyle name="Currency 2 2 2" xfId="115"/>
    <cellStyle name="Currency 2 2 3" xfId="139"/>
    <cellStyle name="Currency 2 3" xfId="49"/>
    <cellStyle name="Currency 2 3 2" xfId="140"/>
    <cellStyle name="Currency 2 3 3" xfId="385"/>
    <cellStyle name="Currency 2 4" xfId="50"/>
    <cellStyle name="Currency 2 4 2" xfId="141"/>
    <cellStyle name="Currency 2 5" xfId="111"/>
    <cellStyle name="Currency 3" xfId="116"/>
    <cellStyle name="Currency 3 2" xfId="386"/>
    <cellStyle name="Currency 3 3" xfId="387"/>
    <cellStyle name="Currency 3 4" xfId="388"/>
    <cellStyle name="Currency 3 5" xfId="389"/>
    <cellStyle name="Currency 3 6" xfId="390"/>
    <cellStyle name="Currency 4" xfId="108"/>
    <cellStyle name="Currency 4 2" xfId="391"/>
    <cellStyle name="Currency 4 3" xfId="392"/>
    <cellStyle name="Currency 4 4" xfId="393"/>
    <cellStyle name="Currency 4 5" xfId="394"/>
    <cellStyle name="Currency 5" xfId="395"/>
    <cellStyle name="Currency 6" xfId="396"/>
    <cellStyle name="Currency 7" xfId="397"/>
    <cellStyle name="Currency 8" xfId="398"/>
    <cellStyle name="Currency 9" xfId="399"/>
    <cellStyle name="Explanatory Text 2" xfId="51"/>
    <cellStyle name="Explanatory Text 3" xfId="400"/>
    <cellStyle name="Explanatory Text 4" xfId="401"/>
    <cellStyle name="Explanatory Text 5" xfId="402"/>
    <cellStyle name="Explanatory Text 6" xfId="403"/>
    <cellStyle name="Good 2" xfId="52"/>
    <cellStyle name="Good 3" xfId="404"/>
    <cellStyle name="Good 4" xfId="405"/>
    <cellStyle name="Good 5" xfId="406"/>
    <cellStyle name="Good 6" xfId="407"/>
    <cellStyle name="Heading 1 2" xfId="53"/>
    <cellStyle name="Heading 1 2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2 2" xfId="54"/>
    <cellStyle name="Heading 2 2 2" xfId="415"/>
    <cellStyle name="Heading 2 3" xfId="416"/>
    <cellStyle name="Heading 2 4" xfId="417"/>
    <cellStyle name="Heading 2 5" xfId="418"/>
    <cellStyle name="Heading 2 6" xfId="419"/>
    <cellStyle name="Heading 2 7" xfId="420"/>
    <cellStyle name="Heading 2 8" xfId="421"/>
    <cellStyle name="Heading 3 2" xfId="55"/>
    <cellStyle name="Heading 3 2 2" xfId="422"/>
    <cellStyle name="Heading 3 3" xfId="423"/>
    <cellStyle name="Heading 3 4" xfId="424"/>
    <cellStyle name="Heading 3 5" xfId="425"/>
    <cellStyle name="Heading 3 6" xfId="426"/>
    <cellStyle name="Heading 3 7" xfId="427"/>
    <cellStyle name="Heading 3 8" xfId="428"/>
    <cellStyle name="Heading 4 2" xfId="56"/>
    <cellStyle name="Heading 4 2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Input 2" xfId="57"/>
    <cellStyle name="Input 3" xfId="436"/>
    <cellStyle name="Input 4" xfId="437"/>
    <cellStyle name="Input 5" xfId="438"/>
    <cellStyle name="Input 6" xfId="439"/>
    <cellStyle name="kirkdollars" xfId="440"/>
    <cellStyle name="Linked Cell 2" xfId="58"/>
    <cellStyle name="Linked Cell 3" xfId="441"/>
    <cellStyle name="Linked Cell 4" xfId="442"/>
    <cellStyle name="Linked Cell 5" xfId="443"/>
    <cellStyle name="Linked Cell 6" xfId="444"/>
    <cellStyle name="Neutral 2" xfId="59"/>
    <cellStyle name="Neutral 3" xfId="445"/>
    <cellStyle name="Neutral 4" xfId="446"/>
    <cellStyle name="Neutral 5" xfId="447"/>
    <cellStyle name="Neutral 6" xfId="448"/>
    <cellStyle name="Normal" xfId="0" builtinId="0"/>
    <cellStyle name="Normal 10" xfId="449"/>
    <cellStyle name="Normal 11" xfId="450"/>
    <cellStyle name="Normal 12" xfId="451"/>
    <cellStyle name="Normal 13" xfId="452"/>
    <cellStyle name="Normal 14" xfId="453"/>
    <cellStyle name="Normal 15" xfId="454"/>
    <cellStyle name="Normal 15 2" xfId="455"/>
    <cellStyle name="Normal 16" xfId="456"/>
    <cellStyle name="Normal 17" xfId="457"/>
    <cellStyle name="Normal 18" xfId="458"/>
    <cellStyle name="Normal 19" xfId="459"/>
    <cellStyle name="Normal 2" xfId="60"/>
    <cellStyle name="Normal 2 2" xfId="61"/>
    <cellStyle name="Normal 2 2 2" xfId="62"/>
    <cellStyle name="Normal 2 2 2 2" xfId="142"/>
    <cellStyle name="Normal 2 2 3" xfId="63"/>
    <cellStyle name="Normal 2 2 3 2" xfId="143"/>
    <cellStyle name="Normal 2 2 4" xfId="64"/>
    <cellStyle name="Normal 2 2 4 2" xfId="144"/>
    <cellStyle name="Normal 2 2 5" xfId="117"/>
    <cellStyle name="Normal 2 2 6" xfId="460"/>
    <cellStyle name="Normal 2 3" xfId="65"/>
    <cellStyle name="Normal 2 3 2" xfId="66"/>
    <cellStyle name="Normal 2 3 2 2" xfId="145"/>
    <cellStyle name="Normal 2 3 3" xfId="67"/>
    <cellStyle name="Normal 2 3 3 2" xfId="146"/>
    <cellStyle name="Normal 2 3 4" xfId="68"/>
    <cellStyle name="Normal 2 3 4 2" xfId="147"/>
    <cellStyle name="Normal 2 4" xfId="103"/>
    <cellStyle name="Normal 2 4 2" xfId="461"/>
    <cellStyle name="Normal 2 5" xfId="462"/>
    <cellStyle name="Normal 2_Adjustment WP" xfId="463"/>
    <cellStyle name="Normal 20" xfId="464"/>
    <cellStyle name="Normal 21" xfId="465"/>
    <cellStyle name="Normal 22" xfId="466"/>
    <cellStyle name="Normal 23" xfId="467"/>
    <cellStyle name="Normal 24" xfId="468"/>
    <cellStyle name="Normal 25" xfId="469"/>
    <cellStyle name="Normal 26" xfId="470"/>
    <cellStyle name="Normal 27" xfId="471"/>
    <cellStyle name="Normal 28" xfId="472"/>
    <cellStyle name="Normal 29" xfId="473"/>
    <cellStyle name="Normal 3" xfId="69"/>
    <cellStyle name="Normal 3 2" xfId="100"/>
    <cellStyle name="Normal 3 2 2" xfId="474"/>
    <cellStyle name="Normal 3 3" xfId="109"/>
    <cellStyle name="Normal 3 3 2" xfId="475"/>
    <cellStyle name="Normal 3 4" xfId="476"/>
    <cellStyle name="Normal 3 4 2" xfId="477"/>
    <cellStyle name="Normal 3 5" xfId="478"/>
    <cellStyle name="Normal 3 6" xfId="479"/>
    <cellStyle name="Normal 3 7" xfId="480"/>
    <cellStyle name="Normal 3_108 Summary" xfId="481"/>
    <cellStyle name="Normal 30" xfId="482"/>
    <cellStyle name="Normal 31" xfId="483"/>
    <cellStyle name="Normal 32" xfId="484"/>
    <cellStyle name="Normal 33" xfId="485"/>
    <cellStyle name="Normal 34" xfId="486"/>
    <cellStyle name="Normal 35" xfId="487"/>
    <cellStyle name="Normal 35 2" xfId="488"/>
    <cellStyle name="Normal 4" xfId="98"/>
    <cellStyle name="Normal 4 2" xfId="118"/>
    <cellStyle name="Normal 4 3" xfId="163"/>
    <cellStyle name="Normal 4 3 2" xfId="489"/>
    <cellStyle name="Normal 4 4" xfId="490"/>
    <cellStyle name="Normal 4 5" xfId="491"/>
    <cellStyle name="Normal 5" xfId="70"/>
    <cellStyle name="Normal 5 2" xfId="119"/>
    <cellStyle name="Normal 5 3" xfId="492"/>
    <cellStyle name="Normal 6" xfId="71"/>
    <cellStyle name="Normal 6 10" xfId="493"/>
    <cellStyle name="Normal 6 2" xfId="126"/>
    <cellStyle name="Normal 6 2 2" xfId="166"/>
    <cellStyle name="Normal 6 3" xfId="494"/>
    <cellStyle name="Normal 6 3 2" xfId="495"/>
    <cellStyle name="Normal 6 3 3" xfId="496"/>
    <cellStyle name="Normal 6 4" xfId="497"/>
    <cellStyle name="Normal 6 4 2" xfId="498"/>
    <cellStyle name="Normal 6 5" xfId="499"/>
    <cellStyle name="Normal 6 5 2" xfId="500"/>
    <cellStyle name="Normal 6 6" xfId="501"/>
    <cellStyle name="Normal 6 6 2" xfId="502"/>
    <cellStyle name="Normal 6 7" xfId="503"/>
    <cellStyle name="Normal 6 7 2" xfId="504"/>
    <cellStyle name="Normal 6 8" xfId="505"/>
    <cellStyle name="Normal 6 8 2" xfId="506"/>
    <cellStyle name="Normal 6 9" xfId="507"/>
    <cellStyle name="Normal 7" xfId="168"/>
    <cellStyle name="Normal 7 2" xfId="508"/>
    <cellStyle name="Normal 7 3" xfId="509"/>
    <cellStyle name="Normal 8" xfId="174"/>
    <cellStyle name="Normal 9" xfId="510"/>
    <cellStyle name="Note 10" xfId="511"/>
    <cellStyle name="Note 11" xfId="512"/>
    <cellStyle name="Note 2" xfId="73"/>
    <cellStyle name="Note 2 2" xfId="148"/>
    <cellStyle name="Note 2 2 2" xfId="513"/>
    <cellStyle name="Note 2 3" xfId="514"/>
    <cellStyle name="Note 2_Allocators" xfId="515"/>
    <cellStyle name="Note 3" xfId="74"/>
    <cellStyle name="Note 3 2" xfId="149"/>
    <cellStyle name="Note 3 2 2" xfId="516"/>
    <cellStyle name="Note 3 3" xfId="517"/>
    <cellStyle name="Note 3 4" xfId="518"/>
    <cellStyle name="Note 3_Allocators" xfId="519"/>
    <cellStyle name="Note 4" xfId="75"/>
    <cellStyle name="Note 4 2" xfId="150"/>
    <cellStyle name="Note 4 2 2" xfId="520"/>
    <cellStyle name="Note 4 3" xfId="521"/>
    <cellStyle name="Note 4_Allocators" xfId="522"/>
    <cellStyle name="Note 5" xfId="72"/>
    <cellStyle name="Note 5 2" xfId="523"/>
    <cellStyle name="Note 6" xfId="524"/>
    <cellStyle name="Note 6 2" xfId="525"/>
    <cellStyle name="Note 6_Allocators" xfId="526"/>
    <cellStyle name="Note 7" xfId="527"/>
    <cellStyle name="Note 7 2" xfId="528"/>
    <cellStyle name="Note 8" xfId="529"/>
    <cellStyle name="Note 9" xfId="530"/>
    <cellStyle name="nPlosion" xfId="531"/>
    <cellStyle name="nvision" xfId="532"/>
    <cellStyle name="Output 2" xfId="76"/>
    <cellStyle name="Output 3" xfId="533"/>
    <cellStyle name="Output 4" xfId="534"/>
    <cellStyle name="Output 5" xfId="535"/>
    <cellStyle name="Output 6" xfId="536"/>
    <cellStyle name="Percent" xfId="2" builtinId="5"/>
    <cellStyle name="Percent 10" xfId="537"/>
    <cellStyle name="Percent 11" xfId="538"/>
    <cellStyle name="Percent 12" xfId="539"/>
    <cellStyle name="Percent 13" xfId="540"/>
    <cellStyle name="Percent 13 2" xfId="541"/>
    <cellStyle name="Percent 2" xfId="78"/>
    <cellStyle name="Percent 2 2" xfId="79"/>
    <cellStyle name="Percent 2 2 2" xfId="80"/>
    <cellStyle name="Percent 2 2 2 2" xfId="151"/>
    <cellStyle name="Percent 2 2 3" xfId="81"/>
    <cellStyle name="Percent 2 2 3 2" xfId="152"/>
    <cellStyle name="Percent 2 2 4" xfId="82"/>
    <cellStyle name="Percent 2 2 4 2" xfId="153"/>
    <cellStyle name="Percent 2 3" xfId="83"/>
    <cellStyle name="Percent 2 3 2" xfId="84"/>
    <cellStyle name="Percent 2 3 2 2" xfId="154"/>
    <cellStyle name="Percent 2 3 3" xfId="85"/>
    <cellStyle name="Percent 2 3 3 2" xfId="155"/>
    <cellStyle name="Percent 2 3 4" xfId="86"/>
    <cellStyle name="Percent 2 3 4 2" xfId="156"/>
    <cellStyle name="Percent 2 4" xfId="87"/>
    <cellStyle name="Percent 2 4 2" xfId="157"/>
    <cellStyle name="Percent 2 5" xfId="88"/>
    <cellStyle name="Percent 2 5 2" xfId="158"/>
    <cellStyle name="Percent 2 6" xfId="89"/>
    <cellStyle name="Percent 2 6 2" xfId="159"/>
    <cellStyle name="Percent 2 7" xfId="102"/>
    <cellStyle name="Percent 3" xfId="90"/>
    <cellStyle name="Percent 3 2" xfId="91"/>
    <cellStyle name="Percent 3 2 2" xfId="160"/>
    <cellStyle name="Percent 3 3" xfId="92"/>
    <cellStyle name="Percent 3 3 2" xfId="161"/>
    <cellStyle name="Percent 3 4" xfId="93"/>
    <cellStyle name="Percent 3 4 2" xfId="162"/>
    <cellStyle name="Percent 3 4 3" xfId="542"/>
    <cellStyle name="Percent 3 5" xfId="120"/>
    <cellStyle name="Percent 3 5 2" xfId="543"/>
    <cellStyle name="Percent 3 6" xfId="544"/>
    <cellStyle name="Percent 4" xfId="167"/>
    <cellStyle name="Percent 4 2" xfId="545"/>
    <cellStyle name="Percent 4 2 2" xfId="546"/>
    <cellStyle name="Percent 4 3" xfId="547"/>
    <cellStyle name="Percent 4 4" xfId="548"/>
    <cellStyle name="Percent 4 5" xfId="549"/>
    <cellStyle name="Percent 5" xfId="77"/>
    <cellStyle name="Percent 5 2" xfId="550"/>
    <cellStyle name="Percent 6" xfId="551"/>
    <cellStyle name="Percent 6 2" xfId="552"/>
    <cellStyle name="Percent 7" xfId="553"/>
    <cellStyle name="Percent 8" xfId="554"/>
    <cellStyle name="Percent 9" xfId="555"/>
    <cellStyle name="PSChar" xfId="94"/>
    <cellStyle name="PSChar 2" xfId="121"/>
    <cellStyle name="PSChar 2 2" xfId="556"/>
    <cellStyle name="PSChar 2 3" xfId="557"/>
    <cellStyle name="PSChar 3" xfId="104"/>
    <cellStyle name="PSChar 3 2" xfId="558"/>
    <cellStyle name="PSChar 4" xfId="559"/>
    <cellStyle name="PSChar 5" xfId="560"/>
    <cellStyle name="PSChar 6" xfId="561"/>
    <cellStyle name="PSDate" xfId="122"/>
    <cellStyle name="PSDate 2" xfId="170"/>
    <cellStyle name="PSDate 2 2" xfId="562"/>
    <cellStyle name="PSDate 2 3" xfId="563"/>
    <cellStyle name="PSDate 3" xfId="564"/>
    <cellStyle name="PSDate 3 2" xfId="565"/>
    <cellStyle name="PSDate 4" xfId="566"/>
    <cellStyle name="PSDate 5" xfId="567"/>
    <cellStyle name="PSDate 6" xfId="568"/>
    <cellStyle name="PSDec" xfId="105"/>
    <cellStyle name="PSDec 2" xfId="123"/>
    <cellStyle name="PSDec 2 2" xfId="569"/>
    <cellStyle name="PSDec 2 3" xfId="570"/>
    <cellStyle name="PSDec 3" xfId="171"/>
    <cellStyle name="PSDec 3 2" xfId="571"/>
    <cellStyle name="PSDec 4" xfId="572"/>
    <cellStyle name="PSDec 5" xfId="573"/>
    <cellStyle name="PSDec 6" xfId="574"/>
    <cellStyle name="PSHeading" xfId="106"/>
    <cellStyle name="PSHeading 10" xfId="575"/>
    <cellStyle name="PSHeading 11" xfId="576"/>
    <cellStyle name="PSHeading 2" xfId="124"/>
    <cellStyle name="PSHeading 2 2" xfId="577"/>
    <cellStyle name="PSHeading 2 3" xfId="578"/>
    <cellStyle name="PSHeading 2_108 Summary" xfId="579"/>
    <cellStyle name="PSHeading 3" xfId="580"/>
    <cellStyle name="PSHeading 3 2" xfId="581"/>
    <cellStyle name="PSHeading 3_108 Summary" xfId="582"/>
    <cellStyle name="PSHeading 4" xfId="583"/>
    <cellStyle name="PSHeading 5" xfId="584"/>
    <cellStyle name="PSHeading 6" xfId="585"/>
    <cellStyle name="PSHeading 7" xfId="586"/>
    <cellStyle name="PSHeading 8" xfId="587"/>
    <cellStyle name="PSHeading 9" xfId="588"/>
    <cellStyle name="PSHeading_101 check" xfId="589"/>
    <cellStyle name="PSInt" xfId="107"/>
    <cellStyle name="PSInt 2" xfId="172"/>
    <cellStyle name="PSInt 2 2" xfId="590"/>
    <cellStyle name="PSInt 2 3" xfId="591"/>
    <cellStyle name="PSInt 3" xfId="592"/>
    <cellStyle name="PSInt 3 2" xfId="593"/>
    <cellStyle name="PSInt 4" xfId="594"/>
    <cellStyle name="PSInt 5" xfId="595"/>
    <cellStyle name="PSInt 6" xfId="596"/>
    <cellStyle name="PSSpacer" xfId="125"/>
    <cellStyle name="PSSpacer 2" xfId="173"/>
    <cellStyle name="PSSpacer 2 2" xfId="597"/>
    <cellStyle name="PSSpacer 2 3" xfId="598"/>
    <cellStyle name="PSSpacer 3" xfId="599"/>
    <cellStyle name="PSSpacer 3 2" xfId="600"/>
    <cellStyle name="PSSpacer 4" xfId="601"/>
    <cellStyle name="PSSpacer 5" xfId="602"/>
    <cellStyle name="PSSpacer 6" xfId="603"/>
    <cellStyle name="Title 2" xfId="95"/>
    <cellStyle name="Title 2 2" xfId="604"/>
    <cellStyle name="Title 3" xfId="605"/>
    <cellStyle name="Title 4" xfId="606"/>
    <cellStyle name="Title 5" xfId="607"/>
    <cellStyle name="Total 2" xfId="96"/>
    <cellStyle name="Total 2 2" xfId="608"/>
    <cellStyle name="Total 3" xfId="609"/>
    <cellStyle name="Total 4" xfId="610"/>
    <cellStyle name="Total 5" xfId="611"/>
    <cellStyle name="Total 6" xfId="612"/>
    <cellStyle name="Total 7" xfId="613"/>
    <cellStyle name="Total 8" xfId="614"/>
    <cellStyle name="Warning Text 2" xfId="97"/>
    <cellStyle name="Warning Text 3" xfId="615"/>
    <cellStyle name="Warning Text 4" xfId="616"/>
    <cellStyle name="Warning Text 5" xfId="617"/>
    <cellStyle name="Warning Text 6" xfId="6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workbookViewId="0">
      <selection activeCell="F46" sqref="F46"/>
    </sheetView>
  </sheetViews>
  <sheetFormatPr defaultRowHeight="12.75"/>
  <cols>
    <col min="1" max="1" width="17" customWidth="1"/>
    <col min="2" max="3" width="10" bestFit="1" customWidth="1"/>
    <col min="4" max="4" width="13.42578125" bestFit="1" customWidth="1"/>
    <col min="5" max="5" width="12.7109375" bestFit="1" customWidth="1"/>
    <col min="6" max="6" width="6.7109375" customWidth="1"/>
    <col min="7" max="8" width="10" bestFit="1" customWidth="1"/>
    <col min="9" max="10" width="11.28515625" bestFit="1" customWidth="1"/>
    <col min="11" max="11" width="6.7109375" customWidth="1"/>
    <col min="12" max="13" width="10.7109375" bestFit="1" customWidth="1"/>
    <col min="14" max="14" width="13.42578125" bestFit="1" customWidth="1"/>
    <col min="15" max="15" width="12.7109375" bestFit="1" customWidth="1"/>
  </cols>
  <sheetData>
    <row r="1" spans="1:15">
      <c r="A1" t="s">
        <v>206</v>
      </c>
    </row>
    <row r="2" spans="1:15">
      <c r="A2" t="s">
        <v>207</v>
      </c>
    </row>
    <row r="3" spans="1:15">
      <c r="A3" t="str">
        <f>RS!A3</f>
        <v>TEST YEAR ENDED SEPTEMBER 30, 2014</v>
      </c>
    </row>
    <row r="4" spans="1:15" ht="6" customHeight="1"/>
    <row r="5" spans="1:15">
      <c r="A5" s="1"/>
      <c r="B5" s="1"/>
      <c r="C5" s="1"/>
      <c r="D5" s="1"/>
      <c r="E5" s="1"/>
      <c r="G5" s="139" t="s">
        <v>400</v>
      </c>
      <c r="H5" s="139"/>
      <c r="I5" s="139"/>
      <c r="J5" s="139"/>
      <c r="L5" s="139" t="s">
        <v>320</v>
      </c>
      <c r="M5" s="139"/>
      <c r="N5" s="139"/>
      <c r="O5" s="139"/>
    </row>
    <row r="6" spans="1:15">
      <c r="A6" s="1"/>
      <c r="B6" s="1" t="s">
        <v>197</v>
      </c>
      <c r="C6" s="1"/>
      <c r="D6" s="1" t="s">
        <v>197</v>
      </c>
      <c r="G6" s="1"/>
      <c r="H6" s="1"/>
      <c r="I6" s="1"/>
      <c r="L6" s="1" t="s">
        <v>197</v>
      </c>
      <c r="M6" s="1"/>
      <c r="N6" s="1" t="s">
        <v>197</v>
      </c>
    </row>
    <row r="7" spans="1:15">
      <c r="A7" s="1"/>
      <c r="B7" s="1" t="s">
        <v>219</v>
      </c>
      <c r="C7" s="27" t="s">
        <v>356</v>
      </c>
      <c r="D7" s="1" t="s">
        <v>219</v>
      </c>
      <c r="E7" s="1" t="s">
        <v>197</v>
      </c>
      <c r="G7" s="1"/>
      <c r="H7" s="27" t="s">
        <v>356</v>
      </c>
      <c r="I7" s="1"/>
      <c r="J7" s="1"/>
      <c r="L7" s="1" t="s">
        <v>219</v>
      </c>
      <c r="M7" s="27" t="s">
        <v>356</v>
      </c>
      <c r="N7" s="1" t="s">
        <v>219</v>
      </c>
      <c r="O7" s="1" t="s">
        <v>197</v>
      </c>
    </row>
    <row r="8" spans="1:15">
      <c r="A8" s="1"/>
      <c r="B8" s="1" t="s">
        <v>211</v>
      </c>
      <c r="C8" s="1" t="s">
        <v>211</v>
      </c>
      <c r="D8" s="1" t="s">
        <v>223</v>
      </c>
      <c r="E8" s="1" t="s">
        <v>202</v>
      </c>
      <c r="G8" s="1" t="s">
        <v>211</v>
      </c>
      <c r="H8" s="1" t="s">
        <v>211</v>
      </c>
      <c r="I8" s="1" t="s">
        <v>223</v>
      </c>
      <c r="J8" s="1"/>
      <c r="L8" s="1" t="s">
        <v>211</v>
      </c>
      <c r="M8" s="1" t="s">
        <v>211</v>
      </c>
      <c r="N8" s="1" t="s">
        <v>223</v>
      </c>
      <c r="O8" s="1" t="s">
        <v>202</v>
      </c>
    </row>
    <row r="9" spans="1:15">
      <c r="A9" s="3" t="s">
        <v>2</v>
      </c>
      <c r="B9" s="3" t="s">
        <v>104</v>
      </c>
      <c r="C9" s="3" t="s">
        <v>104</v>
      </c>
      <c r="D9" s="3" t="s">
        <v>210</v>
      </c>
      <c r="E9" s="3" t="s">
        <v>6</v>
      </c>
      <c r="G9" s="3" t="s">
        <v>104</v>
      </c>
      <c r="H9" s="3" t="s">
        <v>104</v>
      </c>
      <c r="I9" s="3" t="s">
        <v>210</v>
      </c>
      <c r="J9" s="3" t="s">
        <v>6</v>
      </c>
      <c r="L9" s="3" t="s">
        <v>104</v>
      </c>
      <c r="M9" s="3" t="s">
        <v>104</v>
      </c>
      <c r="N9" s="3" t="s">
        <v>210</v>
      </c>
      <c r="O9" s="3" t="s">
        <v>6</v>
      </c>
    </row>
    <row r="10" spans="1:15">
      <c r="A10" s="21" t="s">
        <v>7</v>
      </c>
      <c r="B10" s="21" t="s">
        <v>8</v>
      </c>
      <c r="C10" s="21" t="s">
        <v>9</v>
      </c>
      <c r="D10" s="21" t="s">
        <v>220</v>
      </c>
      <c r="E10" s="21" t="s">
        <v>308</v>
      </c>
      <c r="G10" s="21" t="s">
        <v>10</v>
      </c>
      <c r="H10" s="21" t="s">
        <v>309</v>
      </c>
      <c r="I10" s="21" t="s">
        <v>199</v>
      </c>
      <c r="J10" s="21" t="s">
        <v>226</v>
      </c>
      <c r="L10" s="21" t="s">
        <v>321</v>
      </c>
      <c r="M10" s="21" t="s">
        <v>322</v>
      </c>
      <c r="N10" s="21" t="s">
        <v>323</v>
      </c>
      <c r="O10" s="21" t="s">
        <v>324</v>
      </c>
    </row>
    <row r="11" spans="1:15" ht="6" customHeight="1"/>
    <row r="12" spans="1:15">
      <c r="A12" t="s">
        <v>163</v>
      </c>
      <c r="B12" s="28">
        <f>+RS!K23</f>
        <v>1669972</v>
      </c>
      <c r="C12" s="6">
        <f>+'Monthly # of Customers'!M17</f>
        <v>138125</v>
      </c>
      <c r="D12" s="6">
        <f>+RS!K17</f>
        <v>2336196169</v>
      </c>
      <c r="E12" s="36">
        <f>+YEM!C10</f>
        <v>231803909.82851359</v>
      </c>
      <c r="G12">
        <v>0</v>
      </c>
      <c r="H12">
        <v>0</v>
      </c>
      <c r="I12" s="6">
        <f>+RS!M13</f>
        <v>-63344127</v>
      </c>
      <c r="J12" s="8">
        <f>+RS!M39</f>
        <v>-5917595.2050099857</v>
      </c>
      <c r="L12" s="28">
        <f>B12+G12</f>
        <v>1669972</v>
      </c>
      <c r="M12" s="6">
        <f>C12+H12</f>
        <v>138125</v>
      </c>
      <c r="N12" s="6">
        <f>D12+I12</f>
        <v>2272852042</v>
      </c>
      <c r="O12" s="36">
        <f>E12+J12</f>
        <v>225886314.6235036</v>
      </c>
    </row>
    <row r="13" spans="1:15" ht="6" customHeight="1">
      <c r="B13" s="28"/>
      <c r="E13" s="34"/>
      <c r="J13" s="8"/>
      <c r="L13" s="28"/>
      <c r="O13" s="34"/>
    </row>
    <row r="14" spans="1:15">
      <c r="A14" s="9" t="s">
        <v>164</v>
      </c>
      <c r="B14" s="28">
        <f>+RSLMTOD!J26</f>
        <v>2085</v>
      </c>
      <c r="C14" s="6">
        <f>+'Monthly # of Customers'!M23</f>
        <v>172</v>
      </c>
      <c r="D14" s="6">
        <f>+RSLMTOD!J17</f>
        <v>4412208</v>
      </c>
      <c r="E14" s="36">
        <f>+YEM!C12</f>
        <v>396224.79485000001</v>
      </c>
      <c r="G14">
        <v>0</v>
      </c>
      <c r="H14">
        <v>0</v>
      </c>
      <c r="I14" s="6">
        <f>+RSLMTOD!L17</f>
        <v>-143457</v>
      </c>
      <c r="J14" s="8">
        <f>+RSLMTOD!L40</f>
        <v>-11535.737342374809</v>
      </c>
      <c r="L14" s="28">
        <f>B14+G14</f>
        <v>2085</v>
      </c>
      <c r="M14" s="6">
        <f>C14+H14</f>
        <v>172</v>
      </c>
      <c r="N14" s="6">
        <f>D14+I14</f>
        <v>4268751</v>
      </c>
      <c r="O14" s="36">
        <f>E14+J14</f>
        <v>384689.0575076252</v>
      </c>
    </row>
    <row r="15" spans="1:15" ht="6" customHeight="1">
      <c r="A15" s="9"/>
      <c r="B15" s="28"/>
      <c r="E15" s="34"/>
      <c r="J15" s="8"/>
      <c r="L15" s="28"/>
      <c r="O15" s="34"/>
    </row>
    <row r="16" spans="1:15">
      <c r="A16" s="9" t="s">
        <v>270</v>
      </c>
      <c r="B16" s="28">
        <f>RSTOD!J21</f>
        <v>36</v>
      </c>
      <c r="C16" s="6">
        <f>+'Monthly # of Customers'!M25</f>
        <v>3</v>
      </c>
      <c r="D16" s="6">
        <f>RSTOD!J16</f>
        <v>46491</v>
      </c>
      <c r="E16" s="36">
        <f>+YEM!C14</f>
        <v>4288.8773500000007</v>
      </c>
      <c r="J16" s="8"/>
      <c r="L16" s="28">
        <f>B16+G16</f>
        <v>36</v>
      </c>
      <c r="M16" s="6">
        <f>C16+H16</f>
        <v>3</v>
      </c>
      <c r="N16" s="6">
        <f>D16+I16</f>
        <v>46491</v>
      </c>
      <c r="O16" s="36">
        <f>E16+J16</f>
        <v>4288.8773500000007</v>
      </c>
    </row>
    <row r="17" spans="1:15" ht="6" customHeight="1">
      <c r="A17" s="9"/>
      <c r="B17" s="28"/>
      <c r="E17" s="34"/>
      <c r="J17" s="8"/>
      <c r="L17" s="28"/>
      <c r="O17" s="34"/>
    </row>
    <row r="18" spans="1:15">
      <c r="A18" t="s">
        <v>44</v>
      </c>
      <c r="B18" s="28">
        <f>+'Annual Adj OL'!B54</f>
        <v>761069.63000000024</v>
      </c>
      <c r="C18" s="6">
        <f>+'Annual Adj OL'!D54</f>
        <v>55951.890000000007</v>
      </c>
      <c r="D18" s="6">
        <f>+OL!B43</f>
        <v>42655897</v>
      </c>
      <c r="E18" s="8">
        <f>+YEM!C16</f>
        <v>7956803.1685000006</v>
      </c>
      <c r="J18" s="8"/>
      <c r="L18" s="28">
        <f>B18+G18</f>
        <v>761069.63000000024</v>
      </c>
      <c r="M18" s="6">
        <f>C18+H18</f>
        <v>55951.890000000007</v>
      </c>
      <c r="N18" s="6">
        <f>D18+I18</f>
        <v>42655897</v>
      </c>
      <c r="O18" s="8">
        <f>E18+J18</f>
        <v>7956803.1685000006</v>
      </c>
    </row>
    <row r="19" spans="1:15" ht="6" customHeight="1">
      <c r="A19" s="9"/>
      <c r="B19" s="28"/>
      <c r="E19" s="34"/>
      <c r="J19" s="8"/>
      <c r="L19" s="28"/>
      <c r="O19" s="34"/>
    </row>
    <row r="20" spans="1:15">
      <c r="A20" s="9" t="s">
        <v>166</v>
      </c>
      <c r="B20" s="28">
        <f>+SGS!J20</f>
        <v>270382</v>
      </c>
      <c r="C20" s="6">
        <f>+'Monthly # of Customers'!M31</f>
        <v>22622</v>
      </c>
      <c r="D20" s="6">
        <f>+SGS!J16</f>
        <v>137657496</v>
      </c>
      <c r="E20" s="36">
        <f>+YEM!C18</f>
        <v>18239353.204099998</v>
      </c>
      <c r="J20" s="8"/>
      <c r="L20" s="28">
        <f>B20+G20</f>
        <v>270382</v>
      </c>
      <c r="M20" s="6">
        <f>C20+H20</f>
        <v>22622</v>
      </c>
      <c r="N20" s="6">
        <f>D20+I20</f>
        <v>137657496</v>
      </c>
      <c r="O20" s="36">
        <f>E20+J20</f>
        <v>18239353.204099998</v>
      </c>
    </row>
    <row r="21" spans="1:15" ht="6" customHeight="1">
      <c r="A21" s="9"/>
      <c r="B21" s="28"/>
      <c r="E21" s="34"/>
      <c r="J21" s="8"/>
      <c r="L21" s="28"/>
      <c r="O21" s="34"/>
    </row>
    <row r="22" spans="1:15">
      <c r="A22" t="s">
        <v>331</v>
      </c>
      <c r="B22" s="28">
        <f>+SGSLMTOD!J21</f>
        <v>12</v>
      </c>
      <c r="C22" s="6">
        <f>+'Monthly # of Customers'!M33</f>
        <v>1</v>
      </c>
      <c r="D22" s="6">
        <f>+SGSLMTOD!J17</f>
        <v>3012</v>
      </c>
      <c r="E22" s="36">
        <f>+YEM!C20</f>
        <v>528.21295999999995</v>
      </c>
      <c r="J22" s="8"/>
      <c r="L22" s="28">
        <f>B22+G22</f>
        <v>12</v>
      </c>
      <c r="M22" s="6">
        <f>C22+H22</f>
        <v>1</v>
      </c>
      <c r="N22" s="6">
        <f>D22+I22</f>
        <v>3012</v>
      </c>
      <c r="O22" s="36">
        <f>E22+J22</f>
        <v>528.21295999999995</v>
      </c>
    </row>
    <row r="23" spans="1:15" ht="6" customHeight="1">
      <c r="A23" s="9"/>
      <c r="B23" s="28"/>
      <c r="E23" s="34"/>
      <c r="J23" s="8"/>
      <c r="L23" s="28"/>
      <c r="O23" s="34"/>
    </row>
    <row r="24" spans="1:15">
      <c r="A24" s="9" t="s">
        <v>167</v>
      </c>
      <c r="B24" s="28">
        <f>+'SGS-NM'!J20</f>
        <v>13411</v>
      </c>
      <c r="C24" s="6">
        <f>+'Monthly # of Customers'!M37</f>
        <v>1124</v>
      </c>
      <c r="D24" s="6">
        <f>+'SGS-NM'!J16</f>
        <v>3961264</v>
      </c>
      <c r="E24" s="36">
        <f>+YEM!C22</f>
        <v>629847.5242000001</v>
      </c>
      <c r="J24" s="8"/>
      <c r="L24" s="28">
        <f>B24+G24</f>
        <v>13411</v>
      </c>
      <c r="M24" s="6">
        <f>C24+H24</f>
        <v>1124</v>
      </c>
      <c r="N24" s="6">
        <f>D24+I24</f>
        <v>3961264</v>
      </c>
      <c r="O24" s="36">
        <f>E24+J24</f>
        <v>629847.5242000001</v>
      </c>
    </row>
    <row r="25" spans="1:15" ht="6" customHeight="1">
      <c r="A25" s="9"/>
      <c r="B25" s="28"/>
      <c r="C25" s="6"/>
      <c r="D25" s="6"/>
      <c r="E25" s="36"/>
      <c r="J25" s="8"/>
      <c r="L25" s="28"/>
      <c r="M25" s="6"/>
      <c r="N25" s="6"/>
      <c r="O25" s="36"/>
    </row>
    <row r="26" spans="1:15">
      <c r="A26" s="9" t="s">
        <v>345</v>
      </c>
      <c r="B26" s="28">
        <f>+'SGS TOD2'!J21</f>
        <v>923</v>
      </c>
      <c r="C26" s="6">
        <f>+'Monthly # of Customers'!M39</f>
        <v>76</v>
      </c>
      <c r="D26" s="6">
        <f>+'SGS TOD2'!J17</f>
        <v>369750</v>
      </c>
      <c r="E26" s="36">
        <f>+YEM!C24</f>
        <v>54075.931209999988</v>
      </c>
      <c r="J26" s="8"/>
      <c r="L26" s="28">
        <f>B26+G26</f>
        <v>923</v>
      </c>
      <c r="M26" s="6">
        <f>C26+H26</f>
        <v>76</v>
      </c>
      <c r="N26" s="6">
        <f>D26+I26</f>
        <v>369750</v>
      </c>
      <c r="O26" s="36">
        <f>E26+J26</f>
        <v>54075.931209999988</v>
      </c>
    </row>
    <row r="27" spans="1:15" ht="6" customHeight="1">
      <c r="A27" s="9"/>
      <c r="B27" s="28"/>
      <c r="E27" s="34"/>
      <c r="J27" s="8"/>
      <c r="L27" s="28"/>
      <c r="O27" s="34"/>
    </row>
    <row r="28" spans="1:15">
      <c r="A28" s="9" t="s">
        <v>168</v>
      </c>
      <c r="B28" s="28">
        <f>+'MGS-RL'!J20</f>
        <v>908</v>
      </c>
      <c r="C28" s="6">
        <f>+'Monthly # of Customers'!M41</f>
        <v>77</v>
      </c>
      <c r="D28" s="6">
        <f>+'MGS-RL'!J16</f>
        <v>1536074</v>
      </c>
      <c r="E28" s="36">
        <f>+YEM!C26</f>
        <v>164224.68596</v>
      </c>
      <c r="J28" s="8"/>
      <c r="L28" s="28">
        <f>B28+G28</f>
        <v>908</v>
      </c>
      <c r="M28" s="6">
        <f>C28+H28</f>
        <v>77</v>
      </c>
      <c r="N28" s="6">
        <f>D28+I28</f>
        <v>1536074</v>
      </c>
      <c r="O28" s="36">
        <f>E28+J28</f>
        <v>164224.68596</v>
      </c>
    </row>
    <row r="29" spans="1:15" ht="6" customHeight="1">
      <c r="A29" s="9"/>
      <c r="B29" s="28"/>
      <c r="E29" s="34"/>
      <c r="J29" s="8"/>
      <c r="L29" s="28"/>
      <c r="O29" s="34"/>
    </row>
    <row r="30" spans="1:15">
      <c r="A30" s="9" t="s">
        <v>169</v>
      </c>
      <c r="B30" s="28">
        <f>+'MGS-SEC'!J25</f>
        <v>83732</v>
      </c>
      <c r="C30" s="6">
        <f>+'Monthly # of Customers'!M46</f>
        <v>7004</v>
      </c>
      <c r="D30" s="6">
        <f>+'MGS-SEC'!J17</f>
        <v>494884637</v>
      </c>
      <c r="E30" s="36">
        <f>+YEM!C28</f>
        <v>55909224.137270257</v>
      </c>
      <c r="G30" s="6">
        <f>+'MGS-SEC'!L25</f>
        <v>-7</v>
      </c>
      <c r="H30" s="6">
        <v>0</v>
      </c>
      <c r="I30" s="6">
        <f>+'MGS-SEC'!L17</f>
        <v>0</v>
      </c>
      <c r="J30" s="8">
        <f>+'MGS-SEC'!L37</f>
        <v>-159.87449999999998</v>
      </c>
      <c r="L30" s="28">
        <f>B30+G30</f>
        <v>83725</v>
      </c>
      <c r="M30" s="6">
        <f>C30+H30</f>
        <v>7004</v>
      </c>
      <c r="N30" s="6">
        <f>D30+I30</f>
        <v>494884637</v>
      </c>
      <c r="O30" s="36">
        <f>E30+J30</f>
        <v>55909064.262770258</v>
      </c>
    </row>
    <row r="31" spans="1:15" ht="6" customHeight="1">
      <c r="A31" s="9"/>
      <c r="B31" s="28"/>
      <c r="E31" s="34"/>
      <c r="J31" s="8"/>
      <c r="L31" s="28"/>
      <c r="O31" s="34"/>
    </row>
    <row r="32" spans="1:15">
      <c r="A32" s="9" t="s">
        <v>170</v>
      </c>
      <c r="B32" s="28">
        <f>+MGSLMTOD!J21</f>
        <v>555</v>
      </c>
      <c r="C32" s="6">
        <f>+'Monthly # of Customers'!M48</f>
        <v>46</v>
      </c>
      <c r="D32" s="6">
        <f>+MGSLMTOD!J17</f>
        <v>1060745</v>
      </c>
      <c r="E32" s="36">
        <f>+YEM!C30</f>
        <v>107154.24609</v>
      </c>
      <c r="J32" s="8"/>
      <c r="L32" s="28">
        <f>B32+G32</f>
        <v>555</v>
      </c>
      <c r="M32" s="6">
        <f>C32+H32</f>
        <v>46</v>
      </c>
      <c r="N32" s="6">
        <f>D32+I32</f>
        <v>1060745</v>
      </c>
      <c r="O32" s="36">
        <f>E32+J32</f>
        <v>107154.24609</v>
      </c>
    </row>
    <row r="33" spans="1:15" ht="6" customHeight="1">
      <c r="A33" s="9"/>
      <c r="B33" s="28"/>
      <c r="E33" s="34"/>
      <c r="J33" s="8"/>
      <c r="L33" s="28"/>
      <c r="O33" s="34"/>
    </row>
    <row r="34" spans="1:15">
      <c r="A34" s="9" t="s">
        <v>171</v>
      </c>
      <c r="B34" s="28">
        <f>+MGSTOD!J21</f>
        <v>905</v>
      </c>
      <c r="C34" s="6">
        <f>+'Monthly # of Customers'!M50</f>
        <v>76</v>
      </c>
      <c r="D34" s="6">
        <f>+MGSTOD!J17</f>
        <v>3836888</v>
      </c>
      <c r="E34" s="36">
        <f>+YEM!C32</f>
        <v>378348.02895999997</v>
      </c>
      <c r="J34" s="8"/>
      <c r="L34" s="28">
        <f>B34+G34</f>
        <v>905</v>
      </c>
      <c r="M34" s="6">
        <f>C34+H34</f>
        <v>76</v>
      </c>
      <c r="N34" s="6">
        <f>D34+I34</f>
        <v>3836888</v>
      </c>
      <c r="O34" s="36">
        <f>E34+J34</f>
        <v>378348.02895999997</v>
      </c>
    </row>
    <row r="35" spans="1:15" ht="6" customHeight="1">
      <c r="A35" s="9"/>
      <c r="B35" s="28"/>
      <c r="E35" s="34"/>
      <c r="J35" s="8"/>
      <c r="L35" s="28"/>
      <c r="O35" s="34"/>
    </row>
    <row r="36" spans="1:15">
      <c r="A36" s="9" t="s">
        <v>172</v>
      </c>
      <c r="B36" s="28">
        <f>+'MGS-PRI'!J26</f>
        <v>1055</v>
      </c>
      <c r="C36" s="7">
        <f>+'Monthly # of Customers'!M54</f>
        <v>84</v>
      </c>
      <c r="D36" s="6">
        <f>+'MGS-PRI'!J18</f>
        <v>9728413</v>
      </c>
      <c r="E36" s="36">
        <f>+YEM!C34</f>
        <v>1035270.29504</v>
      </c>
      <c r="G36" s="6">
        <f>'MGS-PRI'!L26</f>
        <v>-7</v>
      </c>
      <c r="H36" s="6">
        <v>0</v>
      </c>
      <c r="I36" s="6">
        <f>'MGS-PRI'!L18</f>
        <v>0</v>
      </c>
      <c r="J36" s="8">
        <f>'MGS-PRI'!L38</f>
        <v>-236.74500000000003</v>
      </c>
      <c r="L36" s="28">
        <f>B36+G36</f>
        <v>1048</v>
      </c>
      <c r="M36" s="7">
        <f>C36+H36</f>
        <v>84</v>
      </c>
      <c r="N36" s="6">
        <f>D36+I36</f>
        <v>9728413</v>
      </c>
      <c r="O36" s="36">
        <f>E36+J36</f>
        <v>1035033.55004</v>
      </c>
    </row>
    <row r="37" spans="1:15" ht="6" customHeight="1">
      <c r="A37" s="9"/>
      <c r="B37" s="28"/>
      <c r="E37" s="34"/>
      <c r="J37" s="8"/>
      <c r="L37" s="28"/>
      <c r="O37" s="34"/>
    </row>
    <row r="38" spans="1:15">
      <c r="A38" s="9" t="s">
        <v>173</v>
      </c>
      <c r="B38" s="28">
        <f>+'MGS-SUB'!J25</f>
        <v>124</v>
      </c>
      <c r="C38" s="6">
        <f>+'Monthly # of Customers'!M56</f>
        <v>10</v>
      </c>
      <c r="D38" s="6">
        <f>+'MGS-SUB'!J17</f>
        <v>1041361</v>
      </c>
      <c r="E38" s="36">
        <f>+YEM!C36</f>
        <v>122263.58750000001</v>
      </c>
      <c r="G38" s="6">
        <f>'MGS-SUB'!L25</f>
        <v>0</v>
      </c>
      <c r="H38" s="6">
        <v>0</v>
      </c>
      <c r="I38" s="6">
        <f>'MGS-SUB'!L17</f>
        <v>0</v>
      </c>
      <c r="J38" s="8">
        <f>'MGS-SUB'!L37</f>
        <v>0</v>
      </c>
      <c r="L38" s="28">
        <f>B38+G38</f>
        <v>124</v>
      </c>
      <c r="M38" s="6">
        <f>C38+H38</f>
        <v>10</v>
      </c>
      <c r="N38" s="6">
        <f>D38+I38</f>
        <v>1041361</v>
      </c>
      <c r="O38" s="36">
        <f>E38+J38</f>
        <v>122263.58750000001</v>
      </c>
    </row>
    <row r="39" spans="1:15" ht="6" customHeight="1">
      <c r="A39" s="9"/>
      <c r="B39" s="28"/>
      <c r="E39" s="34"/>
      <c r="J39" s="8"/>
      <c r="L39" s="28"/>
      <c r="O39" s="34"/>
    </row>
    <row r="40" spans="1:15">
      <c r="A40" s="9" t="s">
        <v>174</v>
      </c>
      <c r="B40" s="28">
        <f>+'LGS-SEC'!J22</f>
        <v>8961</v>
      </c>
      <c r="C40" s="6">
        <f>+'Monthly # of Customers'!M60</f>
        <v>747</v>
      </c>
      <c r="D40" s="6">
        <f>+'LGS-SEC'!J15</f>
        <v>552274983</v>
      </c>
      <c r="E40" s="36">
        <f>+YEM!C38</f>
        <v>55324874.500799999</v>
      </c>
      <c r="G40" s="6">
        <f>+'LGS-SEC'!L22</f>
        <v>12</v>
      </c>
      <c r="H40">
        <v>1</v>
      </c>
      <c r="I40" s="6">
        <f>+'LGS-SEC'!L15</f>
        <v>6360000</v>
      </c>
      <c r="J40" s="8">
        <f>+'LGS-SEC'!L34</f>
        <v>571496.28</v>
      </c>
      <c r="L40" s="28">
        <f>B40+G40</f>
        <v>8973</v>
      </c>
      <c r="M40" s="6">
        <f>C40+H40</f>
        <v>748</v>
      </c>
      <c r="N40" s="6">
        <f>D40+I40</f>
        <v>558634983</v>
      </c>
      <c r="O40" s="36">
        <f>E40+J40</f>
        <v>55896370.7808</v>
      </c>
    </row>
    <row r="41" spans="1:15" ht="6" customHeight="1">
      <c r="A41" s="9"/>
      <c r="B41" s="28"/>
      <c r="E41" s="34"/>
      <c r="J41" s="8"/>
      <c r="L41" s="28"/>
      <c r="O41" s="34"/>
    </row>
    <row r="42" spans="1:15">
      <c r="A42" s="9" t="s">
        <v>175</v>
      </c>
      <c r="B42" s="28">
        <f>+LGSLMTOD!J21</f>
        <v>108</v>
      </c>
      <c r="C42" s="6">
        <f>+'Monthly # of Customers'!M62</f>
        <v>9</v>
      </c>
      <c r="D42" s="6">
        <f>+LGSLMTOD!J17</f>
        <v>1959939</v>
      </c>
      <c r="E42" s="36">
        <f>+YEM!C40</f>
        <v>193120.69399</v>
      </c>
      <c r="J42" s="8"/>
      <c r="L42" s="28">
        <f>B42+G42</f>
        <v>108</v>
      </c>
      <c r="M42" s="6">
        <f>C42+H42</f>
        <v>9</v>
      </c>
      <c r="N42" s="6">
        <f>D42+I42</f>
        <v>1959939</v>
      </c>
      <c r="O42" s="36">
        <f>E42+J42</f>
        <v>193120.69399</v>
      </c>
    </row>
    <row r="43" spans="1:15" ht="6" customHeight="1">
      <c r="A43" s="9"/>
      <c r="B43" s="28"/>
      <c r="E43" s="34"/>
      <c r="J43" s="8"/>
      <c r="L43" s="28"/>
      <c r="O43" s="34"/>
    </row>
    <row r="44" spans="1:15">
      <c r="A44" s="9" t="s">
        <v>100</v>
      </c>
      <c r="B44" s="28">
        <f>+'LGS-PRI'!J22</f>
        <v>879</v>
      </c>
      <c r="C44" s="6">
        <f>+'Monthly # of Customers'!M66</f>
        <v>75</v>
      </c>
      <c r="D44" s="6">
        <f>+'LGS-PRI'!J15</f>
        <v>89724698</v>
      </c>
      <c r="E44" s="36">
        <f>+YEM!C42</f>
        <v>8186301.2365200007</v>
      </c>
      <c r="G44" s="6">
        <f>'LGS-PRI'!L22</f>
        <v>36</v>
      </c>
      <c r="H44" s="6">
        <v>3</v>
      </c>
      <c r="I44" s="6">
        <f>'LGS-PRI'!L15</f>
        <v>19944000</v>
      </c>
      <c r="J44" s="8">
        <f>'LGS-PRI'!L34</f>
        <v>1599864.8064733951</v>
      </c>
      <c r="L44" s="28">
        <f>B44+G44</f>
        <v>915</v>
      </c>
      <c r="M44" s="6">
        <f>C44+H44</f>
        <v>78</v>
      </c>
      <c r="N44" s="6">
        <f>D44+I44</f>
        <v>109668698</v>
      </c>
      <c r="O44" s="36">
        <f>E44+J44</f>
        <v>9786166.0429933965</v>
      </c>
    </row>
    <row r="45" spans="1:15" ht="6" customHeight="1">
      <c r="A45" s="9"/>
      <c r="B45" s="28"/>
      <c r="E45" s="34"/>
      <c r="J45" s="8"/>
      <c r="L45" s="28"/>
      <c r="O45" s="34"/>
    </row>
    <row r="46" spans="1:15">
      <c r="A46" s="9" t="s">
        <v>176</v>
      </c>
      <c r="B46" s="28">
        <f>+'LGS-SUB'!J22</f>
        <v>261</v>
      </c>
      <c r="C46" s="6">
        <f>+'Monthly # of Customers'!M68</f>
        <v>20</v>
      </c>
      <c r="D46" s="6">
        <f>+'LGS-SUB'!J15</f>
        <v>36676149</v>
      </c>
      <c r="E46" s="36">
        <f>+YEM!C44</f>
        <v>2646442.3807199998</v>
      </c>
      <c r="G46" s="6">
        <f>'LGS-SUB'!L22</f>
        <v>0</v>
      </c>
      <c r="H46" s="6">
        <v>0</v>
      </c>
      <c r="I46" s="6">
        <f>'LGS-SUB'!L15</f>
        <v>0</v>
      </c>
      <c r="J46" s="8">
        <f>'LGS-SUB'!L34</f>
        <v>0</v>
      </c>
      <c r="L46" s="28">
        <f>B46+G46</f>
        <v>261</v>
      </c>
      <c r="M46" s="6">
        <f>C46+H46</f>
        <v>20</v>
      </c>
      <c r="N46" s="6">
        <f>D46+I46</f>
        <v>36676149</v>
      </c>
      <c r="O46" s="36">
        <f>E46+J46</f>
        <v>2646442.3807199998</v>
      </c>
    </row>
    <row r="47" spans="1:15" ht="6" customHeight="1">
      <c r="A47" s="9"/>
      <c r="B47" s="28"/>
      <c r="C47" s="6"/>
      <c r="D47" s="6"/>
      <c r="E47" s="36"/>
      <c r="G47" s="6"/>
      <c r="H47" s="6"/>
      <c r="I47" s="6"/>
      <c r="J47" s="8"/>
      <c r="L47" s="28"/>
      <c r="M47" s="6"/>
      <c r="N47" s="6"/>
      <c r="O47" s="36"/>
    </row>
    <row r="48" spans="1:15">
      <c r="A48" s="9" t="s">
        <v>335</v>
      </c>
      <c r="B48" s="28">
        <f>+'LGS-TRAN'!J22</f>
        <v>12</v>
      </c>
      <c r="C48" s="6">
        <f>+'Monthly # of Customers'!M70</f>
        <v>1</v>
      </c>
      <c r="D48" s="6">
        <f>+'LGS-TRAN'!J15</f>
        <v>672426</v>
      </c>
      <c r="E48" s="36">
        <f>+YEM!C46</f>
        <v>67112.57796000001</v>
      </c>
      <c r="G48" s="6">
        <f>'LGS-TRAN'!L22</f>
        <v>0</v>
      </c>
      <c r="H48" s="6"/>
      <c r="I48" s="6">
        <f>'LGS-TRAN'!L15</f>
        <v>0</v>
      </c>
      <c r="J48" s="8">
        <f>'LGS-TRAN'!L34</f>
        <v>0</v>
      </c>
      <c r="L48" s="28">
        <f>B48+G48</f>
        <v>12</v>
      </c>
      <c r="M48" s="6">
        <f>C48+H48</f>
        <v>1</v>
      </c>
      <c r="N48" s="6">
        <f>D48+I48</f>
        <v>672426</v>
      </c>
      <c r="O48" s="36">
        <f>E48+J48</f>
        <v>67112.57796000001</v>
      </c>
    </row>
    <row r="49" spans="1:15" ht="6" customHeight="1">
      <c r="A49" s="9"/>
      <c r="B49" s="28"/>
      <c r="E49" s="34"/>
      <c r="J49" s="8"/>
      <c r="L49" s="28"/>
      <c r="O49" s="34"/>
    </row>
    <row r="50" spans="1:15">
      <c r="A50" s="9" t="s">
        <v>269</v>
      </c>
      <c r="B50" s="28">
        <f>'QP-SEC'!J25</f>
        <v>75</v>
      </c>
      <c r="C50" s="6">
        <f>+'Monthly # of Customers'!M72</f>
        <v>6</v>
      </c>
      <c r="D50" s="6">
        <f>'QP-SEC'!J15</f>
        <v>23355352</v>
      </c>
      <c r="E50" s="36">
        <f>+YEM!C48</f>
        <v>1972823.2841999999</v>
      </c>
      <c r="J50" s="8"/>
      <c r="L50" s="28">
        <f>B50+G50</f>
        <v>75</v>
      </c>
      <c r="M50" s="6">
        <f>C50+H50</f>
        <v>6</v>
      </c>
      <c r="N50" s="6">
        <f>D50+I50</f>
        <v>23355352</v>
      </c>
      <c r="O50" s="36">
        <f>E50+J50</f>
        <v>1972823.2841999999</v>
      </c>
    </row>
    <row r="51" spans="1:15" ht="6" customHeight="1">
      <c r="A51" s="9"/>
      <c r="B51" s="28"/>
      <c r="E51" s="34"/>
      <c r="J51" s="8"/>
      <c r="L51" s="28"/>
      <c r="O51" s="34"/>
    </row>
    <row r="52" spans="1:15">
      <c r="A52" s="9" t="s">
        <v>101</v>
      </c>
      <c r="B52" s="28">
        <f>+'QP-PRI'!J27</f>
        <v>480</v>
      </c>
      <c r="C52" s="6">
        <f>+'Monthly # of Customers'!M76</f>
        <v>40</v>
      </c>
      <c r="D52" s="6">
        <f>+'QP-PRI'!J15</f>
        <v>331170851</v>
      </c>
      <c r="E52" s="36">
        <f>+YEM!C50</f>
        <v>24295105.437680002</v>
      </c>
      <c r="G52" s="6">
        <f>'QP-PRI'!L27</f>
        <v>0</v>
      </c>
      <c r="H52" s="6">
        <v>0</v>
      </c>
      <c r="I52" s="6">
        <f>'QP-PRI'!L15</f>
        <v>0</v>
      </c>
      <c r="J52" s="8">
        <f>'QP-PRI'!L39</f>
        <v>0</v>
      </c>
      <c r="L52" s="28">
        <f>B52+G52</f>
        <v>480</v>
      </c>
      <c r="M52" s="6">
        <f>C52+H52</f>
        <v>40</v>
      </c>
      <c r="N52" s="6">
        <f>D52+I52</f>
        <v>331170851</v>
      </c>
      <c r="O52" s="36">
        <f>E52+J52</f>
        <v>24295105.437680002</v>
      </c>
    </row>
    <row r="53" spans="1:15" ht="6" customHeight="1">
      <c r="A53" s="9"/>
      <c r="B53" s="28"/>
      <c r="E53" s="34"/>
      <c r="J53" s="8"/>
      <c r="L53" s="28"/>
      <c r="O53" s="34"/>
    </row>
    <row r="54" spans="1:15">
      <c r="A54" s="9" t="s">
        <v>177</v>
      </c>
      <c r="B54" s="28">
        <f>+'QP-SUB'!J25</f>
        <v>314</v>
      </c>
      <c r="C54" s="6">
        <f>+'Monthly # of Customers'!M78</f>
        <v>26</v>
      </c>
      <c r="D54" s="6">
        <f>+'QP-SUB'!J15</f>
        <v>344605816</v>
      </c>
      <c r="E54" s="36">
        <f>+YEM!C52</f>
        <v>22834307.848230001</v>
      </c>
      <c r="G54" s="6">
        <f>'QP-SUB'!L25</f>
        <v>0</v>
      </c>
      <c r="H54" s="6">
        <v>0</v>
      </c>
      <c r="I54" s="6">
        <f>'QP-SUB'!L15</f>
        <v>0</v>
      </c>
      <c r="J54" s="8">
        <f>'QP-SUB'!L37</f>
        <v>0</v>
      </c>
      <c r="L54" s="28">
        <f>B54+G54</f>
        <v>314</v>
      </c>
      <c r="M54" s="6">
        <f>C54+H54</f>
        <v>26</v>
      </c>
      <c r="N54" s="6">
        <f>D54+I54</f>
        <v>344605816</v>
      </c>
      <c r="O54" s="36">
        <f>E54+J54</f>
        <v>22834307.848230001</v>
      </c>
    </row>
    <row r="55" spans="1:15" ht="6" customHeight="1">
      <c r="A55" s="9"/>
      <c r="B55" s="28"/>
      <c r="E55" s="34"/>
      <c r="J55" s="8"/>
      <c r="L55" s="28"/>
      <c r="O55" s="34"/>
    </row>
    <row r="56" spans="1:15">
      <c r="A56" s="9" t="s">
        <v>178</v>
      </c>
      <c r="B56" s="28">
        <f>+'QP-TRAN'!J25</f>
        <v>55</v>
      </c>
      <c r="C56" s="6">
        <f>+'Monthly # of Customers'!M80</f>
        <v>5</v>
      </c>
      <c r="D56" s="6">
        <f>+'QP-TRAN'!J15</f>
        <v>60749991</v>
      </c>
      <c r="E56" s="36">
        <f>+YEM!C54</f>
        <v>3616522.109322763</v>
      </c>
      <c r="G56" s="6">
        <f>+'QP-TRAN'!L25</f>
        <v>0</v>
      </c>
      <c r="H56" s="6">
        <v>0</v>
      </c>
      <c r="I56" s="6">
        <f>+'QP-TRAN'!L15</f>
        <v>0</v>
      </c>
      <c r="J56" s="8">
        <f>+'QP-TRAN'!L37</f>
        <v>0</v>
      </c>
      <c r="L56" s="28">
        <f>B56+G56</f>
        <v>55</v>
      </c>
      <c r="M56" s="6">
        <f>C56+H56</f>
        <v>5</v>
      </c>
      <c r="N56" s="6">
        <f>D56+I56</f>
        <v>60749991</v>
      </c>
      <c r="O56" s="36">
        <f>E56+J56</f>
        <v>3616522.109322763</v>
      </c>
    </row>
    <row r="57" spans="1:15" ht="6" customHeight="1">
      <c r="A57" s="9"/>
      <c r="B57" s="28"/>
      <c r="E57" s="35"/>
      <c r="J57" s="8"/>
      <c r="L57" s="28"/>
      <c r="O57" s="35"/>
    </row>
    <row r="58" spans="1:15">
      <c r="A58" s="9" t="s">
        <v>179</v>
      </c>
      <c r="B58" s="28">
        <f>+'CIPTOD-SUB'!J28</f>
        <v>107</v>
      </c>
      <c r="C58" s="6">
        <f>+'Monthly # of Customers'!M82</f>
        <v>9</v>
      </c>
      <c r="D58" s="6">
        <f>+'CIPTOD-SUB'!J16</f>
        <v>1744959841</v>
      </c>
      <c r="E58" s="36">
        <f>+YEM!C56</f>
        <v>98063673.186460003</v>
      </c>
      <c r="G58" s="6">
        <f>'CIPTOD-SUB'!L28</f>
        <v>0</v>
      </c>
      <c r="H58" s="6">
        <v>0</v>
      </c>
      <c r="I58" s="6">
        <f>'CIPTOD-SUB'!L16</f>
        <v>2760000</v>
      </c>
      <c r="J58" s="8">
        <f>'CIPTOD-SUB'!L40</f>
        <v>149455.89662387533</v>
      </c>
      <c r="L58" s="28">
        <f>B58+G58</f>
        <v>107</v>
      </c>
      <c r="M58" s="6">
        <f>C58+H58</f>
        <v>9</v>
      </c>
      <c r="N58" s="6">
        <f>D58+I58</f>
        <v>1747719841</v>
      </c>
      <c r="O58" s="36">
        <f>E58+J58</f>
        <v>98213129.083083883</v>
      </c>
    </row>
    <row r="59" spans="1:15" ht="6" customHeight="1">
      <c r="A59" s="9"/>
      <c r="B59" s="28"/>
      <c r="E59" s="36"/>
      <c r="J59" s="8"/>
      <c r="L59" s="28"/>
      <c r="O59" s="36"/>
    </row>
    <row r="60" spans="1:15">
      <c r="A60" s="9" t="s">
        <v>180</v>
      </c>
      <c r="B60" s="28">
        <f>+'CIPTOD-TRAN'!J27</f>
        <v>26</v>
      </c>
      <c r="C60" s="6">
        <f>+'Monthly # of Customers'!M84</f>
        <v>2</v>
      </c>
      <c r="D60" s="6">
        <f>+'CIPTOD-TRAN'!J15</f>
        <v>316710702</v>
      </c>
      <c r="E60" s="36">
        <f>+YEM!C58</f>
        <v>17507511.282599997</v>
      </c>
      <c r="G60" s="6">
        <f>'CIPTOD-TRAN'!L27</f>
        <v>0</v>
      </c>
      <c r="H60" s="6">
        <v>0</v>
      </c>
      <c r="I60" s="6">
        <f>'CIPTOD-TRAN'!L15</f>
        <v>0</v>
      </c>
      <c r="J60" s="8">
        <f>'CIPTOD-TRAN'!L39</f>
        <v>0</v>
      </c>
      <c r="L60" s="28">
        <f>B60+G60</f>
        <v>26</v>
      </c>
      <c r="M60" s="6">
        <f>C60+H60</f>
        <v>2</v>
      </c>
      <c r="N60" s="6">
        <f>D60+I60</f>
        <v>316710702</v>
      </c>
      <c r="O60" s="36">
        <f>E60+J60</f>
        <v>17507511.282599997</v>
      </c>
    </row>
    <row r="61" spans="1:15" ht="6" customHeight="1">
      <c r="A61" s="9"/>
      <c r="B61" s="28"/>
      <c r="E61" s="34"/>
      <c r="J61" s="8"/>
      <c r="L61" s="28"/>
      <c r="O61" s="34"/>
    </row>
    <row r="62" spans="1:15">
      <c r="A62" t="s">
        <v>45</v>
      </c>
      <c r="B62" s="28">
        <f>+'Annual Adj SL'!B38</f>
        <v>144903.09699999998</v>
      </c>
      <c r="C62" s="6">
        <f>+'Annual Adj SL'!D38</f>
        <v>11957.505000000001</v>
      </c>
      <c r="D62" s="6">
        <f>+SL!B31</f>
        <v>8537689</v>
      </c>
      <c r="E62" s="8">
        <f>+YEM!C60</f>
        <v>1428283.0345000001</v>
      </c>
      <c r="J62" s="8"/>
      <c r="L62" s="28">
        <f>B62+G62</f>
        <v>144903.09699999998</v>
      </c>
      <c r="M62" s="6">
        <f>C62+H62</f>
        <v>11957.505000000001</v>
      </c>
      <c r="N62" s="6">
        <f>D62+I62</f>
        <v>8537689</v>
      </c>
      <c r="O62" s="8">
        <f>E62+J62</f>
        <v>1428283.0345000001</v>
      </c>
    </row>
    <row r="63" spans="1:15" ht="6" customHeight="1">
      <c r="A63" s="9"/>
      <c r="B63" s="28"/>
      <c r="E63" s="34"/>
      <c r="J63" s="8"/>
      <c r="L63" s="28"/>
      <c r="O63" s="34"/>
    </row>
    <row r="64" spans="1:15">
      <c r="A64" s="16" t="s">
        <v>182</v>
      </c>
      <c r="B64" s="61">
        <f>+MW!J21</f>
        <v>132</v>
      </c>
      <c r="C64" s="17">
        <f>+'Monthly # of Customers'!M92</f>
        <v>11</v>
      </c>
      <c r="D64" s="17">
        <f>+MW!J15</f>
        <v>3864039</v>
      </c>
      <c r="E64" s="56">
        <f>+YEM!C62</f>
        <v>354484.31699999998</v>
      </c>
      <c r="F64" s="13"/>
      <c r="G64" s="13"/>
      <c r="H64" s="13"/>
      <c r="I64" s="13"/>
      <c r="J64" s="56"/>
      <c r="K64" s="13"/>
      <c r="L64" s="61">
        <f>B64+G64</f>
        <v>132</v>
      </c>
      <c r="M64" s="17">
        <f>C64+H64</f>
        <v>11</v>
      </c>
      <c r="N64" s="17">
        <f>D64+I64</f>
        <v>3864039</v>
      </c>
      <c r="O64" s="56">
        <f>E64+J64</f>
        <v>354484.31699999998</v>
      </c>
    </row>
    <row r="65" spans="1:15" ht="6" customHeight="1">
      <c r="B65" s="28"/>
      <c r="J65" s="8"/>
    </row>
    <row r="66" spans="1:15">
      <c r="A66" t="s">
        <v>18</v>
      </c>
      <c r="B66" s="28">
        <f>SUM(B12:B65)</f>
        <v>2961482.7270000004</v>
      </c>
      <c r="C66" s="28">
        <f>SUM(C12:C65)</f>
        <v>238280.39500000002</v>
      </c>
      <c r="D66" s="28">
        <f>SUM(D12:D65)</f>
        <v>6552652881</v>
      </c>
      <c r="E66" s="8">
        <f>SUM(E12:E65)</f>
        <v>553292078.41248679</v>
      </c>
      <c r="G66" s="28">
        <f>SUM(G12:G65)</f>
        <v>34</v>
      </c>
      <c r="H66" s="28">
        <f>SUM(H12:H65)</f>
        <v>4</v>
      </c>
      <c r="I66" s="28">
        <f>SUM(I12:I65)</f>
        <v>-34423584</v>
      </c>
      <c r="J66" s="8">
        <f>SUM(J12:J65)</f>
        <v>-3608710.5787550895</v>
      </c>
      <c r="L66" s="28">
        <f>SUM(L12:L65)</f>
        <v>2961516.7270000004</v>
      </c>
      <c r="M66" s="28">
        <f>SUM(M12:M65)</f>
        <v>238284.39500000002</v>
      </c>
      <c r="N66" s="28">
        <f>SUM(N12:N65)</f>
        <v>6518229297</v>
      </c>
      <c r="O66" s="8">
        <f>SUM(O12:O65)</f>
        <v>549683367.83373153</v>
      </c>
    </row>
    <row r="67" spans="1:15">
      <c r="B67" s="28"/>
    </row>
    <row r="68" spans="1:15">
      <c r="B68" s="28"/>
      <c r="C68" s="28"/>
    </row>
    <row r="69" spans="1:15">
      <c r="B69" s="6"/>
      <c r="I69" s="6"/>
    </row>
    <row r="70" spans="1:15">
      <c r="A70" s="1"/>
      <c r="B70" s="1"/>
      <c r="C70" s="1"/>
      <c r="D70" s="1"/>
      <c r="E70" s="1"/>
    </row>
    <row r="71" spans="1:15">
      <c r="A71" s="1"/>
      <c r="B71" s="1"/>
      <c r="C71" s="1"/>
      <c r="D71" s="1"/>
      <c r="E71" s="1"/>
    </row>
    <row r="72" spans="1:15">
      <c r="A72" s="1"/>
      <c r="B72" s="1"/>
      <c r="C72" s="21"/>
      <c r="D72" s="1"/>
      <c r="E72" s="1"/>
    </row>
    <row r="73" spans="1:15">
      <c r="A73" s="1"/>
      <c r="B73" s="1"/>
      <c r="C73" s="1"/>
      <c r="D73" s="1"/>
      <c r="E73" s="1"/>
    </row>
    <row r="74" spans="1:15">
      <c r="A74" s="3"/>
      <c r="B74" s="3"/>
      <c r="C74" s="3"/>
      <c r="D74" s="3"/>
      <c r="E74" s="3"/>
    </row>
    <row r="75" spans="1:15">
      <c r="A75" s="21"/>
      <c r="B75" s="21"/>
      <c r="C75" s="21"/>
      <c r="D75" s="21"/>
      <c r="E75" s="21"/>
    </row>
    <row r="77" spans="1:15">
      <c r="B77" s="6"/>
    </row>
  </sheetData>
  <mergeCells count="2">
    <mergeCell ref="G5:J5"/>
    <mergeCell ref="L5:O5"/>
  </mergeCells>
  <phoneticPr fontId="0" type="noConversion"/>
  <printOptions horizontalCentered="1"/>
  <pageMargins left="0.25" right="0.25" top="0.75" bottom="0.75" header="0.3" footer="0.3"/>
  <pageSetup scale="79" orientation="landscape" r:id="rId1"/>
  <headerFooter alignWithMargins="0">
    <oddHeader>&amp;RCase No.:  2014-00396
Exhibit No.: JMS-1
Page 1 of 3
Witness:  J. Stegall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A61" workbookViewId="0">
      <selection activeCell="D67" sqref="D67:D69"/>
    </sheetView>
  </sheetViews>
  <sheetFormatPr defaultRowHeight="12.75"/>
  <cols>
    <col min="1" max="1" width="19" customWidth="1"/>
    <col min="2" max="2" width="21.85546875" customWidth="1"/>
    <col min="3" max="3" width="16.85546875" customWidth="1"/>
    <col min="4" max="4" width="16" bestFit="1" customWidth="1"/>
    <col min="5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251</v>
      </c>
    </row>
    <row r="6" spans="1:5">
      <c r="A6" s="1"/>
      <c r="B6" s="1" t="s">
        <v>6</v>
      </c>
      <c r="C6" s="1" t="s">
        <v>6</v>
      </c>
      <c r="D6" s="1"/>
      <c r="E6" s="1"/>
    </row>
    <row r="7" spans="1:5">
      <c r="A7" s="1"/>
      <c r="B7" s="1" t="s">
        <v>248</v>
      </c>
      <c r="C7" s="1" t="s">
        <v>249</v>
      </c>
      <c r="D7" s="1"/>
      <c r="E7" s="1" t="s">
        <v>159</v>
      </c>
    </row>
    <row r="8" spans="1:5">
      <c r="A8" s="3" t="s">
        <v>2</v>
      </c>
      <c r="B8" s="3" t="s">
        <v>373</v>
      </c>
      <c r="C8" s="3" t="s">
        <v>246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+'PB - ES'!C10</f>
        <v>232147682.66451356</v>
      </c>
      <c r="C10" s="8">
        <f>RS!I39</f>
        <v>231456854.54451355</v>
      </c>
      <c r="D10" s="8">
        <f>+C10-B10</f>
        <v>-690828.12000000477</v>
      </c>
      <c r="E10" s="15">
        <f>+D10/B10</f>
        <v>-2.9758131206433351E-3</v>
      </c>
    </row>
    <row r="11" spans="1:5">
      <c r="B11" s="8"/>
      <c r="C11" s="8"/>
      <c r="D11" s="8"/>
    </row>
    <row r="12" spans="1:5">
      <c r="A12" t="s">
        <v>164</v>
      </c>
      <c r="B12" s="8">
        <f>+'PB - ES'!C12</f>
        <v>393973.15822999994</v>
      </c>
      <c r="C12" s="8">
        <f>RSLMTOD!H40</f>
        <v>393847.38822999992</v>
      </c>
      <c r="D12" s="8">
        <f>+C12-B12</f>
        <v>-125.77000000001863</v>
      </c>
      <c r="E12" s="15">
        <f>+D12/B12</f>
        <v>-3.1923494627163055E-4</v>
      </c>
    </row>
    <row r="13" spans="1:5">
      <c r="B13" s="8"/>
      <c r="C13" s="8"/>
      <c r="D13" s="8"/>
    </row>
    <row r="14" spans="1:5">
      <c r="A14" t="s">
        <v>270</v>
      </c>
      <c r="B14" s="8">
        <f>+'PB - ES'!C14</f>
        <v>4314.7373500000003</v>
      </c>
      <c r="C14" s="8">
        <f>RSTOD!H35</f>
        <v>4288.8773500000007</v>
      </c>
      <c r="D14" s="8">
        <f>+C14-B14</f>
        <v>-25.859999999999673</v>
      </c>
      <c r="E14" s="15">
        <f>+D14/B14</f>
        <v>-5.9934123220732475E-3</v>
      </c>
    </row>
    <row r="15" spans="1:5">
      <c r="B15" s="8"/>
      <c r="C15" s="8"/>
      <c r="D15" s="8"/>
    </row>
    <row r="16" spans="1:5">
      <c r="A16" t="s">
        <v>165</v>
      </c>
      <c r="B16" s="8">
        <f>+'PB - ES'!C16</f>
        <v>7973685.2185000014</v>
      </c>
      <c r="C16" s="8">
        <f>OL!H60</f>
        <v>7956803.1685000006</v>
      </c>
      <c r="D16" s="8">
        <f>+C16-B16</f>
        <v>-16882.050000000745</v>
      </c>
      <c r="E16" s="15">
        <f>+D16/B16</f>
        <v>-2.1172205244360739E-3</v>
      </c>
    </row>
    <row r="17" spans="1:5">
      <c r="B17" s="8"/>
      <c r="C17" s="8"/>
      <c r="D17" s="8"/>
    </row>
    <row r="18" spans="1:5">
      <c r="A18" t="s">
        <v>166</v>
      </c>
      <c r="B18" s="8">
        <f>+'PB - ES'!C18</f>
        <v>18516620.88758</v>
      </c>
      <c r="C18" s="8">
        <f>SGS!H32</f>
        <v>18425840.587580003</v>
      </c>
      <c r="D18" s="8">
        <f>+C18-B18</f>
        <v>-90780.29999999702</v>
      </c>
      <c r="E18" s="15">
        <f>+D18/B18</f>
        <v>-4.9026385835272889E-3</v>
      </c>
    </row>
    <row r="19" spans="1:5">
      <c r="B19" s="8"/>
      <c r="C19" s="8"/>
      <c r="D19" s="8"/>
    </row>
    <row r="20" spans="1:5">
      <c r="A20" t="s">
        <v>331</v>
      </c>
      <c r="B20" s="8">
        <f>+'PB - ES'!C20</f>
        <v>534.13296000000003</v>
      </c>
      <c r="C20" s="8">
        <f>SGSLMTOD!H33</f>
        <v>528.21295999999995</v>
      </c>
      <c r="D20" s="8">
        <f>+C20-B20</f>
        <v>-5.9200000000000728</v>
      </c>
      <c r="E20" s="15">
        <f>+D20/B20</f>
        <v>-1.1083382684341503E-2</v>
      </c>
    </row>
    <row r="21" spans="1:5">
      <c r="B21" s="8"/>
      <c r="C21" s="8"/>
      <c r="D21" s="8"/>
    </row>
    <row r="22" spans="1:5">
      <c r="A22" t="s">
        <v>167</v>
      </c>
      <c r="B22" s="8">
        <f>+'PB - ES'!C22</f>
        <v>634347.95420000004</v>
      </c>
      <c r="C22" s="8">
        <f>'SGS-NM'!H32</f>
        <v>629847.5242000001</v>
      </c>
      <c r="D22" s="8">
        <f>+C22-B22</f>
        <v>-4500.4299999999348</v>
      </c>
      <c r="E22" s="15">
        <f>+D22/B22</f>
        <v>-7.0945763601864146E-3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+'PB - ES'!C24</f>
        <v>54500.301209999991</v>
      </c>
      <c r="C24" s="8">
        <f>+'SGS TOD2'!H33</f>
        <v>54075.931209999988</v>
      </c>
      <c r="D24" s="8">
        <f>+C24-B24</f>
        <v>-424.37000000000262</v>
      </c>
      <c r="E24" s="15">
        <f>+D24/B24</f>
        <v>-7.7865624698994704E-3</v>
      </c>
    </row>
    <row r="25" spans="1:5">
      <c r="B25" s="8"/>
      <c r="C25" s="8"/>
      <c r="D25" s="8"/>
    </row>
    <row r="26" spans="1:5">
      <c r="A26" t="s">
        <v>168</v>
      </c>
      <c r="B26" s="8">
        <f>+'PB - ES'!C26</f>
        <v>175036.72623999999</v>
      </c>
      <c r="C26" s="8">
        <f>'MGS-RL'!H32</f>
        <v>173116.65624000001</v>
      </c>
      <c r="D26" s="8">
        <f>+C26-B26</f>
        <v>-1920.0699999999779</v>
      </c>
      <c r="E26" s="15">
        <f>+D26/B26</f>
        <v>-1.0969526460220078E-2</v>
      </c>
    </row>
    <row r="27" spans="1:5">
      <c r="B27" s="8"/>
      <c r="C27" s="8"/>
      <c r="D27" s="8"/>
    </row>
    <row r="28" spans="1:5">
      <c r="A28" t="s">
        <v>169</v>
      </c>
      <c r="B28" s="8">
        <f>+'PB - ES'!C28</f>
        <v>56397272.462719999</v>
      </c>
      <c r="C28" s="8">
        <f>'MGS-SEC'!H37</f>
        <v>55932535.702720001</v>
      </c>
      <c r="D28" s="8">
        <f>+C28-B28</f>
        <v>-464736.75999999791</v>
      </c>
      <c r="E28" s="15">
        <f>+D28/B28</f>
        <v>-8.2404119863633569E-3</v>
      </c>
    </row>
    <row r="29" spans="1:5">
      <c r="B29" s="8"/>
      <c r="C29" s="8"/>
      <c r="D29" s="8"/>
    </row>
    <row r="30" spans="1:5">
      <c r="A30" t="s">
        <v>170</v>
      </c>
      <c r="B30" s="8">
        <f>+'PB - ES'!C30</f>
        <v>106893.25608999998</v>
      </c>
      <c r="C30" s="8">
        <f>MGSLMTOD!H33</f>
        <v>107154.24609</v>
      </c>
      <c r="D30" s="8">
        <f>+C30-B30</f>
        <v>260.99000000001979</v>
      </c>
      <c r="E30" s="15">
        <f>+D30/B30</f>
        <v>2.4415946295084914E-3</v>
      </c>
    </row>
    <row r="31" spans="1:5">
      <c r="B31" s="8"/>
      <c r="C31" s="8"/>
      <c r="D31" s="8"/>
    </row>
    <row r="32" spans="1:5">
      <c r="A32" t="s">
        <v>171</v>
      </c>
      <c r="B32" s="8">
        <f>+'PB - ES'!C32</f>
        <v>380025.91401999997</v>
      </c>
      <c r="C32" s="8">
        <f>MGSTOD!H33</f>
        <v>377221.90401999996</v>
      </c>
      <c r="D32" s="8">
        <f>+C32-B32</f>
        <v>-2804.0100000000093</v>
      </c>
      <c r="E32" s="15">
        <f>+D32/B32</f>
        <v>-7.3784705109674184E-3</v>
      </c>
    </row>
    <row r="33" spans="1:5">
      <c r="B33" s="8"/>
      <c r="C33" s="8"/>
      <c r="D33" s="8"/>
    </row>
    <row r="34" spans="1:5">
      <c r="A34" t="s">
        <v>172</v>
      </c>
      <c r="B34" s="8">
        <f>+'PB - ES'!C34</f>
        <v>835522.82571999985</v>
      </c>
      <c r="C34" s="8">
        <f>'MGS-PRI'!H38</f>
        <v>828130.54571999982</v>
      </c>
      <c r="D34" s="8">
        <f>+C34-B34</f>
        <v>-7392.2800000000279</v>
      </c>
      <c r="E34" s="15">
        <f>+D34/B34</f>
        <v>-8.8474901851183264E-3</v>
      </c>
    </row>
    <row r="35" spans="1:5">
      <c r="B35" s="8"/>
      <c r="C35" s="8"/>
      <c r="D35" s="8"/>
    </row>
    <row r="36" spans="1:5">
      <c r="A36" t="s">
        <v>173</v>
      </c>
      <c r="B36" s="8">
        <f>+'PB - ES'!C36</f>
        <v>173727.60650000002</v>
      </c>
      <c r="C36" s="8">
        <f>'MGS-SUB'!H37</f>
        <v>172405.30650000001</v>
      </c>
      <c r="D36" s="8">
        <f>+C36-B36</f>
        <v>-1322.3000000000175</v>
      </c>
      <c r="E36" s="15">
        <f>+D36/B36</f>
        <v>-7.6113406881019646E-3</v>
      </c>
    </row>
    <row r="37" spans="1:5">
      <c r="B37" s="8"/>
      <c r="C37" s="8"/>
      <c r="D37" s="8"/>
    </row>
    <row r="38" spans="1:5">
      <c r="A38" t="s">
        <v>174</v>
      </c>
      <c r="B38" s="8">
        <f>+'PB - ES'!C38</f>
        <v>55680138.979750007</v>
      </c>
      <c r="C38" s="8">
        <f>'LGS-SEC'!H34</f>
        <v>55078752.179750003</v>
      </c>
      <c r="D38" s="8">
        <f>+C38-B38</f>
        <v>-601386.80000000447</v>
      </c>
      <c r="E38" s="15">
        <f>+D38/B38</f>
        <v>-1.0800741719030541E-2</v>
      </c>
    </row>
    <row r="39" spans="1:5">
      <c r="B39" s="8"/>
      <c r="C39" s="8"/>
      <c r="D39" s="8"/>
    </row>
    <row r="40" spans="1:5">
      <c r="A40" t="s">
        <v>175</v>
      </c>
      <c r="B40" s="8">
        <f>+'PB - ES'!C40</f>
        <v>194869.07399</v>
      </c>
      <c r="C40" s="8">
        <f>LGSLMTOD!H33</f>
        <v>193120.69399</v>
      </c>
      <c r="D40" s="8">
        <f>+C40-B40</f>
        <v>-1748.3800000000047</v>
      </c>
      <c r="E40" s="15">
        <f>+D40/B40</f>
        <v>-8.9720752718808802E-3</v>
      </c>
    </row>
    <row r="41" spans="1:5">
      <c r="B41" s="8"/>
      <c r="C41" s="8"/>
      <c r="D41" s="8"/>
    </row>
    <row r="42" spans="1:5">
      <c r="A42" t="s">
        <v>183</v>
      </c>
      <c r="B42" s="8">
        <f>+'PB - ES'!C42</f>
        <v>8518689.7805200014</v>
      </c>
      <c r="C42" s="8">
        <f>'LGS-PRI'!H34</f>
        <v>8439084.9305199999</v>
      </c>
      <c r="D42" s="8">
        <f>+C42-B42</f>
        <v>-79604.85000000149</v>
      </c>
      <c r="E42" s="15">
        <f>+D42/B42</f>
        <v>-9.3447293012168149E-3</v>
      </c>
    </row>
    <row r="43" spans="1:5">
      <c r="B43" s="8"/>
      <c r="C43" s="8"/>
      <c r="D43" s="8"/>
    </row>
    <row r="44" spans="1:5">
      <c r="A44" t="s">
        <v>176</v>
      </c>
      <c r="B44" s="8">
        <f>+'PB - ES'!C44</f>
        <v>2345440.01572</v>
      </c>
      <c r="C44" s="8">
        <f>'LGS-SUB'!H34</f>
        <v>2311880.7957199998</v>
      </c>
      <c r="D44" s="8">
        <f>+C44-B44</f>
        <v>-33559.220000000205</v>
      </c>
      <c r="E44" s="15">
        <f>+D44/B44</f>
        <v>-1.430828321128402E-2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+'PB - ES'!C46</f>
        <v>162115.92875999995</v>
      </c>
      <c r="C46" s="8">
        <f>'LGS-TRAN'!H34</f>
        <v>164872.98875999995</v>
      </c>
      <c r="D46" s="8">
        <f>+C46-B46</f>
        <v>2757.0599999999977</v>
      </c>
      <c r="E46" s="15">
        <f>+D46/B46</f>
        <v>1.7006718717206444E-2</v>
      </c>
    </row>
    <row r="47" spans="1:5">
      <c r="B47" s="8"/>
      <c r="C47" s="8"/>
      <c r="D47" s="8"/>
    </row>
    <row r="48" spans="1:5">
      <c r="A48" t="s">
        <v>269</v>
      </c>
      <c r="B48" s="8">
        <f>+'PB - ES'!C48</f>
        <v>1880835.9554999999</v>
      </c>
      <c r="C48" s="8">
        <f>'QP-SEC'!H37</f>
        <v>1852936.2254999999</v>
      </c>
      <c r="D48" s="8">
        <f>+C48-B48</f>
        <v>-27899.729999999981</v>
      </c>
      <c r="E48" s="15">
        <f>+D48/B48</f>
        <v>-1.483368600989082E-2</v>
      </c>
    </row>
    <row r="49" spans="1:5">
      <c r="B49" s="8"/>
      <c r="C49" s="8"/>
      <c r="D49" s="8"/>
    </row>
    <row r="50" spans="1:5">
      <c r="A50" t="s">
        <v>184</v>
      </c>
      <c r="B50" s="8">
        <f>+'PB - ES'!C50</f>
        <v>24920074.014679998</v>
      </c>
      <c r="C50" s="8">
        <f>'QP-PRI'!H39</f>
        <v>24503007.61468</v>
      </c>
      <c r="D50" s="8">
        <f>+C50-B50</f>
        <v>-417066.39999999851</v>
      </c>
      <c r="E50" s="15">
        <f>+D50/B50</f>
        <v>-1.6736162170076688E-2</v>
      </c>
    </row>
    <row r="51" spans="1:5">
      <c r="B51" s="8"/>
      <c r="C51" s="8"/>
      <c r="D51" s="8"/>
    </row>
    <row r="52" spans="1:5">
      <c r="A52" t="s">
        <v>177</v>
      </c>
      <c r="B52" s="8">
        <f>+'PB - ES'!C52</f>
        <v>22596236.721729994</v>
      </c>
      <c r="C52" s="8">
        <f>'QP-SUB'!H37</f>
        <v>22234696.971729994</v>
      </c>
      <c r="D52" s="8">
        <f>+C52-B52</f>
        <v>-361539.75</v>
      </c>
      <c r="E52" s="15">
        <f>+D52/B52</f>
        <v>-1.5999998338321539E-2</v>
      </c>
    </row>
    <row r="53" spans="1:5">
      <c r="B53" s="8"/>
      <c r="C53" s="8"/>
      <c r="D53" s="8"/>
    </row>
    <row r="54" spans="1:5">
      <c r="A54" t="s">
        <v>178</v>
      </c>
      <c r="B54" s="8">
        <f>+'PB - ES'!C54</f>
        <v>2508295.8214400001</v>
      </c>
      <c r="C54" s="8">
        <f>'QP-TRAN'!H37</f>
        <v>2410776.5414399998</v>
      </c>
      <c r="D54" s="8">
        <f>+C54-B54</f>
        <v>-97519.280000000261</v>
      </c>
      <c r="E54" s="15">
        <f>+D54/B54</f>
        <v>-3.887869969978857E-2</v>
      </c>
    </row>
    <row r="55" spans="1:5">
      <c r="B55" s="8"/>
      <c r="C55" s="8"/>
      <c r="D55" s="8"/>
      <c r="E55" s="15"/>
    </row>
    <row r="56" spans="1:5">
      <c r="A56" t="s">
        <v>179</v>
      </c>
      <c r="B56" s="8">
        <f>+'PB - ES'!C56</f>
        <v>101169943.70446</v>
      </c>
      <c r="C56" s="8">
        <f>'CIPTOD-SUB'!H40</f>
        <v>99122704.71446</v>
      </c>
      <c r="D56" s="8">
        <f>+C56-B56</f>
        <v>-2047238.9899999946</v>
      </c>
      <c r="E56" s="15">
        <f>+D56/B56</f>
        <v>-2.0235644253993431E-2</v>
      </c>
    </row>
    <row r="57" spans="1:5">
      <c r="B57" s="8"/>
      <c r="C57" s="8"/>
      <c r="D57" s="8"/>
    </row>
    <row r="58" spans="1:5">
      <c r="A58" t="s">
        <v>180</v>
      </c>
      <c r="B58" s="8">
        <f>+'PB - ES'!C58</f>
        <v>18943564.274799995</v>
      </c>
      <c r="C58" s="8">
        <f>'CIPTOD-TRAN'!H39</f>
        <v>18593466.054799996</v>
      </c>
      <c r="D58" s="8">
        <f>+C58-B58</f>
        <v>-350098.21999999881</v>
      </c>
      <c r="E58" s="15">
        <f>+D58/B58</f>
        <v>-1.8481116590383311E-2</v>
      </c>
    </row>
    <row r="59" spans="1:5">
      <c r="B59" s="8"/>
      <c r="C59" s="8"/>
      <c r="D59" s="8"/>
    </row>
    <row r="60" spans="1:5">
      <c r="A60" t="s">
        <v>181</v>
      </c>
      <c r="B60" s="8">
        <f>+'PB - ES'!C60</f>
        <v>1432731.7545</v>
      </c>
      <c r="C60" s="8">
        <f>SL!H43</f>
        <v>1428283.0345000001</v>
      </c>
      <c r="D60" s="8">
        <f>+C60-B60</f>
        <v>-4448.7199999999721</v>
      </c>
      <c r="E60" s="15">
        <f>+D60/B60</f>
        <v>-3.105061352920528E-3</v>
      </c>
    </row>
    <row r="61" spans="1:5">
      <c r="B61" s="8"/>
      <c r="C61" s="8"/>
      <c r="D61" s="8"/>
    </row>
    <row r="62" spans="1:5">
      <c r="A62" t="s">
        <v>182</v>
      </c>
      <c r="B62" s="8">
        <f>+'PB - ES'!C62</f>
        <v>358545.28700000001</v>
      </c>
      <c r="C62" s="8">
        <f>MW!H33</f>
        <v>354484.31699999998</v>
      </c>
      <c r="D62" s="8">
        <f>+C62-B62</f>
        <v>-4060.9700000000303</v>
      </c>
      <c r="E62" s="15">
        <f>+D62/B62</f>
        <v>-1.132624007968073E-2</v>
      </c>
    </row>
    <row r="63" spans="1:5">
      <c r="B63" s="8"/>
      <c r="C63" s="8"/>
    </row>
    <row r="64" spans="1:5">
      <c r="A64" t="s">
        <v>18</v>
      </c>
      <c r="B64" s="8">
        <f>SUM(B10:B62)</f>
        <v>558505619.15868354</v>
      </c>
      <c r="C64" s="8">
        <f>SUM(C10:C62)</f>
        <v>553200717.65868354</v>
      </c>
      <c r="D64" s="8">
        <f>SUM(D10:D62)</f>
        <v>-5304901.4999999981</v>
      </c>
      <c r="E64" s="15">
        <f>+D64/B64</f>
        <v>-9.498385187227204E-3</v>
      </c>
    </row>
    <row r="66" spans="1:4">
      <c r="A66" t="s">
        <v>419</v>
      </c>
      <c r="C66" s="88"/>
      <c r="D66" s="8"/>
    </row>
    <row r="67" spans="1:4">
      <c r="A67" s="9" t="s">
        <v>352</v>
      </c>
      <c r="B67" s="8"/>
      <c r="C67" s="8"/>
      <c r="D67" s="8">
        <f>(RS!$I$10+0.00286)*'12 Months TS'!E105</f>
        <v>4970.5561600528254</v>
      </c>
    </row>
    <row r="68" spans="1:4">
      <c r="D68" s="8"/>
    </row>
    <row r="69" spans="1:4">
      <c r="A69" s="9" t="s">
        <v>353</v>
      </c>
      <c r="B69" s="8"/>
      <c r="C69" s="8"/>
      <c r="D69" s="8">
        <f>(RS!$I$10+0.00286)*'12 Months TS'!E107</f>
        <v>1158.7477606158445</v>
      </c>
    </row>
    <row r="71" spans="1:4" ht="13.5" thickBot="1">
      <c r="A71" s="9" t="s">
        <v>418</v>
      </c>
      <c r="B71" s="8"/>
      <c r="C71" s="8"/>
      <c r="D71" s="110">
        <f>+D64+D67+D69</f>
        <v>-5298772.1960793287</v>
      </c>
    </row>
    <row r="72" spans="1:4" ht="13.5" thickTop="1"/>
    <row r="73" spans="1:4">
      <c r="B73" s="8"/>
    </row>
  </sheetData>
  <phoneticPr fontId="0" type="noConversion"/>
  <printOptions horizontalCentered="1"/>
  <pageMargins left="0.25" right="0.25" top="0.75" bottom="0.75" header="0.3" footer="0.3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opLeftCell="A58" workbookViewId="0">
      <selection activeCell="D73" sqref="D73"/>
    </sheetView>
  </sheetViews>
  <sheetFormatPr defaultRowHeight="12.75"/>
  <cols>
    <col min="1" max="1" width="19.7109375" customWidth="1"/>
    <col min="2" max="2" width="15.28515625" customWidth="1"/>
    <col min="3" max="3" width="14.5703125" customWidth="1"/>
    <col min="4" max="4" width="14" bestFit="1" customWidth="1"/>
    <col min="5" max="5" width="13.5703125" customWidth="1"/>
    <col min="11" max="11" width="12.7109375" bestFit="1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250</v>
      </c>
    </row>
    <row r="6" spans="1:5">
      <c r="A6" s="1"/>
      <c r="B6" s="1" t="s">
        <v>6</v>
      </c>
      <c r="C6" s="1" t="s">
        <v>197</v>
      </c>
    </row>
    <row r="7" spans="1:5">
      <c r="A7" s="1"/>
      <c r="B7" s="1" t="s">
        <v>249</v>
      </c>
      <c r="C7" s="1" t="s">
        <v>202</v>
      </c>
      <c r="D7" s="1"/>
      <c r="E7" s="1" t="s">
        <v>159</v>
      </c>
    </row>
    <row r="8" spans="1:5">
      <c r="A8" s="3" t="s">
        <v>2</v>
      </c>
      <c r="B8" s="3" t="s">
        <v>246</v>
      </c>
      <c r="C8" s="3" t="s">
        <v>6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'PB - AF'!C10</f>
        <v>231456854.54451355</v>
      </c>
      <c r="C10" s="36">
        <f>RS!L39</f>
        <v>231803909.82851359</v>
      </c>
      <c r="D10" s="8">
        <f>+C10-B10</f>
        <v>347055.2840000391</v>
      </c>
      <c r="E10" s="15">
        <f>+D10/B10</f>
        <v>1.4994383496786602E-3</v>
      </c>
    </row>
    <row r="11" spans="1:5" ht="13.5" customHeight="1">
      <c r="B11" s="8"/>
      <c r="C11" s="8"/>
      <c r="D11" s="8"/>
    </row>
    <row r="12" spans="1:5" ht="13.5" customHeight="1">
      <c r="A12" t="s">
        <v>164</v>
      </c>
      <c r="B12" s="8">
        <f>'PB - AF'!C12</f>
        <v>393847.38822999992</v>
      </c>
      <c r="C12" s="8">
        <f>RSLMTOD!K40</f>
        <v>396224.79485000001</v>
      </c>
      <c r="D12" s="8">
        <f>+C12-B12</f>
        <v>2377.4066200000816</v>
      </c>
      <c r="E12" s="15">
        <f>+D12/B12</f>
        <v>6.0363650770529371E-3</v>
      </c>
    </row>
    <row r="13" spans="1:5" ht="13.5" customHeight="1">
      <c r="B13" s="8"/>
      <c r="C13" s="8"/>
      <c r="D13" s="8"/>
    </row>
    <row r="14" spans="1:5" ht="13.5" customHeight="1">
      <c r="A14" t="s">
        <v>270</v>
      </c>
      <c r="B14" s="8">
        <f>'PB - AF'!C14</f>
        <v>4288.8773500000007</v>
      </c>
      <c r="C14" s="8">
        <f>RSTOD!K35</f>
        <v>4288.8773500000007</v>
      </c>
      <c r="D14" s="8">
        <f>+C14-B14</f>
        <v>0</v>
      </c>
      <c r="E14" s="15">
        <f>+D14/B14</f>
        <v>0</v>
      </c>
    </row>
    <row r="15" spans="1:5" ht="13.5" customHeight="1">
      <c r="B15" s="8"/>
      <c r="C15" s="8"/>
      <c r="D15" s="8"/>
    </row>
    <row r="16" spans="1:5">
      <c r="A16" t="s">
        <v>44</v>
      </c>
      <c r="B16" s="8">
        <f>'PB - AF'!C16</f>
        <v>7956803.1685000006</v>
      </c>
      <c r="C16" s="8">
        <f>OL!K60</f>
        <v>7956803.1685000006</v>
      </c>
      <c r="D16" s="8">
        <f>+C16-B16</f>
        <v>0</v>
      </c>
      <c r="E16" s="15">
        <f>+D16/B16</f>
        <v>0</v>
      </c>
    </row>
    <row r="17" spans="1:5" ht="13.5" customHeight="1">
      <c r="B17" s="8"/>
      <c r="C17" s="8"/>
      <c r="D17" s="8"/>
    </row>
    <row r="18" spans="1:5">
      <c r="A18" t="s">
        <v>166</v>
      </c>
      <c r="B18" s="8">
        <f>'PB - AF'!C18</f>
        <v>18425840.587580003</v>
      </c>
      <c r="C18" s="8">
        <f>SGS!K32</f>
        <v>18239353.204099998</v>
      </c>
      <c r="D18" s="8">
        <f>+C18-B18</f>
        <v>-186487.38348000497</v>
      </c>
      <c r="E18" s="15">
        <f>+D18/B18</f>
        <v>-1.0120970199085918E-2</v>
      </c>
    </row>
    <row r="19" spans="1:5">
      <c r="B19" s="8"/>
      <c r="C19" s="8"/>
      <c r="D19" s="8"/>
    </row>
    <row r="20" spans="1:5">
      <c r="A20" t="s">
        <v>331</v>
      </c>
      <c r="B20" s="8">
        <f>'PB - AF'!C20</f>
        <v>528.21295999999995</v>
      </c>
      <c r="C20" s="8">
        <f>SGSLMTOD!K33</f>
        <v>528.21295999999995</v>
      </c>
      <c r="D20" s="8">
        <f>+C20-B20</f>
        <v>0</v>
      </c>
      <c r="E20" s="15">
        <f>+D20/B20</f>
        <v>0</v>
      </c>
    </row>
    <row r="21" spans="1:5">
      <c r="B21" s="8"/>
      <c r="C21" s="8"/>
      <c r="D21" s="8"/>
    </row>
    <row r="22" spans="1:5">
      <c r="A22" t="s">
        <v>167</v>
      </c>
      <c r="B22" s="8">
        <f>'PB - AF'!C22</f>
        <v>629847.5242000001</v>
      </c>
      <c r="C22" s="8">
        <f>'SGS-NM'!K32</f>
        <v>629847.5242000001</v>
      </c>
      <c r="D22" s="8">
        <f>+C22-B22</f>
        <v>0</v>
      </c>
      <c r="E22" s="15">
        <f>+D22/B22</f>
        <v>0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'PB - AF'!C24</f>
        <v>54075.931209999988</v>
      </c>
      <c r="C24" s="8">
        <f>+'SGS TOD2'!K33</f>
        <v>54075.931209999988</v>
      </c>
      <c r="D24" s="8">
        <f>+C24-B24</f>
        <v>0</v>
      </c>
      <c r="E24" s="15">
        <f>+D24/B24</f>
        <v>0</v>
      </c>
    </row>
    <row r="25" spans="1:5">
      <c r="B25" s="8"/>
      <c r="C25" s="8"/>
      <c r="D25" s="8"/>
    </row>
    <row r="26" spans="1:5">
      <c r="A26" t="s">
        <v>168</v>
      </c>
      <c r="B26" s="8">
        <f>'PB - AF'!C26</f>
        <v>173116.65624000001</v>
      </c>
      <c r="C26" s="8">
        <f>'MGS-RL'!K32</f>
        <v>164224.68596</v>
      </c>
      <c r="D26" s="8">
        <f>+C26-B26</f>
        <v>-8891.9702800000086</v>
      </c>
      <c r="E26" s="15">
        <f>+D26/B26</f>
        <v>-5.1364036674048506E-2</v>
      </c>
    </row>
    <row r="27" spans="1:5">
      <c r="B27" s="8"/>
      <c r="C27" s="8"/>
      <c r="D27" s="8"/>
    </row>
    <row r="28" spans="1:5">
      <c r="A28" t="s">
        <v>169</v>
      </c>
      <c r="B28" s="8">
        <f>'PB - AF'!C28</f>
        <v>55932535.702720001</v>
      </c>
      <c r="C28" s="8">
        <f>'MGS-SEC'!K37</f>
        <v>55909224.137270257</v>
      </c>
      <c r="D28" s="8">
        <f>+C28-B28</f>
        <v>-23311.565449744463</v>
      </c>
      <c r="E28" s="15">
        <f>+D28/B28</f>
        <v>-4.1678005756157449E-4</v>
      </c>
    </row>
    <row r="29" spans="1:5">
      <c r="B29" s="8"/>
      <c r="C29" s="8"/>
      <c r="D29" s="8"/>
    </row>
    <row r="30" spans="1:5">
      <c r="A30" t="s">
        <v>170</v>
      </c>
      <c r="B30" s="8">
        <f>'PB - AF'!C30</f>
        <v>107154.24609</v>
      </c>
      <c r="C30" s="8">
        <f>MGSLMTOD!K33</f>
        <v>107154.24609</v>
      </c>
      <c r="D30" s="8">
        <f>+C30-B30</f>
        <v>0</v>
      </c>
      <c r="E30" s="15">
        <f>+D30/B30</f>
        <v>0</v>
      </c>
    </row>
    <row r="31" spans="1:5">
      <c r="B31" s="8"/>
      <c r="C31" s="8"/>
      <c r="D31" s="8"/>
    </row>
    <row r="32" spans="1:5">
      <c r="A32" t="s">
        <v>171</v>
      </c>
      <c r="B32" s="8">
        <f>'PB - AF'!C32</f>
        <v>377221.90401999996</v>
      </c>
      <c r="C32" s="8">
        <f>MGSTOD!K33</f>
        <v>378348.02895999997</v>
      </c>
      <c r="D32" s="8">
        <f>+C32-B32</f>
        <v>1126.1249400000088</v>
      </c>
      <c r="E32" s="15">
        <f>+D32/B32</f>
        <v>2.9853116375243753E-3</v>
      </c>
    </row>
    <row r="33" spans="1:5">
      <c r="B33" s="8"/>
      <c r="C33" s="8"/>
      <c r="D33" s="8"/>
    </row>
    <row r="34" spans="1:5">
      <c r="A34" t="s">
        <v>172</v>
      </c>
      <c r="B34" s="8">
        <f>'PB - AF'!C34</f>
        <v>828130.54571999982</v>
      </c>
      <c r="C34" s="8">
        <f>'MGS-PRI'!K38</f>
        <v>1035270.29504</v>
      </c>
      <c r="D34" s="8">
        <f>+C34-B34</f>
        <v>207139.74932000018</v>
      </c>
      <c r="E34" s="15">
        <f>+D34/B34</f>
        <v>0.25012934300099643</v>
      </c>
    </row>
    <row r="35" spans="1:5">
      <c r="B35" s="8"/>
      <c r="C35" s="8"/>
      <c r="D35" s="8"/>
    </row>
    <row r="36" spans="1:5">
      <c r="A36" t="s">
        <v>173</v>
      </c>
      <c r="B36" s="8">
        <f>'PB - AF'!C36</f>
        <v>172405.30650000001</v>
      </c>
      <c r="C36" s="8">
        <f>'MGS-SUB'!K37</f>
        <v>122263.58750000001</v>
      </c>
      <c r="D36" s="8">
        <f>+C36-B36</f>
        <v>-50141.718999999997</v>
      </c>
      <c r="E36" s="15">
        <f>+D36/B36</f>
        <v>-0.29083628583091203</v>
      </c>
    </row>
    <row r="37" spans="1:5">
      <c r="B37" s="8"/>
      <c r="C37" s="8"/>
      <c r="D37" s="8"/>
    </row>
    <row r="38" spans="1:5">
      <c r="A38" t="s">
        <v>174</v>
      </c>
      <c r="B38" s="8">
        <f>'PB - AF'!C38</f>
        <v>55078752.179750003</v>
      </c>
      <c r="C38" s="8">
        <f>'LGS-SEC'!K34</f>
        <v>55324874.500799999</v>
      </c>
      <c r="D38" s="8">
        <f>+C38-B38</f>
        <v>246122.32104999572</v>
      </c>
      <c r="E38" s="15">
        <f>+D38/B38</f>
        <v>4.4685529593476141E-3</v>
      </c>
    </row>
    <row r="39" spans="1:5">
      <c r="B39" s="8"/>
      <c r="C39" s="8"/>
      <c r="D39" s="8"/>
    </row>
    <row r="40" spans="1:5">
      <c r="A40" t="s">
        <v>175</v>
      </c>
      <c r="B40" s="8">
        <f>'PB - AF'!C40</f>
        <v>193120.69399</v>
      </c>
      <c r="C40" s="8">
        <f>LGSLMTOD!K33</f>
        <v>193120.69399</v>
      </c>
      <c r="D40" s="8">
        <f>+C40-B40</f>
        <v>0</v>
      </c>
      <c r="E40" s="15">
        <f>+D40/B40</f>
        <v>0</v>
      </c>
    </row>
    <row r="41" spans="1:5">
      <c r="B41" s="8"/>
      <c r="C41" s="8"/>
      <c r="D41" s="8"/>
    </row>
    <row r="42" spans="1:5">
      <c r="A42" t="s">
        <v>183</v>
      </c>
      <c r="B42" s="8">
        <f>'PB - AF'!C42</f>
        <v>8439084.9305199999</v>
      </c>
      <c r="C42" s="8">
        <f>'LGS-PRI'!K34</f>
        <v>8186301.2365200007</v>
      </c>
      <c r="D42" s="8">
        <f>+C42-B42</f>
        <v>-252783.6939999992</v>
      </c>
      <c r="E42" s="15">
        <f>+D42/B42</f>
        <v>-2.9953922265411204E-2</v>
      </c>
    </row>
    <row r="43" spans="1:5">
      <c r="B43" s="8"/>
      <c r="C43" s="8"/>
      <c r="D43" s="8"/>
    </row>
    <row r="44" spans="1:5">
      <c r="A44" t="s">
        <v>176</v>
      </c>
      <c r="B44" s="8">
        <f>'PB - AF'!C44</f>
        <v>2311880.7957199998</v>
      </c>
      <c r="C44" s="8">
        <f>'LGS-SUB'!K34</f>
        <v>2646442.3807199998</v>
      </c>
      <c r="D44" s="8">
        <f>+C44-B44</f>
        <v>334561.58499999996</v>
      </c>
      <c r="E44" s="15">
        <f>+D44/B44</f>
        <v>0.14471402920919454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'PB - AF'!C46</f>
        <v>164872.98875999995</v>
      </c>
      <c r="C46" s="8">
        <f>'LGS-TRAN'!K34</f>
        <v>67112.57796000001</v>
      </c>
      <c r="D46" s="8">
        <f>+C46-B46</f>
        <v>-97760.41079999994</v>
      </c>
      <c r="E46" s="15">
        <f>+D46/B46</f>
        <v>-0.59294376559344397</v>
      </c>
    </row>
    <row r="47" spans="1:5">
      <c r="B47" s="8"/>
      <c r="C47" s="8"/>
      <c r="D47" s="8"/>
    </row>
    <row r="48" spans="1:5">
      <c r="A48" t="s">
        <v>269</v>
      </c>
      <c r="B48" s="8">
        <f>'PB - AF'!C48</f>
        <v>1852936.2254999999</v>
      </c>
      <c r="C48" s="8">
        <f>'QP-SEC'!K37</f>
        <v>1972823.2841999999</v>
      </c>
      <c r="D48" s="8">
        <f>+C48-B48</f>
        <v>119887.05869999994</v>
      </c>
      <c r="E48" s="15">
        <f>+D48/B48</f>
        <v>6.4701125192611189E-2</v>
      </c>
    </row>
    <row r="49" spans="1:9">
      <c r="B49" s="8"/>
      <c r="C49" s="8"/>
      <c r="D49" s="8"/>
    </row>
    <row r="50" spans="1:9">
      <c r="A50" t="s">
        <v>184</v>
      </c>
      <c r="B50" s="8">
        <f>'PB - AF'!C50</f>
        <v>24503007.61468</v>
      </c>
      <c r="C50" s="8">
        <f>'QP-PRI'!K39</f>
        <v>24295105.437680002</v>
      </c>
      <c r="D50" s="8">
        <f>+C50-B50</f>
        <v>-207902.17699999735</v>
      </c>
      <c r="E50" s="15">
        <f>+D50/B50</f>
        <v>-8.4847615553709024E-3</v>
      </c>
    </row>
    <row r="51" spans="1:9">
      <c r="B51" s="8"/>
      <c r="C51" s="8"/>
      <c r="D51" s="8"/>
    </row>
    <row r="52" spans="1:9">
      <c r="A52" t="s">
        <v>177</v>
      </c>
      <c r="B52" s="8">
        <f>'PB - AF'!C52</f>
        <v>22234696.971729994</v>
      </c>
      <c r="C52" s="8">
        <f>'QP-SUB'!K37</f>
        <v>22834307.848230001</v>
      </c>
      <c r="D52" s="8">
        <f>+C52-B52</f>
        <v>599610.87650000677</v>
      </c>
      <c r="E52" s="15">
        <f>+D52/B52</f>
        <v>2.696735094984087E-2</v>
      </c>
    </row>
    <row r="53" spans="1:9">
      <c r="B53" s="8"/>
      <c r="C53" s="8"/>
      <c r="D53" s="8"/>
    </row>
    <row r="54" spans="1:9">
      <c r="A54" t="s">
        <v>178</v>
      </c>
      <c r="B54" s="8">
        <f>'PB - AF'!C54</f>
        <v>2410776.5414399998</v>
      </c>
      <c r="C54" s="8">
        <f>'QP-TRAN'!K37</f>
        <v>3616522.109322763</v>
      </c>
      <c r="D54" s="8">
        <f>+C54-B54</f>
        <v>1205745.5678827632</v>
      </c>
      <c r="E54" s="15">
        <f>+D54/B54</f>
        <v>0.5001482083289851</v>
      </c>
    </row>
    <row r="55" spans="1:9">
      <c r="B55" s="8"/>
      <c r="C55" s="8"/>
      <c r="D55" s="8"/>
    </row>
    <row r="56" spans="1:9">
      <c r="A56" t="s">
        <v>179</v>
      </c>
      <c r="B56" s="8">
        <f>'PB - AF'!C56</f>
        <v>99122704.71446</v>
      </c>
      <c r="C56" s="8">
        <f>'CIPTOD-SUB'!K40</f>
        <v>98063673.186460003</v>
      </c>
      <c r="D56" s="8">
        <f>+C56-B56</f>
        <v>-1059031.5279999971</v>
      </c>
      <c r="E56" s="15">
        <f>+D56/B56</f>
        <v>-1.068404591108283E-2</v>
      </c>
    </row>
    <row r="57" spans="1:9">
      <c r="B57" s="8"/>
      <c r="C57" s="8"/>
      <c r="D57" s="8"/>
    </row>
    <row r="58" spans="1:9">
      <c r="A58" t="s">
        <v>180</v>
      </c>
      <c r="B58" s="8">
        <f>'PB - AF'!C58</f>
        <v>18593466.054799996</v>
      </c>
      <c r="C58" s="8">
        <f>'CIPTOD-TRAN'!K39</f>
        <v>17507511.282599997</v>
      </c>
      <c r="D58" s="8">
        <f>+C58-B58</f>
        <v>-1085954.7721999995</v>
      </c>
      <c r="E58" s="15">
        <f>+D58/B58</f>
        <v>-5.8405182175254242E-2</v>
      </c>
    </row>
    <row r="59" spans="1:9">
      <c r="B59" s="8"/>
      <c r="C59" s="8"/>
      <c r="D59" s="8"/>
    </row>
    <row r="60" spans="1:9">
      <c r="A60" t="s">
        <v>45</v>
      </c>
      <c r="B60" s="8">
        <f>'PB - AF'!C60</f>
        <v>1428283.0345000001</v>
      </c>
      <c r="C60" s="8">
        <f>SL!K43</f>
        <v>1428283.0345000001</v>
      </c>
      <c r="D60" s="8">
        <f>+C60-B60</f>
        <v>0</v>
      </c>
      <c r="E60" s="15">
        <f>+D60/B60</f>
        <v>0</v>
      </c>
    </row>
    <row r="61" spans="1:9">
      <c r="B61" s="8"/>
      <c r="C61" s="8"/>
      <c r="D61" s="8"/>
    </row>
    <row r="62" spans="1:9">
      <c r="A62" t="s">
        <v>182</v>
      </c>
      <c r="B62" s="8">
        <f>'PB - AF'!C62</f>
        <v>354484.31699999998</v>
      </c>
      <c r="C62" s="8">
        <f>MW!K33</f>
        <v>354484.31699999998</v>
      </c>
      <c r="D62" s="8">
        <f>+C62-B62</f>
        <v>0</v>
      </c>
      <c r="E62" s="15">
        <f>+D62/B62</f>
        <v>0</v>
      </c>
    </row>
    <row r="63" spans="1:9">
      <c r="B63" s="8"/>
      <c r="D63" s="8"/>
    </row>
    <row r="64" spans="1:9">
      <c r="A64" t="s">
        <v>18</v>
      </c>
      <c r="B64" s="8">
        <f>SUM(B10:B62)</f>
        <v>553200717.65868354</v>
      </c>
      <c r="C64" s="8">
        <f>SUM(C10:C62)</f>
        <v>553292078.41248679</v>
      </c>
      <c r="D64" s="8">
        <f>+C64-B64</f>
        <v>91360.753803253174</v>
      </c>
      <c r="E64" s="15">
        <f>+D64/B64</f>
        <v>1.6514937686617641E-4</v>
      </c>
      <c r="I64" s="8"/>
    </row>
    <row r="66" spans="1:11">
      <c r="A66" t="s">
        <v>419</v>
      </c>
    </row>
    <row r="67" spans="1:11">
      <c r="A67" s="9" t="s">
        <v>352</v>
      </c>
      <c r="D67" s="8">
        <f>'PB Sum'!B74-('PB - SS'!D67+'PB - CC'!D67+'PB - ES'!D67+'PB - AF'!D67)</f>
        <v>54174.593839947178</v>
      </c>
      <c r="F67" s="8"/>
    </row>
    <row r="68" spans="1:11">
      <c r="D68" s="8"/>
      <c r="K68" s="8"/>
    </row>
    <row r="69" spans="1:11">
      <c r="A69" s="9" t="s">
        <v>353</v>
      </c>
      <c r="D69" s="8">
        <f>'PB Sum'!B75-('PB - SS'!D69+'PB - CC'!D69+'PB - ES'!D69+'PB - AF'!D69)</f>
        <v>4225.8922393841558</v>
      </c>
      <c r="F69" s="8"/>
    </row>
    <row r="70" spans="1:11">
      <c r="D70" s="8"/>
    </row>
    <row r="71" spans="1:11" ht="13.5" thickBot="1">
      <c r="A71" s="9" t="s">
        <v>418</v>
      </c>
      <c r="C71" s="8"/>
      <c r="D71" s="110">
        <f>+D64+D67+D69</f>
        <v>149761.23988258452</v>
      </c>
    </row>
    <row r="72" spans="1:11" ht="13.5" thickTop="1"/>
    <row r="73" spans="1:11">
      <c r="D73" s="8"/>
    </row>
    <row r="74" spans="1:11">
      <c r="D74" s="8"/>
    </row>
    <row r="76" spans="1:11">
      <c r="D76" s="8"/>
    </row>
  </sheetData>
  <phoneticPr fontId="0" type="noConversion"/>
  <printOptions horizontalCentered="1"/>
  <pageMargins left="0.25" right="0.25" top="0.75" bottom="0.75" header="0.3" footer="0.3"/>
  <pageSetup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workbookViewId="0">
      <selection activeCell="C10" sqref="C10"/>
    </sheetView>
  </sheetViews>
  <sheetFormatPr defaultRowHeight="12.75"/>
  <cols>
    <col min="1" max="1" width="22.85546875" customWidth="1"/>
    <col min="2" max="3" width="12.7109375" bestFit="1" customWidth="1"/>
    <col min="4" max="4" width="11.28515625" bestFit="1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s="88" t="s">
        <v>393</v>
      </c>
    </row>
    <row r="6" spans="1:5">
      <c r="A6" s="1"/>
      <c r="B6" s="1" t="s">
        <v>197</v>
      </c>
      <c r="C6" s="96" t="s">
        <v>389</v>
      </c>
    </row>
    <row r="7" spans="1:5">
      <c r="A7" s="1"/>
      <c r="B7" s="1" t="s">
        <v>202</v>
      </c>
      <c r="C7" s="96" t="s">
        <v>391</v>
      </c>
      <c r="D7" s="1"/>
      <c r="E7" s="1" t="s">
        <v>159</v>
      </c>
    </row>
    <row r="8" spans="1:5">
      <c r="A8" s="3" t="s">
        <v>2</v>
      </c>
      <c r="B8" s="3" t="s">
        <v>6</v>
      </c>
      <c r="C8" s="3" t="s">
        <v>6</v>
      </c>
      <c r="D8" s="3" t="s">
        <v>158</v>
      </c>
      <c r="E8" s="3" t="s">
        <v>158</v>
      </c>
    </row>
    <row r="9" spans="1:5">
      <c r="A9" s="3"/>
      <c r="D9" s="3"/>
      <c r="E9" s="3"/>
    </row>
    <row r="10" spans="1:5">
      <c r="A10" t="s">
        <v>163</v>
      </c>
      <c r="B10" s="8">
        <f>+YEM!C10</f>
        <v>231803909.82851359</v>
      </c>
      <c r="C10" s="8">
        <f>+RS!O39</f>
        <v>225886314.62350363</v>
      </c>
      <c r="D10" s="8">
        <f>+C10-B10</f>
        <v>-5917595.2050099671</v>
      </c>
      <c r="E10" s="15">
        <f>+D10/B10</f>
        <v>-2.5528452947095454E-2</v>
      </c>
    </row>
    <row r="11" spans="1:5">
      <c r="D11" s="8"/>
    </row>
    <row r="12" spans="1:5">
      <c r="A12" t="s">
        <v>164</v>
      </c>
      <c r="B12" s="8">
        <f>+YEM!C12</f>
        <v>396224.79485000001</v>
      </c>
      <c r="C12" s="8">
        <f>+RSLMTOD!N40</f>
        <v>384689.0575076252</v>
      </c>
      <c r="D12" s="8">
        <f>+C12-B12</f>
        <v>-11535.737342374807</v>
      </c>
      <c r="E12" s="15">
        <f>+D12/B12</f>
        <v>-2.911412282197515E-2</v>
      </c>
    </row>
    <row r="13" spans="1:5">
      <c r="D13" s="8"/>
    </row>
    <row r="14" spans="1:5">
      <c r="A14" t="s">
        <v>270</v>
      </c>
      <c r="B14" s="8">
        <f>+YEM!C14</f>
        <v>4288.8773500000007</v>
      </c>
      <c r="C14" s="8">
        <f>+B14</f>
        <v>4288.8773500000007</v>
      </c>
      <c r="D14" s="8">
        <f>+C14-B14</f>
        <v>0</v>
      </c>
      <c r="E14" s="15">
        <f>+D14/B14</f>
        <v>0</v>
      </c>
    </row>
    <row r="15" spans="1:5">
      <c r="D15" s="8"/>
    </row>
    <row r="16" spans="1:5">
      <c r="A16" t="s">
        <v>44</v>
      </c>
      <c r="B16" s="8">
        <f>+YEM!C16</f>
        <v>7956803.1685000006</v>
      </c>
      <c r="C16" s="8">
        <f>+B16</f>
        <v>7956803.1685000006</v>
      </c>
      <c r="D16" s="8">
        <f>+C16-B16</f>
        <v>0</v>
      </c>
      <c r="E16" s="15">
        <f>+D16/B16</f>
        <v>0</v>
      </c>
    </row>
    <row r="17" spans="1:5">
      <c r="D17" s="8"/>
    </row>
    <row r="18" spans="1:5">
      <c r="A18" t="s">
        <v>166</v>
      </c>
      <c r="B18" s="8">
        <f>+YEM!C18</f>
        <v>18239353.204099998</v>
      </c>
      <c r="C18" s="8">
        <f>+B18</f>
        <v>18239353.204099998</v>
      </c>
      <c r="D18" s="8">
        <f>+C18-B18</f>
        <v>0</v>
      </c>
      <c r="E18" s="15">
        <f>+D18/B18</f>
        <v>0</v>
      </c>
    </row>
    <row r="19" spans="1:5">
      <c r="D19" s="8"/>
    </row>
    <row r="20" spans="1:5">
      <c r="A20" t="s">
        <v>331</v>
      </c>
      <c r="B20" s="8">
        <f>+YEM!C20</f>
        <v>528.21295999999995</v>
      </c>
      <c r="C20" s="8">
        <f>+B20</f>
        <v>528.21295999999995</v>
      </c>
      <c r="D20" s="8">
        <f>+C20-B20</f>
        <v>0</v>
      </c>
      <c r="E20" s="15">
        <f>+D20/B20</f>
        <v>0</v>
      </c>
    </row>
    <row r="21" spans="1:5">
      <c r="D21" s="8"/>
    </row>
    <row r="22" spans="1:5">
      <c r="A22" t="s">
        <v>167</v>
      </c>
      <c r="B22" s="8">
        <f>+YEM!C22</f>
        <v>629847.5242000001</v>
      </c>
      <c r="C22" s="8">
        <f>+B22</f>
        <v>629847.5242000001</v>
      </c>
      <c r="D22" s="8">
        <f>+C22-B22</f>
        <v>0</v>
      </c>
      <c r="E22" s="15">
        <f>+D22/B22</f>
        <v>0</v>
      </c>
    </row>
    <row r="23" spans="1:5">
      <c r="D23" s="8"/>
      <c r="E23" s="15"/>
    </row>
    <row r="24" spans="1:5">
      <c r="A24" t="s">
        <v>345</v>
      </c>
      <c r="B24" s="8">
        <f>+YEM!C24</f>
        <v>54075.931209999988</v>
      </c>
      <c r="C24" s="8">
        <f>+B24</f>
        <v>54075.931209999988</v>
      </c>
      <c r="D24" s="8">
        <f>+C24-B24</f>
        <v>0</v>
      </c>
      <c r="E24" s="15">
        <f>+D24/B24</f>
        <v>0</v>
      </c>
    </row>
    <row r="25" spans="1:5">
      <c r="D25" s="8"/>
    </row>
    <row r="26" spans="1:5">
      <c r="A26" t="s">
        <v>168</v>
      </c>
      <c r="B26" s="8">
        <f>+YEM!C26</f>
        <v>164224.68596</v>
      </c>
      <c r="C26" s="8">
        <f>+B26</f>
        <v>164224.68596</v>
      </c>
      <c r="D26" s="8">
        <f>+C26-B26</f>
        <v>0</v>
      </c>
      <c r="E26" s="15">
        <f>+D26/B26</f>
        <v>0</v>
      </c>
    </row>
    <row r="27" spans="1:5">
      <c r="D27" s="8"/>
    </row>
    <row r="28" spans="1:5">
      <c r="A28" t="s">
        <v>169</v>
      </c>
      <c r="B28" s="8">
        <f>+YEM!C28</f>
        <v>55909224.137270257</v>
      </c>
      <c r="C28" s="8">
        <f>+B28</f>
        <v>55909224.137270257</v>
      </c>
      <c r="D28" s="8">
        <f>+C28-B28</f>
        <v>0</v>
      </c>
      <c r="E28" s="15">
        <f>+D28/B28</f>
        <v>0</v>
      </c>
    </row>
    <row r="29" spans="1:5">
      <c r="D29" s="8"/>
    </row>
    <row r="30" spans="1:5">
      <c r="A30" t="s">
        <v>170</v>
      </c>
      <c r="B30" s="8">
        <f>+YEM!C30</f>
        <v>107154.24609</v>
      </c>
      <c r="C30" s="8">
        <f>+B30</f>
        <v>107154.24609</v>
      </c>
      <c r="D30" s="8">
        <f>+C30-B30</f>
        <v>0</v>
      </c>
      <c r="E30" s="15">
        <f>+D30/B30</f>
        <v>0</v>
      </c>
    </row>
    <row r="31" spans="1:5">
      <c r="D31" s="8"/>
    </row>
    <row r="32" spans="1:5">
      <c r="A32" t="s">
        <v>171</v>
      </c>
      <c r="B32" s="8">
        <f>+YEM!C32</f>
        <v>378348.02895999997</v>
      </c>
      <c r="C32" s="8">
        <f>+B32</f>
        <v>378348.02895999997</v>
      </c>
      <c r="D32" s="8">
        <f>+C32-B32</f>
        <v>0</v>
      </c>
      <c r="E32" s="15">
        <f>+D32/B32</f>
        <v>0</v>
      </c>
    </row>
    <row r="33" spans="1:5">
      <c r="D33" s="8"/>
    </row>
    <row r="34" spans="1:5">
      <c r="A34" t="s">
        <v>172</v>
      </c>
      <c r="B34" s="8">
        <f>+YEM!C34</f>
        <v>1035270.29504</v>
      </c>
      <c r="C34" s="8">
        <f>+B34</f>
        <v>1035270.29504</v>
      </c>
      <c r="D34" s="8">
        <f>+C34-B34</f>
        <v>0</v>
      </c>
      <c r="E34" s="15">
        <f>+D34/B34</f>
        <v>0</v>
      </c>
    </row>
    <row r="35" spans="1:5">
      <c r="D35" s="8"/>
    </row>
    <row r="36" spans="1:5">
      <c r="A36" t="s">
        <v>173</v>
      </c>
      <c r="B36" s="8">
        <f>+YEM!C36</f>
        <v>122263.58750000001</v>
      </c>
      <c r="C36" s="8">
        <f>+B36</f>
        <v>122263.58750000001</v>
      </c>
      <c r="D36" s="8">
        <f>+C36-B36</f>
        <v>0</v>
      </c>
      <c r="E36" s="15">
        <f>+D36/B36</f>
        <v>0</v>
      </c>
    </row>
    <row r="37" spans="1:5">
      <c r="D37" s="8"/>
    </row>
    <row r="38" spans="1:5">
      <c r="A38" t="s">
        <v>174</v>
      </c>
      <c r="B38" s="8">
        <f>+YEM!C38</f>
        <v>55324874.500799999</v>
      </c>
      <c r="C38" s="8">
        <f>+B38</f>
        <v>55324874.500799999</v>
      </c>
      <c r="D38" s="8">
        <f>+C38-B38</f>
        <v>0</v>
      </c>
      <c r="E38" s="15">
        <f>+D38/B38</f>
        <v>0</v>
      </c>
    </row>
    <row r="39" spans="1:5">
      <c r="D39" s="8"/>
    </row>
    <row r="40" spans="1:5">
      <c r="A40" t="s">
        <v>175</v>
      </c>
      <c r="B40" s="8">
        <f>+YEM!C40</f>
        <v>193120.69399</v>
      </c>
      <c r="C40" s="8">
        <f>+B40</f>
        <v>193120.69399</v>
      </c>
      <c r="D40" s="8">
        <f>+C40-B40</f>
        <v>0</v>
      </c>
      <c r="E40" s="15">
        <f>+D40/B40</f>
        <v>0</v>
      </c>
    </row>
    <row r="41" spans="1:5">
      <c r="D41" s="8"/>
    </row>
    <row r="42" spans="1:5">
      <c r="A42" t="s">
        <v>183</v>
      </c>
      <c r="B42" s="8">
        <f>+YEM!C42</f>
        <v>8186301.2365200007</v>
      </c>
      <c r="C42" s="8">
        <f>+B42</f>
        <v>8186301.2365200007</v>
      </c>
      <c r="D42" s="8">
        <f>+C42-B42</f>
        <v>0</v>
      </c>
      <c r="E42" s="15">
        <f>+D42/B42</f>
        <v>0</v>
      </c>
    </row>
    <row r="43" spans="1:5">
      <c r="D43" s="8"/>
    </row>
    <row r="44" spans="1:5">
      <c r="A44" t="s">
        <v>176</v>
      </c>
      <c r="B44" s="8">
        <f>+YEM!C44</f>
        <v>2646442.3807199998</v>
      </c>
      <c r="C44" s="8">
        <f>+B44</f>
        <v>2646442.3807199998</v>
      </c>
      <c r="D44" s="8">
        <f>+C44-B44</f>
        <v>0</v>
      </c>
      <c r="E44" s="15">
        <f>+D44/B44</f>
        <v>0</v>
      </c>
    </row>
    <row r="45" spans="1:5">
      <c r="D45" s="8"/>
      <c r="E45" s="15"/>
    </row>
    <row r="46" spans="1:5">
      <c r="A46" t="s">
        <v>335</v>
      </c>
      <c r="B46" s="8">
        <f>+YEM!C46</f>
        <v>67112.57796000001</v>
      </c>
      <c r="C46" s="8">
        <f>+B46</f>
        <v>67112.57796000001</v>
      </c>
      <c r="D46" s="8">
        <f>+C46-B46</f>
        <v>0</v>
      </c>
      <c r="E46" s="15">
        <f>+D46/B46</f>
        <v>0</v>
      </c>
    </row>
    <row r="47" spans="1:5">
      <c r="D47" s="8"/>
    </row>
    <row r="48" spans="1:5">
      <c r="A48" t="s">
        <v>269</v>
      </c>
      <c r="B48" s="8">
        <f>+YEM!C48</f>
        <v>1972823.2841999999</v>
      </c>
      <c r="C48" s="8">
        <f>+B48</f>
        <v>1972823.2841999999</v>
      </c>
      <c r="D48" s="8">
        <f>+C48-B48</f>
        <v>0</v>
      </c>
      <c r="E48" s="15">
        <f>+D48/B48</f>
        <v>0</v>
      </c>
    </row>
    <row r="49" spans="1:5">
      <c r="D49" s="8"/>
    </row>
    <row r="50" spans="1:5">
      <c r="A50" t="s">
        <v>184</v>
      </c>
      <c r="B50" s="8">
        <f>+YEM!C50</f>
        <v>24295105.437680002</v>
      </c>
      <c r="C50" s="8">
        <f>+B50</f>
        <v>24295105.437680002</v>
      </c>
      <c r="D50" s="8">
        <f>+C50-B50</f>
        <v>0</v>
      </c>
      <c r="E50" s="15">
        <f>+D50/B50</f>
        <v>0</v>
      </c>
    </row>
    <row r="51" spans="1:5">
      <c r="D51" s="8"/>
    </row>
    <row r="52" spans="1:5">
      <c r="A52" t="s">
        <v>177</v>
      </c>
      <c r="B52" s="8">
        <f>+YEM!C52</f>
        <v>22834307.848230001</v>
      </c>
      <c r="C52" s="8">
        <f>+B52</f>
        <v>22834307.848230001</v>
      </c>
      <c r="D52" s="8">
        <f>+C52-B52</f>
        <v>0</v>
      </c>
      <c r="E52" s="15">
        <f>+D52/B52</f>
        <v>0</v>
      </c>
    </row>
    <row r="53" spans="1:5">
      <c r="D53" s="8"/>
    </row>
    <row r="54" spans="1:5">
      <c r="A54" t="s">
        <v>178</v>
      </c>
      <c r="B54" s="8">
        <f>+YEM!C54</f>
        <v>3616522.109322763</v>
      </c>
      <c r="C54" s="8">
        <f>+B54</f>
        <v>3616522.109322763</v>
      </c>
      <c r="D54" s="8">
        <f>+C54-B54</f>
        <v>0</v>
      </c>
      <c r="E54" s="15">
        <f>+D54/B54</f>
        <v>0</v>
      </c>
    </row>
    <row r="55" spans="1:5">
      <c r="D55" s="8"/>
    </row>
    <row r="56" spans="1:5">
      <c r="A56" t="s">
        <v>179</v>
      </c>
      <c r="B56" s="8">
        <f>+YEM!C56</f>
        <v>98063673.186460003</v>
      </c>
      <c r="C56" s="8">
        <f>+B56</f>
        <v>98063673.186460003</v>
      </c>
      <c r="D56" s="8">
        <f>+C56-B56</f>
        <v>0</v>
      </c>
      <c r="E56" s="15">
        <f>+D56/B56</f>
        <v>0</v>
      </c>
    </row>
    <row r="57" spans="1:5">
      <c r="D57" s="8"/>
    </row>
    <row r="58" spans="1:5">
      <c r="A58" t="s">
        <v>180</v>
      </c>
      <c r="B58" s="8">
        <f>+YEM!C58</f>
        <v>17507511.282599997</v>
      </c>
      <c r="C58" s="8">
        <f>+B58</f>
        <v>17507511.282599997</v>
      </c>
      <c r="D58" s="8">
        <f>+C58-B58</f>
        <v>0</v>
      </c>
      <c r="E58" s="15">
        <f>+D58/B58</f>
        <v>0</v>
      </c>
    </row>
    <row r="59" spans="1:5">
      <c r="D59" s="8"/>
    </row>
    <row r="60" spans="1:5">
      <c r="A60" t="s">
        <v>45</v>
      </c>
      <c r="B60" s="8">
        <f>+YEM!C60</f>
        <v>1428283.0345000001</v>
      </c>
      <c r="C60" s="8">
        <f>+B60</f>
        <v>1428283.0345000001</v>
      </c>
      <c r="D60" s="8">
        <f>+C60-B60</f>
        <v>0</v>
      </c>
      <c r="E60" s="15">
        <f>+D60/B60</f>
        <v>0</v>
      </c>
    </row>
    <row r="61" spans="1:5">
      <c r="D61" s="8"/>
    </row>
    <row r="62" spans="1:5">
      <c r="A62" t="s">
        <v>182</v>
      </c>
      <c r="B62" s="8">
        <f>+YEM!C62</f>
        <v>354484.31699999998</v>
      </c>
      <c r="C62" s="8">
        <f>+B62</f>
        <v>354484.31699999998</v>
      </c>
      <c r="D62" s="8">
        <f>+C62-B62</f>
        <v>0</v>
      </c>
      <c r="E62" s="15">
        <f>+D62/B62</f>
        <v>0</v>
      </c>
    </row>
    <row r="63" spans="1:5">
      <c r="D63" s="8"/>
    </row>
    <row r="64" spans="1:5">
      <c r="A64" t="s">
        <v>18</v>
      </c>
      <c r="B64" s="8">
        <f>SUM(B10:B62)</f>
        <v>553292078.41248679</v>
      </c>
      <c r="C64" s="8">
        <f>SUM(C10:C62)</f>
        <v>547362947.47013438</v>
      </c>
      <c r="D64" s="8">
        <f>+C64-B64</f>
        <v>-5929130.9423524141</v>
      </c>
      <c r="E64" s="15">
        <f>+D64/B64</f>
        <v>-1.0716095844647474E-2</v>
      </c>
    </row>
  </sheetData>
  <printOptions horizontalCentered="1"/>
  <pageMargins left="0.25" right="0.25" top="0.75" bottom="0.75" header="0.3" footer="0.3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opLeftCell="A31" workbookViewId="0">
      <selection activeCell="D68" sqref="D68"/>
    </sheetView>
  </sheetViews>
  <sheetFormatPr defaultRowHeight="12.75"/>
  <cols>
    <col min="1" max="1" width="19.7109375" customWidth="1"/>
    <col min="2" max="3" width="14.5703125" customWidth="1"/>
    <col min="4" max="4" width="13.140625" customWidth="1"/>
    <col min="5" max="5" width="13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238</v>
      </c>
    </row>
    <row r="6" spans="1:5">
      <c r="A6" s="1"/>
      <c r="B6" s="1" t="str">
        <f>+WNLA!C6</f>
        <v>Weather</v>
      </c>
      <c r="C6" s="1" t="s">
        <v>239</v>
      </c>
    </row>
    <row r="7" spans="1:5">
      <c r="A7" s="1"/>
      <c r="B7" s="1" t="str">
        <f>+WNLA!C7</f>
        <v>Normalized</v>
      </c>
      <c r="C7" s="1" t="s">
        <v>231</v>
      </c>
      <c r="D7" s="1"/>
      <c r="E7" s="1" t="s">
        <v>159</v>
      </c>
    </row>
    <row r="8" spans="1:5">
      <c r="A8" s="3" t="s">
        <v>2</v>
      </c>
      <c r="B8" s="3" t="s">
        <v>6</v>
      </c>
      <c r="C8" s="3" t="s">
        <v>6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+WNLA!C10</f>
        <v>225886314.62350363</v>
      </c>
      <c r="C10" s="8">
        <f>RS!R39</f>
        <v>224199303.25470003</v>
      </c>
      <c r="D10" s="8">
        <f>C10-B10</f>
        <v>-1687011.3688035905</v>
      </c>
      <c r="E10" s="15">
        <f>+D10/B10</f>
        <v>-7.468408927806979E-3</v>
      </c>
    </row>
    <row r="11" spans="1:5">
      <c r="B11" s="8"/>
      <c r="C11" s="8"/>
    </row>
    <row r="12" spans="1:5">
      <c r="A12" t="s">
        <v>164</v>
      </c>
      <c r="B12" s="8">
        <f>+WNLA!C12</f>
        <v>384689.0575076252</v>
      </c>
      <c r="C12" s="8">
        <f>RSLMTOD!Q40</f>
        <v>380811.05482999998</v>
      </c>
      <c r="D12" s="8">
        <f>C12-B12</f>
        <v>-3878.0026776252198</v>
      </c>
      <c r="E12" s="15">
        <f>+D12/B12</f>
        <v>-1.0080875974873164E-2</v>
      </c>
    </row>
    <row r="13" spans="1:5">
      <c r="B13" s="8"/>
      <c r="C13" s="8"/>
    </row>
    <row r="14" spans="1:5">
      <c r="A14" t="s">
        <v>270</v>
      </c>
      <c r="B14" s="8">
        <f>+WNLA!C14</f>
        <v>4288.8773500000007</v>
      </c>
      <c r="C14" s="8">
        <f>RSTOD!N35</f>
        <v>4288.8773500000007</v>
      </c>
      <c r="D14" s="8">
        <f>C14-B14</f>
        <v>0</v>
      </c>
      <c r="E14" s="15">
        <f>+D14/B14</f>
        <v>0</v>
      </c>
    </row>
    <row r="15" spans="1:5">
      <c r="B15" s="8"/>
      <c r="C15" s="8"/>
    </row>
    <row r="16" spans="1:5">
      <c r="A16" t="s">
        <v>44</v>
      </c>
      <c r="B16" s="8">
        <f>+WNLA!C16</f>
        <v>7956803.1685000006</v>
      </c>
      <c r="C16" s="8">
        <f>OL!N60</f>
        <v>7018555.7853661273</v>
      </c>
      <c r="D16" s="8">
        <f>C16-B16</f>
        <v>-938247.38313387334</v>
      </c>
      <c r="E16" s="15">
        <f>+D16/B16</f>
        <v>-0.11791763139853435</v>
      </c>
    </row>
    <row r="17" spans="1:5">
      <c r="B17" s="8"/>
      <c r="C17" s="8"/>
    </row>
    <row r="18" spans="1:5">
      <c r="A18" t="s">
        <v>166</v>
      </c>
      <c r="B18" s="8">
        <f>+WNLA!C18</f>
        <v>18239353.204099998</v>
      </c>
      <c r="C18" s="8">
        <f>SGS!N32</f>
        <v>18312337.26644</v>
      </c>
      <c r="D18" s="8">
        <f>C18-B18</f>
        <v>72984.062340002507</v>
      </c>
      <c r="E18" s="15">
        <f>+D18/B18</f>
        <v>4.001461100254176E-3</v>
      </c>
    </row>
    <row r="19" spans="1:5">
      <c r="B19" s="8"/>
      <c r="C19" s="8"/>
    </row>
    <row r="20" spans="1:5">
      <c r="A20" t="s">
        <v>331</v>
      </c>
      <c r="B20" s="8">
        <f>+WNLA!C20</f>
        <v>528.21295999999995</v>
      </c>
      <c r="C20" s="8">
        <f>SGSLMTOD!N33</f>
        <v>528.21295999999995</v>
      </c>
      <c r="D20" s="8">
        <f>C20-B20</f>
        <v>0</v>
      </c>
      <c r="E20" s="15">
        <f>+D20/B20</f>
        <v>0</v>
      </c>
    </row>
    <row r="21" spans="1:5" ht="13.5" customHeight="1">
      <c r="B21" s="8"/>
      <c r="C21" s="8"/>
    </row>
    <row r="22" spans="1:5">
      <c r="A22" t="s">
        <v>167</v>
      </c>
      <c r="B22" s="8">
        <f>+WNLA!C22</f>
        <v>629847.5242000001</v>
      </c>
      <c r="C22" s="8">
        <f>'SGS-NM'!N32</f>
        <v>633460.30035999999</v>
      </c>
      <c r="D22" s="8">
        <f>C22-B22</f>
        <v>3612.7761599998921</v>
      </c>
      <c r="E22" s="15">
        <f>+D22/B22</f>
        <v>5.7359535779530997E-3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+WNLA!C24</f>
        <v>54075.931209999988</v>
      </c>
      <c r="C24" s="8">
        <f>+'SGS TOD2'!N33</f>
        <v>53431.521559999994</v>
      </c>
      <c r="D24" s="8">
        <f>C24-B24</f>
        <v>-644.40964999999414</v>
      </c>
      <c r="E24" s="15">
        <f>+D24/B24</f>
        <v>-1.1916755487713667E-2</v>
      </c>
    </row>
    <row r="25" spans="1:5">
      <c r="B25" s="8"/>
      <c r="C25" s="8"/>
    </row>
    <row r="26" spans="1:5">
      <c r="A26" t="s">
        <v>168</v>
      </c>
      <c r="B26" s="8">
        <f>+WNLA!C26</f>
        <v>164224.68596</v>
      </c>
      <c r="C26" s="8">
        <f>'MGS-RL'!N32</f>
        <v>167123.44563999999</v>
      </c>
      <c r="D26" s="8">
        <f>C26-B26</f>
        <v>2898.7596799999883</v>
      </c>
      <c r="E26" s="15">
        <f>+D26/B26</f>
        <v>1.7651181142803559E-2</v>
      </c>
    </row>
    <row r="27" spans="1:5">
      <c r="B27" s="8"/>
      <c r="C27" s="8"/>
      <c r="D27" s="8"/>
      <c r="E27" s="15"/>
    </row>
    <row r="28" spans="1:5">
      <c r="A28" t="s">
        <v>169</v>
      </c>
      <c r="B28" s="8">
        <f>+WNLA!C28</f>
        <v>55909224.137270257</v>
      </c>
      <c r="C28" s="8">
        <f>'MGS-SEC'!P37</f>
        <v>56124436.05156</v>
      </c>
      <c r="D28" s="8">
        <f>C28-B28</f>
        <v>215211.91428974271</v>
      </c>
      <c r="E28" s="15">
        <f>+D28/B28</f>
        <v>3.849309619488673E-3</v>
      </c>
    </row>
    <row r="29" spans="1:5">
      <c r="B29" s="8"/>
      <c r="C29" s="8"/>
    </row>
    <row r="30" spans="1:5">
      <c r="A30" t="s">
        <v>170</v>
      </c>
      <c r="B30" s="8">
        <f>+WNLA!C30</f>
        <v>107154.24609</v>
      </c>
      <c r="C30" s="8">
        <f>MGSLMTOD!N33</f>
        <v>106575.01179</v>
      </c>
      <c r="D30" s="8">
        <f>C30-B30</f>
        <v>-579.23429999999644</v>
      </c>
      <c r="E30" s="15">
        <f>+D30/B30</f>
        <v>-5.4056122005047879E-3</v>
      </c>
    </row>
    <row r="31" spans="1:5">
      <c r="B31" s="8"/>
      <c r="C31" s="8"/>
    </row>
    <row r="32" spans="1:5">
      <c r="A32" t="s">
        <v>171</v>
      </c>
      <c r="B32" s="8">
        <f>+WNLA!C32</f>
        <v>378348.02895999997</v>
      </c>
      <c r="C32" s="8">
        <f>MGSTOD!N33</f>
        <v>381274.39919999999</v>
      </c>
      <c r="D32" s="8">
        <f>C32-B32</f>
        <v>2926.3702400000184</v>
      </c>
      <c r="E32" s="15">
        <f>+D32/B32</f>
        <v>7.7345988772400944E-3</v>
      </c>
    </row>
    <row r="33" spans="1:5">
      <c r="B33" s="8"/>
      <c r="C33" s="8"/>
    </row>
    <row r="34" spans="1:5">
      <c r="A34" t="s">
        <v>172</v>
      </c>
      <c r="B34" s="8">
        <f>+WNLA!C34</f>
        <v>1035270.29504</v>
      </c>
      <c r="C34" s="8">
        <f>'MGS-PRI'!P38</f>
        <v>995526.69704</v>
      </c>
      <c r="D34" s="8">
        <f>C34-B34</f>
        <v>-39743.597999999998</v>
      </c>
      <c r="E34" s="15">
        <f>+D34/B34</f>
        <v>-3.8389585976157478E-2</v>
      </c>
    </row>
    <row r="35" spans="1:5">
      <c r="B35" s="8"/>
      <c r="C35" s="8"/>
    </row>
    <row r="36" spans="1:5">
      <c r="A36" t="s">
        <v>173</v>
      </c>
      <c r="B36" s="8">
        <f>+WNLA!C36</f>
        <v>122263.58750000001</v>
      </c>
      <c r="C36" s="8">
        <f>'MGS-SUB'!P37</f>
        <v>118249.89454999998</v>
      </c>
      <c r="D36" s="8">
        <f>C36-B36</f>
        <v>-4013.692950000026</v>
      </c>
      <c r="E36" s="15">
        <f>+D36/B36</f>
        <v>-3.2828195475615551E-2</v>
      </c>
    </row>
    <row r="37" spans="1:5">
      <c r="B37" s="8"/>
      <c r="C37" s="8"/>
    </row>
    <row r="38" spans="1:5">
      <c r="A38" t="s">
        <v>174</v>
      </c>
      <c r="B38" s="8">
        <f>+WNLA!C38</f>
        <v>55324874.500799999</v>
      </c>
      <c r="C38" s="8">
        <f>'LGS-SEC'!P34</f>
        <v>55924423.2302</v>
      </c>
      <c r="D38" s="8">
        <f>C38-B38</f>
        <v>599548.72940000147</v>
      </c>
      <c r="E38" s="15">
        <f>+D38/B38</f>
        <v>1.0836874639296867E-2</v>
      </c>
    </row>
    <row r="39" spans="1:5">
      <c r="B39" s="8"/>
      <c r="C39" s="8"/>
    </row>
    <row r="40" spans="1:5">
      <c r="A40" t="s">
        <v>175</v>
      </c>
      <c r="B40" s="8">
        <f>+WNLA!C40</f>
        <v>193120.69399</v>
      </c>
      <c r="C40" s="8">
        <f>LGSLMTOD!N33</f>
        <v>193128.87399000002</v>
      </c>
      <c r="D40" s="8">
        <f>C40-B40</f>
        <v>8.1800000000221189</v>
      </c>
      <c r="E40" s="15">
        <f>+D40/B40</f>
        <v>4.2356931466110453E-5</v>
      </c>
    </row>
    <row r="41" spans="1:5">
      <c r="B41" s="8"/>
      <c r="C41" s="8"/>
    </row>
    <row r="42" spans="1:5">
      <c r="A42" t="s">
        <v>183</v>
      </c>
      <c r="B42" s="8">
        <f>+WNLA!C42</f>
        <v>8186301.2365200007</v>
      </c>
      <c r="C42" s="8">
        <f>'LGS-PRI'!P34</f>
        <v>9997621.9594000001</v>
      </c>
      <c r="D42" s="8">
        <f>C42-B42</f>
        <v>1811320.7228799993</v>
      </c>
      <c r="E42" s="15">
        <f>+D42/B42</f>
        <v>0.22126240783804729</v>
      </c>
    </row>
    <row r="43" spans="1:5">
      <c r="B43" s="8"/>
      <c r="C43" s="8"/>
    </row>
    <row r="44" spans="1:5">
      <c r="A44" t="s">
        <v>176</v>
      </c>
      <c r="B44" s="8">
        <f>+WNLA!C44</f>
        <v>2646442.3807199998</v>
      </c>
      <c r="C44" s="8">
        <f>'LGS-SUB'!P34</f>
        <v>2433637.9613999999</v>
      </c>
      <c r="D44" s="8">
        <f>C44-B44</f>
        <v>-212804.41931999987</v>
      </c>
      <c r="E44" s="15">
        <f>+D44/B44</f>
        <v>-8.041150673460104E-2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+WNLA!C46</f>
        <v>67112.57796000001</v>
      </c>
      <c r="C46" s="8">
        <f>'LGS-TRAN'!P34</f>
        <v>67112.111960000009</v>
      </c>
      <c r="D46" s="8">
        <f>C46-B46</f>
        <v>-0.46600000000034925</v>
      </c>
      <c r="E46" s="15">
        <f>IF(B46=0,0,+D46/B46)</f>
        <v>-6.9435568438168398E-6</v>
      </c>
    </row>
    <row r="47" spans="1:5">
      <c r="B47" s="8"/>
      <c r="C47" s="8"/>
    </row>
    <row r="48" spans="1:5">
      <c r="A48" t="s">
        <v>269</v>
      </c>
      <c r="B48" s="8">
        <f>+WNLA!C48</f>
        <v>1972823.2841999999</v>
      </c>
      <c r="C48" s="8">
        <f>'QP-SEC'!N37</f>
        <v>1893876.0133000002</v>
      </c>
      <c r="D48" s="8">
        <f>C48-B48</f>
        <v>-78947.270899999654</v>
      </c>
      <c r="E48" s="15">
        <f>+D48/B48</f>
        <v>-4.0017406288882881E-2</v>
      </c>
    </row>
    <row r="49" spans="1:5">
      <c r="B49" s="8"/>
      <c r="C49" s="8"/>
    </row>
    <row r="50" spans="1:5">
      <c r="A50" t="s">
        <v>184</v>
      </c>
      <c r="B50" s="8">
        <f>+WNLA!C50</f>
        <v>24295105.437680002</v>
      </c>
      <c r="C50" s="8">
        <f>'QP-PRI'!P39</f>
        <v>24295070.621679999</v>
      </c>
      <c r="D50" s="8">
        <f>C50-B50</f>
        <v>-34.816000003367662</v>
      </c>
      <c r="E50" s="15">
        <f>+D50/B50</f>
        <v>-1.4330458492009872E-6</v>
      </c>
    </row>
    <row r="51" spans="1:5">
      <c r="B51" s="8"/>
      <c r="C51" s="8"/>
    </row>
    <row r="52" spans="1:5">
      <c r="A52" t="s">
        <v>177</v>
      </c>
      <c r="B52" s="8">
        <f>+WNLA!C52</f>
        <v>22834307.848230001</v>
      </c>
      <c r="C52" s="8">
        <f>'QP-SUB'!P37</f>
        <v>22688792.304889999</v>
      </c>
      <c r="D52" s="8">
        <f>C52-B52</f>
        <v>-145515.54334000126</v>
      </c>
      <c r="E52" s="15">
        <f>+D52/B52</f>
        <v>-6.3726715216060681E-3</v>
      </c>
    </row>
    <row r="53" spans="1:5">
      <c r="B53" s="8"/>
      <c r="C53" s="8"/>
    </row>
    <row r="54" spans="1:5">
      <c r="A54" t="s">
        <v>178</v>
      </c>
      <c r="B54" s="8">
        <f>+WNLA!C54</f>
        <v>3616522.109322763</v>
      </c>
      <c r="C54" s="8">
        <f>'QP-TRAN'!P37</f>
        <v>3945188.1501599997</v>
      </c>
      <c r="D54" s="8">
        <f>C54-B54</f>
        <v>328666.04083723668</v>
      </c>
      <c r="E54" s="15">
        <f>+D54/B54</f>
        <v>9.0879035410842079E-2</v>
      </c>
    </row>
    <row r="55" spans="1:5">
      <c r="B55" s="8"/>
      <c r="C55" s="8"/>
    </row>
    <row r="56" spans="1:5">
      <c r="A56" t="s">
        <v>179</v>
      </c>
      <c r="B56" s="8">
        <f>+WNLA!C56</f>
        <v>98063673.186460003</v>
      </c>
      <c r="C56" s="8">
        <f>'CIPTOD-SUB'!P40</f>
        <v>99137776.109260023</v>
      </c>
      <c r="D56" s="8">
        <f>C56-B56</f>
        <v>1074102.9228000194</v>
      </c>
      <c r="E56" s="15">
        <f>+D56/B56</f>
        <v>1.0953117376683424E-2</v>
      </c>
    </row>
    <row r="57" spans="1:5">
      <c r="B57" s="8"/>
      <c r="C57" s="8"/>
    </row>
    <row r="58" spans="1:5">
      <c r="A58" t="s">
        <v>180</v>
      </c>
      <c r="B58" s="8">
        <f>+WNLA!C58</f>
        <v>17507511.282599997</v>
      </c>
      <c r="C58" s="8">
        <f>'CIPTOD-TRAN'!P39</f>
        <v>16160780.971999999</v>
      </c>
      <c r="D58" s="8">
        <f>C58-B58</f>
        <v>-1346730.3105999976</v>
      </c>
      <c r="E58" s="15">
        <f>+D58/B58</f>
        <v>-7.6923001154279316E-2</v>
      </c>
    </row>
    <row r="59" spans="1:5">
      <c r="B59" s="8"/>
      <c r="C59" s="8"/>
      <c r="D59" s="8"/>
      <c r="E59" s="15"/>
    </row>
    <row r="60" spans="1:5">
      <c r="A60" t="s">
        <v>181</v>
      </c>
      <c r="B60" s="8">
        <f>+WNLA!C60</f>
        <v>1428283.0345000001</v>
      </c>
      <c r="C60" s="8">
        <f>SL!N43</f>
        <v>1375747.9323941716</v>
      </c>
      <c r="D60" s="8">
        <f>C60-B60</f>
        <v>-52535.102105828468</v>
      </c>
      <c r="E60" s="15">
        <f>+D60/B60</f>
        <v>-3.6781996870962952E-2</v>
      </c>
    </row>
    <row r="61" spans="1:5">
      <c r="B61" s="8"/>
      <c r="C61" s="8"/>
    </row>
    <row r="62" spans="1:5">
      <c r="A62" t="s">
        <v>182</v>
      </c>
      <c r="B62" s="8">
        <f>+WNLA!C62</f>
        <v>354484.31699999998</v>
      </c>
      <c r="C62" s="8">
        <f>MW!N33</f>
        <v>354485.95699999999</v>
      </c>
      <c r="D62" s="8">
        <f>C62-B62</f>
        <v>1.6400000000139698</v>
      </c>
      <c r="E62" s="15">
        <f>+D62/B62</f>
        <v>4.6264388052292024E-6</v>
      </c>
    </row>
    <row r="64" spans="1:5">
      <c r="A64" t="s">
        <v>18</v>
      </c>
      <c r="B64" s="8">
        <f>SUM(B10:B62)</f>
        <v>547362947.47013438</v>
      </c>
      <c r="C64" s="8">
        <f>SUM(C10:C62)</f>
        <v>546963543.97098041</v>
      </c>
      <c r="D64" s="8">
        <f>+C64-B64</f>
        <v>-399403.49915397167</v>
      </c>
      <c r="E64" s="15">
        <f>+D64/B64</f>
        <v>-7.2968676634028876E-4</v>
      </c>
    </row>
    <row r="67" spans="1:4">
      <c r="A67" s="88" t="s">
        <v>401</v>
      </c>
      <c r="C67" s="8"/>
      <c r="D67" s="8">
        <f>+SUM('JMS-1 Page 1'!J30:J60)</f>
        <v>2320420.3635972706</v>
      </c>
    </row>
    <row r="68" spans="1:4">
      <c r="A68" s="88" t="s">
        <v>402</v>
      </c>
      <c r="C68" s="8"/>
      <c r="D68" s="56">
        <f>+'JMS-1 Page 2'!K66</f>
        <v>-2719823.8627511873</v>
      </c>
    </row>
    <row r="69" spans="1:4">
      <c r="C69" s="8"/>
      <c r="D69" s="8">
        <f>SUM(D67:D68)</f>
        <v>-399403.49915391672</v>
      </c>
    </row>
    <row r="70" spans="1:4">
      <c r="C70" s="8"/>
      <c r="D70" s="8"/>
    </row>
    <row r="71" spans="1:4">
      <c r="C71" s="8"/>
      <c r="D71" s="8"/>
    </row>
    <row r="72" spans="1:4">
      <c r="C72" s="8"/>
      <c r="D72" s="8"/>
    </row>
    <row r="73" spans="1:4">
      <c r="C73" s="8"/>
      <c r="D73" s="8"/>
    </row>
    <row r="74" spans="1:4">
      <c r="C74" s="8"/>
      <c r="D74" s="8"/>
    </row>
    <row r="75" spans="1:4">
      <c r="C75" s="8"/>
      <c r="D75" s="8"/>
    </row>
    <row r="76" spans="1:4">
      <c r="C76" s="8"/>
      <c r="D76" s="8"/>
    </row>
  </sheetData>
  <phoneticPr fontId="0" type="noConversion"/>
  <printOptions horizontalCentered="1"/>
  <pageMargins left="0.75" right="0.75" top="0.5" bottom="0.5" header="0.5" footer="0.5"/>
  <pageSetup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opLeftCell="A4" workbookViewId="0"/>
  </sheetViews>
  <sheetFormatPr defaultRowHeight="12.75"/>
  <cols>
    <col min="1" max="1" width="19.7109375" customWidth="1"/>
    <col min="2" max="3" width="14.5703125" customWidth="1"/>
    <col min="4" max="4" width="13.140625" customWidth="1"/>
    <col min="5" max="5" width="13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420</v>
      </c>
    </row>
    <row r="6" spans="1:5">
      <c r="A6" s="1"/>
      <c r="B6" s="1" t="s">
        <v>407</v>
      </c>
      <c r="C6" s="1" t="s">
        <v>239</v>
      </c>
    </row>
    <row r="7" spans="1:5">
      <c r="A7" s="1"/>
      <c r="B7" s="1" t="s">
        <v>219</v>
      </c>
      <c r="C7" s="1" t="s">
        <v>231</v>
      </c>
      <c r="D7" s="1"/>
      <c r="E7" s="1" t="s">
        <v>159</v>
      </c>
    </row>
    <row r="8" spans="1:5">
      <c r="A8" s="3" t="s">
        <v>2</v>
      </c>
      <c r="B8" s="3" t="s">
        <v>6</v>
      </c>
      <c r="C8" s="3" t="s">
        <v>6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RS!R39</f>
        <v>224199303.25470003</v>
      </c>
      <c r="C10" s="8">
        <f>+RS!T39</f>
        <v>228274510.85179955</v>
      </c>
      <c r="D10" s="8">
        <f>+C10-B10</f>
        <v>4075207.5970995128</v>
      </c>
      <c r="E10" s="15">
        <f>+D10/B10</f>
        <v>1.8176718383776162E-2</v>
      </c>
    </row>
    <row r="11" spans="1:5">
      <c r="B11" s="8"/>
    </row>
    <row r="12" spans="1:5">
      <c r="A12" t="s">
        <v>164</v>
      </c>
      <c r="B12" s="8">
        <f>RSLMTOD!Q40</f>
        <v>380811.05482999998</v>
      </c>
      <c r="C12" s="8">
        <f>+RSLMTOD!S40</f>
        <v>387825.44335224619</v>
      </c>
      <c r="D12" s="8">
        <f>+C12-B12</f>
        <v>7014.3885222462122</v>
      </c>
      <c r="E12" s="15">
        <f>+D12/B12</f>
        <v>1.8419603195021596E-2</v>
      </c>
    </row>
    <row r="13" spans="1:5">
      <c r="B13" s="8"/>
    </row>
    <row r="14" spans="1:5">
      <c r="A14" t="s">
        <v>270</v>
      </c>
      <c r="B14" s="8">
        <f>RSTOD!N35</f>
        <v>4288.8773500000007</v>
      </c>
      <c r="C14" s="8">
        <f>+RSTOD!P35</f>
        <v>4364.3493493257656</v>
      </c>
      <c r="D14" s="8">
        <f>+C14-B14</f>
        <v>75.471999325764955</v>
      </c>
      <c r="E14" s="15">
        <f>+D14/B14</f>
        <v>1.7597145632006695E-2</v>
      </c>
    </row>
    <row r="15" spans="1:5">
      <c r="B15" s="8"/>
    </row>
    <row r="16" spans="1:5">
      <c r="A16" t="s">
        <v>44</v>
      </c>
      <c r="B16" s="8">
        <f>OL!N60</f>
        <v>7018555.7853661273</v>
      </c>
      <c r="C16" s="8">
        <f>+OL!P60</f>
        <v>7193249.1321279891</v>
      </c>
      <c r="D16" s="8">
        <f>+C16-B16</f>
        <v>174693.34676186182</v>
      </c>
      <c r="E16" s="15">
        <f>+D16/B16</f>
        <v>2.4890212759454307E-2</v>
      </c>
    </row>
    <row r="17" spans="1:5">
      <c r="B17" s="8"/>
    </row>
    <row r="18" spans="1:5">
      <c r="A18" t="s">
        <v>166</v>
      </c>
      <c r="B18" s="8">
        <f>SGS!N32</f>
        <v>18312337.26644</v>
      </c>
      <c r="C18" s="8">
        <f>+SGS!P32</f>
        <v>18745576.604093675</v>
      </c>
      <c r="D18" s="8">
        <f>+C18-B18</f>
        <v>433239.33765367419</v>
      </c>
      <c r="E18" s="15">
        <f>+D18/B18</f>
        <v>2.3658331066654596E-2</v>
      </c>
    </row>
    <row r="19" spans="1:5">
      <c r="B19" s="8"/>
    </row>
    <row r="20" spans="1:5">
      <c r="A20" t="s">
        <v>331</v>
      </c>
      <c r="B20" s="8">
        <f>SGSLMTOD!N33</f>
        <v>528.21295999999995</v>
      </c>
      <c r="C20" s="8">
        <f>+SGSLMTOD!P33</f>
        <v>541.68244828021102</v>
      </c>
      <c r="D20" s="8">
        <f>+C20-B20</f>
        <v>13.469488280211067</v>
      </c>
      <c r="E20" s="15">
        <f>+D20/B20</f>
        <v>2.5500109425961582E-2</v>
      </c>
    </row>
    <row r="21" spans="1:5" ht="13.5" customHeight="1">
      <c r="B21" s="8"/>
    </row>
    <row r="22" spans="1:5">
      <c r="A22" t="s">
        <v>167</v>
      </c>
      <c r="B22" s="8">
        <f>'SGS-NM'!N32</f>
        <v>633460.30035999999</v>
      </c>
      <c r="C22" s="8">
        <f>+'SGS-NM'!P32</f>
        <v>648649.8373476374</v>
      </c>
      <c r="D22" s="8">
        <f>+C22-B22</f>
        <v>15189.536987637402</v>
      </c>
      <c r="E22" s="15">
        <f>+D22/B22</f>
        <v>2.3978672347746307E-2</v>
      </c>
    </row>
    <row r="23" spans="1:5">
      <c r="B23" s="8"/>
      <c r="D23" s="8"/>
      <c r="E23" s="15"/>
    </row>
    <row r="24" spans="1:5">
      <c r="A24" t="s">
        <v>345</v>
      </c>
      <c r="B24" s="8">
        <f>+'SGS TOD2'!N33</f>
        <v>53431.521559999994</v>
      </c>
      <c r="C24" s="8">
        <f>+'SGS TOD2'!P33</f>
        <v>54710.539323749639</v>
      </c>
      <c r="D24" s="8">
        <f>+C24-B24</f>
        <v>1279.0177637496454</v>
      </c>
      <c r="E24" s="15">
        <f>+D24/B24</f>
        <v>2.393751340794955E-2</v>
      </c>
    </row>
    <row r="25" spans="1:5">
      <c r="B25" s="8"/>
    </row>
    <row r="26" spans="1:5">
      <c r="A26" t="s">
        <v>168</v>
      </c>
      <c r="B26" s="8">
        <f>'MGS-RL'!N32</f>
        <v>167123.44563999999</v>
      </c>
      <c r="C26" s="8">
        <f>+'MGS-RL'!P32</f>
        <v>170656.06871229003</v>
      </c>
      <c r="D26" s="8">
        <f>+C26-B26</f>
        <v>3532.6230722900364</v>
      </c>
      <c r="E26" s="15">
        <f>+D26/B26</f>
        <v>2.1137806600156191E-2</v>
      </c>
    </row>
    <row r="27" spans="1:5">
      <c r="B27" s="8"/>
      <c r="D27" s="8"/>
      <c r="E27" s="15"/>
    </row>
    <row r="28" spans="1:5">
      <c r="A28" t="s">
        <v>169</v>
      </c>
      <c r="B28" s="8">
        <f>'MGS-SEC'!P37</f>
        <v>56124436.05156</v>
      </c>
      <c r="C28" s="8">
        <f>+'MGS-SEC'!R37</f>
        <v>57397497.426240399</v>
      </c>
      <c r="D28" s="8">
        <f>+C28-B28</f>
        <v>1273061.3746803999</v>
      </c>
      <c r="E28" s="15">
        <f>+D28/B28</f>
        <v>2.2682835931052792E-2</v>
      </c>
    </row>
    <row r="29" spans="1:5">
      <c r="B29" s="8"/>
    </row>
    <row r="30" spans="1:5">
      <c r="A30" t="s">
        <v>170</v>
      </c>
      <c r="B30" s="8">
        <f>MGSLMTOD!N33</f>
        <v>106575.01179</v>
      </c>
      <c r="C30" s="8">
        <f>+MGSLMTOD!P33</f>
        <v>109061.16278530912</v>
      </c>
      <c r="D30" s="8">
        <f>+C30-B30</f>
        <v>2486.1509953091154</v>
      </c>
      <c r="E30" s="15">
        <f>+D30/B30</f>
        <v>2.3327710253581154E-2</v>
      </c>
    </row>
    <row r="31" spans="1:5">
      <c r="B31" s="8"/>
    </row>
    <row r="32" spans="1:5">
      <c r="A32" t="s">
        <v>171</v>
      </c>
      <c r="B32" s="8">
        <f>MGSTOD!N33</f>
        <v>381274.39919999999</v>
      </c>
      <c r="C32" s="8">
        <f>+MGSTOD!P33</f>
        <v>389673.60609075648</v>
      </c>
      <c r="D32" s="8">
        <f>+C32-B32</f>
        <v>8399.2068907564972</v>
      </c>
      <c r="E32" s="15">
        <f>+D32/B32</f>
        <v>2.2029296769937701E-2</v>
      </c>
    </row>
    <row r="33" spans="1:5">
      <c r="B33" s="8"/>
    </row>
    <row r="34" spans="1:5">
      <c r="A34" t="s">
        <v>172</v>
      </c>
      <c r="B34" s="8">
        <f>'MGS-PRI'!P38</f>
        <v>995526.69704</v>
      </c>
      <c r="C34" s="8">
        <f>+'MGS-PRI'!R38</f>
        <v>1016581.6900374512</v>
      </c>
      <c r="D34" s="8">
        <f>+C34-B34</f>
        <v>21054.99299745122</v>
      </c>
      <c r="E34" s="15">
        <f>+D34/B34</f>
        <v>2.1149601572769509E-2</v>
      </c>
    </row>
    <row r="35" spans="1:5">
      <c r="B35" s="8"/>
    </row>
    <row r="36" spans="1:5">
      <c r="A36" t="s">
        <v>173</v>
      </c>
      <c r="B36" s="8">
        <f>'MGS-SUB'!P37</f>
        <v>118249.89454999998</v>
      </c>
      <c r="C36" s="8">
        <f>+'MGS-SUB'!R37</f>
        <v>120778.88412345757</v>
      </c>
      <c r="D36" s="8">
        <f>+C36-B36</f>
        <v>2528.9895734575839</v>
      </c>
      <c r="E36" s="15">
        <f>+D36/B36</f>
        <v>2.1386823075670847E-2</v>
      </c>
    </row>
    <row r="37" spans="1:5">
      <c r="B37" s="8"/>
    </row>
    <row r="38" spans="1:5">
      <c r="A38" t="s">
        <v>174</v>
      </c>
      <c r="B38" s="8">
        <f>'LGS-SEC'!P34</f>
        <v>55924423.2302</v>
      </c>
      <c r="C38" s="8">
        <f>+'LGS-SEC'!R34</f>
        <v>57110568.064418025</v>
      </c>
      <c r="D38" s="8">
        <f>+C38-B38</f>
        <v>1186144.8342180252</v>
      </c>
      <c r="E38" s="15">
        <f>+D38/B38</f>
        <v>2.1209782161463398E-2</v>
      </c>
    </row>
    <row r="39" spans="1:5">
      <c r="B39" s="8"/>
    </row>
    <row r="40" spans="1:5">
      <c r="A40" t="s">
        <v>175</v>
      </c>
      <c r="B40" s="8">
        <f>LGSLMTOD!N33</f>
        <v>193128.87399000002</v>
      </c>
      <c r="C40" s="8">
        <f>+LGSLMTOD!P33</f>
        <v>197150.48729777485</v>
      </c>
      <c r="D40" s="8">
        <f>+C40-B40</f>
        <v>4021.6133077748236</v>
      </c>
      <c r="E40" s="15">
        <f>+D40/B40</f>
        <v>2.0823469969503669E-2</v>
      </c>
    </row>
    <row r="41" spans="1:5">
      <c r="B41" s="8"/>
    </row>
    <row r="42" spans="1:5">
      <c r="A42" t="s">
        <v>183</v>
      </c>
      <c r="B42" s="8">
        <f>'LGS-PRI'!P34</f>
        <v>9997621.9594000001</v>
      </c>
      <c r="C42" s="8">
        <f>+'LGS-PRI'!R34</f>
        <v>10201581.610030007</v>
      </c>
      <c r="D42" s="8">
        <f>+C42-B42</f>
        <v>203959.65063000657</v>
      </c>
      <c r="E42" s="15">
        <f>+D42/B42</f>
        <v>2.0400816459982155E-2</v>
      </c>
    </row>
    <row r="43" spans="1:5">
      <c r="B43" s="8"/>
    </row>
    <row r="44" spans="1:5">
      <c r="A44" t="s">
        <v>176</v>
      </c>
      <c r="B44" s="8">
        <f>'LGS-SUB'!P34</f>
        <v>2433637.9613999999</v>
      </c>
      <c r="C44" s="8">
        <f>+'LGS-SUB'!R34</f>
        <v>2475146.0574583858</v>
      </c>
      <c r="D44" s="8">
        <f>+C44-B44</f>
        <v>41508.096058385912</v>
      </c>
      <c r="E44" s="15">
        <f>+D44/B44</f>
        <v>1.705598643543E-2</v>
      </c>
    </row>
    <row r="45" spans="1:5">
      <c r="B45" s="8"/>
      <c r="D45" s="8"/>
      <c r="E45" s="15"/>
    </row>
    <row r="46" spans="1:5">
      <c r="A46" t="s">
        <v>335</v>
      </c>
      <c r="B46" s="8">
        <f>'LGS-TRAN'!P34</f>
        <v>67112.111960000009</v>
      </c>
      <c r="C46" s="8">
        <f>+'LGS-TRAN'!R34</f>
        <v>66944.183546628425</v>
      </c>
      <c r="D46" s="8">
        <f>+C46-B46</f>
        <v>-167.92841337158461</v>
      </c>
      <c r="E46" s="15">
        <f>+D46/B46</f>
        <v>-2.5022072539107824E-3</v>
      </c>
    </row>
    <row r="47" spans="1:5">
      <c r="B47" s="8"/>
    </row>
    <row r="48" spans="1:5">
      <c r="A48" t="s">
        <v>269</v>
      </c>
      <c r="B48" s="8">
        <f>'QP-SEC'!N37</f>
        <v>1893876.0133000002</v>
      </c>
      <c r="C48" s="8">
        <f>+'QP-SEC'!P37</f>
        <v>1931620.2793048946</v>
      </c>
      <c r="D48" s="8">
        <f>+C48-B48</f>
        <v>37744.266004894394</v>
      </c>
      <c r="E48" s="15">
        <f>+D48/B48</f>
        <v>1.9929639395520185E-2</v>
      </c>
    </row>
    <row r="49" spans="1:5">
      <c r="B49" s="8"/>
    </row>
    <row r="50" spans="1:5">
      <c r="A50" t="s">
        <v>184</v>
      </c>
      <c r="B50" s="8">
        <f>'QP-PRI'!P39</f>
        <v>24295070.621679999</v>
      </c>
      <c r="C50" s="8">
        <f>+'QP-PRI'!R39</f>
        <v>24728983.183152553</v>
      </c>
      <c r="D50" s="8">
        <f>+C50-B50</f>
        <v>433912.56147255376</v>
      </c>
      <c r="E50" s="15">
        <f>+D50/B50</f>
        <v>1.7860107024564344E-2</v>
      </c>
    </row>
    <row r="51" spans="1:5">
      <c r="B51" s="8"/>
    </row>
    <row r="52" spans="1:5">
      <c r="A52" t="s">
        <v>177</v>
      </c>
      <c r="B52" s="8">
        <f>'QP-SUB'!P37</f>
        <v>22688792.304889999</v>
      </c>
      <c r="C52" s="8">
        <f>'QP-SUB'!R37</f>
        <v>23091135.383083396</v>
      </c>
      <c r="D52" s="8">
        <f>+C52-B52</f>
        <v>402343.07819339633</v>
      </c>
      <c r="E52" s="15">
        <f>+D52/B52</f>
        <v>1.7733120070330115E-2</v>
      </c>
    </row>
    <row r="53" spans="1:5">
      <c r="B53" s="8"/>
    </row>
    <row r="54" spans="1:5">
      <c r="A54" t="s">
        <v>178</v>
      </c>
      <c r="B54" s="8">
        <f>'QP-TRAN'!P37</f>
        <v>3945188.1501599997</v>
      </c>
      <c r="C54" s="8">
        <f>'QP-TRAN'!R37</f>
        <v>4029237.1074595596</v>
      </c>
      <c r="D54" s="8">
        <f>+C54-B54</f>
        <v>84048.957299559843</v>
      </c>
      <c r="E54" s="15">
        <f>+D54/B54</f>
        <v>2.1304169560620621E-2</v>
      </c>
    </row>
    <row r="55" spans="1:5">
      <c r="B55" s="8"/>
    </row>
    <row r="56" spans="1:5">
      <c r="A56" t="s">
        <v>179</v>
      </c>
      <c r="B56" s="8">
        <f>'CIPTOD-SUB'!P40</f>
        <v>99137776.109260023</v>
      </c>
      <c r="C56" s="8">
        <f>'CIPTOD-SUB'!R40</f>
        <v>100517077.68861462</v>
      </c>
      <c r="D56" s="8">
        <f>+C56-B56</f>
        <v>1379301.5793545991</v>
      </c>
      <c r="E56" s="15">
        <f>+D56/B56</f>
        <v>1.3912976803458522E-2</v>
      </c>
    </row>
    <row r="57" spans="1:5">
      <c r="B57" s="8"/>
    </row>
    <row r="58" spans="1:5">
      <c r="A58" t="s">
        <v>180</v>
      </c>
      <c r="B58" s="8">
        <f>'CIPTOD-TRAN'!P39</f>
        <v>16160780.971999999</v>
      </c>
      <c r="C58" s="8">
        <f>'CIPTOD-TRAN'!R39</f>
        <v>16342555.560998322</v>
      </c>
      <c r="D58" s="8">
        <f>+C58-B58</f>
        <v>181774.58899832331</v>
      </c>
      <c r="E58" s="15">
        <f>+D58/B58</f>
        <v>1.1247883955191527E-2</v>
      </c>
    </row>
    <row r="59" spans="1:5">
      <c r="B59" s="8"/>
      <c r="D59" s="8"/>
      <c r="E59" s="15"/>
    </row>
    <row r="60" spans="1:5">
      <c r="A60" t="s">
        <v>181</v>
      </c>
      <c r="B60" s="8">
        <f>SL!N43</f>
        <v>1375747.9323941716</v>
      </c>
      <c r="C60" s="8">
        <f>SL!P43</f>
        <v>1410251.5084965324</v>
      </c>
      <c r="D60" s="8">
        <f>+C60-B60</f>
        <v>34503.57610236085</v>
      </c>
      <c r="E60" s="15">
        <f>+D60/B60</f>
        <v>2.5079867677733191E-2</v>
      </c>
    </row>
    <row r="61" spans="1:5">
      <c r="B61" s="8"/>
    </row>
    <row r="62" spans="1:5">
      <c r="A62" t="s">
        <v>182</v>
      </c>
      <c r="B62" s="8">
        <f>MW!N33</f>
        <v>354485.95699999999</v>
      </c>
      <c r="C62" s="8">
        <f>MW!P33</f>
        <v>361684.55272720638</v>
      </c>
      <c r="D62" s="8">
        <f>+C62-B62</f>
        <v>7198.5957272063824</v>
      </c>
      <c r="E62" s="15">
        <f>+D62/B62</f>
        <v>2.0307139352226531E-2</v>
      </c>
    </row>
    <row r="64" spans="1:5">
      <c r="A64" t="s">
        <v>18</v>
      </c>
      <c r="B64" s="8">
        <f>SUM(B10:B62)</f>
        <v>546963543.97098041</v>
      </c>
      <c r="C64" s="8">
        <f>SUM(C10:C62)</f>
        <v>556977612.94441998</v>
      </c>
      <c r="D64" s="8">
        <f>+C64-B64</f>
        <v>10014068.973439574</v>
      </c>
      <c r="E64" s="15">
        <f>+D64/B64</f>
        <v>1.8308476101966457E-2</v>
      </c>
    </row>
    <row r="67" spans="1:4">
      <c r="A67" s="88"/>
      <c r="C67" s="8"/>
      <c r="D67" s="8"/>
    </row>
    <row r="68" spans="1:4">
      <c r="A68" s="88"/>
      <c r="C68" s="8"/>
      <c r="D68" s="8"/>
    </row>
    <row r="69" spans="1:4">
      <c r="C69" s="8"/>
      <c r="D69" s="8"/>
    </row>
    <row r="70" spans="1:4">
      <c r="C70" s="8"/>
      <c r="D70" s="8"/>
    </row>
    <row r="71" spans="1:4">
      <c r="C71" s="8"/>
      <c r="D71" s="8"/>
    </row>
    <row r="72" spans="1:4">
      <c r="C72" s="8"/>
      <c r="D72" s="8"/>
    </row>
    <row r="73" spans="1:4">
      <c r="C73" s="8"/>
      <c r="D73" s="8"/>
    </row>
    <row r="74" spans="1:4">
      <c r="C74" s="8"/>
      <c r="D74" s="8"/>
    </row>
    <row r="75" spans="1:4">
      <c r="C75" s="8"/>
      <c r="D75" s="8"/>
    </row>
    <row r="76" spans="1:4">
      <c r="C76" s="8"/>
      <c r="D76" s="8"/>
    </row>
  </sheetData>
  <printOptions horizontalCentered="1"/>
  <pageMargins left="0.25" right="0.25" top="0.75" bottom="0.75" header="0.3" footer="0.3"/>
  <pageSetup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activeCell="D10" sqref="D10"/>
    </sheetView>
  </sheetViews>
  <sheetFormatPr defaultRowHeight="12.75"/>
  <cols>
    <col min="1" max="1" width="26.140625" customWidth="1"/>
    <col min="2" max="2" width="13.42578125" bestFit="1" customWidth="1"/>
    <col min="3" max="3" width="8.5703125" bestFit="1" customWidth="1"/>
    <col min="4" max="6" width="12.7109375" bestFit="1" customWidth="1"/>
    <col min="7" max="7" width="14.85546875" bestFit="1" customWidth="1"/>
    <col min="8" max="8" width="12.7109375" bestFit="1" customWidth="1"/>
    <col min="9" max="9" width="14.42578125" bestFit="1" customWidth="1"/>
    <col min="10" max="10" width="10.42578125" bestFit="1" customWidth="1"/>
    <col min="11" max="11" width="13.42578125" bestFit="1" customWidth="1"/>
    <col min="12" max="12" width="12.7109375" bestFit="1" customWidth="1"/>
    <col min="13" max="13" width="12.28515625" bestFit="1" customWidth="1"/>
    <col min="14" max="14" width="13.42578125" bestFit="1" customWidth="1"/>
    <col min="15" max="15" width="12.7109375" bestFit="1" customWidth="1"/>
    <col min="16" max="16" width="11.28515625" bestFit="1" customWidth="1"/>
    <col min="17" max="17" width="13.42578125" bestFit="1" customWidth="1"/>
    <col min="18" max="18" width="12.7109375" bestFit="1" customWidth="1"/>
    <col min="19" max="19" width="13.140625" bestFit="1" customWidth="1"/>
    <col min="20" max="20" width="12.7109375" bestFit="1" customWidth="1"/>
  </cols>
  <sheetData>
    <row r="1" spans="1:20">
      <c r="A1" t="s">
        <v>0</v>
      </c>
    </row>
    <row r="2" spans="1:20">
      <c r="A2" t="s">
        <v>91</v>
      </c>
    </row>
    <row r="3" spans="1:20">
      <c r="A3" s="88" t="s">
        <v>377</v>
      </c>
    </row>
    <row r="5" spans="1:20">
      <c r="A5" s="5" t="s">
        <v>355</v>
      </c>
    </row>
    <row r="6" spans="1:20">
      <c r="E6" s="37" t="s">
        <v>6</v>
      </c>
      <c r="F6" s="37" t="s">
        <v>6</v>
      </c>
      <c r="G6" s="37" t="s">
        <v>6</v>
      </c>
      <c r="H6" s="96" t="s">
        <v>6</v>
      </c>
      <c r="I6" s="37" t="s">
        <v>6</v>
      </c>
      <c r="M6" s="96" t="s">
        <v>389</v>
      </c>
      <c r="N6" s="96" t="s">
        <v>389</v>
      </c>
      <c r="O6" s="96" t="s">
        <v>389</v>
      </c>
      <c r="S6" s="88" t="s">
        <v>407</v>
      </c>
    </row>
    <row r="7" spans="1:20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1" t="s">
        <v>244</v>
      </c>
      <c r="H7" s="96" t="s">
        <v>370</v>
      </c>
      <c r="I7" s="1" t="s">
        <v>245</v>
      </c>
      <c r="J7" s="1" t="s">
        <v>197</v>
      </c>
      <c r="K7" s="1" t="s">
        <v>197</v>
      </c>
      <c r="L7" s="1" t="s">
        <v>201</v>
      </c>
      <c r="M7" s="96" t="s">
        <v>390</v>
      </c>
      <c r="N7" s="96" t="s">
        <v>391</v>
      </c>
      <c r="O7" s="96" t="s">
        <v>391</v>
      </c>
      <c r="P7" s="1" t="s">
        <v>231</v>
      </c>
      <c r="Q7" s="1" t="s">
        <v>232</v>
      </c>
      <c r="R7" s="1" t="s">
        <v>233</v>
      </c>
      <c r="S7" s="108" t="s">
        <v>387</v>
      </c>
      <c r="T7" s="1" t="s">
        <v>233</v>
      </c>
    </row>
    <row r="8" spans="1:20">
      <c r="A8" s="3" t="s">
        <v>1</v>
      </c>
      <c r="B8" s="3" t="s">
        <v>18</v>
      </c>
      <c r="C8" s="3" t="s">
        <v>5</v>
      </c>
      <c r="D8" s="3" t="s">
        <v>6</v>
      </c>
      <c r="E8" s="3" t="s">
        <v>287</v>
      </c>
      <c r="F8" s="3" t="s">
        <v>205</v>
      </c>
      <c r="G8" s="3" t="s">
        <v>271</v>
      </c>
      <c r="H8" s="3" t="s">
        <v>243</v>
      </c>
      <c r="I8" s="3" t="s">
        <v>246</v>
      </c>
      <c r="J8" s="3" t="s">
        <v>198</v>
      </c>
      <c r="K8" s="3" t="s">
        <v>18</v>
      </c>
      <c r="L8" s="3" t="s">
        <v>6</v>
      </c>
      <c r="M8" s="3" t="s">
        <v>198</v>
      </c>
      <c r="N8" s="3" t="s">
        <v>18</v>
      </c>
      <c r="O8" s="3" t="s">
        <v>376</v>
      </c>
      <c r="P8" s="3" t="s">
        <v>198</v>
      </c>
      <c r="Q8" s="3" t="s">
        <v>18</v>
      </c>
      <c r="R8" s="3" t="s">
        <v>6</v>
      </c>
      <c r="S8" s="3" t="s">
        <v>198</v>
      </c>
      <c r="T8" s="3" t="s">
        <v>6</v>
      </c>
    </row>
    <row r="9" spans="1:20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2" t="s">
        <v>199</v>
      </c>
      <c r="I9" s="97" t="s">
        <v>226</v>
      </c>
      <c r="J9" s="98" t="s">
        <v>310</v>
      </c>
      <c r="K9" s="98" t="s">
        <v>311</v>
      </c>
      <c r="L9" s="98" t="s">
        <v>312</v>
      </c>
      <c r="M9" s="98" t="s">
        <v>283</v>
      </c>
      <c r="N9" s="98" t="s">
        <v>313</v>
      </c>
      <c r="O9" s="98" t="s">
        <v>392</v>
      </c>
      <c r="P9" s="98" t="s">
        <v>394</v>
      </c>
      <c r="Q9" s="98" t="s">
        <v>395</v>
      </c>
      <c r="R9" s="98" t="s">
        <v>396</v>
      </c>
      <c r="S9" s="98" t="s">
        <v>408</v>
      </c>
      <c r="T9" s="96" t="s">
        <v>409</v>
      </c>
    </row>
    <row r="10" spans="1:20">
      <c r="I10" s="39">
        <f>((204806948-5298773)/('12 Months TS'!E115)-0.0284)</f>
        <v>2.0411219651722302E-3</v>
      </c>
    </row>
    <row r="11" spans="1:20">
      <c r="D11" s="11"/>
      <c r="E11" s="11"/>
      <c r="F11" s="11"/>
      <c r="G11" s="11"/>
      <c r="H11" s="11"/>
      <c r="I11" s="11"/>
    </row>
    <row r="12" spans="1:20">
      <c r="A12" s="4" t="s">
        <v>22</v>
      </c>
      <c r="C12" s="23"/>
      <c r="D12" s="11"/>
      <c r="E12" s="11"/>
      <c r="F12" s="11"/>
      <c r="G12" s="11"/>
      <c r="H12" s="11"/>
      <c r="I12" s="11"/>
      <c r="P12" s="6"/>
      <c r="R12" s="10"/>
    </row>
    <row r="13" spans="1:20">
      <c r="A13" t="s">
        <v>281</v>
      </c>
      <c r="B13" s="70">
        <v>2332012455</v>
      </c>
      <c r="C13" s="71">
        <v>8.5900000000000004E-2</v>
      </c>
      <c r="D13" s="8">
        <f>+B13*C13</f>
        <v>200319869.8845</v>
      </c>
      <c r="E13" s="8">
        <f t="shared" ref="E13:I15" si="0">D13</f>
        <v>200319869.8845</v>
      </c>
      <c r="F13" s="8">
        <f t="shared" si="0"/>
        <v>200319869.8845</v>
      </c>
      <c r="G13" s="8">
        <f t="shared" si="0"/>
        <v>200319869.8845</v>
      </c>
      <c r="H13" s="8">
        <f>G13</f>
        <v>200319869.8845</v>
      </c>
      <c r="I13" s="8">
        <f t="shared" si="0"/>
        <v>200319869.8845</v>
      </c>
      <c r="J13" s="74">
        <v>3920630</v>
      </c>
      <c r="K13" s="6">
        <f>+B13+J13</f>
        <v>2335933085</v>
      </c>
      <c r="L13" s="8">
        <f>+C13*K13</f>
        <v>200656652.00150001</v>
      </c>
      <c r="M13" s="74">
        <v>-63344127</v>
      </c>
      <c r="N13" s="6">
        <f>+K13+M13</f>
        <v>2272588958</v>
      </c>
      <c r="O13" s="8">
        <f>+N13*C13</f>
        <v>195215391.49220002</v>
      </c>
      <c r="P13" s="6">
        <f>Q13-N13</f>
        <v>-16972579</v>
      </c>
      <c r="Q13" s="6">
        <f>ROUND(N13*Q$23/N$23,0)-1</f>
        <v>2255616379</v>
      </c>
      <c r="R13" s="8">
        <f>+Q13*C13</f>
        <v>193757446.95610002</v>
      </c>
      <c r="T13" s="8">
        <f>+R13+S13</f>
        <v>193757446.95610002</v>
      </c>
    </row>
    <row r="14" spans="1:20">
      <c r="A14" t="s">
        <v>291</v>
      </c>
      <c r="B14" s="70">
        <v>3234814</v>
      </c>
      <c r="C14" s="71"/>
      <c r="D14" s="8"/>
      <c r="E14" s="8"/>
      <c r="F14" s="8"/>
      <c r="G14" s="8"/>
      <c r="H14" s="8"/>
      <c r="I14" s="8"/>
      <c r="J14" s="74">
        <f>-B14</f>
        <v>-3234814</v>
      </c>
      <c r="K14" s="6">
        <f>+B14+J14</f>
        <v>0</v>
      </c>
      <c r="L14" s="8"/>
      <c r="M14" s="6"/>
      <c r="N14" s="6">
        <f>+K14+M14</f>
        <v>0</v>
      </c>
      <c r="O14" s="8"/>
      <c r="R14" s="8"/>
    </row>
    <row r="15" spans="1:20">
      <c r="A15" t="s">
        <v>306</v>
      </c>
      <c r="B15" s="70">
        <v>263084</v>
      </c>
      <c r="C15" s="71">
        <v>4.9399999999999999E-2</v>
      </c>
      <c r="D15" s="8">
        <f>+B15*C15</f>
        <v>12996.3496</v>
      </c>
      <c r="E15" s="8">
        <f t="shared" si="0"/>
        <v>12996.3496</v>
      </c>
      <c r="F15" s="8">
        <f t="shared" si="0"/>
        <v>12996.3496</v>
      </c>
      <c r="G15" s="8">
        <f t="shared" si="0"/>
        <v>12996.3496</v>
      </c>
      <c r="H15" s="8">
        <f>G15</f>
        <v>12996.3496</v>
      </c>
      <c r="I15" s="8">
        <f t="shared" si="0"/>
        <v>12996.3496</v>
      </c>
      <c r="J15" s="74">
        <v>0</v>
      </c>
      <c r="K15" s="6">
        <f>+B15+J15</f>
        <v>263084</v>
      </c>
      <c r="L15" s="8">
        <f>+C15*K15</f>
        <v>12996.3496</v>
      </c>
      <c r="M15" s="74"/>
      <c r="N15" s="6">
        <f>+K15+M15</f>
        <v>263084</v>
      </c>
      <c r="O15" s="8">
        <f>+N15*C15</f>
        <v>12996.3496</v>
      </c>
      <c r="P15" s="6">
        <f>Q15-N15</f>
        <v>-1965</v>
      </c>
      <c r="Q15" s="6">
        <f>ROUND(N15*Q$23/N$23,0)</f>
        <v>261119</v>
      </c>
      <c r="R15" s="8">
        <f>+Q15*C15</f>
        <v>12899.2786</v>
      </c>
      <c r="T15" s="8">
        <f>+R15+S15</f>
        <v>12899.2786</v>
      </c>
    </row>
    <row r="16" spans="1:20">
      <c r="B16" s="54"/>
      <c r="C16" s="72"/>
      <c r="D16" s="8"/>
      <c r="E16" s="8"/>
      <c r="F16" s="8"/>
      <c r="G16" s="8"/>
      <c r="H16" s="8"/>
      <c r="I16" s="8"/>
      <c r="J16" s="74"/>
      <c r="L16" s="8"/>
      <c r="O16" s="8"/>
      <c r="R16" s="8"/>
    </row>
    <row r="17" spans="1:20">
      <c r="A17" t="s">
        <v>12</v>
      </c>
      <c r="B17" s="54">
        <f>+'12 Months TS'!E18</f>
        <v>2335510353</v>
      </c>
      <c r="C17" s="72"/>
      <c r="D17" s="8"/>
      <c r="E17" s="8"/>
      <c r="F17" s="8"/>
      <c r="G17" s="8"/>
      <c r="H17" s="8"/>
      <c r="I17" s="8"/>
      <c r="J17" s="87">
        <f>SUM(J13:J16)</f>
        <v>685816</v>
      </c>
      <c r="K17" s="6">
        <f>+B17+J17</f>
        <v>2336196169</v>
      </c>
      <c r="L17" s="8"/>
      <c r="M17" s="74">
        <v>-63344127</v>
      </c>
      <c r="N17" s="6">
        <f>+K17+M17</f>
        <v>2272852042</v>
      </c>
      <c r="O17" s="8"/>
      <c r="P17" s="6">
        <f>Q17-N17</f>
        <v>-16974542</v>
      </c>
      <c r="Q17" s="6">
        <f>ROUND(N17*Q$23/N$23,0)</f>
        <v>2255877500</v>
      </c>
      <c r="R17" s="8"/>
    </row>
    <row r="18" spans="1:20">
      <c r="B18" s="54"/>
      <c r="C18" s="72"/>
      <c r="D18" s="8"/>
      <c r="E18" s="8"/>
      <c r="F18" s="8"/>
      <c r="G18" s="8"/>
      <c r="H18" s="8"/>
      <c r="I18" s="8"/>
      <c r="J18" s="74"/>
      <c r="K18" s="6"/>
      <c r="L18" s="8"/>
      <c r="M18" s="6"/>
      <c r="N18" s="6"/>
      <c r="O18" s="8"/>
      <c r="P18" s="6"/>
      <c r="Q18" s="6"/>
      <c r="R18" s="8"/>
    </row>
    <row r="19" spans="1:20">
      <c r="A19" s="88" t="s">
        <v>13</v>
      </c>
      <c r="B19" s="70">
        <v>1663373.3419999999</v>
      </c>
      <c r="C19" s="73">
        <f>8</f>
        <v>8</v>
      </c>
      <c r="D19" s="8">
        <f>+B19*C19</f>
        <v>13306986.736</v>
      </c>
      <c r="E19" s="8">
        <f t="shared" ref="E19:I20" si="1">D19</f>
        <v>13306986.736</v>
      </c>
      <c r="F19" s="8">
        <f t="shared" si="1"/>
        <v>13306986.736</v>
      </c>
      <c r="G19" s="8">
        <f t="shared" si="1"/>
        <v>13306986.736</v>
      </c>
      <c r="H19" s="8">
        <f>G19</f>
        <v>13306986.736</v>
      </c>
      <c r="I19" s="8">
        <f t="shared" si="1"/>
        <v>13306986.736</v>
      </c>
      <c r="J19" s="74">
        <v>471.14</v>
      </c>
      <c r="K19" s="6">
        <f>+B19+J19</f>
        <v>1663844.4819999998</v>
      </c>
      <c r="L19" s="8">
        <f>+C19*K19</f>
        <v>13310755.855999999</v>
      </c>
      <c r="M19" s="6"/>
      <c r="N19" s="6">
        <f>+K19+M19</f>
        <v>1663844.4819999998</v>
      </c>
      <c r="O19" s="8">
        <f>+N19*C19</f>
        <v>13310755.855999999</v>
      </c>
      <c r="P19" s="6">
        <f>Q19-N19</f>
        <v>-12426.481999999844</v>
      </c>
      <c r="Q19" s="6">
        <f>ROUND(N19*Q$23/N$23,0)</f>
        <v>1651418</v>
      </c>
      <c r="R19" s="8">
        <f>+Q19*C19</f>
        <v>13211344</v>
      </c>
      <c r="T19" s="8">
        <f>+R19+S19</f>
        <v>13211344</v>
      </c>
    </row>
    <row r="20" spans="1:20">
      <c r="A20" s="88" t="s">
        <v>361</v>
      </c>
      <c r="B20" s="70">
        <v>6842.4219999999996</v>
      </c>
      <c r="C20" s="89">
        <f>+C19</f>
        <v>8</v>
      </c>
      <c r="D20" s="8">
        <f>+B20*C20</f>
        <v>54739.375999999997</v>
      </c>
      <c r="E20" s="8">
        <f t="shared" si="1"/>
        <v>54739.375999999997</v>
      </c>
      <c r="F20" s="8">
        <f t="shared" si="1"/>
        <v>54739.375999999997</v>
      </c>
      <c r="G20" s="8">
        <f t="shared" si="1"/>
        <v>54739.375999999997</v>
      </c>
      <c r="H20" s="8">
        <f>G20</f>
        <v>54739.375999999997</v>
      </c>
      <c r="I20" s="8">
        <f t="shared" si="1"/>
        <v>54739.375999999997</v>
      </c>
      <c r="J20" s="74">
        <v>0</v>
      </c>
      <c r="K20" s="6">
        <f>+B20+J20</f>
        <v>6842.4219999999996</v>
      </c>
      <c r="L20" s="8">
        <f>+C20*K20</f>
        <v>54739.375999999997</v>
      </c>
      <c r="M20" s="6"/>
      <c r="N20" s="6">
        <f>+K20+M20</f>
        <v>6842.4219999999996</v>
      </c>
      <c r="O20" s="8">
        <f>+N20*C20</f>
        <v>54739.375999999997</v>
      </c>
      <c r="P20" s="6">
        <f>Q20-N20</f>
        <v>-51.421999999999571</v>
      </c>
      <c r="Q20" s="6">
        <f>ROUND(N20*Q$23/N$23,0)</f>
        <v>6791</v>
      </c>
      <c r="R20" s="8">
        <f>+Q20*C20</f>
        <v>54328</v>
      </c>
      <c r="T20" s="8">
        <f>+R20+S20</f>
        <v>54328</v>
      </c>
    </row>
    <row r="21" spans="1:20">
      <c r="A21" s="88" t="s">
        <v>363</v>
      </c>
      <c r="B21" s="90">
        <f>+B19+B20</f>
        <v>1670215.764</v>
      </c>
      <c r="C21" s="73">
        <v>0.15</v>
      </c>
      <c r="D21" s="8">
        <f>+B21*C21</f>
        <v>250532.36459999997</v>
      </c>
      <c r="E21" s="8">
        <f t="shared" ref="E21" si="2">D21</f>
        <v>250532.36459999997</v>
      </c>
      <c r="F21" s="8">
        <f t="shared" ref="F21" si="3">E21</f>
        <v>250532.36459999997</v>
      </c>
      <c r="G21" s="8">
        <f t="shared" ref="G21" si="4">F21</f>
        <v>250532.36459999997</v>
      </c>
      <c r="H21" s="8">
        <f>G21</f>
        <v>250532.36459999997</v>
      </c>
      <c r="I21" s="8">
        <f t="shared" ref="I21" si="5">H21</f>
        <v>250532.36459999997</v>
      </c>
      <c r="J21" s="74">
        <f>+J19+J20</f>
        <v>471.14</v>
      </c>
      <c r="K21" s="6">
        <f>+B21+J21</f>
        <v>1670686.9039999999</v>
      </c>
      <c r="L21" s="8">
        <f>+C21*K21</f>
        <v>250603.03559999997</v>
      </c>
      <c r="M21" s="6"/>
      <c r="N21" s="6">
        <f>+K21+M21</f>
        <v>1670686.9039999999</v>
      </c>
      <c r="O21" s="8">
        <f>+N21*C21</f>
        <v>250603.03559999997</v>
      </c>
      <c r="P21" s="6">
        <f>Q21-N21</f>
        <v>-12476.903999999864</v>
      </c>
      <c r="Q21" s="6">
        <f>ROUND(N21*Q$23/N$23,0)</f>
        <v>1658210</v>
      </c>
      <c r="R21" s="8">
        <f>+Q21*C21</f>
        <v>248731.5</v>
      </c>
      <c r="T21" s="8">
        <f>+R21+S21</f>
        <v>248731.5</v>
      </c>
    </row>
    <row r="22" spans="1:20">
      <c r="B22" s="54"/>
      <c r="D22" s="8"/>
      <c r="E22" s="8"/>
      <c r="F22" s="8"/>
      <c r="G22" s="8"/>
      <c r="H22" s="8"/>
      <c r="I22" s="8"/>
      <c r="J22" s="74"/>
      <c r="L22" s="8"/>
      <c r="O22" s="8"/>
      <c r="R22" s="8"/>
    </row>
    <row r="23" spans="1:20">
      <c r="A23" t="s">
        <v>14</v>
      </c>
      <c r="B23" s="54">
        <f>'Monthly # of Customers'!N17</f>
        <v>1669527</v>
      </c>
      <c r="D23" s="8"/>
      <c r="E23" s="8"/>
      <c r="F23" s="8"/>
      <c r="G23" s="8"/>
      <c r="H23" s="8"/>
      <c r="I23" s="8"/>
      <c r="J23" s="74">
        <v>445</v>
      </c>
      <c r="K23" s="6">
        <f>+B23+J23</f>
        <v>1669972</v>
      </c>
      <c r="L23" s="8"/>
      <c r="M23" s="6"/>
      <c r="N23" s="6">
        <f>+K23+M23</f>
        <v>1669972</v>
      </c>
      <c r="O23" s="8"/>
      <c r="P23" s="6">
        <f>Q23-N23</f>
        <v>-12472</v>
      </c>
      <c r="Q23" s="6">
        <f>+'Monthly # of Customers'!M17*12</f>
        <v>1657500</v>
      </c>
      <c r="R23" s="8"/>
    </row>
    <row r="24" spans="1:20">
      <c r="B24" s="54"/>
      <c r="D24" s="8"/>
      <c r="E24" s="8"/>
      <c r="F24" s="8"/>
      <c r="G24" s="8"/>
      <c r="H24" s="8"/>
      <c r="I24" s="8"/>
      <c r="J24" s="11"/>
      <c r="L24" s="8"/>
      <c r="M24" s="8"/>
      <c r="N24" s="8"/>
      <c r="O24" s="8"/>
      <c r="R24" s="8"/>
    </row>
    <row r="25" spans="1:20">
      <c r="A25" t="s">
        <v>19</v>
      </c>
      <c r="B25" s="54"/>
      <c r="D25" s="8">
        <f>-1*(B20*0.1897*C20/2)-(B20*0.8103*C20)</f>
        <v>-49547.346186399998</v>
      </c>
      <c r="E25" s="8">
        <f t="shared" ref="E25:I25" si="6">D25</f>
        <v>-49547.346186399998</v>
      </c>
      <c r="F25" s="8">
        <f t="shared" si="6"/>
        <v>-49547.346186399998</v>
      </c>
      <c r="G25" s="8">
        <f t="shared" si="6"/>
        <v>-49547.346186399998</v>
      </c>
      <c r="H25" s="8">
        <f>G25</f>
        <v>-49547.346186399998</v>
      </c>
      <c r="I25" s="8">
        <f t="shared" si="6"/>
        <v>-49547.346186399998</v>
      </c>
      <c r="J25" s="95">
        <v>0</v>
      </c>
      <c r="K25" s="10"/>
      <c r="L25" s="8">
        <f>+I25+J25</f>
        <v>-49547.346186399998</v>
      </c>
      <c r="M25" s="8"/>
      <c r="N25" s="8"/>
      <c r="O25" s="8">
        <f>+L25+M25</f>
        <v>-49547.346186399998</v>
      </c>
      <c r="P25" s="8">
        <f>+R25-L25</f>
        <v>370.03618640000059</v>
      </c>
      <c r="R25" s="8">
        <f>ROUND(L25*Q$23/K$23,2)</f>
        <v>-49177.31</v>
      </c>
      <c r="T25" s="8">
        <f>+R25+S25</f>
        <v>-49177.31</v>
      </c>
    </row>
    <row r="26" spans="1:20">
      <c r="B26" s="54"/>
      <c r="D26" s="8"/>
      <c r="E26" s="8"/>
      <c r="F26" s="8"/>
      <c r="G26" s="8"/>
      <c r="H26" s="8"/>
      <c r="I26" s="8"/>
      <c r="J26" s="8"/>
      <c r="L26" s="8"/>
      <c r="M26" s="8">
        <f>+M13*C13</f>
        <v>-5441260.5093</v>
      </c>
      <c r="N26" s="8"/>
      <c r="O26" s="8"/>
      <c r="R26" s="8"/>
    </row>
    <row r="27" spans="1:20">
      <c r="A27" t="s">
        <v>15</v>
      </c>
      <c r="B27" s="54"/>
      <c r="D27" s="8">
        <f>+'B&amp;A Surcharges'!B11</f>
        <v>5457889.5999999996</v>
      </c>
      <c r="E27" s="8">
        <f>D27</f>
        <v>5457889.5999999996</v>
      </c>
      <c r="F27" s="8">
        <f>E27</f>
        <v>5457889.5999999996</v>
      </c>
      <c r="G27" s="8">
        <f>F27</f>
        <v>5457889.5999999996</v>
      </c>
      <c r="H27" s="8">
        <f>G27</f>
        <v>5457889.5999999996</v>
      </c>
      <c r="I27" s="8">
        <f>ROUND(B17*I10,2)</f>
        <v>4767061.4800000004</v>
      </c>
      <c r="J27" s="8">
        <f>ROUND(J17*I10,2)</f>
        <v>1399.83</v>
      </c>
      <c r="K27" s="10"/>
      <c r="L27" s="8">
        <f>+I27+J27</f>
        <v>4768461.3100000005</v>
      </c>
      <c r="M27" s="8">
        <f>ROUND(M17*I10,2)</f>
        <v>-129293.09</v>
      </c>
      <c r="O27" s="8">
        <f>+L27+M27</f>
        <v>4639168.2200000007</v>
      </c>
      <c r="P27" s="8">
        <f>+P17*I10</f>
        <v>-34647.110524938558</v>
      </c>
      <c r="R27" s="8">
        <f>ROUND(I10*Q17,2)</f>
        <v>4604521.12</v>
      </c>
      <c r="T27" s="8">
        <f>+R27+S27</f>
        <v>4604521.12</v>
      </c>
    </row>
    <row r="28" spans="1:20">
      <c r="B28" s="54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  <c r="R28" s="8"/>
    </row>
    <row r="29" spans="1:20">
      <c r="A29" t="s">
        <v>17</v>
      </c>
      <c r="B29" s="54"/>
      <c r="D29" s="8">
        <f>+'B&amp;A Surcharges'!D11</f>
        <v>937110.27</v>
      </c>
      <c r="E29" s="8">
        <f>D29</f>
        <v>937110.27</v>
      </c>
      <c r="F29" s="8">
        <v>0</v>
      </c>
      <c r="G29" s="8">
        <f>F29</f>
        <v>0</v>
      </c>
      <c r="H29" s="8">
        <f>G29</f>
        <v>0</v>
      </c>
      <c r="I29" s="8">
        <f>H29</f>
        <v>0</v>
      </c>
      <c r="J29" s="8"/>
      <c r="K29" s="10"/>
      <c r="L29" s="8">
        <f>+I29+J29</f>
        <v>0</v>
      </c>
      <c r="M29" s="8"/>
      <c r="N29" s="8"/>
      <c r="O29" s="8">
        <f>+L29+M29</f>
        <v>0</v>
      </c>
      <c r="P29" s="8"/>
      <c r="R29" s="8">
        <f>ROUND(L29*Q$23/K$23,2)</f>
        <v>0</v>
      </c>
      <c r="T29" s="8">
        <f>+R29+S29</f>
        <v>0</v>
      </c>
    </row>
    <row r="30" spans="1:20">
      <c r="B30" s="54"/>
      <c r="D30" s="8"/>
      <c r="E30" s="8"/>
      <c r="F30" s="8"/>
      <c r="G30" s="8"/>
      <c r="H30" s="8"/>
      <c r="I30" s="8"/>
      <c r="J30" s="8"/>
      <c r="K30" s="10"/>
      <c r="L30" s="8"/>
      <c r="M30" s="8"/>
      <c r="N30" s="8"/>
      <c r="O30" s="8"/>
      <c r="P30" s="8"/>
      <c r="R30" s="8"/>
    </row>
    <row r="31" spans="1:20">
      <c r="A31" t="s">
        <v>16</v>
      </c>
      <c r="B31" s="54"/>
      <c r="D31" s="8">
        <f>+'B&amp;A Surcharges'!J11</f>
        <v>-1175566.97</v>
      </c>
      <c r="E31" s="8">
        <f t="shared" ref="E31:I31" si="7">D31</f>
        <v>-1175566.97</v>
      </c>
      <c r="F31" s="8">
        <f t="shared" si="7"/>
        <v>-1175566.97</v>
      </c>
      <c r="G31" s="8">
        <f t="shared" si="7"/>
        <v>-1175566.97</v>
      </c>
      <c r="H31" s="8">
        <v>0</v>
      </c>
      <c r="I31" s="8">
        <f t="shared" si="7"/>
        <v>0</v>
      </c>
      <c r="J31" s="95">
        <v>0</v>
      </c>
      <c r="K31" s="10"/>
      <c r="L31" s="8">
        <f>+I31+J31</f>
        <v>0</v>
      </c>
      <c r="M31" s="8">
        <f>+L31/K17*M17</f>
        <v>0</v>
      </c>
      <c r="N31" s="8"/>
      <c r="O31" s="8">
        <f>+L31+M31</f>
        <v>0</v>
      </c>
      <c r="P31" s="8">
        <f>+R31-L31</f>
        <v>0</v>
      </c>
      <c r="R31" s="8">
        <f>ROUND(L31*Q$23/K$23,2)</f>
        <v>0</v>
      </c>
      <c r="T31" s="8">
        <f>+R31+S31</f>
        <v>0</v>
      </c>
    </row>
    <row r="32" spans="1:20">
      <c r="B32" s="54"/>
      <c r="D32" s="8"/>
      <c r="E32" s="8"/>
      <c r="F32" s="8"/>
      <c r="G32" s="8"/>
      <c r="H32" s="8"/>
      <c r="I32" s="8"/>
      <c r="J32" s="8"/>
      <c r="K32" s="10"/>
      <c r="L32" s="8"/>
      <c r="M32" s="8"/>
      <c r="N32" s="8"/>
      <c r="O32" s="8"/>
      <c r="P32" s="8"/>
      <c r="R32" s="8"/>
    </row>
    <row r="33" spans="1:20">
      <c r="A33" t="s">
        <v>271</v>
      </c>
      <c r="B33" s="54"/>
      <c r="D33" s="8">
        <f>+'B&amp;A Surcharges'!F11</f>
        <v>2265445.06</v>
      </c>
      <c r="E33" s="8">
        <f>D33</f>
        <v>2265445.06</v>
      </c>
      <c r="F33" s="8">
        <f>E33</f>
        <v>2265445.06</v>
      </c>
      <c r="G33" s="8">
        <v>0</v>
      </c>
      <c r="H33" s="8">
        <f>G33</f>
        <v>0</v>
      </c>
      <c r="I33" s="8">
        <f>H33</f>
        <v>0</v>
      </c>
      <c r="J33" s="10"/>
      <c r="K33" s="10"/>
      <c r="L33" s="8">
        <f>+I33+J33</f>
        <v>0</v>
      </c>
      <c r="M33" s="8"/>
      <c r="N33" s="8"/>
      <c r="O33" s="8">
        <f>+L33+M33</f>
        <v>0</v>
      </c>
      <c r="P33" s="10"/>
      <c r="R33" s="8">
        <f>ROUND(L33*Q$23/K$23,2)</f>
        <v>0</v>
      </c>
      <c r="T33" s="8">
        <f>+R33+S33</f>
        <v>0</v>
      </c>
    </row>
    <row r="34" spans="1:20">
      <c r="B34" s="54"/>
      <c r="D34" s="8"/>
      <c r="E34" s="8"/>
      <c r="F34" s="8"/>
      <c r="G34" s="8"/>
      <c r="H34" s="8"/>
      <c r="I34" s="8"/>
      <c r="J34" s="10"/>
      <c r="K34" s="10"/>
      <c r="L34" s="8"/>
      <c r="M34" s="8"/>
      <c r="N34" s="8"/>
      <c r="O34" s="8"/>
      <c r="P34" s="10"/>
      <c r="R34" s="8"/>
    </row>
    <row r="35" spans="1:20">
      <c r="A35" s="88" t="s">
        <v>388</v>
      </c>
      <c r="B35" s="54"/>
      <c r="D35" s="8">
        <f>+'B&amp;A Surcharges'!N11</f>
        <v>12794215.700000001</v>
      </c>
      <c r="E35" s="8">
        <f t="shared" ref="E35" si="8">D35</f>
        <v>12794215.700000001</v>
      </c>
      <c r="F35" s="8">
        <f t="shared" ref="F35" si="9">E35</f>
        <v>12794215.700000001</v>
      </c>
      <c r="G35" s="8">
        <f t="shared" ref="G35" si="10">F35</f>
        <v>12794215.700000001</v>
      </c>
      <c r="H35" s="8">
        <f>G35</f>
        <v>12794215.700000001</v>
      </c>
      <c r="I35" s="8">
        <f t="shared" ref="I35" si="11">H35</f>
        <v>12794215.700000001</v>
      </c>
      <c r="J35" s="95">
        <v>5033.5460000000003</v>
      </c>
      <c r="K35" s="10"/>
      <c r="L35" s="8">
        <f>+I35+J35</f>
        <v>12799249.246000001</v>
      </c>
      <c r="M35" s="8">
        <f>+L35/K17*M17</f>
        <v>-347041.60570998618</v>
      </c>
      <c r="N35" s="8"/>
      <c r="O35" s="8">
        <f>+L35+M35</f>
        <v>12452207.640290014</v>
      </c>
      <c r="P35" s="8">
        <f>+R35-O35</f>
        <v>-92997.930290013552</v>
      </c>
      <c r="R35" s="8">
        <f>ROUND(O35*Q$23/N$23,2)</f>
        <v>12359209.710000001</v>
      </c>
      <c r="S35" s="8">
        <f>+'ATR Adjustment WP'!G11</f>
        <v>4075207.5970995273</v>
      </c>
      <c r="T35" s="8">
        <f>+R35+S35</f>
        <v>16434417.307099529</v>
      </c>
    </row>
    <row r="36" spans="1:20">
      <c r="B36" s="54"/>
      <c r="D36" s="8"/>
      <c r="E36" s="8"/>
      <c r="F36" s="8"/>
      <c r="G36" s="8"/>
      <c r="H36" s="8"/>
      <c r="I36" s="8"/>
      <c r="J36" s="10"/>
      <c r="K36" s="10"/>
      <c r="L36" s="8"/>
      <c r="M36" s="8"/>
      <c r="N36" s="8"/>
      <c r="O36" s="8"/>
      <c r="P36" s="10"/>
      <c r="R36" s="8"/>
    </row>
    <row r="37" spans="1:20">
      <c r="A37" t="s">
        <v>286</v>
      </c>
      <c r="B37" s="54">
        <v>0</v>
      </c>
      <c r="C37" s="73">
        <v>2</v>
      </c>
      <c r="D37" s="8">
        <f>+B37*C37</f>
        <v>0</v>
      </c>
      <c r="E37" s="8">
        <v>0</v>
      </c>
      <c r="F37" s="8">
        <f>E37</f>
        <v>0</v>
      </c>
      <c r="G37" s="8">
        <f>F37</f>
        <v>0</v>
      </c>
      <c r="H37" s="8">
        <f>G37</f>
        <v>0</v>
      </c>
      <c r="I37" s="8">
        <f>H37</f>
        <v>0</v>
      </c>
      <c r="J37" s="10"/>
      <c r="K37" s="10"/>
      <c r="L37" s="8">
        <f>I37</f>
        <v>0</v>
      </c>
      <c r="M37" s="8"/>
      <c r="N37" s="8"/>
      <c r="O37" s="8">
        <f>+L37+M37</f>
        <v>0</v>
      </c>
      <c r="P37" s="10"/>
      <c r="R37" s="8">
        <f>L37</f>
        <v>0</v>
      </c>
      <c r="T37" s="8">
        <f>+R37+S37</f>
        <v>0</v>
      </c>
    </row>
    <row r="38" spans="1:20">
      <c r="D38" s="8"/>
      <c r="E38" s="8"/>
      <c r="F38" s="8"/>
      <c r="G38" s="8"/>
      <c r="H38" s="8"/>
      <c r="I38" s="8"/>
      <c r="J38" s="10"/>
      <c r="K38" s="10"/>
      <c r="L38" s="8"/>
      <c r="M38" s="8"/>
      <c r="N38" s="8"/>
      <c r="O38" s="8"/>
      <c r="R38" s="8"/>
    </row>
    <row r="39" spans="1:20">
      <c r="A39" t="s">
        <v>18</v>
      </c>
      <c r="D39" s="8">
        <f>SUM(D11:D38)</f>
        <v>234174671.02451357</v>
      </c>
      <c r="E39" s="8">
        <f t="shared" ref="E39:I39" si="12">SUM(E11:E38)</f>
        <v>234174671.02451357</v>
      </c>
      <c r="F39" s="8">
        <f t="shared" si="12"/>
        <v>233237560.75451356</v>
      </c>
      <c r="G39" s="8">
        <f t="shared" si="12"/>
        <v>230972115.69451356</v>
      </c>
      <c r="H39" s="8">
        <f t="shared" si="12"/>
        <v>232147682.66451356</v>
      </c>
      <c r="I39" s="8">
        <f t="shared" si="12"/>
        <v>231456854.54451355</v>
      </c>
      <c r="J39" s="10"/>
      <c r="K39" s="10"/>
      <c r="L39" s="8">
        <f>SUM(L11:L38)</f>
        <v>231803909.82851359</v>
      </c>
      <c r="M39" s="8">
        <f>SUM(M26:M35)</f>
        <v>-5917595.2050099857</v>
      </c>
      <c r="N39" s="8"/>
      <c r="O39" s="8">
        <f>SUM(O11:O38)</f>
        <v>225886314.62350363</v>
      </c>
      <c r="P39" s="8"/>
      <c r="R39" s="8">
        <f>SUM(R11:R38)</f>
        <v>224199303.25470003</v>
      </c>
      <c r="T39" s="8">
        <f>SUM(T11:T38)</f>
        <v>228274510.85179955</v>
      </c>
    </row>
    <row r="40" spans="1:20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20">
      <c r="E41" s="10"/>
      <c r="F41" s="10"/>
      <c r="G41" s="10"/>
      <c r="H41" s="10"/>
      <c r="I41" s="10"/>
      <c r="R41" s="8"/>
    </row>
    <row r="42" spans="1:20">
      <c r="D42" s="10"/>
      <c r="E42" s="10"/>
      <c r="F42" s="10"/>
      <c r="G42" s="10"/>
      <c r="H42" s="10"/>
      <c r="I42" s="10"/>
      <c r="P42" s="8"/>
    </row>
    <row r="43" spans="1:20">
      <c r="D43" s="10"/>
      <c r="E43" s="10"/>
      <c r="F43" s="10"/>
      <c r="G43" s="10"/>
      <c r="H43" s="10"/>
      <c r="I43" s="10"/>
    </row>
    <row r="44" spans="1:20">
      <c r="D44" s="12"/>
      <c r="E44" s="12"/>
      <c r="F44" s="12"/>
      <c r="G44" s="12"/>
      <c r="H44" s="12"/>
      <c r="I44" s="12"/>
    </row>
  </sheetData>
  <phoneticPr fontId="0" type="noConversion"/>
  <printOptions horizontalCentered="1"/>
  <pageMargins left="0.25" right="0.25" top="0.75" bottom="0.75" header="0.3" footer="0.3"/>
  <pageSetup scale="5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Q3" sqref="Q3"/>
    </sheetView>
  </sheetViews>
  <sheetFormatPr defaultRowHeight="12.75"/>
  <cols>
    <col min="1" max="1" width="25.42578125" customWidth="1"/>
    <col min="2" max="2" width="9.710937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2.28515625" bestFit="1" customWidth="1"/>
    <col min="13" max="13" width="12.7109375" bestFit="1" customWidth="1"/>
    <col min="14" max="14" width="11.5703125" customWidth="1"/>
    <col min="15" max="15" width="10.42578125" bestFit="1" customWidth="1"/>
    <col min="16" max="16" width="12.7109375" bestFit="1" customWidth="1"/>
    <col min="17" max="17" width="11.5703125" bestFit="1" customWidth="1"/>
    <col min="18" max="18" width="13.140625" bestFit="1" customWidth="1"/>
    <col min="19" max="19" width="12.7109375" bestFit="1" customWidth="1"/>
  </cols>
  <sheetData>
    <row r="1" spans="1:19">
      <c r="A1" t="str">
        <f>+RS!A1</f>
        <v>KENTUCKY POWER BILLING ANALYSIS</v>
      </c>
    </row>
    <row r="2" spans="1:19">
      <c r="A2" t="str">
        <f>+RS!A2</f>
        <v>PER BOOKS</v>
      </c>
    </row>
    <row r="3" spans="1:19">
      <c r="A3" t="str">
        <f>+RS!A3</f>
        <v>TEST YEAR ENDED SEPTEMBER 30, 2014</v>
      </c>
    </row>
    <row r="5" spans="1:19">
      <c r="A5" t="s">
        <v>262</v>
      </c>
    </row>
    <row r="6" spans="1:19">
      <c r="E6" s="37" t="s">
        <v>6</v>
      </c>
      <c r="F6" s="37" t="s">
        <v>6</v>
      </c>
      <c r="G6" s="37" t="str">
        <f>+RS!H6</f>
        <v>Revenue</v>
      </c>
      <c r="H6" s="37" t="s">
        <v>6</v>
      </c>
      <c r="S6" s="96"/>
    </row>
    <row r="7" spans="1:19">
      <c r="E7" s="1" t="s">
        <v>244</v>
      </c>
      <c r="F7" s="1" t="s">
        <v>244</v>
      </c>
      <c r="G7" s="96" t="s">
        <v>244</v>
      </c>
      <c r="H7" s="96" t="s">
        <v>245</v>
      </c>
      <c r="L7" s="96" t="s">
        <v>389</v>
      </c>
      <c r="M7" s="96" t="s">
        <v>389</v>
      </c>
      <c r="N7" s="96" t="s">
        <v>389</v>
      </c>
      <c r="R7" s="96" t="str">
        <f>+RS!S6</f>
        <v>Asset Transfer</v>
      </c>
      <c r="S7" s="96"/>
    </row>
    <row r="8" spans="1:19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96" t="s">
        <v>390</v>
      </c>
      <c r="M8" s="96" t="s">
        <v>391</v>
      </c>
      <c r="N8" s="96" t="s">
        <v>391</v>
      </c>
      <c r="O8" s="1" t="s">
        <v>231</v>
      </c>
      <c r="P8" s="1" t="s">
        <v>232</v>
      </c>
      <c r="Q8" s="1" t="s">
        <v>233</v>
      </c>
      <c r="R8" s="96" t="str">
        <f>+RS!S7</f>
        <v>Rider</v>
      </c>
      <c r="S8" s="96" t="str">
        <f>+RS!T7</f>
        <v>Revised</v>
      </c>
    </row>
    <row r="9" spans="1:19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376</v>
      </c>
      <c r="O9" s="3" t="s">
        <v>198</v>
      </c>
      <c r="P9" s="3" t="s">
        <v>18</v>
      </c>
      <c r="Q9" s="3" t="s">
        <v>6</v>
      </c>
      <c r="R9" s="3" t="str">
        <f>+RS!S8</f>
        <v>Adjustment</v>
      </c>
      <c r="S9" s="3" t="str">
        <f>+RS!T8</f>
        <v>Revenue</v>
      </c>
    </row>
    <row r="10" spans="1:19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2" t="s">
        <v>199</v>
      </c>
      <c r="I10" s="2" t="s">
        <v>226</v>
      </c>
      <c r="J10" s="98" t="s">
        <v>379</v>
      </c>
      <c r="K10" s="98" t="s">
        <v>380</v>
      </c>
      <c r="L10" s="98" t="s">
        <v>381</v>
      </c>
      <c r="M10" s="98" t="s">
        <v>397</v>
      </c>
      <c r="N10" s="98" t="s">
        <v>383</v>
      </c>
      <c r="O10" s="98" t="s">
        <v>371</v>
      </c>
      <c r="P10" s="98" t="s">
        <v>398</v>
      </c>
      <c r="Q10" s="98" t="s">
        <v>372</v>
      </c>
      <c r="R10" s="98" t="s">
        <v>410</v>
      </c>
      <c r="S10" s="96" t="s">
        <v>411</v>
      </c>
    </row>
    <row r="11" spans="1:19">
      <c r="A11" s="2"/>
      <c r="B11" s="2"/>
      <c r="C11" s="2"/>
      <c r="D11" s="2"/>
      <c r="H11" s="39">
        <f>RS!$I$10</f>
        <v>2.0411219651722302E-3</v>
      </c>
    </row>
    <row r="12" spans="1:19">
      <c r="D12" s="10"/>
      <c r="E12" s="11"/>
      <c r="F12" s="11"/>
      <c r="G12" s="11"/>
      <c r="H12" s="11"/>
    </row>
    <row r="13" spans="1:19">
      <c r="A13" s="4" t="s">
        <v>22</v>
      </c>
      <c r="D13" s="10"/>
      <c r="E13" s="11"/>
      <c r="F13" s="11"/>
      <c r="G13" s="11"/>
      <c r="H13" s="11"/>
      <c r="J13" s="6"/>
      <c r="K13" s="10"/>
      <c r="L13" s="10"/>
      <c r="M13" s="10"/>
      <c r="N13" s="10"/>
      <c r="O13" s="6"/>
      <c r="Q13" s="10"/>
    </row>
    <row r="14" spans="1:19">
      <c r="A14" t="s">
        <v>23</v>
      </c>
      <c r="B14" s="74">
        <v>1526539</v>
      </c>
      <c r="C14" s="71">
        <v>0.13227</v>
      </c>
      <c r="D14" s="8">
        <f>+B14*C14</f>
        <v>201915.31352999998</v>
      </c>
      <c r="E14" s="8">
        <f>D14</f>
        <v>201915.31352999998</v>
      </c>
      <c r="F14" s="8">
        <f>E14</f>
        <v>201915.31352999998</v>
      </c>
      <c r="G14" s="8">
        <f>+F14</f>
        <v>201915.31352999998</v>
      </c>
      <c r="H14" s="8">
        <f t="shared" ref="H14:H15" si="0">+G14</f>
        <v>201915.31352999998</v>
      </c>
      <c r="I14" s="74">
        <v>9946</v>
      </c>
      <c r="J14" s="6">
        <f>+B14+I14</f>
        <v>1536485</v>
      </c>
      <c r="K14" s="8">
        <f>+C14*J14</f>
        <v>203230.87095000001</v>
      </c>
      <c r="L14" s="6">
        <v>-41438</v>
      </c>
      <c r="M14" s="6">
        <f>+J14+L14</f>
        <v>1495047</v>
      </c>
      <c r="N14" s="8">
        <f>+M14*C14</f>
        <v>197749.86669</v>
      </c>
      <c r="O14" s="6">
        <f>P14-M14</f>
        <v>-15058</v>
      </c>
      <c r="P14" s="6">
        <f>ROUND(M14*P$26/M$26,0)</f>
        <v>1479989</v>
      </c>
      <c r="Q14" s="8">
        <f>+P14*C14</f>
        <v>195758.14502999999</v>
      </c>
      <c r="S14" s="8">
        <f>+Q14+R14</f>
        <v>195758.14502999999</v>
      </c>
    </row>
    <row r="15" spans="1:19">
      <c r="A15" t="s">
        <v>24</v>
      </c>
      <c r="B15" s="74">
        <v>2858540</v>
      </c>
      <c r="C15" s="71">
        <v>4.9399999999999999E-2</v>
      </c>
      <c r="D15" s="8">
        <f>+B15*C15</f>
        <v>141211.87599999999</v>
      </c>
      <c r="E15" s="8">
        <f>D15</f>
        <v>141211.87599999999</v>
      </c>
      <c r="F15" s="8">
        <f>E15</f>
        <v>141211.87599999999</v>
      </c>
      <c r="G15" s="8">
        <f>+F15</f>
        <v>141211.87599999999</v>
      </c>
      <c r="H15" s="8">
        <f t="shared" si="0"/>
        <v>141211.87599999999</v>
      </c>
      <c r="I15" s="74">
        <v>17183</v>
      </c>
      <c r="J15" s="6">
        <f>+B15+I15</f>
        <v>2875723</v>
      </c>
      <c r="K15" s="8">
        <f>+C15*J15</f>
        <v>142060.7162</v>
      </c>
      <c r="L15" s="6">
        <v>-102019</v>
      </c>
      <c r="M15" s="6">
        <f>+J15+L15</f>
        <v>2773704</v>
      </c>
      <c r="N15" s="8">
        <f>+M15*C15</f>
        <v>137020.97760000001</v>
      </c>
      <c r="O15" s="6">
        <f>P15-M15</f>
        <v>-27937</v>
      </c>
      <c r="P15" s="6">
        <f>ROUND(M15*P$26/M$26,0)</f>
        <v>2745767</v>
      </c>
      <c r="Q15" s="8">
        <f>+P15*C15</f>
        <v>135640.8898</v>
      </c>
      <c r="S15" s="8">
        <f>+Q15+R15</f>
        <v>135640.8898</v>
      </c>
    </row>
    <row r="16" spans="1:19">
      <c r="B16" s="6"/>
      <c r="C16" s="71"/>
      <c r="D16" s="8"/>
      <c r="E16" s="8"/>
      <c r="F16" s="8"/>
      <c r="G16" s="8"/>
      <c r="H16" s="8"/>
      <c r="I16" s="6"/>
      <c r="K16" s="8"/>
      <c r="N16" s="8"/>
      <c r="Q16" s="8"/>
    </row>
    <row r="17" spans="1:19">
      <c r="A17" t="s">
        <v>12</v>
      </c>
      <c r="B17" s="6">
        <f>+'12 Months TS'!E24</f>
        <v>4385079</v>
      </c>
      <c r="C17" s="71"/>
      <c r="D17" s="8"/>
      <c r="E17" s="8"/>
      <c r="F17" s="8"/>
      <c r="G17" s="8"/>
      <c r="H17" s="8"/>
      <c r="I17" s="6">
        <f>SUM(I14:I16)</f>
        <v>27129</v>
      </c>
      <c r="J17" s="6">
        <f>+B17+I17</f>
        <v>4412208</v>
      </c>
      <c r="K17" s="8"/>
      <c r="L17" s="6">
        <v>-143457</v>
      </c>
      <c r="M17" s="6">
        <f>+J17+L17</f>
        <v>4268751</v>
      </c>
      <c r="N17" s="8"/>
      <c r="O17" s="6">
        <f>P17-M17</f>
        <v>-42995</v>
      </c>
      <c r="P17" s="6">
        <f>ROUND(M17*P$26/M$26,0)</f>
        <v>4225756</v>
      </c>
      <c r="Q17" s="8"/>
    </row>
    <row r="18" spans="1:19">
      <c r="B18" s="7"/>
      <c r="C18" s="71"/>
      <c r="D18" s="8"/>
      <c r="E18" s="8"/>
      <c r="F18" s="8"/>
      <c r="G18" s="8"/>
      <c r="H18" s="8"/>
      <c r="I18" s="6"/>
      <c r="K18" s="8"/>
      <c r="N18" s="8"/>
      <c r="Q18" s="8"/>
    </row>
    <row r="19" spans="1:19">
      <c r="A19" t="s">
        <v>105</v>
      </c>
      <c r="B19" s="75">
        <v>0</v>
      </c>
      <c r="C19" s="71">
        <v>-7.45E-3</v>
      </c>
      <c r="D19" s="8">
        <f>+B19*C19</f>
        <v>0</v>
      </c>
      <c r="E19" s="8">
        <f>D19</f>
        <v>0</v>
      </c>
      <c r="F19" s="8">
        <f>E19</f>
        <v>0</v>
      </c>
      <c r="G19" s="8">
        <f>+F19</f>
        <v>0</v>
      </c>
      <c r="H19" s="8">
        <f>+G19</f>
        <v>0</v>
      </c>
      <c r="I19" s="6"/>
      <c r="J19" s="6">
        <f>+B19+I19</f>
        <v>0</v>
      </c>
      <c r="K19" s="8">
        <f>+C19*J19</f>
        <v>0</v>
      </c>
      <c r="L19" s="6"/>
      <c r="M19" s="6"/>
      <c r="N19" s="8">
        <f>+M19*C19</f>
        <v>0</v>
      </c>
      <c r="O19" s="6">
        <f>P19-M19</f>
        <v>0</v>
      </c>
      <c r="P19" s="6">
        <f>ROUND(M19*P$26/M$26,0)</f>
        <v>0</v>
      </c>
      <c r="Q19" s="8"/>
    </row>
    <row r="20" spans="1:19">
      <c r="B20" s="7"/>
      <c r="C20" s="72"/>
      <c r="D20" s="8"/>
      <c r="E20" s="8"/>
      <c r="F20" s="8"/>
      <c r="G20" s="8"/>
      <c r="H20" s="8"/>
      <c r="I20" s="6"/>
      <c r="K20" s="8"/>
      <c r="N20" s="8"/>
      <c r="Q20" s="8"/>
    </row>
    <row r="21" spans="1:19">
      <c r="A21" s="88" t="s">
        <v>13</v>
      </c>
      <c r="B21" s="75">
        <v>1801.5400000000002</v>
      </c>
      <c r="C21" s="73">
        <f>10.55</f>
        <v>10.55</v>
      </c>
      <c r="D21" s="8">
        <f>+B21*C21</f>
        <v>19006.247000000003</v>
      </c>
      <c r="E21" s="8">
        <f t="shared" ref="E21:F23" si="1">D21</f>
        <v>19006.247000000003</v>
      </c>
      <c r="F21" s="8">
        <f t="shared" si="1"/>
        <v>19006.247000000003</v>
      </c>
      <c r="G21" s="8">
        <f>+F21</f>
        <v>19006.247000000003</v>
      </c>
      <c r="H21" s="8">
        <f t="shared" ref="H21:H24" si="2">+G21</f>
        <v>19006.247000000003</v>
      </c>
      <c r="I21" s="74">
        <v>6.98</v>
      </c>
      <c r="J21" s="6">
        <f>+B21+I21</f>
        <v>1808.5200000000002</v>
      </c>
      <c r="K21" s="8">
        <f>+C21*J21</f>
        <v>19079.886000000002</v>
      </c>
      <c r="L21" s="6"/>
      <c r="M21" s="6">
        <f>+J21+L21</f>
        <v>1808.5200000000002</v>
      </c>
      <c r="N21" s="8">
        <f>+M21*C21</f>
        <v>19079.886000000002</v>
      </c>
      <c r="O21" s="6">
        <f>P21-M21</f>
        <v>-18.520000000000209</v>
      </c>
      <c r="P21" s="6">
        <f>ROUND(M21*P$26/M$26,0)</f>
        <v>1790</v>
      </c>
      <c r="Q21" s="8">
        <f>+P21*C21</f>
        <v>18884.5</v>
      </c>
      <c r="S21" s="8">
        <f>+Q21+R21</f>
        <v>18884.5</v>
      </c>
    </row>
    <row r="22" spans="1:19">
      <c r="A22" s="88" t="s">
        <v>364</v>
      </c>
      <c r="B22" s="75">
        <v>108</v>
      </c>
      <c r="C22" s="73">
        <f>3</f>
        <v>3</v>
      </c>
      <c r="D22" s="8">
        <f>+B22*C22</f>
        <v>324</v>
      </c>
      <c r="E22" s="8">
        <f t="shared" si="1"/>
        <v>324</v>
      </c>
      <c r="F22" s="8">
        <f t="shared" si="1"/>
        <v>324</v>
      </c>
      <c r="G22" s="8">
        <f>+F22</f>
        <v>324</v>
      </c>
      <c r="H22" s="8">
        <f t="shared" si="2"/>
        <v>324</v>
      </c>
      <c r="I22" s="74">
        <v>0</v>
      </c>
      <c r="J22" s="6">
        <f>+B22+I22</f>
        <v>108</v>
      </c>
      <c r="K22" s="8">
        <f>+C22*J22</f>
        <v>324</v>
      </c>
      <c r="L22" s="6"/>
      <c r="M22" s="6">
        <f>+J22+L22</f>
        <v>108</v>
      </c>
      <c r="N22" s="8">
        <f>+M22*C22</f>
        <v>324</v>
      </c>
      <c r="O22" s="6">
        <f>P22-M22</f>
        <v>-1</v>
      </c>
      <c r="P22" s="6">
        <f>ROUND(M22*P$26/M$26,0)</f>
        <v>107</v>
      </c>
      <c r="Q22" s="8">
        <f>+P22*C22</f>
        <v>321</v>
      </c>
      <c r="S22" s="8">
        <f>+Q22+R22</f>
        <v>321</v>
      </c>
    </row>
    <row r="23" spans="1:19">
      <c r="A23" s="88" t="s">
        <v>361</v>
      </c>
      <c r="B23" s="75">
        <v>168.73799999999997</v>
      </c>
      <c r="C23" s="89">
        <f>+C21</f>
        <v>10.55</v>
      </c>
      <c r="D23" s="8">
        <f>+B23*C23</f>
        <v>1780.1858999999997</v>
      </c>
      <c r="E23" s="8">
        <f t="shared" si="1"/>
        <v>1780.1858999999997</v>
      </c>
      <c r="F23" s="8">
        <f t="shared" si="1"/>
        <v>1780.1858999999997</v>
      </c>
      <c r="G23" s="8">
        <f>+F23</f>
        <v>1780.1858999999997</v>
      </c>
      <c r="H23" s="8">
        <f t="shared" si="2"/>
        <v>1780.1858999999997</v>
      </c>
      <c r="I23" s="74">
        <v>0</v>
      </c>
      <c r="J23" s="6">
        <f>+B23+I23</f>
        <v>168.73799999999997</v>
      </c>
      <c r="K23" s="8">
        <f>+C23*J23</f>
        <v>1780.1858999999997</v>
      </c>
      <c r="L23" s="6"/>
      <c r="M23" s="6">
        <f>+J23+L23</f>
        <v>168.73799999999997</v>
      </c>
      <c r="N23" s="8">
        <f>+M23*C23</f>
        <v>1780.1858999999997</v>
      </c>
      <c r="O23" s="6">
        <f>P23-M23</f>
        <v>-1.7379999999999711</v>
      </c>
      <c r="P23" s="6">
        <f>ROUND(M23*P$26/M$26,0)</f>
        <v>167</v>
      </c>
      <c r="Q23" s="8">
        <f>+P23*C23</f>
        <v>1761.8500000000001</v>
      </c>
      <c r="S23" s="8">
        <f>+Q23+R23</f>
        <v>1761.8500000000001</v>
      </c>
    </row>
    <row r="24" spans="1:19">
      <c r="A24" s="88" t="s">
        <v>363</v>
      </c>
      <c r="B24" s="91">
        <f>SUM(B21:B23)</f>
        <v>2078.2780000000002</v>
      </c>
      <c r="C24" s="73">
        <v>0.15</v>
      </c>
      <c r="D24" s="8">
        <f>+B24*C24</f>
        <v>311.74170000000004</v>
      </c>
      <c r="E24" s="8">
        <f t="shared" ref="E24" si="3">D24</f>
        <v>311.74170000000004</v>
      </c>
      <c r="F24" s="8">
        <f t="shared" ref="F24" si="4">E24</f>
        <v>311.74170000000004</v>
      </c>
      <c r="G24" s="8">
        <f>+F24</f>
        <v>311.74170000000004</v>
      </c>
      <c r="H24" s="8">
        <f t="shared" si="2"/>
        <v>311.74170000000004</v>
      </c>
      <c r="I24" s="74">
        <v>0</v>
      </c>
      <c r="J24" s="6">
        <f>+B24+I24</f>
        <v>2078.2780000000002</v>
      </c>
      <c r="K24" s="8">
        <f>+C24*J24</f>
        <v>311.74170000000004</v>
      </c>
      <c r="L24" s="6"/>
      <c r="M24" s="6">
        <f>+J24+L24</f>
        <v>2078.2780000000002</v>
      </c>
      <c r="N24" s="8">
        <f>+M24*C24</f>
        <v>311.74170000000004</v>
      </c>
      <c r="O24" s="6">
        <f>P24-M24</f>
        <v>-21.278000000000247</v>
      </c>
      <c r="P24" s="6">
        <f>ROUND(M24*P$26/M$26,0)</f>
        <v>2057</v>
      </c>
      <c r="Q24" s="8">
        <f>+P24*C24</f>
        <v>308.55</v>
      </c>
      <c r="S24" s="8">
        <f>+Q24+R24</f>
        <v>308.55</v>
      </c>
    </row>
    <row r="25" spans="1:19">
      <c r="B25" s="7"/>
      <c r="D25" s="8"/>
      <c r="E25" s="8"/>
      <c r="F25" s="8"/>
      <c r="G25" s="8"/>
      <c r="H25" s="8"/>
      <c r="I25" s="6"/>
      <c r="K25" s="8"/>
      <c r="N25" s="8"/>
      <c r="Q25" s="8"/>
    </row>
    <row r="26" spans="1:19">
      <c r="A26" t="s">
        <v>14</v>
      </c>
      <c r="B26" s="7">
        <f>'Monthly # of Customers'!N23</f>
        <v>2078</v>
      </c>
      <c r="D26" s="8"/>
      <c r="E26" s="8"/>
      <c r="F26" s="8"/>
      <c r="G26" s="8"/>
      <c r="H26" s="8"/>
      <c r="I26" s="6">
        <v>7</v>
      </c>
      <c r="J26" s="6">
        <f>+B26+I26</f>
        <v>2085</v>
      </c>
      <c r="K26" s="8"/>
      <c r="L26" s="6"/>
      <c r="M26" s="6">
        <f>+J26+L26</f>
        <v>2085</v>
      </c>
      <c r="N26" s="8"/>
      <c r="O26" s="6">
        <f>P26-M26</f>
        <v>-21</v>
      </c>
      <c r="P26" s="6">
        <f>+'Monthly # of Customers'!M23*12</f>
        <v>2064</v>
      </c>
      <c r="Q26" s="8"/>
    </row>
    <row r="27" spans="1:19">
      <c r="B27" s="7"/>
      <c r="D27" s="8"/>
      <c r="E27" s="8"/>
      <c r="F27" s="8"/>
      <c r="G27" s="8"/>
      <c r="H27" s="8"/>
      <c r="K27" s="8"/>
      <c r="L27" s="8">
        <f>SUMPRODUCT(L14:L15,C14:C15)</f>
        <v>-10520.742859999998</v>
      </c>
      <c r="M27" s="8"/>
      <c r="N27" s="8"/>
      <c r="Q27" s="8"/>
    </row>
    <row r="28" spans="1:19">
      <c r="A28" t="s">
        <v>19</v>
      </c>
      <c r="B28" s="7"/>
      <c r="D28" s="8">
        <f>-C21*B23</f>
        <v>-1780.1858999999997</v>
      </c>
      <c r="E28" s="8">
        <f>D28</f>
        <v>-1780.1858999999997</v>
      </c>
      <c r="F28" s="8">
        <f>E28</f>
        <v>-1780.1858999999997</v>
      </c>
      <c r="G28" s="8">
        <f>+F28</f>
        <v>-1780.1858999999997</v>
      </c>
      <c r="H28" s="8">
        <f>+G28</f>
        <v>-1780.1858999999997</v>
      </c>
      <c r="I28" s="95">
        <v>0</v>
      </c>
      <c r="J28" s="10"/>
      <c r="K28" s="8">
        <f>+H28+I28</f>
        <v>-1780.1858999999997</v>
      </c>
      <c r="L28" s="8"/>
      <c r="M28" s="8"/>
      <c r="N28" s="8">
        <f>+K28+L28</f>
        <v>-1780.1858999999997</v>
      </c>
      <c r="O28" s="8">
        <f>Q28-K28</f>
        <v>17.925899999999729</v>
      </c>
      <c r="Q28" s="8">
        <f>ROUND(K28*P$26/J$26,2)</f>
        <v>-1762.26</v>
      </c>
      <c r="S28" s="8">
        <f>+Q28+R28</f>
        <v>-1762.26</v>
      </c>
    </row>
    <row r="29" spans="1:19">
      <c r="B29" s="7"/>
      <c r="D29" s="8"/>
      <c r="E29" s="8"/>
      <c r="F29" s="8"/>
      <c r="G29" s="8"/>
      <c r="H29" s="8"/>
      <c r="I29" s="8"/>
      <c r="K29" s="8"/>
      <c r="M29" s="8"/>
      <c r="N29" s="8"/>
      <c r="Q29" s="8"/>
    </row>
    <row r="30" spans="1:19">
      <c r="A30" t="str">
        <f>+RS!A27</f>
        <v xml:space="preserve">Fuel </v>
      </c>
      <c r="B30" s="7"/>
      <c r="D30" s="8">
        <f>+'B&amp;A Surcharges'!B13</f>
        <v>9076.25</v>
      </c>
      <c r="E30" s="8">
        <f>D30</f>
        <v>9076.25</v>
      </c>
      <c r="F30" s="8">
        <f>E30</f>
        <v>9076.25</v>
      </c>
      <c r="G30" s="8">
        <f>+F30</f>
        <v>9076.25</v>
      </c>
      <c r="H30" s="8">
        <f>ROUND(B17*H11,2)</f>
        <v>8950.48</v>
      </c>
      <c r="I30" s="8">
        <f>ROUND(I17*H11,2)</f>
        <v>55.37</v>
      </c>
      <c r="J30" s="10"/>
      <c r="K30" s="8">
        <f>+H30+I30</f>
        <v>9005.85</v>
      </c>
      <c r="L30" s="8">
        <f>ROUND(L17*H11,2)</f>
        <v>-292.81</v>
      </c>
      <c r="M30" s="8"/>
      <c r="N30" s="8">
        <f>+K30+L30</f>
        <v>8713.0400000000009</v>
      </c>
      <c r="O30" s="8">
        <f>Q30-K30</f>
        <v>-380.56999999999971</v>
      </c>
      <c r="Q30" s="8">
        <f>ROUND(P17*H11,2)</f>
        <v>8625.2800000000007</v>
      </c>
      <c r="S30" s="8">
        <f>+Q30+R30</f>
        <v>8625.2800000000007</v>
      </c>
    </row>
    <row r="31" spans="1:19">
      <c r="B31" s="7"/>
      <c r="D31" s="8"/>
      <c r="E31" s="8"/>
      <c r="F31" s="8"/>
      <c r="G31" s="8"/>
      <c r="H31" s="8"/>
      <c r="I31" s="8"/>
      <c r="J31" s="10"/>
      <c r="K31" s="8"/>
      <c r="M31" s="8"/>
      <c r="N31" s="8"/>
      <c r="Q31" s="8"/>
    </row>
    <row r="32" spans="1:19">
      <c r="A32" t="str">
        <f>+RS!A29</f>
        <v>System Sales Clause</v>
      </c>
      <c r="B32" s="7"/>
      <c r="D32" s="8">
        <f>+'B&amp;A Surcharges'!D13</f>
        <v>1775.1799999999998</v>
      </c>
      <c r="E32" s="8">
        <v>0</v>
      </c>
      <c r="F32" s="8">
        <f>E32</f>
        <v>0</v>
      </c>
      <c r="G32" s="8">
        <f>+F32</f>
        <v>0</v>
      </c>
      <c r="H32" s="8">
        <f>+G32</f>
        <v>0</v>
      </c>
      <c r="I32" s="8"/>
      <c r="J32" s="10"/>
      <c r="K32" s="8">
        <f>+H32+I32</f>
        <v>0</v>
      </c>
      <c r="L32" s="10"/>
      <c r="M32" s="8"/>
      <c r="N32" s="8">
        <f>+K32+L32</f>
        <v>0</v>
      </c>
      <c r="O32" s="10"/>
      <c r="Q32" s="8">
        <f>ROUND(K32*P$26/J$26,2)</f>
        <v>0</v>
      </c>
      <c r="S32" s="8">
        <f>+Q32+R32</f>
        <v>0</v>
      </c>
    </row>
    <row r="33" spans="1:19">
      <c r="B33" s="7"/>
      <c r="D33" s="8"/>
      <c r="E33" s="8"/>
      <c r="F33" s="8"/>
      <c r="G33" s="8"/>
      <c r="H33" s="8"/>
      <c r="I33" s="8"/>
      <c r="J33" s="10"/>
      <c r="K33" s="8"/>
      <c r="M33" s="8"/>
      <c r="N33" s="8"/>
      <c r="Q33" s="8"/>
    </row>
    <row r="34" spans="1:19">
      <c r="A34" t="str">
        <f>+RS!A31</f>
        <v>Environmental Surcharge</v>
      </c>
      <c r="B34" s="7"/>
      <c r="D34" s="8">
        <f>+'B&amp;A Surcharges'!J13</f>
        <v>-1878.92</v>
      </c>
      <c r="E34" s="8">
        <f>D34</f>
        <v>-1878.92</v>
      </c>
      <c r="F34" s="8">
        <f>E34</f>
        <v>-1878.92</v>
      </c>
      <c r="G34" s="8">
        <v>0</v>
      </c>
      <c r="H34" s="8">
        <f>+G34</f>
        <v>0</v>
      </c>
      <c r="I34" s="95">
        <v>0</v>
      </c>
      <c r="J34" s="10"/>
      <c r="K34" s="8">
        <f>+H34+I34</f>
        <v>0</v>
      </c>
      <c r="L34" s="8">
        <f>+K34/J17*L17</f>
        <v>0</v>
      </c>
      <c r="M34" s="8"/>
      <c r="N34" s="8">
        <f>+K34+L34</f>
        <v>0</v>
      </c>
      <c r="O34" s="8">
        <f>Q34-K34</f>
        <v>0</v>
      </c>
      <c r="Q34" s="8">
        <f>ROUND(K34*P$26/J$26,2)</f>
        <v>0</v>
      </c>
      <c r="S34" s="8">
        <f>+Q34+R34</f>
        <v>0</v>
      </c>
    </row>
    <row r="35" spans="1:19">
      <c r="B35" s="7"/>
      <c r="D35" s="8"/>
      <c r="E35" s="8"/>
      <c r="F35" s="8"/>
      <c r="G35" s="8"/>
      <c r="H35" s="8"/>
      <c r="I35" s="8"/>
      <c r="J35" s="10"/>
      <c r="K35" s="8"/>
      <c r="L35" s="8"/>
      <c r="M35" s="8"/>
      <c r="N35" s="8"/>
      <c r="O35" s="8"/>
      <c r="Q35" s="8"/>
    </row>
    <row r="36" spans="1:19">
      <c r="A36" t="str">
        <f>+RS!A33</f>
        <v>Capacity Charge</v>
      </c>
      <c r="D36" s="8">
        <f>+'B&amp;A Surcharges'!F13</f>
        <v>4253.5200000000004</v>
      </c>
      <c r="E36" s="8">
        <f>D36</f>
        <v>4253.5200000000004</v>
      </c>
      <c r="F36" s="8">
        <v>0</v>
      </c>
      <c r="G36" s="8">
        <f>+F36</f>
        <v>0</v>
      </c>
      <c r="H36" s="8">
        <f>+G36</f>
        <v>0</v>
      </c>
      <c r="I36" s="10"/>
      <c r="J36" s="10"/>
      <c r="K36" s="8">
        <f>+H36+I36</f>
        <v>0</v>
      </c>
      <c r="L36" s="10"/>
      <c r="M36" s="8"/>
      <c r="N36" s="8">
        <f>+K36+L36</f>
        <v>0</v>
      </c>
      <c r="O36" s="10"/>
      <c r="Q36" s="8">
        <f>ROUND(K36*P$26/J$26,2)</f>
        <v>0</v>
      </c>
      <c r="S36" s="8">
        <f>+Q36+R36</f>
        <v>0</v>
      </c>
    </row>
    <row r="37" spans="1:19">
      <c r="D37" s="8"/>
      <c r="E37" s="8"/>
      <c r="F37" s="8"/>
      <c r="G37" s="8"/>
      <c r="H37" s="8"/>
      <c r="I37" s="10"/>
      <c r="J37" s="10"/>
      <c r="K37" s="8"/>
      <c r="L37" s="10"/>
      <c r="M37" s="8"/>
      <c r="N37" s="8"/>
      <c r="O37" s="10"/>
      <c r="Q37" s="8"/>
    </row>
    <row r="38" spans="1:19">
      <c r="A38" t="str">
        <f>+RS!A35</f>
        <v>Asset Transfer Rider</v>
      </c>
      <c r="D38" s="8">
        <f>+'B&amp;A Surcharges'!N13</f>
        <v>22127.730000000003</v>
      </c>
      <c r="E38" s="8">
        <f>D38</f>
        <v>22127.730000000003</v>
      </c>
      <c r="F38" s="8">
        <f>E38</f>
        <v>22127.730000000003</v>
      </c>
      <c r="G38" s="8">
        <f>+F38</f>
        <v>22127.730000000003</v>
      </c>
      <c r="H38" s="8">
        <f>+G38</f>
        <v>22127.730000000003</v>
      </c>
      <c r="I38" s="95">
        <v>84</v>
      </c>
      <c r="J38" s="10"/>
      <c r="K38" s="8">
        <f>+H38+I38</f>
        <v>22211.730000000003</v>
      </c>
      <c r="L38" s="8">
        <f>+K38/J17*L17</f>
        <v>-722.18448237481107</v>
      </c>
      <c r="M38" s="8"/>
      <c r="N38" s="8">
        <f>+K38+L38</f>
        <v>21489.545517625193</v>
      </c>
      <c r="O38" s="8">
        <f>Q38-N38</f>
        <v>-216.44551762519404</v>
      </c>
      <c r="Q38" s="8">
        <f>ROUND(N38*P$26/M$26,2)</f>
        <v>21273.1</v>
      </c>
      <c r="R38" s="8">
        <f>+'ATR Adjustment WP'!G13</f>
        <v>7014.3885222462131</v>
      </c>
      <c r="S38" s="8">
        <f>+Q38+R38</f>
        <v>28287.488522246211</v>
      </c>
    </row>
    <row r="39" spans="1:19">
      <c r="D39" s="8"/>
      <c r="E39" s="8"/>
      <c r="F39" s="8"/>
      <c r="G39" s="8"/>
      <c r="H39" s="8"/>
      <c r="I39" s="10"/>
      <c r="J39" s="10"/>
      <c r="K39" s="8"/>
      <c r="L39" s="8"/>
      <c r="M39" s="8"/>
      <c r="N39" s="8"/>
      <c r="Q39" s="8"/>
    </row>
    <row r="40" spans="1:19">
      <c r="A40" t="str">
        <f>+RS!A39</f>
        <v>Total</v>
      </c>
      <c r="D40" s="8">
        <f t="shared" ref="D40:H40" si="5">SUM(D14:D39)</f>
        <v>398122.93822999997</v>
      </c>
      <c r="E40" s="8">
        <f t="shared" si="5"/>
        <v>396347.75822999998</v>
      </c>
      <c r="F40" s="8">
        <f t="shared" si="5"/>
        <v>392094.23822999996</v>
      </c>
      <c r="G40" s="8">
        <f t="shared" si="5"/>
        <v>393973.15822999994</v>
      </c>
      <c r="H40" s="8">
        <f t="shared" si="5"/>
        <v>393847.38822999992</v>
      </c>
      <c r="I40" s="10"/>
      <c r="J40" s="10"/>
      <c r="K40" s="8">
        <f>SUM(K14:K39)</f>
        <v>396224.79485000001</v>
      </c>
      <c r="L40" s="8">
        <f>SUM(L27:L38)</f>
        <v>-11535.737342374809</v>
      </c>
      <c r="M40" s="8"/>
      <c r="N40" s="8">
        <f>SUM(N14:N39)</f>
        <v>384689.0575076252</v>
      </c>
      <c r="O40" s="10"/>
      <c r="Q40" s="8">
        <f>SUM(Q14:Q39)</f>
        <v>380811.05482999998</v>
      </c>
      <c r="S40" s="8">
        <f>SUM(S14:S39)</f>
        <v>387825.44335224619</v>
      </c>
    </row>
    <row r="42" spans="1:19">
      <c r="Q42" s="8"/>
    </row>
  </sheetData>
  <phoneticPr fontId="0" type="noConversion"/>
  <printOptions horizontalCentered="1"/>
  <pageMargins left="0.25" right="0.25" top="0.75" bottom="0.75" header="0.3" footer="0.3"/>
  <pageSetup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A31" sqref="A31"/>
    </sheetView>
  </sheetViews>
  <sheetFormatPr defaultRowHeight="12.75"/>
  <cols>
    <col min="1" max="1" width="22" customWidth="1"/>
    <col min="2" max="2" width="9.7109375" customWidth="1"/>
    <col min="3" max="3" width="8.5703125" customWidth="1"/>
    <col min="4" max="4" width="9.5703125" bestFit="1" customWidth="1"/>
    <col min="5" max="5" width="12.7109375" customWidth="1"/>
    <col min="6" max="6" width="14.85546875" customWidth="1"/>
    <col min="7" max="7" width="9.42578125" bestFit="1" customWidth="1"/>
    <col min="8" max="8" width="14.42578125" customWidth="1"/>
    <col min="9" max="9" width="10.42578125" customWidth="1"/>
    <col min="10" max="10" width="10.7109375" bestFit="1" customWidth="1"/>
    <col min="11" max="11" width="11.5703125" customWidth="1"/>
    <col min="12" max="12" width="10.42578125" customWidth="1"/>
    <col min="13" max="13" width="12.7109375" customWidth="1"/>
    <col min="14" max="14" width="11.5703125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278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O6" s="37" t="str">
        <f>+RS!S6</f>
        <v>Asset Transfer</v>
      </c>
      <c r="P6" s="37"/>
    </row>
    <row r="7" spans="1:16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37" t="str">
        <f>+RS!H7</f>
        <v>Excl. Env.</v>
      </c>
      <c r="H7" s="1" t="s">
        <v>245</v>
      </c>
      <c r="I7" s="1" t="s">
        <v>197</v>
      </c>
      <c r="J7" s="1" t="s">
        <v>197</v>
      </c>
      <c r="K7" s="1" t="s">
        <v>201</v>
      </c>
      <c r="L7" s="1" t="s">
        <v>231</v>
      </c>
      <c r="M7" s="1" t="s">
        <v>232</v>
      </c>
      <c r="N7" s="1" t="s">
        <v>233</v>
      </c>
      <c r="O7" s="1" t="str">
        <f>+RS!S7</f>
        <v>Rider</v>
      </c>
      <c r="P7" s="1" t="str">
        <f>+RS!T7</f>
        <v>Revised</v>
      </c>
    </row>
    <row r="8" spans="1:16">
      <c r="A8" s="3" t="s">
        <v>1</v>
      </c>
      <c r="B8" s="3" t="s">
        <v>18</v>
      </c>
      <c r="C8" s="3" t="s">
        <v>5</v>
      </c>
      <c r="D8" s="3" t="s">
        <v>6</v>
      </c>
      <c r="E8" s="3" t="s">
        <v>205</v>
      </c>
      <c r="F8" s="3" t="s">
        <v>271</v>
      </c>
      <c r="G8" s="3" t="str">
        <f>+RS!H8</f>
        <v>Surcharge</v>
      </c>
      <c r="H8" s="3" t="s">
        <v>246</v>
      </c>
      <c r="I8" s="3" t="s">
        <v>198</v>
      </c>
      <c r="J8" s="3" t="s">
        <v>18</v>
      </c>
      <c r="K8" s="3" t="s">
        <v>6</v>
      </c>
      <c r="L8" s="3" t="s">
        <v>198</v>
      </c>
      <c r="M8" s="3" t="s">
        <v>18</v>
      </c>
      <c r="N8" s="3" t="s">
        <v>6</v>
      </c>
      <c r="O8" s="3" t="str">
        <f>+RS!S8</f>
        <v>Adjustment</v>
      </c>
      <c r="P8" s="3" t="str">
        <f>+RS!T8</f>
        <v>Revenue</v>
      </c>
    </row>
    <row r="9" spans="1:16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2" t="s">
        <v>199</v>
      </c>
      <c r="I9" s="2" t="s">
        <v>226</v>
      </c>
      <c r="J9" s="98" t="s">
        <v>379</v>
      </c>
      <c r="K9" s="98" t="s">
        <v>380</v>
      </c>
      <c r="L9" s="98" t="s">
        <v>381</v>
      </c>
      <c r="M9" s="98" t="s">
        <v>382</v>
      </c>
      <c r="N9" s="98" t="s">
        <v>383</v>
      </c>
      <c r="O9" s="98" t="s">
        <v>371</v>
      </c>
      <c r="P9" s="96" t="s">
        <v>412</v>
      </c>
    </row>
    <row r="10" spans="1:16">
      <c r="A10" s="2"/>
      <c r="B10" s="2"/>
      <c r="C10" s="2"/>
      <c r="D10" s="2"/>
      <c r="H10" s="39">
        <f>RS!$I$10</f>
        <v>2.0411219651722302E-3</v>
      </c>
    </row>
    <row r="11" spans="1:16">
      <c r="D11" s="10"/>
      <c r="E11" s="11"/>
      <c r="F11" s="11"/>
      <c r="G11" s="11"/>
      <c r="H11" s="11"/>
    </row>
    <row r="12" spans="1:16">
      <c r="A12" s="4" t="s">
        <v>22</v>
      </c>
      <c r="D12" s="10"/>
      <c r="E12" s="11"/>
      <c r="F12" s="11"/>
      <c r="G12" s="11"/>
      <c r="H12" s="11"/>
      <c r="J12" s="6"/>
      <c r="K12" s="10"/>
      <c r="L12" s="6"/>
      <c r="N12" s="10"/>
    </row>
    <row r="13" spans="1:16">
      <c r="A13" t="s">
        <v>23</v>
      </c>
      <c r="B13" s="74">
        <v>15485</v>
      </c>
      <c r="C13" s="71">
        <v>0.13227</v>
      </c>
      <c r="D13" s="8">
        <f>+B13*C13</f>
        <v>2048.2009499999999</v>
      </c>
      <c r="E13" s="8">
        <f>D13</f>
        <v>2048.2009499999999</v>
      </c>
      <c r="F13" s="8">
        <f>E13</f>
        <v>2048.2009499999999</v>
      </c>
      <c r="G13" s="8">
        <f>+F13</f>
        <v>2048.2009499999999</v>
      </c>
      <c r="H13" s="8">
        <f t="shared" ref="H13:H14" si="0">+G13</f>
        <v>2048.2009499999999</v>
      </c>
      <c r="I13" s="74">
        <v>0</v>
      </c>
      <c r="J13" s="6">
        <f>+B13+I13</f>
        <v>15485</v>
      </c>
      <c r="K13" s="8">
        <f>+C13*J13</f>
        <v>2048.2009499999999</v>
      </c>
      <c r="L13" s="6">
        <f>M13-J13</f>
        <v>0</v>
      </c>
      <c r="M13" s="6">
        <f>ROUND(J13*M$21/J$21,0)</f>
        <v>15485</v>
      </c>
      <c r="N13" s="8">
        <f>+M13*C13</f>
        <v>2048.2009499999999</v>
      </c>
      <c r="P13" s="8">
        <f>+N13+O13</f>
        <v>2048.2009499999999</v>
      </c>
    </row>
    <row r="14" spans="1:16">
      <c r="A14" t="s">
        <v>24</v>
      </c>
      <c r="B14" s="74">
        <v>31006</v>
      </c>
      <c r="C14" s="71">
        <v>4.9399999999999999E-2</v>
      </c>
      <c r="D14" s="8">
        <f>+B14*C14</f>
        <v>1531.6964</v>
      </c>
      <c r="E14" s="8">
        <f>D14</f>
        <v>1531.6964</v>
      </c>
      <c r="F14" s="8">
        <f>E14</f>
        <v>1531.6964</v>
      </c>
      <c r="G14" s="8">
        <f>+F14</f>
        <v>1531.6964</v>
      </c>
      <c r="H14" s="8">
        <f t="shared" si="0"/>
        <v>1531.6964</v>
      </c>
      <c r="I14" s="74">
        <v>0</v>
      </c>
      <c r="J14" s="6">
        <f>+B14+I14</f>
        <v>31006</v>
      </c>
      <c r="K14" s="8">
        <f>+C14*J14</f>
        <v>1531.6964</v>
      </c>
      <c r="L14" s="6">
        <f>M14-J14</f>
        <v>0</v>
      </c>
      <c r="M14" s="6">
        <f>ROUND(J14*M$21/J$21,0)</f>
        <v>31006</v>
      </c>
      <c r="N14" s="8">
        <f>+M14*C14</f>
        <v>1531.6964</v>
      </c>
      <c r="P14" s="8">
        <f>+N14+O14</f>
        <v>1531.6964</v>
      </c>
    </row>
    <row r="15" spans="1:16">
      <c r="B15" s="6"/>
      <c r="C15" s="71"/>
      <c r="D15" s="8"/>
      <c r="E15" s="8"/>
      <c r="F15" s="8"/>
      <c r="G15" s="8"/>
      <c r="H15" s="8"/>
      <c r="I15" s="6"/>
      <c r="K15" s="8"/>
      <c r="N15" s="8"/>
    </row>
    <row r="16" spans="1:16">
      <c r="A16" t="s">
        <v>12</v>
      </c>
      <c r="B16" s="6">
        <f>+'12 Months TS'!E26</f>
        <v>46491</v>
      </c>
      <c r="C16" s="71"/>
      <c r="D16" s="8"/>
      <c r="E16" s="8"/>
      <c r="F16" s="8"/>
      <c r="G16" s="8"/>
      <c r="H16" s="8"/>
      <c r="I16" s="6">
        <f>SUM(I13:I15)</f>
        <v>0</v>
      </c>
      <c r="J16" s="6">
        <f>+B16+I16</f>
        <v>46491</v>
      </c>
      <c r="K16" s="8"/>
      <c r="L16" s="6">
        <f>M16-J16</f>
        <v>0</v>
      </c>
      <c r="M16" s="6">
        <f>ROUND(J16*M$21/J$21,0)</f>
        <v>46491</v>
      </c>
      <c r="N16" s="8"/>
    </row>
    <row r="17" spans="1:16">
      <c r="B17" s="7"/>
      <c r="C17" s="71"/>
      <c r="D17" s="8"/>
      <c r="E17" s="8"/>
      <c r="F17" s="8"/>
      <c r="G17" s="8"/>
      <c r="H17" s="8"/>
      <c r="I17" s="6"/>
      <c r="K17" s="8"/>
      <c r="N17" s="8"/>
    </row>
    <row r="18" spans="1:16">
      <c r="A18" t="s">
        <v>279</v>
      </c>
      <c r="B18" s="75">
        <v>36</v>
      </c>
      <c r="C18" s="73">
        <f>10.55</f>
        <v>10.55</v>
      </c>
      <c r="D18" s="8">
        <f>+B18*C18</f>
        <v>379.8</v>
      </c>
      <c r="E18" s="8">
        <f>D18</f>
        <v>379.8</v>
      </c>
      <c r="F18" s="8">
        <f>E18</f>
        <v>379.8</v>
      </c>
      <c r="G18" s="8">
        <f>+F18</f>
        <v>379.8</v>
      </c>
      <c r="H18" s="8">
        <f t="shared" ref="H18:H19" si="1">+G18</f>
        <v>379.8</v>
      </c>
      <c r="I18" s="74">
        <v>0</v>
      </c>
      <c r="J18" s="6">
        <f>+B18+I18</f>
        <v>36</v>
      </c>
      <c r="K18" s="8">
        <f>+C18*J18</f>
        <v>379.8</v>
      </c>
      <c r="L18" s="6">
        <f>M18-J18</f>
        <v>0</v>
      </c>
      <c r="M18" s="6">
        <f>ROUND(J18*M$21/J$21,0)</f>
        <v>36</v>
      </c>
      <c r="N18" s="8">
        <f>+M18*C18</f>
        <v>379.8</v>
      </c>
      <c r="P18" s="8">
        <f t="shared" ref="P18:P19" si="2">+N18+O18</f>
        <v>379.8</v>
      </c>
    </row>
    <row r="19" spans="1:16">
      <c r="A19" s="88" t="s">
        <v>363</v>
      </c>
      <c r="B19" s="91">
        <f>+B18</f>
        <v>36</v>
      </c>
      <c r="C19" s="73">
        <v>0.15</v>
      </c>
      <c r="D19" s="8">
        <f>+B19*C19</f>
        <v>5.3999999999999995</v>
      </c>
      <c r="E19" s="8">
        <f>D19</f>
        <v>5.3999999999999995</v>
      </c>
      <c r="F19" s="8">
        <f>E19</f>
        <v>5.3999999999999995</v>
      </c>
      <c r="G19" s="8">
        <f>+F19</f>
        <v>5.3999999999999995</v>
      </c>
      <c r="H19" s="8">
        <f t="shared" si="1"/>
        <v>5.3999999999999995</v>
      </c>
      <c r="I19" s="87">
        <f>+I18</f>
        <v>0</v>
      </c>
      <c r="J19" s="6">
        <f>+B19+I19</f>
        <v>36</v>
      </c>
      <c r="K19" s="8">
        <f>+C19*J19</f>
        <v>5.3999999999999995</v>
      </c>
      <c r="L19" s="6">
        <f>M19-J19</f>
        <v>0</v>
      </c>
      <c r="M19" s="6">
        <f>ROUND(J19*M$21/J$21,0)</f>
        <v>36</v>
      </c>
      <c r="N19" s="8">
        <f>+M19*C19</f>
        <v>5.3999999999999995</v>
      </c>
      <c r="P19" s="8">
        <f t="shared" si="2"/>
        <v>5.3999999999999995</v>
      </c>
    </row>
    <row r="20" spans="1:16">
      <c r="B20" s="7"/>
      <c r="D20" s="10"/>
      <c r="E20" s="10"/>
      <c r="F20" s="10"/>
      <c r="G20" s="10"/>
      <c r="H20" s="10"/>
      <c r="I20" s="6"/>
      <c r="K20" s="8"/>
      <c r="N20" s="8"/>
    </row>
    <row r="21" spans="1:16">
      <c r="A21" t="s">
        <v>14</v>
      </c>
      <c r="B21" s="7">
        <f>'Monthly # of Customers'!N25</f>
        <v>36</v>
      </c>
      <c r="D21" s="10"/>
      <c r="E21" s="10"/>
      <c r="F21" s="10"/>
      <c r="G21" s="10"/>
      <c r="H21" s="10"/>
      <c r="I21" s="74">
        <v>0</v>
      </c>
      <c r="J21" s="6">
        <f>+B21+I21</f>
        <v>36</v>
      </c>
      <c r="K21" s="8"/>
      <c r="L21" s="6">
        <f>M21-J21</f>
        <v>0</v>
      </c>
      <c r="M21" s="6">
        <f>+'Monthly # of Customers'!M25*12</f>
        <v>36</v>
      </c>
      <c r="N21" s="8"/>
    </row>
    <row r="22" spans="1:16">
      <c r="B22" s="7"/>
      <c r="D22" s="10"/>
      <c r="E22" s="10"/>
      <c r="F22" s="10"/>
      <c r="G22" s="10"/>
      <c r="H22" s="10"/>
      <c r="N22" s="8"/>
    </row>
    <row r="23" spans="1:16">
      <c r="A23" t="str">
        <f>+RS!A25</f>
        <v>Employee Discount</v>
      </c>
      <c r="B23" s="7"/>
      <c r="D23" s="8">
        <v>0</v>
      </c>
      <c r="E23" s="8">
        <f>D23</f>
        <v>0</v>
      </c>
      <c r="F23" s="8">
        <f>E23</f>
        <v>0</v>
      </c>
      <c r="G23" s="8">
        <f>+F23</f>
        <v>0</v>
      </c>
      <c r="H23" s="8">
        <f>+G23</f>
        <v>0</v>
      </c>
      <c r="I23" s="8"/>
      <c r="J23" s="8"/>
      <c r="K23" s="8">
        <f>+H23+I23</f>
        <v>0</v>
      </c>
      <c r="L23" s="8">
        <f>+N23-K23</f>
        <v>0</v>
      </c>
      <c r="N23" s="8">
        <f>ROUND(K23*M$21/J$21,2)</f>
        <v>0</v>
      </c>
      <c r="P23" s="8">
        <f>+N23+O23</f>
        <v>0</v>
      </c>
    </row>
    <row r="24" spans="1:16">
      <c r="B24" s="7"/>
      <c r="D24" s="8"/>
      <c r="E24" s="8"/>
      <c r="F24" s="8"/>
      <c r="G24" s="8"/>
      <c r="H24" s="8"/>
      <c r="I24" s="8"/>
      <c r="J24" s="8"/>
      <c r="K24" s="8"/>
      <c r="L24" s="8"/>
      <c r="N24" s="8"/>
    </row>
    <row r="25" spans="1:16">
      <c r="A25" t="str">
        <f>+RS!A27</f>
        <v xml:space="preserve">Fuel </v>
      </c>
      <c r="B25" s="7"/>
      <c r="D25" s="8">
        <f>+'B&amp;A Surcharges'!B15</f>
        <v>120.75</v>
      </c>
      <c r="E25" s="8">
        <f>D25</f>
        <v>120.75</v>
      </c>
      <c r="F25" s="8">
        <f>E25</f>
        <v>120.75</v>
      </c>
      <c r="G25" s="8">
        <f>+F25</f>
        <v>120.75</v>
      </c>
      <c r="H25" s="8">
        <f>ROUND(B16*H10,2)</f>
        <v>94.89</v>
      </c>
      <c r="I25" s="8">
        <f>ROUND(I16*H10,2)</f>
        <v>0</v>
      </c>
      <c r="J25" s="8"/>
      <c r="K25" s="8">
        <f>+H25+I25</f>
        <v>94.89</v>
      </c>
      <c r="L25" s="8">
        <f>+N25-K25</f>
        <v>0</v>
      </c>
      <c r="N25" s="8">
        <f>ROUND(H10*M16,2)</f>
        <v>94.89</v>
      </c>
      <c r="P25" s="8">
        <f>+N25+O25</f>
        <v>94.89</v>
      </c>
    </row>
    <row r="26" spans="1:16">
      <c r="B26" s="7"/>
      <c r="D26" s="8"/>
      <c r="E26" s="8"/>
      <c r="F26" s="8"/>
      <c r="G26" s="8"/>
      <c r="H26" s="8"/>
      <c r="I26" s="8"/>
      <c r="J26" s="8"/>
      <c r="K26" s="8"/>
      <c r="L26" s="8"/>
      <c r="N26" s="8"/>
    </row>
    <row r="27" spans="1:16">
      <c r="A27" t="str">
        <f>+RS!A29</f>
        <v>System Sales Clause</v>
      </c>
      <c r="B27" s="7"/>
      <c r="D27" s="8">
        <f>+'B&amp;A Surcharges'!D15</f>
        <v>18.93</v>
      </c>
      <c r="E27" s="8">
        <v>0</v>
      </c>
      <c r="F27" s="8">
        <f>E27</f>
        <v>0</v>
      </c>
      <c r="G27" s="8">
        <f>+F27</f>
        <v>0</v>
      </c>
      <c r="H27" s="8">
        <f>+G27</f>
        <v>0</v>
      </c>
      <c r="I27" s="8"/>
      <c r="J27" s="8"/>
      <c r="K27" s="8">
        <f>+H27+I27</f>
        <v>0</v>
      </c>
      <c r="L27" s="8"/>
      <c r="N27" s="8">
        <f>ROUND(K27*M$21/J$21,2)</f>
        <v>0</v>
      </c>
      <c r="P27" s="8">
        <f>+N27+O27</f>
        <v>0</v>
      </c>
    </row>
    <row r="28" spans="1:16">
      <c r="B28" s="7"/>
      <c r="D28" s="8"/>
      <c r="E28" s="8"/>
      <c r="F28" s="8"/>
      <c r="G28" s="8"/>
      <c r="H28" s="8"/>
      <c r="I28" s="8"/>
      <c r="J28" s="8"/>
      <c r="K28" s="8"/>
      <c r="L28" s="8"/>
      <c r="N28" s="8"/>
    </row>
    <row r="29" spans="1:16">
      <c r="A29" t="str">
        <f>+RS!A31</f>
        <v>Environmental Surcharge</v>
      </c>
      <c r="B29" s="7"/>
      <c r="D29" s="8">
        <f>+'B&amp;A Surcharges'!J15</f>
        <v>-23.19</v>
      </c>
      <c r="E29" s="8">
        <f>D29</f>
        <v>-23.19</v>
      </c>
      <c r="F29" s="8">
        <f>E29</f>
        <v>-23.19</v>
      </c>
      <c r="G29" s="8">
        <v>0</v>
      </c>
      <c r="H29" s="8">
        <f>+G29</f>
        <v>0</v>
      </c>
      <c r="I29" s="95">
        <v>0</v>
      </c>
      <c r="J29" s="8"/>
      <c r="K29" s="8">
        <f>+H29+I29</f>
        <v>0</v>
      </c>
      <c r="L29" s="8">
        <f>+N29-K29</f>
        <v>0</v>
      </c>
      <c r="N29" s="8">
        <f>ROUND(K29*M$21/J$21,2)</f>
        <v>0</v>
      </c>
      <c r="P29" s="8">
        <f>+N29+O29</f>
        <v>0</v>
      </c>
    </row>
    <row r="30" spans="1:16">
      <c r="B30" s="7"/>
      <c r="D30" s="8"/>
      <c r="E30" s="8"/>
      <c r="F30" s="8"/>
      <c r="G30" s="8"/>
      <c r="H30" s="8"/>
      <c r="I30" s="95"/>
      <c r="J30" s="8"/>
      <c r="K30" s="8"/>
      <c r="L30" s="8"/>
      <c r="N30" s="8"/>
    </row>
    <row r="31" spans="1:16">
      <c r="A31" t="str">
        <f>+RS!A33</f>
        <v>Capacity Charge</v>
      </c>
      <c r="D31" s="8">
        <f>+'B&amp;A Surcharges'!F15</f>
        <v>45.079999999999991</v>
      </c>
      <c r="E31" s="8">
        <f>D31</f>
        <v>45.079999999999991</v>
      </c>
      <c r="F31" s="8">
        <v>0</v>
      </c>
      <c r="G31" s="8">
        <f>+F31</f>
        <v>0</v>
      </c>
      <c r="H31" s="8">
        <f>+G31</f>
        <v>0</v>
      </c>
      <c r="I31" s="8"/>
      <c r="J31" s="8"/>
      <c r="K31" s="8">
        <f>+H31+I31</f>
        <v>0</v>
      </c>
      <c r="L31" s="8"/>
      <c r="N31" s="8">
        <f>ROUND(K31*M$21/J$21,2)</f>
        <v>0</v>
      </c>
      <c r="P31" s="8">
        <f>+N31+O31</f>
        <v>0</v>
      </c>
    </row>
    <row r="32" spans="1:16">
      <c r="D32" s="8"/>
      <c r="E32" s="8"/>
      <c r="F32" s="8"/>
      <c r="G32" s="8"/>
      <c r="H32" s="8"/>
      <c r="I32" s="8"/>
      <c r="J32" s="8"/>
      <c r="K32" s="8"/>
      <c r="L32" s="8"/>
      <c r="N32" s="8"/>
    </row>
    <row r="33" spans="1:16">
      <c r="A33" t="str">
        <f>+RS!A35</f>
        <v>Asset Transfer Rider</v>
      </c>
      <c r="D33" s="8">
        <f>+'B&amp;A Surcharges'!N15</f>
        <v>228.89000000000001</v>
      </c>
      <c r="E33" s="8">
        <f>D33</f>
        <v>228.89000000000001</v>
      </c>
      <c r="F33" s="8">
        <f>E33</f>
        <v>228.89000000000001</v>
      </c>
      <c r="G33" s="8">
        <f>+F33</f>
        <v>228.89000000000001</v>
      </c>
      <c r="H33" s="8">
        <f>+G33</f>
        <v>228.89000000000001</v>
      </c>
      <c r="I33" s="95">
        <v>0</v>
      </c>
      <c r="J33" s="8"/>
      <c r="K33" s="8">
        <f>+H33+I33</f>
        <v>228.89000000000001</v>
      </c>
      <c r="L33" s="8">
        <f>+N33-K33</f>
        <v>0</v>
      </c>
      <c r="N33" s="8">
        <f>ROUND(K33*M$21/J$21,2)</f>
        <v>228.89</v>
      </c>
      <c r="O33" s="8">
        <f>+'ATR Adjustment WP'!G15</f>
        <v>75.471999325765196</v>
      </c>
      <c r="P33" s="8">
        <f>+N33+O33</f>
        <v>304.36199932576517</v>
      </c>
    </row>
    <row r="34" spans="1:16">
      <c r="D34" s="8"/>
      <c r="E34" s="8"/>
      <c r="F34" s="8"/>
      <c r="G34" s="8"/>
      <c r="H34" s="8"/>
      <c r="I34" s="8"/>
      <c r="J34" s="8"/>
      <c r="K34" s="8"/>
      <c r="L34" s="8"/>
      <c r="N34" s="8"/>
    </row>
    <row r="35" spans="1:16">
      <c r="A35" t="str">
        <f>+RS!A39</f>
        <v>Total</v>
      </c>
      <c r="D35" s="8">
        <f t="shared" ref="D35:H35" si="3">SUM(D13:D34)</f>
        <v>4355.557350000001</v>
      </c>
      <c r="E35" s="8">
        <f t="shared" si="3"/>
        <v>4336.6273500000007</v>
      </c>
      <c r="F35" s="8">
        <f t="shared" si="3"/>
        <v>4291.5473500000007</v>
      </c>
      <c r="G35" s="8">
        <f t="shared" si="3"/>
        <v>4314.7373500000003</v>
      </c>
      <c r="H35" s="8">
        <f t="shared" si="3"/>
        <v>4288.8773500000007</v>
      </c>
      <c r="I35" s="8"/>
      <c r="J35" s="8"/>
      <c r="K35" s="8">
        <f>SUM(K13:K34)</f>
        <v>4288.8773500000007</v>
      </c>
      <c r="L35" s="8"/>
      <c r="N35" s="8">
        <f>SUM(N13:N34)</f>
        <v>4288.8773500000007</v>
      </c>
      <c r="P35" s="8">
        <f>SUM(P13:P34)</f>
        <v>4364.3493493257656</v>
      </c>
    </row>
    <row r="40" spans="1:16">
      <c r="A40" t="s">
        <v>280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4"/>
  <sheetViews>
    <sheetView topLeftCell="A25" workbookViewId="0">
      <selection activeCell="F15" sqref="F15"/>
    </sheetView>
  </sheetViews>
  <sheetFormatPr defaultRowHeight="12.75"/>
  <cols>
    <col min="1" max="1" width="33.7109375" customWidth="1"/>
    <col min="2" max="2" width="10.7109375" bestFit="1" customWidth="1"/>
    <col min="3" max="3" width="7.140625" bestFit="1" customWidth="1"/>
    <col min="4" max="6" width="10.710937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425781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141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1" t="str">
        <f>+RS!S6</f>
        <v>Asset Transfer</v>
      </c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234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8" t="s">
        <v>412</v>
      </c>
    </row>
    <row r="11" spans="1:16">
      <c r="A11" s="2"/>
      <c r="B11" s="2"/>
      <c r="C11" s="2"/>
      <c r="D11" s="10"/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s="4" t="s">
        <v>32</v>
      </c>
      <c r="C13" s="10"/>
      <c r="D13" s="10"/>
      <c r="E13" s="11"/>
      <c r="F13" s="11"/>
      <c r="G13" s="11"/>
      <c r="H13" s="11"/>
      <c r="I13" s="6"/>
      <c r="J13" s="6"/>
      <c r="K13" s="10"/>
      <c r="L13" s="6"/>
      <c r="M13" s="6"/>
      <c r="N13" s="10"/>
    </row>
    <row r="14" spans="1:16">
      <c r="A14" t="s">
        <v>28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6">
      <c r="A15" t="s">
        <v>124</v>
      </c>
      <c r="B15" s="74">
        <v>264111.87</v>
      </c>
      <c r="C15" s="76">
        <v>8.75</v>
      </c>
      <c r="D15" s="8">
        <f>+B15*C15</f>
        <v>2310978.8624999998</v>
      </c>
      <c r="E15" s="8">
        <f t="shared" ref="E15:F18" si="0">D15</f>
        <v>2310978.8624999998</v>
      </c>
      <c r="F15" s="8">
        <f t="shared" si="0"/>
        <v>2310978.8624999998</v>
      </c>
      <c r="G15" s="8">
        <f>+F15</f>
        <v>2310978.8624999998</v>
      </c>
      <c r="H15" s="8">
        <f t="shared" ref="H15:H18" si="1">+G15</f>
        <v>2310978.8624999998</v>
      </c>
      <c r="I15" s="6">
        <v>0</v>
      </c>
      <c r="J15" s="6">
        <f>+B15+I15</f>
        <v>264111.87</v>
      </c>
      <c r="K15" s="8">
        <f>+C15*J15</f>
        <v>2310978.8624999998</v>
      </c>
      <c r="L15" s="6">
        <f>+M15-B15</f>
        <v>-29038.469999999972</v>
      </c>
      <c r="M15" s="6">
        <f>+'Annual Adj OL'!D15*12</f>
        <v>235073.40000000002</v>
      </c>
      <c r="N15" s="8">
        <f>+C15*M15</f>
        <v>2056892.2500000002</v>
      </c>
      <c r="P15" s="8">
        <f>+N15+O15</f>
        <v>2056892.2500000002</v>
      </c>
    </row>
    <row r="16" spans="1:16">
      <c r="A16" t="s">
        <v>125</v>
      </c>
      <c r="B16" s="74">
        <v>249498.45</v>
      </c>
      <c r="C16" s="76">
        <v>9.9</v>
      </c>
      <c r="D16" s="8">
        <f>+B16*C16</f>
        <v>2470034.6550000003</v>
      </c>
      <c r="E16" s="8">
        <f t="shared" si="0"/>
        <v>2470034.6550000003</v>
      </c>
      <c r="F16" s="8">
        <f t="shared" si="0"/>
        <v>2470034.6550000003</v>
      </c>
      <c r="G16" s="8">
        <f t="shared" ref="G16:G18" si="2">+F16</f>
        <v>2470034.6550000003</v>
      </c>
      <c r="H16" s="8">
        <f t="shared" si="1"/>
        <v>2470034.6550000003</v>
      </c>
      <c r="I16" s="6">
        <v>0</v>
      </c>
      <c r="J16" s="6">
        <f>+B16+I16</f>
        <v>249498.45</v>
      </c>
      <c r="K16" s="8">
        <f>+C16*J16</f>
        <v>2470034.6550000003</v>
      </c>
      <c r="L16" s="6">
        <f>+M16-B16</f>
        <v>-27738.330000000016</v>
      </c>
      <c r="M16" s="6">
        <f>+'Annual Adj OL'!D16*12</f>
        <v>221760.12</v>
      </c>
      <c r="N16" s="8">
        <f>+C16*M16</f>
        <v>2195425.1880000001</v>
      </c>
      <c r="P16" s="8">
        <f>+N16+O16</f>
        <v>2195425.1880000001</v>
      </c>
    </row>
    <row r="17" spans="1:16">
      <c r="A17" t="s">
        <v>126</v>
      </c>
      <c r="B17" s="74">
        <v>24172.989999999998</v>
      </c>
      <c r="C17" s="76">
        <v>12.2</v>
      </c>
      <c r="D17" s="8">
        <f>+B17*C17</f>
        <v>294910.47799999994</v>
      </c>
      <c r="E17" s="8">
        <f t="shared" si="0"/>
        <v>294910.47799999994</v>
      </c>
      <c r="F17" s="8">
        <f t="shared" si="0"/>
        <v>294910.47799999994</v>
      </c>
      <c r="G17" s="8">
        <f t="shared" si="2"/>
        <v>294910.47799999994</v>
      </c>
      <c r="H17" s="8">
        <f t="shared" si="1"/>
        <v>294910.47799999994</v>
      </c>
      <c r="I17" s="6">
        <v>0</v>
      </c>
      <c r="J17" s="6">
        <f>+B17+I17</f>
        <v>24172.989999999998</v>
      </c>
      <c r="K17" s="8">
        <f>+C17*J17</f>
        <v>294910.47799999994</v>
      </c>
      <c r="L17" s="6">
        <f>+M17-B17</f>
        <v>-2518.2699999999968</v>
      </c>
      <c r="M17" s="6">
        <f>+'Annual Adj OL'!D17*12</f>
        <v>21654.720000000001</v>
      </c>
      <c r="N17" s="8">
        <f>+C17*M17</f>
        <v>264187.58399999997</v>
      </c>
      <c r="P17" s="8">
        <f>+N17+O17</f>
        <v>264187.58399999997</v>
      </c>
    </row>
    <row r="18" spans="1:16">
      <c r="A18" t="s">
        <v>127</v>
      </c>
      <c r="B18" s="74">
        <v>2498.0499999999997</v>
      </c>
      <c r="C18" s="76">
        <v>19.149999999999999</v>
      </c>
      <c r="D18" s="8">
        <f>+B18*C18</f>
        <v>47837.657499999994</v>
      </c>
      <c r="E18" s="8">
        <f t="shared" si="0"/>
        <v>47837.657499999994</v>
      </c>
      <c r="F18" s="8">
        <f t="shared" si="0"/>
        <v>47837.657499999994</v>
      </c>
      <c r="G18" s="8">
        <f t="shared" si="2"/>
        <v>47837.657499999994</v>
      </c>
      <c r="H18" s="8">
        <f t="shared" si="1"/>
        <v>47837.657499999994</v>
      </c>
      <c r="I18" s="6">
        <v>0</v>
      </c>
      <c r="J18" s="6">
        <f>+B18+I18</f>
        <v>2498.0499999999997</v>
      </c>
      <c r="K18" s="8">
        <f>+C18*J18</f>
        <v>47837.657499999994</v>
      </c>
      <c r="L18" s="6">
        <f>+M18-B18</f>
        <v>-436.44999999999936</v>
      </c>
      <c r="M18" s="6">
        <f>+'Annual Adj OL'!D18*12</f>
        <v>2061.6000000000004</v>
      </c>
      <c r="N18" s="8">
        <f>+C18*M18</f>
        <v>39479.640000000007</v>
      </c>
      <c r="P18" s="8">
        <f>+N18+O18</f>
        <v>39479.640000000007</v>
      </c>
    </row>
    <row r="19" spans="1:16" ht="6" customHeight="1">
      <c r="B19" s="72"/>
      <c r="C19" s="76"/>
      <c r="D19" s="8"/>
      <c r="E19" s="8"/>
      <c r="F19" s="8"/>
      <c r="G19" s="8"/>
      <c r="H19" s="8"/>
      <c r="I19" s="6"/>
      <c r="J19" s="6"/>
      <c r="K19" s="8"/>
      <c r="N19" s="8"/>
    </row>
    <row r="20" spans="1:16">
      <c r="A20" t="s">
        <v>29</v>
      </c>
      <c r="B20" s="72"/>
      <c r="C20" s="76"/>
      <c r="D20" s="8"/>
      <c r="E20" s="8"/>
      <c r="F20" s="8"/>
      <c r="G20" s="8"/>
      <c r="H20" s="8"/>
      <c r="I20" s="6"/>
      <c r="J20" s="6"/>
      <c r="K20" s="8"/>
      <c r="N20" s="8"/>
    </row>
    <row r="21" spans="1:16">
      <c r="A21" t="s">
        <v>128</v>
      </c>
      <c r="B21" s="74">
        <v>12615.49</v>
      </c>
      <c r="C21" s="76">
        <v>9.75</v>
      </c>
      <c r="D21" s="8">
        <f>+B21*C21</f>
        <v>123001.0275</v>
      </c>
      <c r="E21" s="8">
        <f>D21</f>
        <v>123001.0275</v>
      </c>
      <c r="F21" s="8">
        <f>E21</f>
        <v>123001.0275</v>
      </c>
      <c r="G21" s="8">
        <f t="shared" ref="G21:G22" si="3">+F21</f>
        <v>123001.0275</v>
      </c>
      <c r="H21" s="8">
        <f t="shared" ref="H21:H22" si="4">+G21</f>
        <v>123001.0275</v>
      </c>
      <c r="I21" s="6">
        <v>0</v>
      </c>
      <c r="J21" s="6">
        <f>+B21+I21</f>
        <v>12615.49</v>
      </c>
      <c r="K21" s="8">
        <f>+C21*J21</f>
        <v>123001.0275</v>
      </c>
      <c r="L21" s="6">
        <f>+M21-B21</f>
        <v>-2037.7299999999996</v>
      </c>
      <c r="M21" s="6">
        <f>+'Annual Adj OL'!D21*12</f>
        <v>10577.76</v>
      </c>
      <c r="N21" s="8">
        <f>+C21*M21</f>
        <v>103133.16</v>
      </c>
      <c r="P21" s="8">
        <f>+N21+O21</f>
        <v>103133.16</v>
      </c>
    </row>
    <row r="22" spans="1:16">
      <c r="A22" t="s">
        <v>129</v>
      </c>
      <c r="B22" s="74">
        <v>1226.17</v>
      </c>
      <c r="C22" s="76">
        <v>16.850000000000001</v>
      </c>
      <c r="D22" s="8">
        <f>+B22*C22</f>
        <v>20660.964500000002</v>
      </c>
      <c r="E22" s="8">
        <f>D22</f>
        <v>20660.964500000002</v>
      </c>
      <c r="F22" s="8">
        <f>E22</f>
        <v>20660.964500000002</v>
      </c>
      <c r="G22" s="8">
        <f t="shared" si="3"/>
        <v>20660.964500000002</v>
      </c>
      <c r="H22" s="8">
        <f t="shared" si="4"/>
        <v>20660.964500000002</v>
      </c>
      <c r="I22" s="6">
        <v>0</v>
      </c>
      <c r="J22" s="6">
        <f>+B22+I22</f>
        <v>1226.17</v>
      </c>
      <c r="K22" s="8">
        <f>+C22*J22</f>
        <v>20660.964500000002</v>
      </c>
      <c r="L22" s="6">
        <f>+M22-B22</f>
        <v>-202.93000000000006</v>
      </c>
      <c r="M22" s="6">
        <f>+'Annual Adj OL'!D22*12</f>
        <v>1023.24</v>
      </c>
      <c r="N22" s="8">
        <f>+C22*M22</f>
        <v>17241.594000000001</v>
      </c>
      <c r="P22" s="8">
        <f>+N22+O22</f>
        <v>17241.594000000001</v>
      </c>
    </row>
    <row r="23" spans="1:16" ht="6" customHeight="1">
      <c r="B23" s="72"/>
      <c r="C23" s="76"/>
      <c r="D23" s="8"/>
      <c r="E23" s="8"/>
      <c r="F23" s="8"/>
      <c r="G23" s="8"/>
      <c r="H23" s="8"/>
      <c r="I23" s="6"/>
      <c r="J23" s="6"/>
      <c r="K23" s="8"/>
      <c r="N23" s="8"/>
    </row>
    <row r="24" spans="1:16">
      <c r="A24" s="4" t="s">
        <v>33</v>
      </c>
      <c r="B24" s="72"/>
      <c r="C24" s="76"/>
      <c r="D24" s="8"/>
      <c r="E24" s="8"/>
      <c r="F24" s="8"/>
      <c r="G24" s="8"/>
      <c r="H24" s="8"/>
      <c r="I24" s="6"/>
      <c r="J24" s="6"/>
      <c r="K24" s="8"/>
      <c r="N24" s="8"/>
    </row>
    <row r="25" spans="1:16">
      <c r="A25" t="s">
        <v>28</v>
      </c>
      <c r="B25" s="72"/>
      <c r="C25" s="76"/>
      <c r="D25" s="8"/>
      <c r="E25" s="8"/>
      <c r="F25" s="8"/>
      <c r="G25" s="8"/>
      <c r="H25" s="8"/>
      <c r="I25" s="6"/>
      <c r="J25" s="6"/>
      <c r="K25" s="8"/>
      <c r="N25" s="8"/>
    </row>
    <row r="26" spans="1:16">
      <c r="A26" t="s">
        <v>130</v>
      </c>
      <c r="B26" s="74">
        <v>9563</v>
      </c>
      <c r="C26" s="76">
        <v>13.1</v>
      </c>
      <c r="D26" s="8">
        <f>+B26*C26</f>
        <v>125275.3</v>
      </c>
      <c r="E26" s="8">
        <f t="shared" ref="E26:F28" si="5">D26</f>
        <v>125275.3</v>
      </c>
      <c r="F26" s="8">
        <f t="shared" si="5"/>
        <v>125275.3</v>
      </c>
      <c r="G26" s="8">
        <f t="shared" ref="G26:G28" si="6">+F26</f>
        <v>125275.3</v>
      </c>
      <c r="H26" s="8">
        <f t="shared" ref="H26:H28" si="7">+G26</f>
        <v>125275.3</v>
      </c>
      <c r="I26" s="6">
        <v>0</v>
      </c>
      <c r="J26" s="6">
        <f>+B26+I26</f>
        <v>9563</v>
      </c>
      <c r="K26" s="8">
        <f>+C26*J26</f>
        <v>125275.3</v>
      </c>
      <c r="L26" s="6">
        <f>+M26-B26</f>
        <v>-1240.880000000001</v>
      </c>
      <c r="M26" s="6">
        <f>+'Annual Adj OL'!D26*12</f>
        <v>8322.119999999999</v>
      </c>
      <c r="N26" s="8">
        <f>+C26*M26</f>
        <v>109019.77199999998</v>
      </c>
      <c r="P26" s="8">
        <f>+N26+O26</f>
        <v>109019.77199999998</v>
      </c>
    </row>
    <row r="27" spans="1:16">
      <c r="A27" t="s">
        <v>131</v>
      </c>
      <c r="B27" s="74">
        <v>851.8</v>
      </c>
      <c r="C27" s="76">
        <v>21.45</v>
      </c>
      <c r="D27" s="8">
        <f>+B27*C27</f>
        <v>18271.109999999997</v>
      </c>
      <c r="E27" s="8">
        <f t="shared" si="5"/>
        <v>18271.109999999997</v>
      </c>
      <c r="F27" s="8">
        <f t="shared" si="5"/>
        <v>18271.109999999997</v>
      </c>
      <c r="G27" s="8">
        <f t="shared" si="6"/>
        <v>18271.109999999997</v>
      </c>
      <c r="H27" s="8">
        <f t="shared" si="7"/>
        <v>18271.109999999997</v>
      </c>
      <c r="I27" s="6">
        <v>0</v>
      </c>
      <c r="J27" s="6">
        <f>+B27+I27</f>
        <v>851.8</v>
      </c>
      <c r="K27" s="8">
        <f>+C27*J27</f>
        <v>18271.109999999997</v>
      </c>
      <c r="L27" s="6">
        <f>+M27-B27</f>
        <v>-116.67999999999995</v>
      </c>
      <c r="M27" s="6">
        <f>+'Annual Adj OL'!D27*12</f>
        <v>735.12</v>
      </c>
      <c r="N27" s="8">
        <f>+C27*M27</f>
        <v>15768.323999999999</v>
      </c>
      <c r="P27" s="8">
        <f>+N27+O27</f>
        <v>15768.323999999999</v>
      </c>
    </row>
    <row r="28" spans="1:16">
      <c r="A28" s="5" t="s">
        <v>359</v>
      </c>
      <c r="B28" s="74">
        <v>11.92</v>
      </c>
      <c r="C28" s="76">
        <v>24</v>
      </c>
      <c r="D28" s="8">
        <f>+B28*C28</f>
        <v>286.08</v>
      </c>
      <c r="E28" s="8">
        <f t="shared" si="5"/>
        <v>286.08</v>
      </c>
      <c r="F28" s="8">
        <f t="shared" si="5"/>
        <v>286.08</v>
      </c>
      <c r="G28" s="8">
        <f t="shared" si="6"/>
        <v>286.08</v>
      </c>
      <c r="H28" s="8">
        <f t="shared" si="7"/>
        <v>286.08</v>
      </c>
      <c r="I28" s="6">
        <v>0</v>
      </c>
      <c r="J28" s="6">
        <f>+B28+I28</f>
        <v>11.92</v>
      </c>
      <c r="K28" s="8">
        <f>+C28*J28</f>
        <v>286.08</v>
      </c>
      <c r="L28" s="6">
        <f>+M28-B28</f>
        <v>-1.5999999999999996</v>
      </c>
      <c r="M28" s="6">
        <f>+'Annual Adj OL'!D28*12</f>
        <v>10.32</v>
      </c>
      <c r="N28" s="8">
        <f>+C28*M28</f>
        <v>247.68</v>
      </c>
      <c r="P28" s="8">
        <f>+N28+O28</f>
        <v>247.68</v>
      </c>
    </row>
    <row r="29" spans="1:16" ht="6" customHeight="1">
      <c r="B29" s="72"/>
      <c r="C29" s="76"/>
      <c r="D29" s="8"/>
      <c r="E29" s="8"/>
      <c r="F29" s="8"/>
      <c r="G29" s="8"/>
      <c r="H29" s="8"/>
      <c r="I29" s="6"/>
      <c r="J29" s="6"/>
      <c r="K29" s="8"/>
      <c r="N29" s="8"/>
    </row>
    <row r="30" spans="1:16">
      <c r="A30" t="s">
        <v>29</v>
      </c>
      <c r="B30" s="72"/>
      <c r="C30" s="76"/>
      <c r="D30" s="8"/>
      <c r="E30" s="8"/>
      <c r="F30" s="8"/>
      <c r="G30" s="8"/>
      <c r="H30" s="8"/>
      <c r="I30" s="6"/>
      <c r="J30" s="6"/>
      <c r="K30" s="8"/>
      <c r="N30" s="8"/>
    </row>
    <row r="31" spans="1:16">
      <c r="A31" t="s">
        <v>132</v>
      </c>
      <c r="B31" s="74">
        <v>107.25</v>
      </c>
      <c r="C31" s="76">
        <v>11.2</v>
      </c>
      <c r="D31" s="8">
        <f>+B31*C31</f>
        <v>1201.1999999999998</v>
      </c>
      <c r="E31" s="8">
        <f>D31</f>
        <v>1201.1999999999998</v>
      </c>
      <c r="F31" s="8">
        <f>E31</f>
        <v>1201.1999999999998</v>
      </c>
      <c r="G31" s="8">
        <f>+F31</f>
        <v>1201.1999999999998</v>
      </c>
      <c r="H31" s="8">
        <f>+G31</f>
        <v>1201.1999999999998</v>
      </c>
      <c r="I31" s="6">
        <v>0</v>
      </c>
      <c r="J31" s="6">
        <f>+B31+I31</f>
        <v>107.25</v>
      </c>
      <c r="K31" s="8">
        <f>+C31*J31</f>
        <v>1201.1999999999998</v>
      </c>
      <c r="L31" s="6">
        <f>+M31-B31</f>
        <v>-14.129999999999995</v>
      </c>
      <c r="M31" s="6">
        <f>+'Annual Adj OL'!D31*12</f>
        <v>93.12</v>
      </c>
      <c r="N31" s="8">
        <f>+C31*M31</f>
        <v>1042.944</v>
      </c>
      <c r="P31" s="8">
        <f>+N31+O31</f>
        <v>1042.944</v>
      </c>
    </row>
    <row r="32" spans="1:16" ht="6" customHeight="1">
      <c r="B32" s="72"/>
      <c r="C32" s="76"/>
      <c r="D32" s="8"/>
      <c r="E32" s="8"/>
      <c r="F32" s="8"/>
      <c r="G32" s="8"/>
      <c r="H32" s="8"/>
      <c r="I32" s="6"/>
      <c r="J32" s="6"/>
      <c r="K32" s="8"/>
      <c r="N32" s="8"/>
    </row>
    <row r="33" spans="1:16">
      <c r="A33" s="4" t="s">
        <v>34</v>
      </c>
      <c r="B33" s="76"/>
      <c r="C33" s="76"/>
      <c r="D33" s="8"/>
      <c r="E33" s="8"/>
      <c r="F33" s="8"/>
      <c r="G33" s="8"/>
      <c r="H33" s="8"/>
      <c r="I33" s="6"/>
      <c r="J33" s="6"/>
      <c r="K33" s="8"/>
      <c r="N33" s="8"/>
    </row>
    <row r="34" spans="1:16">
      <c r="A34" t="s">
        <v>28</v>
      </c>
      <c r="B34" s="72"/>
      <c r="C34" s="76"/>
      <c r="D34" s="8"/>
      <c r="E34" s="8"/>
      <c r="F34" s="8"/>
      <c r="G34" s="8"/>
      <c r="H34" s="8"/>
      <c r="I34" s="6"/>
      <c r="J34" s="6"/>
      <c r="K34" s="8"/>
      <c r="N34" s="8"/>
    </row>
    <row r="35" spans="1:16">
      <c r="A35" t="s">
        <v>133</v>
      </c>
      <c r="B35" s="74">
        <v>21518.15</v>
      </c>
      <c r="C35" s="76">
        <v>13.6</v>
      </c>
      <c r="D35" s="8">
        <f>+B35*C35</f>
        <v>292646.84000000003</v>
      </c>
      <c r="E35" s="8">
        <f>D35</f>
        <v>292646.84000000003</v>
      </c>
      <c r="F35" s="8">
        <f>E35</f>
        <v>292646.84000000003</v>
      </c>
      <c r="G35" s="8">
        <f t="shared" ref="G35:G36" si="8">+F35</f>
        <v>292646.84000000003</v>
      </c>
      <c r="H35" s="8">
        <f t="shared" ref="H35:H36" si="9">+G35</f>
        <v>292646.84000000003</v>
      </c>
      <c r="I35" s="6">
        <v>0</v>
      </c>
      <c r="J35" s="6">
        <f>+B35+I35</f>
        <v>21518.15</v>
      </c>
      <c r="K35" s="8">
        <f>+C35*J35</f>
        <v>292646.84000000003</v>
      </c>
      <c r="L35" s="6">
        <f>+M35-B35</f>
        <v>-3146.9900000000016</v>
      </c>
      <c r="M35" s="6">
        <f>+'Annual Adj OL'!D35*12</f>
        <v>18371.16</v>
      </c>
      <c r="N35" s="8">
        <f>+C35*M35</f>
        <v>249847.77599999998</v>
      </c>
      <c r="P35" s="8">
        <f>+N35+O35</f>
        <v>249847.77599999998</v>
      </c>
    </row>
    <row r="36" spans="1:16">
      <c r="A36" t="s">
        <v>134</v>
      </c>
      <c r="B36" s="74">
        <v>52433.429999999993</v>
      </c>
      <c r="C36" s="76">
        <v>18.850000000000001</v>
      </c>
      <c r="D36" s="8">
        <f>+B36*C36</f>
        <v>988370.15549999999</v>
      </c>
      <c r="E36" s="8">
        <f>D36</f>
        <v>988370.15549999999</v>
      </c>
      <c r="F36" s="8">
        <f>E36</f>
        <v>988370.15549999999</v>
      </c>
      <c r="G36" s="8">
        <f t="shared" si="8"/>
        <v>988370.15549999999</v>
      </c>
      <c r="H36" s="8">
        <f t="shared" si="9"/>
        <v>988370.15549999999</v>
      </c>
      <c r="I36" s="6">
        <v>0</v>
      </c>
      <c r="J36" s="6">
        <f>+B36+I36</f>
        <v>52433.429999999993</v>
      </c>
      <c r="K36" s="8">
        <f>+C36*J36</f>
        <v>988370.15549999999</v>
      </c>
      <c r="L36" s="6">
        <f>+M36-B36</f>
        <v>-7011.3899999999921</v>
      </c>
      <c r="M36" s="6">
        <f>+'Annual Adj OL'!D36*12</f>
        <v>45422.04</v>
      </c>
      <c r="N36" s="8">
        <f>+C36*M36</f>
        <v>856205.45400000003</v>
      </c>
      <c r="P36" s="8">
        <f>+N36+O36</f>
        <v>856205.45400000003</v>
      </c>
    </row>
    <row r="37" spans="1:16" ht="6" customHeight="1">
      <c r="B37" s="72"/>
      <c r="C37" s="76"/>
      <c r="D37" s="8"/>
      <c r="E37" s="8"/>
      <c r="F37" s="8"/>
      <c r="G37" s="8"/>
      <c r="H37" s="8"/>
      <c r="I37" s="6"/>
      <c r="J37" s="6"/>
      <c r="K37" s="8"/>
      <c r="N37" s="8"/>
    </row>
    <row r="38" spans="1:16">
      <c r="A38" t="s">
        <v>30</v>
      </c>
      <c r="B38" s="72"/>
      <c r="C38" s="76"/>
      <c r="D38" s="8"/>
      <c r="E38" s="8"/>
      <c r="F38" s="8"/>
      <c r="G38" s="8"/>
      <c r="H38" s="8"/>
      <c r="I38" s="6"/>
      <c r="J38" s="6"/>
      <c r="K38" s="8"/>
      <c r="N38" s="8"/>
    </row>
    <row r="39" spans="1:16">
      <c r="A39" t="s">
        <v>135</v>
      </c>
      <c r="B39" s="74">
        <v>1586.3600000000001</v>
      </c>
      <c r="C39" s="76">
        <v>18.2</v>
      </c>
      <c r="D39" s="8">
        <f>+B39*C39</f>
        <v>28871.752</v>
      </c>
      <c r="E39" s="8">
        <f t="shared" ref="E39:F41" si="10">D39</f>
        <v>28871.752</v>
      </c>
      <c r="F39" s="8">
        <f t="shared" si="10"/>
        <v>28871.752</v>
      </c>
      <c r="G39" s="8">
        <f t="shared" ref="G39:G41" si="11">+F39</f>
        <v>28871.752</v>
      </c>
      <c r="H39" s="8">
        <f t="shared" ref="H39:H41" si="12">+G39</f>
        <v>28871.752</v>
      </c>
      <c r="I39" s="6">
        <v>0</v>
      </c>
      <c r="J39" s="6">
        <f>+B39+I39</f>
        <v>1586.3600000000001</v>
      </c>
      <c r="K39" s="8">
        <f>+C39*J39</f>
        <v>28871.752</v>
      </c>
      <c r="L39" s="6">
        <f>+M39-B39</f>
        <v>-203.72000000000025</v>
      </c>
      <c r="M39" s="6">
        <f>+'Annual Adj OL'!D39*12</f>
        <v>1382.6399999999999</v>
      </c>
      <c r="N39" s="8">
        <f>+C39*M39</f>
        <v>25164.047999999995</v>
      </c>
      <c r="P39" s="8">
        <f>+N39+O39</f>
        <v>25164.047999999995</v>
      </c>
    </row>
    <row r="40" spans="1:16">
      <c r="A40" t="s">
        <v>136</v>
      </c>
      <c r="B40" s="74">
        <v>10740.710000000001</v>
      </c>
      <c r="C40" s="76">
        <v>24.1</v>
      </c>
      <c r="D40" s="8">
        <f>+B40*C40</f>
        <v>258851.11100000003</v>
      </c>
      <c r="E40" s="8">
        <f t="shared" si="10"/>
        <v>258851.11100000003</v>
      </c>
      <c r="F40" s="8">
        <f t="shared" si="10"/>
        <v>258851.11100000003</v>
      </c>
      <c r="G40" s="8">
        <f t="shared" si="11"/>
        <v>258851.11100000003</v>
      </c>
      <c r="H40" s="8">
        <f t="shared" si="12"/>
        <v>258851.11100000003</v>
      </c>
      <c r="I40" s="6">
        <v>0</v>
      </c>
      <c r="J40" s="6">
        <f>+B40+I40</f>
        <v>10740.710000000001</v>
      </c>
      <c r="K40" s="8">
        <f>+C40*J40</f>
        <v>258851.11100000003</v>
      </c>
      <c r="L40" s="6">
        <f>+M40-B40</f>
        <v>-1146.7100000000009</v>
      </c>
      <c r="M40" s="6">
        <f>+'Annual Adj OL'!D40*12</f>
        <v>9594</v>
      </c>
      <c r="N40" s="8">
        <f>+C40*M40</f>
        <v>231215.40000000002</v>
      </c>
      <c r="P40" s="8">
        <f>+N40+O40</f>
        <v>231215.40000000002</v>
      </c>
    </row>
    <row r="41" spans="1:16">
      <c r="A41" t="s">
        <v>137</v>
      </c>
      <c r="B41" s="74">
        <v>850.11000000000013</v>
      </c>
      <c r="C41" s="76">
        <v>52.2</v>
      </c>
      <c r="D41" s="8">
        <f>+B41*C41</f>
        <v>44375.742000000006</v>
      </c>
      <c r="E41" s="8">
        <f t="shared" si="10"/>
        <v>44375.742000000006</v>
      </c>
      <c r="F41" s="8">
        <f t="shared" si="10"/>
        <v>44375.742000000006</v>
      </c>
      <c r="G41" s="8">
        <f t="shared" si="11"/>
        <v>44375.742000000006</v>
      </c>
      <c r="H41" s="8">
        <f t="shared" si="12"/>
        <v>44375.742000000006</v>
      </c>
      <c r="I41" s="6">
        <v>0</v>
      </c>
      <c r="J41" s="6">
        <f>+B41+I41</f>
        <v>850.11000000000013</v>
      </c>
      <c r="K41" s="8">
        <f>+C41*J41</f>
        <v>44375.742000000006</v>
      </c>
      <c r="L41" s="6">
        <f>+M41-B41</f>
        <v>-156.51000000000022</v>
      </c>
      <c r="M41" s="6">
        <f>+'Annual Adj OL'!D41*12</f>
        <v>693.59999999999991</v>
      </c>
      <c r="N41" s="8">
        <f>+C41*M41</f>
        <v>36205.919999999998</v>
      </c>
      <c r="P41" s="8">
        <f>+N41+O41</f>
        <v>36205.919999999998</v>
      </c>
    </row>
    <row r="42" spans="1:16" ht="6" customHeight="1">
      <c r="C42" s="10"/>
      <c r="D42" s="8"/>
      <c r="E42" s="8"/>
      <c r="F42" s="8"/>
      <c r="G42" s="8"/>
      <c r="H42" s="8"/>
      <c r="I42" s="6"/>
      <c r="J42" s="6"/>
      <c r="K42" s="8"/>
      <c r="N42" s="8"/>
    </row>
    <row r="43" spans="1:16">
      <c r="A43" t="s">
        <v>12</v>
      </c>
      <c r="B43" s="6">
        <f>+'12 Months TS'!E45</f>
        <v>42655897</v>
      </c>
      <c r="C43" s="10"/>
      <c r="D43" s="8"/>
      <c r="E43" s="8"/>
      <c r="F43" s="8"/>
      <c r="G43" s="8"/>
      <c r="H43" s="8"/>
      <c r="I43" s="6"/>
      <c r="J43" s="6"/>
      <c r="K43" s="8"/>
      <c r="L43" s="6">
        <f>'Annual Adj OL'!G13</f>
        <v>-5015299</v>
      </c>
      <c r="M43" s="6">
        <f>+L43+B43</f>
        <v>37640598</v>
      </c>
      <c r="N43" s="8"/>
    </row>
    <row r="44" spans="1:16">
      <c r="C44" s="10"/>
      <c r="D44" s="8"/>
      <c r="E44" s="8"/>
      <c r="F44" s="8"/>
      <c r="G44" s="8"/>
      <c r="H44" s="8"/>
      <c r="I44" s="6"/>
      <c r="J44" s="6"/>
      <c r="K44" s="8"/>
      <c r="N44" s="8"/>
    </row>
    <row r="45" spans="1:16">
      <c r="A45" t="s">
        <v>35</v>
      </c>
      <c r="C45" s="10"/>
      <c r="D45" s="8"/>
      <c r="E45" s="8"/>
      <c r="F45" s="8"/>
      <c r="G45" s="8"/>
      <c r="H45" s="8"/>
      <c r="I45" s="6"/>
      <c r="J45" s="6"/>
      <c r="K45" s="8"/>
      <c r="N45" s="8"/>
    </row>
    <row r="46" spans="1:16">
      <c r="A46" t="s">
        <v>138</v>
      </c>
      <c r="B46" s="74">
        <v>52171.959999999992</v>
      </c>
      <c r="C46" s="76">
        <v>2.85</v>
      </c>
      <c r="D46" s="8">
        <f>+B46*C46</f>
        <v>148690.08599999998</v>
      </c>
      <c r="E46" s="8">
        <f t="shared" ref="E46:F48" si="13">D46</f>
        <v>148690.08599999998</v>
      </c>
      <c r="F46" s="8">
        <f t="shared" si="13"/>
        <v>148690.08599999998</v>
      </c>
      <c r="G46" s="8">
        <f t="shared" ref="G46:G48" si="14">+F46</f>
        <v>148690.08599999998</v>
      </c>
      <c r="H46" s="8">
        <f t="shared" ref="H46:H47" si="15">+G46</f>
        <v>148690.08599999998</v>
      </c>
      <c r="I46" s="6">
        <v>0</v>
      </c>
      <c r="J46" s="6">
        <f>+B46+I46</f>
        <v>52171.959999999992</v>
      </c>
      <c r="K46" s="8">
        <f>+C46*J46</f>
        <v>148690.08599999998</v>
      </c>
      <c r="L46" s="6">
        <f>+M46-B46</f>
        <v>-7034.0799999999945</v>
      </c>
      <c r="M46" s="6">
        <f>'Annual Adj OL'!D44*12</f>
        <v>45137.88</v>
      </c>
      <c r="N46" s="8">
        <f>+C46*M46</f>
        <v>128642.958</v>
      </c>
      <c r="P46" s="8">
        <f>+N46+O46</f>
        <v>128642.958</v>
      </c>
    </row>
    <row r="47" spans="1:16">
      <c r="A47" t="s">
        <v>139</v>
      </c>
      <c r="B47" s="74">
        <v>56367.62</v>
      </c>
      <c r="C47" s="76">
        <v>1.6</v>
      </c>
      <c r="D47" s="8">
        <f>+B47*C47</f>
        <v>90188.19200000001</v>
      </c>
      <c r="E47" s="8">
        <f t="shared" si="13"/>
        <v>90188.19200000001</v>
      </c>
      <c r="F47" s="8">
        <f t="shared" si="13"/>
        <v>90188.19200000001</v>
      </c>
      <c r="G47" s="8">
        <f t="shared" si="14"/>
        <v>90188.19200000001</v>
      </c>
      <c r="H47" s="8">
        <f t="shared" si="15"/>
        <v>90188.19200000001</v>
      </c>
      <c r="I47" s="6">
        <v>0</v>
      </c>
      <c r="J47" s="6">
        <f>+B47+I47</f>
        <v>56367.62</v>
      </c>
      <c r="K47" s="8">
        <f>+C47*J47</f>
        <v>90188.19200000001</v>
      </c>
      <c r="L47" s="6">
        <f>+M47-B47</f>
        <v>-7499.6600000000035</v>
      </c>
      <c r="M47" s="6">
        <f>'Annual Adj OL'!D45*12</f>
        <v>48867.96</v>
      </c>
      <c r="N47" s="8">
        <f>+C47*M47</f>
        <v>78188.736000000004</v>
      </c>
      <c r="P47" s="8">
        <f>+N47+O47</f>
        <v>78188.736000000004</v>
      </c>
    </row>
    <row r="48" spans="1:16">
      <c r="A48" t="s">
        <v>140</v>
      </c>
      <c r="B48" s="74">
        <v>744.30000000000007</v>
      </c>
      <c r="C48" s="76">
        <v>6.25</v>
      </c>
      <c r="D48" s="8">
        <f>+B48*C48</f>
        <v>4651.875</v>
      </c>
      <c r="E48" s="8">
        <f t="shared" si="13"/>
        <v>4651.875</v>
      </c>
      <c r="F48" s="8">
        <f t="shared" si="13"/>
        <v>4651.875</v>
      </c>
      <c r="G48" s="8">
        <f t="shared" si="14"/>
        <v>4651.875</v>
      </c>
      <c r="H48" s="8">
        <f t="shared" ref="H48" si="16">+G48</f>
        <v>4651.875</v>
      </c>
      <c r="I48" s="6">
        <v>0</v>
      </c>
      <c r="J48" s="6">
        <f>+B48+I48</f>
        <v>744.30000000000007</v>
      </c>
      <c r="K48" s="8">
        <f>+C48*J48</f>
        <v>4651.875</v>
      </c>
      <c r="L48" s="6">
        <f>+M48-B48</f>
        <v>-102.42000000000007</v>
      </c>
      <c r="M48" s="6">
        <f>'Annual Adj OL'!D46*12</f>
        <v>641.88</v>
      </c>
      <c r="N48" s="8">
        <f>+C48*M48</f>
        <v>4011.75</v>
      </c>
      <c r="P48" s="8">
        <f>+N48+O48</f>
        <v>4011.75</v>
      </c>
    </row>
    <row r="49" spans="1:16">
      <c r="C49" s="10"/>
      <c r="D49" s="8"/>
      <c r="E49" s="8"/>
      <c r="F49" s="8"/>
      <c r="G49" s="8"/>
      <c r="H49" s="8"/>
      <c r="I49" s="8"/>
      <c r="J49" s="8"/>
      <c r="K49" s="8"/>
      <c r="N49" s="8"/>
    </row>
    <row r="50" spans="1:16">
      <c r="A50" t="str">
        <f>+RS!A27</f>
        <v xml:space="preserve">Fuel </v>
      </c>
      <c r="C50" s="10"/>
      <c r="D50" s="8">
        <f>+'B&amp;A Surcharges'!B17</f>
        <v>103947.94</v>
      </c>
      <c r="E50" s="8">
        <f>D50</f>
        <v>103947.94</v>
      </c>
      <c r="F50" s="8">
        <f>E50</f>
        <v>103947.94</v>
      </c>
      <c r="G50" s="8">
        <f>+F50</f>
        <v>103947.94</v>
      </c>
      <c r="H50" s="8">
        <f>ROUND(B43*H11,2)</f>
        <v>87065.89</v>
      </c>
      <c r="I50" s="8">
        <v>0</v>
      </c>
      <c r="J50" s="8"/>
      <c r="K50" s="8">
        <f>+H50+I50</f>
        <v>87065.89</v>
      </c>
      <c r="L50" s="8">
        <f>N50-K50</f>
        <v>-10236.839999999997</v>
      </c>
      <c r="N50" s="8">
        <f>ROUND(H11*M43,2)</f>
        <v>76829.05</v>
      </c>
      <c r="P50" s="8">
        <f>+N50+O50</f>
        <v>76829.05</v>
      </c>
    </row>
    <row r="51" spans="1:16">
      <c r="C51" s="10"/>
      <c r="D51" s="8"/>
      <c r="E51" s="8"/>
      <c r="F51" s="8"/>
      <c r="G51" s="8"/>
      <c r="H51" s="8"/>
      <c r="I51" s="8"/>
      <c r="J51" s="8"/>
      <c r="K51" s="8"/>
      <c r="N51" s="8"/>
    </row>
    <row r="52" spans="1:16">
      <c r="A52" t="str">
        <f>+RS!A29</f>
        <v>System Sales Clause</v>
      </c>
      <c r="C52" s="10"/>
      <c r="D52" s="8">
        <f>+'B&amp;A Surcharges'!D17</f>
        <v>19299.830000000002</v>
      </c>
      <c r="E52" s="8">
        <v>0</v>
      </c>
      <c r="F52" s="8">
        <f>E52</f>
        <v>0</v>
      </c>
      <c r="G52" s="8">
        <f>+F52</f>
        <v>0</v>
      </c>
      <c r="H52" s="8">
        <f>+G52</f>
        <v>0</v>
      </c>
      <c r="I52" s="8">
        <v>0</v>
      </c>
      <c r="J52" s="8"/>
      <c r="K52" s="8">
        <f>+H52+I52</f>
        <v>0</v>
      </c>
      <c r="N52" s="8">
        <f>ROUND(M$43*K52/B$43,2)</f>
        <v>0</v>
      </c>
      <c r="P52" s="8">
        <f>+N52+O52</f>
        <v>0</v>
      </c>
    </row>
    <row r="53" spans="1:16">
      <c r="C53" s="10"/>
      <c r="D53" s="8"/>
      <c r="E53" s="8"/>
      <c r="F53" s="8"/>
      <c r="G53" s="8"/>
      <c r="H53" s="8"/>
      <c r="I53" s="8"/>
      <c r="J53" s="8"/>
      <c r="K53" s="8"/>
      <c r="N53" s="8"/>
    </row>
    <row r="54" spans="1:16">
      <c r="A54" t="str">
        <f>+RS!A31</f>
        <v>Environmental Surcharge</v>
      </c>
      <c r="C54" s="10"/>
      <c r="D54" s="8">
        <f>+'B&amp;A Surcharges'!J17</f>
        <v>-42576.679999999993</v>
      </c>
      <c r="E54" s="8">
        <f>D54</f>
        <v>-42576.679999999993</v>
      </c>
      <c r="F54" s="8">
        <f>E54</f>
        <v>-42576.679999999993</v>
      </c>
      <c r="G54" s="8">
        <v>0</v>
      </c>
      <c r="H54" s="8">
        <f>+G54</f>
        <v>0</v>
      </c>
      <c r="I54" s="8">
        <v>0</v>
      </c>
      <c r="J54" s="8"/>
      <c r="K54" s="8">
        <f>+H54+I54</f>
        <v>0</v>
      </c>
      <c r="L54" s="8">
        <f>N54-K54</f>
        <v>0</v>
      </c>
      <c r="N54" s="8">
        <v>0</v>
      </c>
      <c r="P54" s="8">
        <f>+N54+O54</f>
        <v>0</v>
      </c>
    </row>
    <row r="55" spans="1:16">
      <c r="C55" s="10"/>
      <c r="D55" s="8"/>
      <c r="E55" s="8"/>
      <c r="F55" s="8"/>
      <c r="G55" s="8"/>
      <c r="H55" s="8"/>
      <c r="I55" s="8"/>
      <c r="J55" s="8"/>
      <c r="K55" s="8"/>
      <c r="L55" s="8"/>
      <c r="N55" s="8"/>
    </row>
    <row r="56" spans="1:16">
      <c r="A56" t="str">
        <f>+RS!A33</f>
        <v>Capacity Charge</v>
      </c>
      <c r="C56" s="10"/>
      <c r="D56" s="8">
        <f>+'B&amp;A Surcharges'!F17</f>
        <v>41376.229999999996</v>
      </c>
      <c r="E56" s="8">
        <f>D56</f>
        <v>41376.229999999996</v>
      </c>
      <c r="F56" s="8">
        <v>0</v>
      </c>
      <c r="G56" s="8">
        <f>+F56</f>
        <v>0</v>
      </c>
      <c r="H56" s="8">
        <f>+G56</f>
        <v>0</v>
      </c>
      <c r="I56" s="8">
        <v>0</v>
      </c>
      <c r="J56" s="8"/>
      <c r="K56" s="8">
        <f>+H56+I56</f>
        <v>0</v>
      </c>
      <c r="N56" s="8">
        <f>ROUND(M$43*K56/B$43,2)</f>
        <v>0</v>
      </c>
      <c r="P56" s="8">
        <f>+N56+O56</f>
        <v>0</v>
      </c>
    </row>
    <row r="57" spans="1:16">
      <c r="C57" s="10"/>
      <c r="D57" s="8"/>
      <c r="E57" s="8"/>
      <c r="F57" s="8"/>
      <c r="G57" s="8"/>
      <c r="H57" s="8"/>
      <c r="I57" s="8"/>
      <c r="J57" s="8"/>
      <c r="K57" s="8"/>
      <c r="N57" s="8"/>
    </row>
    <row r="58" spans="1:16">
      <c r="A58" t="str">
        <f>+RS!A35</f>
        <v>Asset Transfer Rider</v>
      </c>
      <c r="C58" s="10"/>
      <c r="D58" s="8">
        <f>+'B&amp;A Surcharges'!N17</f>
        <v>600634.18999999994</v>
      </c>
      <c r="E58" s="8">
        <f>D58</f>
        <v>600634.18999999994</v>
      </c>
      <c r="F58" s="8">
        <f>E58</f>
        <v>600634.18999999994</v>
      </c>
      <c r="G58" s="8">
        <f>+F58</f>
        <v>600634.18999999994</v>
      </c>
      <c r="H58" s="8">
        <f>+G58</f>
        <v>600634.18999999994</v>
      </c>
      <c r="I58" s="8">
        <v>0</v>
      </c>
      <c r="J58" s="8"/>
      <c r="K58" s="8">
        <f>+H58+I58</f>
        <v>600634.18999999994</v>
      </c>
      <c r="L58" s="8">
        <f>N58-K58</f>
        <v>-70827.632633870468</v>
      </c>
      <c r="N58" s="8">
        <f>+(SUM(N15:N49,N52:N56)/(K60-K50-K58)*K58)</f>
        <v>529806.55736612948</v>
      </c>
      <c r="O58" s="8">
        <f>+'ATR Adjustment WP'!G17</f>
        <v>174693.34676186164</v>
      </c>
      <c r="P58" s="8">
        <f>+N58+O58</f>
        <v>704499.90412799106</v>
      </c>
    </row>
    <row r="59" spans="1:16">
      <c r="C59" s="10"/>
      <c r="D59" s="8"/>
      <c r="E59" s="8"/>
      <c r="F59" s="8"/>
      <c r="G59" s="8"/>
      <c r="H59" s="8"/>
      <c r="I59" s="8"/>
      <c r="J59" s="8"/>
      <c r="K59" s="8"/>
      <c r="N59" s="8"/>
    </row>
    <row r="60" spans="1:16">
      <c r="A60" t="str">
        <f>+RS!A39</f>
        <v>Total</v>
      </c>
      <c r="C60" s="10"/>
      <c r="D60" s="8">
        <f t="shared" ref="D60:H60" si="17">SUM(D15:D59)</f>
        <v>7991784.5985000022</v>
      </c>
      <c r="E60" s="8">
        <f t="shared" si="17"/>
        <v>7972484.7685000021</v>
      </c>
      <c r="F60" s="8">
        <f t="shared" si="17"/>
        <v>7931108.5385000017</v>
      </c>
      <c r="G60" s="8">
        <f t="shared" si="17"/>
        <v>7973685.2185000014</v>
      </c>
      <c r="H60" s="8">
        <f t="shared" si="17"/>
        <v>7956803.1685000006</v>
      </c>
      <c r="I60" s="8"/>
      <c r="J60" s="8"/>
      <c r="K60" s="8">
        <f>SUM(K15:K59)</f>
        <v>7956803.1685000006</v>
      </c>
      <c r="M60" s="8"/>
      <c r="N60" s="8">
        <f>SUM(N15:N59)</f>
        <v>7018555.7853661273</v>
      </c>
      <c r="P60" s="8">
        <f>SUM(P15:P59)</f>
        <v>7193249.1321279891</v>
      </c>
    </row>
    <row r="62" spans="1:16">
      <c r="G62" s="8"/>
      <c r="N62" s="8"/>
    </row>
    <row r="64" spans="1:16">
      <c r="D64" s="8"/>
    </row>
  </sheetData>
  <phoneticPr fontId="0" type="noConversion"/>
  <printOptions horizontalCentered="1"/>
  <pageMargins left="0.25" right="0.25" top="0.75" bottom="0.75" header="0.3" footer="0.3"/>
  <pageSetup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4"/>
  <sheetViews>
    <sheetView topLeftCell="A16" workbookViewId="0">
      <selection activeCell="L33" sqref="L33"/>
    </sheetView>
  </sheetViews>
  <sheetFormatPr defaultRowHeight="12.75"/>
  <cols>
    <col min="1" max="1" width="36.140625" customWidth="1"/>
    <col min="2" max="2" width="9.42578125" bestFit="1" customWidth="1"/>
    <col min="3" max="3" width="10.7109375" bestFit="1" customWidth="1"/>
    <col min="4" max="4" width="9.42578125" bestFit="1" customWidth="1"/>
    <col min="5" max="5" width="10.28515625" bestFit="1" customWidth="1"/>
    <col min="6" max="6" width="11.7109375" bestFit="1" customWidth="1"/>
    <col min="7" max="7" width="12.140625" bestFit="1" customWidth="1"/>
    <col min="8" max="8" width="11.7109375" bestFit="1" customWidth="1"/>
    <col min="9" max="9" width="12.28515625" bestFit="1" customWidth="1"/>
  </cols>
  <sheetData>
    <row r="1" spans="1:9">
      <c r="A1" t="s">
        <v>206</v>
      </c>
    </row>
    <row r="2" spans="1:9">
      <c r="A2" t="s">
        <v>207</v>
      </c>
    </row>
    <row r="3" spans="1:9">
      <c r="A3" t="str">
        <f>+RS!A3</f>
        <v>TEST YEAR ENDED SEPTEMBER 30, 2014</v>
      </c>
    </row>
    <row r="4" spans="1:9">
      <c r="A4" t="s">
        <v>235</v>
      </c>
    </row>
    <row r="6" spans="1:9">
      <c r="A6" s="1"/>
      <c r="B6" s="1"/>
      <c r="C6" s="105" t="s">
        <v>378</v>
      </c>
      <c r="D6" s="1"/>
      <c r="E6" s="1"/>
      <c r="F6" s="1"/>
      <c r="G6" s="1"/>
      <c r="H6" s="1"/>
      <c r="I6" s="1"/>
    </row>
    <row r="7" spans="1:9">
      <c r="A7" s="1"/>
      <c r="B7" s="1" t="s">
        <v>197</v>
      </c>
      <c r="C7" s="1" t="s">
        <v>208</v>
      </c>
      <c r="D7" s="1"/>
      <c r="E7" s="1"/>
      <c r="F7" s="1"/>
      <c r="G7" s="1"/>
      <c r="H7" s="1"/>
      <c r="I7" s="1"/>
    </row>
    <row r="8" spans="1:9">
      <c r="A8" s="1"/>
      <c r="B8" s="1" t="s">
        <v>219</v>
      </c>
      <c r="C8" s="1" t="s">
        <v>209</v>
      </c>
      <c r="D8" s="105" t="s">
        <v>378</v>
      </c>
      <c r="E8" s="1"/>
      <c r="F8" s="27" t="str">
        <f>+D8</f>
        <v>Sept 2014</v>
      </c>
      <c r="G8" s="1" t="s">
        <v>210</v>
      </c>
      <c r="H8" s="1"/>
      <c r="I8" s="1" t="s">
        <v>6</v>
      </c>
    </row>
    <row r="9" spans="1:9">
      <c r="A9" s="1"/>
      <c r="B9" s="1" t="s">
        <v>211</v>
      </c>
      <c r="C9" s="1" t="s">
        <v>211</v>
      </c>
      <c r="D9" s="1" t="s">
        <v>211</v>
      </c>
      <c r="E9" s="1" t="s">
        <v>234</v>
      </c>
      <c r="F9" s="37" t="s">
        <v>360</v>
      </c>
      <c r="G9" s="1" t="s">
        <v>214</v>
      </c>
      <c r="H9" s="1" t="s">
        <v>234</v>
      </c>
      <c r="I9" s="1" t="s">
        <v>214</v>
      </c>
    </row>
    <row r="10" spans="1:9">
      <c r="A10" s="3" t="s">
        <v>2</v>
      </c>
      <c r="B10" s="3" t="s">
        <v>230</v>
      </c>
      <c r="C10" s="3" t="s">
        <v>230</v>
      </c>
      <c r="D10" s="3" t="s">
        <v>230</v>
      </c>
      <c r="E10" s="3" t="s">
        <v>216</v>
      </c>
      <c r="F10" s="3" t="s">
        <v>317</v>
      </c>
      <c r="G10" s="3" t="s">
        <v>198</v>
      </c>
      <c r="H10" s="3" t="s">
        <v>5</v>
      </c>
      <c r="I10" s="3" t="s">
        <v>198</v>
      </c>
    </row>
    <row r="11" spans="1:9">
      <c r="A11" s="21" t="s">
        <v>7</v>
      </c>
      <c r="B11" s="21" t="s">
        <v>8</v>
      </c>
      <c r="C11" s="21" t="s">
        <v>9</v>
      </c>
      <c r="D11" s="21" t="s">
        <v>220</v>
      </c>
      <c r="E11" s="21" t="s">
        <v>221</v>
      </c>
      <c r="F11" s="21" t="s">
        <v>10</v>
      </c>
      <c r="G11" s="21" t="s">
        <v>11</v>
      </c>
      <c r="H11" s="21" t="s">
        <v>199</v>
      </c>
      <c r="I11" s="21" t="s">
        <v>236</v>
      </c>
    </row>
    <row r="13" spans="1:9">
      <c r="A13" s="4" t="s">
        <v>32</v>
      </c>
      <c r="C13">
        <v>12</v>
      </c>
      <c r="G13" s="6">
        <f>SUM(G15:G41)</f>
        <v>-5015299</v>
      </c>
    </row>
    <row r="14" spans="1:9">
      <c r="A14" t="s">
        <v>28</v>
      </c>
    </row>
    <row r="15" spans="1:9">
      <c r="A15" t="s">
        <v>124</v>
      </c>
      <c r="B15" s="6">
        <f>OL!B15</f>
        <v>264111.87</v>
      </c>
      <c r="C15" s="20">
        <f>+B15/C$13</f>
        <v>22009.322499999998</v>
      </c>
      <c r="D15" s="74">
        <v>19589.45</v>
      </c>
      <c r="E15" s="20">
        <f>+D15-C15</f>
        <v>-2419.8724999999977</v>
      </c>
      <c r="F15" s="74">
        <v>484</v>
      </c>
      <c r="G15" s="6">
        <f>ROUND(E15*F15,0)</f>
        <v>-1171218</v>
      </c>
      <c r="H15" s="10">
        <f>+OL!C15</f>
        <v>8.75</v>
      </c>
      <c r="I15" s="10">
        <f>+E15*H15*12</f>
        <v>-254086.61249999976</v>
      </c>
    </row>
    <row r="16" spans="1:9">
      <c r="A16" t="s">
        <v>125</v>
      </c>
      <c r="B16" s="6">
        <f>OL!B16</f>
        <v>249498.45</v>
      </c>
      <c r="C16" s="20">
        <f>+B16/C$13</f>
        <v>20791.537500000002</v>
      </c>
      <c r="D16" s="74">
        <v>18480.009999999998</v>
      </c>
      <c r="E16" s="20">
        <f>+D16-C16</f>
        <v>-2311.5275000000038</v>
      </c>
      <c r="F16" s="74">
        <v>704</v>
      </c>
      <c r="G16" s="6">
        <f>ROUND(E16*F16,0)</f>
        <v>-1627315</v>
      </c>
      <c r="H16" s="10">
        <f>+OL!C16</f>
        <v>9.9</v>
      </c>
      <c r="I16" s="10">
        <f>+E16*H16*12</f>
        <v>-274609.46700000041</v>
      </c>
    </row>
    <row r="17" spans="1:9">
      <c r="A17" t="s">
        <v>126</v>
      </c>
      <c r="B17" s="6">
        <f>OL!B17</f>
        <v>24172.989999999998</v>
      </c>
      <c r="C17" s="20">
        <f>+B17/C$13</f>
        <v>2014.4158333333332</v>
      </c>
      <c r="D17" s="74">
        <v>1804.56</v>
      </c>
      <c r="E17" s="20">
        <f>+D17-C17</f>
        <v>-209.85583333333329</v>
      </c>
      <c r="F17" s="74">
        <v>1012</v>
      </c>
      <c r="G17" s="6">
        <f>ROUND(E17*F17,0)</f>
        <v>-212374</v>
      </c>
      <c r="H17" s="10">
        <f>+OL!C17</f>
        <v>12.2</v>
      </c>
      <c r="I17" s="10">
        <f>+E17*H17*12</f>
        <v>-30722.893999999993</v>
      </c>
    </row>
    <row r="18" spans="1:9">
      <c r="A18" t="s">
        <v>127</v>
      </c>
      <c r="B18" s="6">
        <f>OL!B18</f>
        <v>2498.0499999999997</v>
      </c>
      <c r="C18" s="20">
        <f>+B18/C$13</f>
        <v>208.17083333333332</v>
      </c>
      <c r="D18" s="74">
        <v>171.8</v>
      </c>
      <c r="E18" s="20">
        <f>+D18-C18</f>
        <v>-36.370833333333309</v>
      </c>
      <c r="F18" s="74">
        <v>2000</v>
      </c>
      <c r="G18" s="6">
        <f>ROUND(E18*F18,0)</f>
        <v>-72742</v>
      </c>
      <c r="H18" s="10">
        <f>+OL!C18</f>
        <v>19.149999999999999</v>
      </c>
      <c r="I18" s="10">
        <f>+E18*H18*12</f>
        <v>-8358.0174999999945</v>
      </c>
    </row>
    <row r="19" spans="1:9">
      <c r="B19" s="6"/>
      <c r="C19" s="20"/>
      <c r="D19" s="74"/>
      <c r="E19" s="20"/>
      <c r="F19" s="74"/>
      <c r="H19" s="10"/>
    </row>
    <row r="20" spans="1:9">
      <c r="A20" t="s">
        <v>29</v>
      </c>
      <c r="B20" s="6"/>
      <c r="C20" s="20"/>
      <c r="D20" s="74"/>
      <c r="E20" s="20"/>
      <c r="F20" s="74"/>
      <c r="H20" s="10"/>
    </row>
    <row r="21" spans="1:9">
      <c r="A21" t="s">
        <v>128</v>
      </c>
      <c r="B21" s="6">
        <f>OL!B21</f>
        <v>12615.49</v>
      </c>
      <c r="C21" s="20">
        <f>+B21/C$13</f>
        <v>1051.2908333333332</v>
      </c>
      <c r="D21" s="74">
        <v>881.48</v>
      </c>
      <c r="E21" s="20">
        <f>+D21-C21</f>
        <v>-169.81083333333322</v>
      </c>
      <c r="F21" s="74">
        <v>864</v>
      </c>
      <c r="G21" s="6">
        <f>ROUND(E21*F21,0)</f>
        <v>-146717</v>
      </c>
      <c r="H21" s="10">
        <f>+OL!C21</f>
        <v>9.75</v>
      </c>
      <c r="I21" s="10">
        <f>+E21*H21*12</f>
        <v>-19867.867499999986</v>
      </c>
    </row>
    <row r="22" spans="1:9">
      <c r="A22" t="s">
        <v>129</v>
      </c>
      <c r="B22" s="6">
        <f>OL!B22</f>
        <v>1226.17</v>
      </c>
      <c r="C22" s="20">
        <f>+B22/C$13</f>
        <v>102.18083333333334</v>
      </c>
      <c r="D22" s="74">
        <v>85.27</v>
      </c>
      <c r="E22" s="20">
        <f>+D22-C22</f>
        <v>-16.910833333333343</v>
      </c>
      <c r="F22" s="74">
        <v>1896</v>
      </c>
      <c r="G22" s="6">
        <f>ROUND(E22*F22,0)</f>
        <v>-32063</v>
      </c>
      <c r="H22" s="10">
        <f>+OL!C22</f>
        <v>16.850000000000001</v>
      </c>
      <c r="I22" s="10">
        <f>+E22*H22*12</f>
        <v>-3419.3705000000018</v>
      </c>
    </row>
    <row r="23" spans="1:9">
      <c r="B23" s="6"/>
      <c r="C23" s="20"/>
      <c r="D23" s="74"/>
      <c r="E23" s="20"/>
      <c r="F23" s="74"/>
      <c r="H23" s="10"/>
    </row>
    <row r="24" spans="1:9">
      <c r="A24" s="4" t="s">
        <v>33</v>
      </c>
      <c r="B24" s="6"/>
      <c r="C24" s="20"/>
      <c r="D24" s="74"/>
      <c r="E24" s="20"/>
      <c r="F24" s="74"/>
      <c r="H24" s="10"/>
    </row>
    <row r="25" spans="1:9">
      <c r="A25" t="s">
        <v>28</v>
      </c>
      <c r="B25" s="6"/>
      <c r="C25" s="20"/>
      <c r="D25" s="74"/>
      <c r="E25" s="20"/>
      <c r="F25" s="74"/>
      <c r="H25" s="10"/>
    </row>
    <row r="26" spans="1:9">
      <c r="A26" t="s">
        <v>130</v>
      </c>
      <c r="B26" s="6">
        <f>OL!B26</f>
        <v>9563</v>
      </c>
      <c r="C26" s="20">
        <f>+B26/C$13</f>
        <v>796.91666666666663</v>
      </c>
      <c r="D26" s="74">
        <v>693.51</v>
      </c>
      <c r="E26" s="20">
        <f>+D26-C26</f>
        <v>-103.40666666666664</v>
      </c>
      <c r="F26" s="74">
        <v>484</v>
      </c>
      <c r="G26" s="6">
        <f>ROUND(E26*F26,0)</f>
        <v>-50049</v>
      </c>
      <c r="H26" s="10">
        <f>+OL!C26</f>
        <v>13.1</v>
      </c>
      <c r="I26" s="10">
        <f>+E26*H26*12</f>
        <v>-16255.527999999995</v>
      </c>
    </row>
    <row r="27" spans="1:9">
      <c r="A27" t="s">
        <v>131</v>
      </c>
      <c r="B27" s="6">
        <f>OL!B27</f>
        <v>851.8</v>
      </c>
      <c r="C27" s="20">
        <f>+B27/C$13</f>
        <v>70.983333333333334</v>
      </c>
      <c r="D27" s="74">
        <v>61.26</v>
      </c>
      <c r="E27" s="20">
        <f>+D27-C27</f>
        <v>-9.7233333333333363</v>
      </c>
      <c r="F27" s="74">
        <v>704</v>
      </c>
      <c r="G27" s="6">
        <f>ROUND(E27*F27,0)</f>
        <v>-6845</v>
      </c>
      <c r="H27" s="10">
        <f>+OL!C27</f>
        <v>21.45</v>
      </c>
      <c r="I27" s="10">
        <f>+E27*H27*12</f>
        <v>-2502.7860000000005</v>
      </c>
    </row>
    <row r="28" spans="1:9">
      <c r="A28" s="5" t="s">
        <v>359</v>
      </c>
      <c r="B28" s="6">
        <f>OL!B28</f>
        <v>11.92</v>
      </c>
      <c r="C28" s="20">
        <f>+B28/C$13</f>
        <v>0.99333333333333329</v>
      </c>
      <c r="D28" s="74">
        <v>0.86</v>
      </c>
      <c r="E28" s="20">
        <f>+D28-C28</f>
        <v>-0.1333333333333333</v>
      </c>
      <c r="F28" s="74">
        <v>1236</v>
      </c>
      <c r="G28" s="6">
        <f>ROUND(E28*F28,0)</f>
        <v>-165</v>
      </c>
      <c r="H28" s="10">
        <f>+OL!C28</f>
        <v>24</v>
      </c>
      <c r="I28" s="10">
        <f>+E28*H28*12</f>
        <v>-38.399999999999991</v>
      </c>
    </row>
    <row r="29" spans="1:9">
      <c r="B29" s="6"/>
      <c r="C29" s="20"/>
      <c r="D29" s="74"/>
      <c r="E29" s="20"/>
      <c r="F29" s="74"/>
      <c r="H29" s="10"/>
    </row>
    <row r="30" spans="1:9">
      <c r="A30" t="s">
        <v>29</v>
      </c>
      <c r="B30" s="6"/>
      <c r="C30" s="20"/>
      <c r="D30" s="74"/>
      <c r="E30" s="20"/>
      <c r="F30" s="74"/>
      <c r="H30" s="10"/>
    </row>
    <row r="31" spans="1:9">
      <c r="A31" t="s">
        <v>132</v>
      </c>
      <c r="B31" s="6">
        <f>OL!B31</f>
        <v>107.25</v>
      </c>
      <c r="C31" s="20">
        <f>+B31/C$13</f>
        <v>8.9375</v>
      </c>
      <c r="D31" s="74">
        <v>7.76</v>
      </c>
      <c r="E31" s="20">
        <f>+D31-C31</f>
        <v>-1.1775000000000002</v>
      </c>
      <c r="F31" s="74">
        <v>864</v>
      </c>
      <c r="G31" s="6">
        <f>ROUND(E31*F31,0)</f>
        <v>-1017</v>
      </c>
      <c r="H31" s="10">
        <f>+OL!C31</f>
        <v>11.2</v>
      </c>
      <c r="I31" s="10">
        <f>+E31*H31*12</f>
        <v>-158.25600000000003</v>
      </c>
    </row>
    <row r="32" spans="1:9">
      <c r="B32" s="6"/>
      <c r="C32" s="20"/>
      <c r="D32" s="74"/>
      <c r="E32" s="20"/>
      <c r="F32" s="74"/>
      <c r="H32" s="10"/>
    </row>
    <row r="33" spans="1:9">
      <c r="A33" s="4" t="s">
        <v>34</v>
      </c>
      <c r="B33" s="6"/>
      <c r="C33" s="20"/>
      <c r="D33" s="74"/>
      <c r="E33" s="20"/>
      <c r="F33" s="74"/>
      <c r="H33" s="10"/>
    </row>
    <row r="34" spans="1:9">
      <c r="A34" t="s">
        <v>28</v>
      </c>
      <c r="B34" s="6"/>
      <c r="C34" s="20"/>
      <c r="D34" s="74"/>
      <c r="E34" s="20"/>
      <c r="F34" s="74"/>
      <c r="H34" s="10"/>
    </row>
    <row r="35" spans="1:9">
      <c r="A35" t="s">
        <v>133</v>
      </c>
      <c r="B35" s="6">
        <f>OL!B35</f>
        <v>21518.15</v>
      </c>
      <c r="C35" s="20">
        <f>+B35/C$13</f>
        <v>1793.1791666666668</v>
      </c>
      <c r="D35" s="74">
        <v>1530.93</v>
      </c>
      <c r="E35" s="20">
        <f>+D35-C35</f>
        <v>-262.24916666666672</v>
      </c>
      <c r="F35" s="74">
        <v>1012</v>
      </c>
      <c r="G35" s="6">
        <f>ROUND(E35*F35,0)</f>
        <v>-265396</v>
      </c>
      <c r="H35" s="10">
        <f>+OL!C35</f>
        <v>13.6</v>
      </c>
      <c r="I35" s="10">
        <f>+E35*H35*12</f>
        <v>-42799.064000000013</v>
      </c>
    </row>
    <row r="36" spans="1:9">
      <c r="A36" t="s">
        <v>134</v>
      </c>
      <c r="B36" s="6">
        <f>OL!B36</f>
        <v>52433.429999999993</v>
      </c>
      <c r="C36" s="20">
        <f>+B36/C$13</f>
        <v>4369.4524999999994</v>
      </c>
      <c r="D36" s="74">
        <v>3785.17</v>
      </c>
      <c r="E36" s="20">
        <f>+D36-C36</f>
        <v>-584.28249999999935</v>
      </c>
      <c r="F36" s="74">
        <v>2000</v>
      </c>
      <c r="G36" s="6">
        <f>ROUND(E36*F36,0)</f>
        <v>-1168565</v>
      </c>
      <c r="H36" s="10">
        <f>+OL!C36</f>
        <v>18.850000000000001</v>
      </c>
      <c r="I36" s="10">
        <f>+E36*H36*12</f>
        <v>-132164.70149999985</v>
      </c>
    </row>
    <row r="37" spans="1:9">
      <c r="B37" s="6"/>
      <c r="C37" s="20"/>
      <c r="D37" s="74"/>
      <c r="E37" s="20"/>
      <c r="F37" s="74"/>
      <c r="H37" s="10"/>
    </row>
    <row r="38" spans="1:9">
      <c r="A38" t="s">
        <v>30</v>
      </c>
      <c r="B38" s="6"/>
      <c r="C38" s="20"/>
      <c r="D38" s="74"/>
      <c r="E38" s="20"/>
      <c r="F38" s="74"/>
      <c r="H38" s="10"/>
    </row>
    <row r="39" spans="1:9">
      <c r="A39" t="s">
        <v>135</v>
      </c>
      <c r="B39" s="6">
        <f>OL!B39</f>
        <v>1586.3600000000001</v>
      </c>
      <c r="C39" s="20">
        <f>+B39/C$13</f>
        <v>132.19666666666669</v>
      </c>
      <c r="D39" s="74">
        <v>115.22</v>
      </c>
      <c r="E39" s="20">
        <f>+D39-C39</f>
        <v>-16.976666666666688</v>
      </c>
      <c r="F39" s="74">
        <v>1204</v>
      </c>
      <c r="G39" s="6">
        <f>ROUND(E39*F39,0)</f>
        <v>-20440</v>
      </c>
      <c r="H39" s="10">
        <f>+OL!C39</f>
        <v>18.2</v>
      </c>
      <c r="I39" s="10">
        <f>+E39*H39*12</f>
        <v>-3707.7040000000043</v>
      </c>
    </row>
    <row r="40" spans="1:9">
      <c r="A40" t="s">
        <v>136</v>
      </c>
      <c r="B40" s="6">
        <f>OL!B40</f>
        <v>10740.710000000001</v>
      </c>
      <c r="C40" s="20">
        <f>+B40/C$13</f>
        <v>895.05916666666678</v>
      </c>
      <c r="D40" s="74">
        <v>799.5</v>
      </c>
      <c r="E40" s="20">
        <f>+D40-C40</f>
        <v>-95.559166666666783</v>
      </c>
      <c r="F40" s="74">
        <v>1896</v>
      </c>
      <c r="G40" s="6">
        <f>ROUND(E40*F40,0)</f>
        <v>-181180</v>
      </c>
      <c r="H40" s="10">
        <f>+OL!C40</f>
        <v>24.1</v>
      </c>
      <c r="I40" s="10">
        <f>+E40*H40*12</f>
        <v>-27635.711000000032</v>
      </c>
    </row>
    <row r="41" spans="1:9">
      <c r="A41" t="s">
        <v>137</v>
      </c>
      <c r="B41" s="6">
        <f>OL!B41</f>
        <v>850.11000000000013</v>
      </c>
      <c r="C41" s="20">
        <f>+B41/C$13</f>
        <v>70.842500000000015</v>
      </c>
      <c r="D41" s="74">
        <v>57.8</v>
      </c>
      <c r="E41" s="20">
        <f>+D41-C41</f>
        <v>-13.042500000000018</v>
      </c>
      <c r="F41" s="74">
        <v>4540</v>
      </c>
      <c r="G41" s="6">
        <f>ROUND(E41*F41,0)</f>
        <v>-59213</v>
      </c>
      <c r="H41" s="10">
        <f>+OL!C41</f>
        <v>52.2</v>
      </c>
      <c r="I41" s="10">
        <f>+E41*H41*12</f>
        <v>-8169.8220000000119</v>
      </c>
    </row>
    <row r="42" spans="1:9">
      <c r="D42" s="74"/>
      <c r="F42" s="31"/>
    </row>
    <row r="43" spans="1:9">
      <c r="A43" t="s">
        <v>35</v>
      </c>
      <c r="D43" s="74"/>
    </row>
    <row r="44" spans="1:9">
      <c r="A44" t="s">
        <v>138</v>
      </c>
      <c r="B44" s="6">
        <f>+OL!J46</f>
        <v>52171.959999999992</v>
      </c>
      <c r="C44" s="20">
        <f>+B44/C$13</f>
        <v>4347.663333333333</v>
      </c>
      <c r="D44" s="74">
        <v>3761.49</v>
      </c>
      <c r="E44" s="20">
        <f>+D44-C44</f>
        <v>-586.17333333333318</v>
      </c>
      <c r="F44" s="21" t="s">
        <v>256</v>
      </c>
      <c r="G44" s="21" t="s">
        <v>256</v>
      </c>
      <c r="H44" s="10">
        <f>+OL!C46</f>
        <v>2.85</v>
      </c>
      <c r="I44" s="10">
        <f>+E44*H44*12</f>
        <v>-20047.127999999997</v>
      </c>
    </row>
    <row r="45" spans="1:9">
      <c r="A45" t="s">
        <v>139</v>
      </c>
      <c r="B45" s="6">
        <f>+OL!J47</f>
        <v>56367.62</v>
      </c>
      <c r="C45" s="20">
        <f>+B45/C$13</f>
        <v>4697.3016666666672</v>
      </c>
      <c r="D45" s="74">
        <v>4072.33</v>
      </c>
      <c r="E45" s="20">
        <f>+D45-C45</f>
        <v>-624.97166666666726</v>
      </c>
      <c r="F45" s="21" t="s">
        <v>256</v>
      </c>
      <c r="G45" s="21" t="s">
        <v>256</v>
      </c>
      <c r="H45" s="10">
        <f>+OL!C47</f>
        <v>1.6</v>
      </c>
      <c r="I45" s="10">
        <f>+E45*H45*12</f>
        <v>-11999.456000000013</v>
      </c>
    </row>
    <row r="46" spans="1:9">
      <c r="A46" t="s">
        <v>140</v>
      </c>
      <c r="B46" s="6">
        <f>+OL!J48</f>
        <v>744.30000000000007</v>
      </c>
      <c r="C46" s="20">
        <f>+B46/C$13</f>
        <v>62.025000000000006</v>
      </c>
      <c r="D46" s="74">
        <v>53.49</v>
      </c>
      <c r="E46" s="20">
        <f>+D46-C46</f>
        <v>-8.5350000000000037</v>
      </c>
      <c r="F46" s="21" t="s">
        <v>256</v>
      </c>
      <c r="G46" s="21" t="s">
        <v>256</v>
      </c>
      <c r="H46" s="10">
        <f>+OL!C48</f>
        <v>6.25</v>
      </c>
      <c r="I46" s="10">
        <f>+E46*H46*12</f>
        <v>-640.12500000000023</v>
      </c>
    </row>
    <row r="48" spans="1:9">
      <c r="A48" t="str">
        <f>+RS!A27</f>
        <v xml:space="preserve">Fuel </v>
      </c>
      <c r="G48" s="6">
        <f>+G13</f>
        <v>-5015299</v>
      </c>
      <c r="H48" s="43">
        <v>-4.8900000000000002E-3</v>
      </c>
      <c r="I48" s="10">
        <f>+G48*H48</f>
        <v>24524.812110000003</v>
      </c>
    </row>
    <row r="50" spans="1:9">
      <c r="A50" t="s">
        <v>257</v>
      </c>
      <c r="F50" s="6"/>
      <c r="G50" s="6"/>
      <c r="H50" s="6"/>
      <c r="I50" s="10">
        <f>SUM(I15:I48)</f>
        <v>-832658.09839000006</v>
      </c>
    </row>
    <row r="52" spans="1:9">
      <c r="A52" t="s">
        <v>16</v>
      </c>
      <c r="I52" s="10">
        <f>+OL!K54/(OL!K60-OL!K54)*I50</f>
        <v>0</v>
      </c>
    </row>
    <row r="54" spans="1:9">
      <c r="A54" t="s">
        <v>18</v>
      </c>
      <c r="B54" s="6">
        <f>SUM(B15:B48)</f>
        <v>761069.63000000024</v>
      </c>
      <c r="C54" s="6">
        <f>SUM(C15:C48)</f>
        <v>63422.469166666648</v>
      </c>
      <c r="D54" s="6">
        <f>SUM(D15:D48)</f>
        <v>55951.890000000007</v>
      </c>
      <c r="E54" s="6">
        <f>SUM(E15:E48)</f>
        <v>-7470.5791666666664</v>
      </c>
      <c r="I54" s="10">
        <f>+I50+I52</f>
        <v>-832658.09839000006</v>
      </c>
    </row>
  </sheetData>
  <phoneticPr fontId="0" type="noConversion"/>
  <printOptions horizontalCentered="1"/>
  <pageMargins left="0.25" right="0.25" top="0.75" bottom="0.75" header="0.3" footer="0.3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selection activeCell="I69" sqref="I69"/>
    </sheetView>
  </sheetViews>
  <sheetFormatPr defaultRowHeight="12.75"/>
  <cols>
    <col min="1" max="1" width="18.42578125" customWidth="1"/>
    <col min="2" max="2" width="11.28515625" bestFit="1" customWidth="1"/>
    <col min="3" max="3" width="11.7109375" bestFit="1" customWidth="1"/>
    <col min="4" max="4" width="11.28515625" bestFit="1" customWidth="1"/>
    <col min="5" max="5" width="10.28515625" bestFit="1" customWidth="1"/>
    <col min="6" max="7" width="13.42578125" bestFit="1" customWidth="1"/>
    <col min="8" max="8" width="12.28515625" bestFit="1" customWidth="1"/>
    <col min="9" max="9" width="12.7109375" bestFit="1" customWidth="1"/>
    <col min="10" max="10" width="13.42578125" bestFit="1" customWidth="1"/>
    <col min="11" max="11" width="12.140625" bestFit="1" customWidth="1"/>
    <col min="12" max="12" width="8.140625" hidden="1" customWidth="1"/>
    <col min="13" max="13" width="11.28515625" hidden="1" customWidth="1"/>
    <col min="15" max="15" width="11.28515625" bestFit="1" customWidth="1"/>
  </cols>
  <sheetData>
    <row r="1" spans="1:13">
      <c r="A1" t="s">
        <v>206</v>
      </c>
    </row>
    <row r="2" spans="1:13">
      <c r="A2" t="s">
        <v>207</v>
      </c>
    </row>
    <row r="3" spans="1:13">
      <c r="A3" t="str">
        <f>RS!A3</f>
        <v>TEST YEAR ENDED SEPTEMBER 30, 2014</v>
      </c>
    </row>
    <row r="4" spans="1:13" ht="6" customHeight="1"/>
    <row r="5" spans="1:13">
      <c r="A5" s="1"/>
      <c r="B5" s="1"/>
      <c r="C5" s="27" t="s">
        <v>356</v>
      </c>
      <c r="D5" s="1"/>
      <c r="E5" s="1"/>
      <c r="F5" s="1"/>
      <c r="G5" s="1"/>
      <c r="H5" s="1"/>
      <c r="I5" s="1"/>
      <c r="J5" s="1"/>
      <c r="K5" s="1"/>
    </row>
    <row r="6" spans="1:13">
      <c r="A6" s="1"/>
      <c r="B6" s="1" t="s">
        <v>197</v>
      </c>
      <c r="C6" s="1" t="s">
        <v>208</v>
      </c>
      <c r="D6" s="1"/>
      <c r="E6" s="1"/>
      <c r="F6" s="1" t="s">
        <v>197</v>
      </c>
      <c r="G6" s="1"/>
      <c r="H6" s="1"/>
      <c r="J6" s="1" t="s">
        <v>357</v>
      </c>
      <c r="K6" s="1"/>
    </row>
    <row r="7" spans="1:13">
      <c r="A7" s="1"/>
      <c r="B7" s="1" t="s">
        <v>219</v>
      </c>
      <c r="C7" s="1" t="s">
        <v>209</v>
      </c>
      <c r="D7" s="27" t="s">
        <v>356</v>
      </c>
      <c r="E7" s="1"/>
      <c r="F7" s="1" t="s">
        <v>219</v>
      </c>
      <c r="G7" s="1" t="s">
        <v>357</v>
      </c>
      <c r="H7" s="1" t="s">
        <v>210</v>
      </c>
      <c r="I7" s="1" t="s">
        <v>197</v>
      </c>
      <c r="J7" s="1" t="s">
        <v>209</v>
      </c>
      <c r="K7" s="1" t="s">
        <v>6</v>
      </c>
    </row>
    <row r="8" spans="1:13">
      <c r="A8" s="1"/>
      <c r="B8" s="1" t="s">
        <v>211</v>
      </c>
      <c r="C8" s="1" t="s">
        <v>211</v>
      </c>
      <c r="D8" s="1" t="s">
        <v>211</v>
      </c>
      <c r="E8" s="1" t="s">
        <v>212</v>
      </c>
      <c r="F8" s="1" t="s">
        <v>223</v>
      </c>
      <c r="G8" s="1" t="s">
        <v>213</v>
      </c>
      <c r="H8" s="1" t="s">
        <v>214</v>
      </c>
      <c r="I8" s="1" t="s">
        <v>202</v>
      </c>
      <c r="J8" s="1" t="s">
        <v>215</v>
      </c>
      <c r="K8" s="1" t="s">
        <v>214</v>
      </c>
    </row>
    <row r="9" spans="1:13">
      <c r="A9" s="3" t="s">
        <v>2</v>
      </c>
      <c r="B9" s="3" t="s">
        <v>326</v>
      </c>
      <c r="C9" s="3" t="s">
        <v>104</v>
      </c>
      <c r="D9" s="3" t="s">
        <v>326</v>
      </c>
      <c r="E9" s="3" t="s">
        <v>216</v>
      </c>
      <c r="F9" s="3" t="s">
        <v>327</v>
      </c>
      <c r="G9" s="3" t="s">
        <v>217</v>
      </c>
      <c r="H9" s="3" t="s">
        <v>198</v>
      </c>
      <c r="I9" s="3" t="s">
        <v>328</v>
      </c>
      <c r="J9" s="3" t="s">
        <v>218</v>
      </c>
      <c r="K9" s="3" t="s">
        <v>325</v>
      </c>
      <c r="M9" s="3" t="s">
        <v>289</v>
      </c>
    </row>
    <row r="10" spans="1:13">
      <c r="A10" s="21" t="s">
        <v>7</v>
      </c>
      <c r="B10" s="21" t="s">
        <v>8</v>
      </c>
      <c r="C10" s="21" t="s">
        <v>9</v>
      </c>
      <c r="D10" s="21" t="s">
        <v>220</v>
      </c>
      <c r="E10" s="21" t="s">
        <v>221</v>
      </c>
      <c r="F10" s="21" t="s">
        <v>10</v>
      </c>
      <c r="G10" s="21" t="s">
        <v>224</v>
      </c>
      <c r="H10" s="21" t="s">
        <v>225</v>
      </c>
      <c r="I10" s="21" t="s">
        <v>226</v>
      </c>
      <c r="J10" s="21" t="s">
        <v>227</v>
      </c>
      <c r="K10" s="21" t="s">
        <v>228</v>
      </c>
      <c r="L10" s="1" t="s">
        <v>263</v>
      </c>
      <c r="M10" s="1" t="s">
        <v>263</v>
      </c>
    </row>
    <row r="11" spans="1:13" ht="6" customHeight="1"/>
    <row r="12" spans="1:13">
      <c r="A12" t="s">
        <v>163</v>
      </c>
      <c r="B12" s="28">
        <f>'JMS-1 Page 1'!L12</f>
        <v>1669972</v>
      </c>
      <c r="C12" s="20">
        <f>B12/12</f>
        <v>139164.33333333334</v>
      </c>
      <c r="D12" s="6">
        <f>'JMS-1 Page 1'!M12</f>
        <v>138125</v>
      </c>
      <c r="E12" s="20">
        <f>+D12-C12</f>
        <v>-1039.333333333343</v>
      </c>
      <c r="F12" s="6">
        <f>'JMS-1 Page 1'!N12</f>
        <v>2272852042</v>
      </c>
      <c r="G12" s="6">
        <f>ROUND(F12/C12,3)</f>
        <v>16332.145</v>
      </c>
      <c r="H12" s="6">
        <f>ROUND(E12*G12,0)</f>
        <v>-16974543</v>
      </c>
      <c r="I12" s="36">
        <f>'JMS-1 Page 1'!O12</f>
        <v>225886314.6235036</v>
      </c>
      <c r="J12" s="30">
        <f>IF(F12&lt;&gt;0,I12/F12,0)</f>
        <v>9.9384522375127668E-2</v>
      </c>
      <c r="K12" s="36">
        <f>YEC!D10</f>
        <v>-1687011.3688035905</v>
      </c>
      <c r="L12" s="22">
        <f>K12/H12-J12</f>
        <v>2.6629362120944577E-7</v>
      </c>
      <c r="M12" s="36">
        <f>H12*J12-K12</f>
        <v>4.5202125238720328</v>
      </c>
    </row>
    <row r="13" spans="1:13" ht="6" customHeight="1">
      <c r="B13" s="28"/>
      <c r="C13" s="20"/>
      <c r="E13" s="20"/>
      <c r="I13" s="34"/>
      <c r="L13" s="44"/>
    </row>
    <row r="14" spans="1:13">
      <c r="A14" s="9" t="s">
        <v>164</v>
      </c>
      <c r="B14" s="28">
        <f>'JMS-1 Page 1'!L14</f>
        <v>2085</v>
      </c>
      <c r="C14" s="20">
        <f>B14/12</f>
        <v>173.75</v>
      </c>
      <c r="D14" s="6">
        <f>'JMS-1 Page 1'!M14</f>
        <v>172</v>
      </c>
      <c r="E14" s="20">
        <f>+D14-C14</f>
        <v>-1.75</v>
      </c>
      <c r="F14" s="6">
        <f>'JMS-1 Page 1'!N14</f>
        <v>4268751</v>
      </c>
      <c r="G14" s="6">
        <f>ROUND(F14/C14,3)</f>
        <v>24568.350999999999</v>
      </c>
      <c r="H14" s="6">
        <f>ROUND(E14*G14,0)</f>
        <v>-42995</v>
      </c>
      <c r="I14" s="36">
        <f>'JMS-1 Page 1'!O14</f>
        <v>384689.0575076252</v>
      </c>
      <c r="J14" s="30">
        <f>IF(F14&lt;&gt;0,I14/F14,0)</f>
        <v>9.0117474059186214E-2</v>
      </c>
      <c r="K14" s="36">
        <f>YEC!D12</f>
        <v>-3878.0026776252198</v>
      </c>
      <c r="L14" s="22">
        <f>K14/H14-J14</f>
        <v>7.912269916289516E-5</v>
      </c>
      <c r="M14" s="36">
        <f>H14*J14-K14</f>
        <v>3.4018804505085427</v>
      </c>
    </row>
    <row r="15" spans="1:13" ht="6" customHeight="1">
      <c r="A15" s="9"/>
      <c r="B15" s="28"/>
      <c r="C15" s="20"/>
      <c r="E15" s="20"/>
      <c r="I15" s="34"/>
      <c r="K15" s="36"/>
      <c r="L15" s="22"/>
    </row>
    <row r="16" spans="1:13">
      <c r="A16" s="9" t="s">
        <v>270</v>
      </c>
      <c r="B16" s="28">
        <f>'JMS-1 Page 1'!L16</f>
        <v>36</v>
      </c>
      <c r="C16" s="20">
        <f>B16/12</f>
        <v>3</v>
      </c>
      <c r="D16" s="6">
        <f>'JMS-1 Page 1'!M16</f>
        <v>3</v>
      </c>
      <c r="E16" s="20">
        <f>+D16-C16</f>
        <v>0</v>
      </c>
      <c r="F16" s="6">
        <f>'JMS-1 Page 1'!N16</f>
        <v>46491</v>
      </c>
      <c r="G16" s="6">
        <f>ROUND(F16/C16,3)</f>
        <v>15497</v>
      </c>
      <c r="H16" s="6">
        <f>ROUND(E16*G16,0)</f>
        <v>0</v>
      </c>
      <c r="I16" s="36">
        <f>'JMS-1 Page 1'!O16</f>
        <v>4288.8773500000007</v>
      </c>
      <c r="J16" s="30">
        <f>IF(F16&lt;&gt;0,I16/F16,0)</f>
        <v>9.2251776687961126E-2</v>
      </c>
      <c r="K16" s="36">
        <f>YEC!D14-'JMS-1 Page 1'!J16</f>
        <v>0</v>
      </c>
      <c r="L16" s="22" t="e">
        <f>K16/H16-J16</f>
        <v>#DIV/0!</v>
      </c>
      <c r="M16" s="36">
        <f>H16*J16-K16</f>
        <v>0</v>
      </c>
    </row>
    <row r="17" spans="1:13" ht="6" customHeight="1">
      <c r="A17" s="9"/>
      <c r="B17" s="28"/>
      <c r="C17" s="20"/>
      <c r="E17" s="20"/>
      <c r="I17" s="34"/>
      <c r="K17" s="36"/>
      <c r="L17" s="22"/>
    </row>
    <row r="18" spans="1:13">
      <c r="A18" t="s">
        <v>44</v>
      </c>
      <c r="B18" s="28">
        <f>'JMS-1 Page 1'!L18</f>
        <v>761069.63000000024</v>
      </c>
      <c r="C18" s="20">
        <f>B18/12</f>
        <v>63422.469166666684</v>
      </c>
      <c r="D18" s="6">
        <f>'JMS-1 Page 1'!M18</f>
        <v>55951.890000000007</v>
      </c>
      <c r="E18" s="20">
        <f>+D18-C18</f>
        <v>-7470.5791666666773</v>
      </c>
      <c r="F18" s="6">
        <f>'JMS-1 Page 1'!N18</f>
        <v>42655897</v>
      </c>
      <c r="G18" s="6">
        <f>ROUND(F18/C18,0)</f>
        <v>673</v>
      </c>
      <c r="H18" s="6">
        <f>OL!L43</f>
        <v>-5015299</v>
      </c>
      <c r="I18" s="36">
        <f>'JMS-1 Page 1'!O18</f>
        <v>7956803.1685000006</v>
      </c>
      <c r="J18" s="30">
        <f>IF(F18&lt;&gt;0,I18/F18,0)</f>
        <v>0.18653465823260029</v>
      </c>
      <c r="K18" s="36">
        <f>YEC!D16-'JMS-1 Page 1'!J18</f>
        <v>-938247.38313387334</v>
      </c>
      <c r="L18" s="22">
        <f>K18/H18-J18</f>
        <v>5.4240001135949512E-4</v>
      </c>
      <c r="M18" s="36">
        <f>H18*J18-K18</f>
        <v>2720.2982345713535</v>
      </c>
    </row>
    <row r="19" spans="1:13" ht="6" customHeight="1">
      <c r="A19" s="9"/>
      <c r="B19" s="28"/>
      <c r="C19" s="20"/>
      <c r="E19" s="20"/>
      <c r="I19" s="34"/>
      <c r="K19" s="36"/>
      <c r="L19" s="22"/>
    </row>
    <row r="20" spans="1:13">
      <c r="A20" s="9" t="s">
        <v>166</v>
      </c>
      <c r="B20" s="28">
        <f>'JMS-1 Page 1'!L20</f>
        <v>270382</v>
      </c>
      <c r="C20" s="20">
        <f>B20/12</f>
        <v>22531.833333333332</v>
      </c>
      <c r="D20" s="6">
        <f>'JMS-1 Page 1'!M20</f>
        <v>22622</v>
      </c>
      <c r="E20" s="20">
        <f>+D20-C20</f>
        <v>90.166666666667879</v>
      </c>
      <c r="F20" s="6">
        <f>'JMS-1 Page 1'!N20</f>
        <v>137657496</v>
      </c>
      <c r="G20" s="6">
        <f>ROUND(F20/C20,3)</f>
        <v>6109.4669999999996</v>
      </c>
      <c r="H20" s="6">
        <f>ROUND(E20*G20,0)</f>
        <v>550870</v>
      </c>
      <c r="I20" s="36">
        <f>'JMS-1 Page 1'!O20</f>
        <v>18239353.204099998</v>
      </c>
      <c r="J20" s="30">
        <f>IF(F20&lt;&gt;0,I20/F20,0)</f>
        <v>0.13249807481679021</v>
      </c>
      <c r="K20" s="36">
        <f>YEC!D18-'JMS-1 Page 1'!J20</f>
        <v>72984.062340002507</v>
      </c>
      <c r="L20" s="22">
        <f>K20/H20-J20</f>
        <v>-9.3527226436573851E-6</v>
      </c>
      <c r="M20" s="36">
        <f>H20*J20-K20</f>
        <v>5.1521343227213947</v>
      </c>
    </row>
    <row r="21" spans="1:13" ht="6" customHeight="1">
      <c r="A21" s="9"/>
      <c r="B21" s="28"/>
      <c r="C21" s="20"/>
      <c r="E21" s="20"/>
      <c r="I21" s="34"/>
      <c r="K21" s="36"/>
      <c r="L21" s="22"/>
    </row>
    <row r="22" spans="1:13">
      <c r="A22" t="s">
        <v>331</v>
      </c>
      <c r="B22" s="28">
        <f>'JMS-1 Page 1'!L22</f>
        <v>12</v>
      </c>
      <c r="C22" s="20">
        <f>B22/12</f>
        <v>1</v>
      </c>
      <c r="D22" s="6">
        <f>'JMS-1 Page 1'!M22</f>
        <v>1</v>
      </c>
      <c r="E22" s="20">
        <f>+D22-C22</f>
        <v>0</v>
      </c>
      <c r="F22" s="6">
        <f>'JMS-1 Page 1'!N22</f>
        <v>3012</v>
      </c>
      <c r="G22" s="6">
        <f>ROUND(F22/C22,3)</f>
        <v>3012</v>
      </c>
      <c r="H22" s="6">
        <f>ROUND(E22*G22,0)</f>
        <v>0</v>
      </c>
      <c r="I22" s="36">
        <f>'JMS-1 Page 1'!O22</f>
        <v>528.21295999999995</v>
      </c>
      <c r="J22" s="30">
        <f>IF(F22&lt;&gt;0,I22/F22,0)</f>
        <v>0.1753695086321381</v>
      </c>
      <c r="K22" s="36">
        <f>YEC!D20-'JMS-1 Page 1'!J22</f>
        <v>0</v>
      </c>
      <c r="L22" s="22" t="e">
        <f>K22/H22-J22</f>
        <v>#DIV/0!</v>
      </c>
      <c r="M22" s="36">
        <f>H22*J22-K22</f>
        <v>0</v>
      </c>
    </row>
    <row r="23" spans="1:13" ht="6" customHeight="1">
      <c r="A23" s="9"/>
      <c r="B23" s="28"/>
      <c r="C23" s="20"/>
      <c r="E23" s="20"/>
      <c r="I23" s="34"/>
      <c r="K23" s="36"/>
      <c r="L23" s="22"/>
    </row>
    <row r="24" spans="1:13">
      <c r="A24" s="9" t="s">
        <v>167</v>
      </c>
      <c r="B24" s="28">
        <f>'JMS-1 Page 1'!L24</f>
        <v>13411</v>
      </c>
      <c r="C24" s="20">
        <f>B24/12</f>
        <v>1117.5833333333333</v>
      </c>
      <c r="D24" s="6">
        <f>'JMS-1 Page 1'!M24</f>
        <v>1124</v>
      </c>
      <c r="E24" s="20">
        <f>+D24-C24</f>
        <v>6.4166666666667425</v>
      </c>
      <c r="F24" s="6">
        <f>'JMS-1 Page 1'!N24</f>
        <v>3961264</v>
      </c>
      <c r="G24" s="6">
        <f>ROUND(F24/C24,3)</f>
        <v>3544.491</v>
      </c>
      <c r="H24" s="6">
        <f>ROUND(E24*G24,0)</f>
        <v>22744</v>
      </c>
      <c r="I24" s="36">
        <f>'JMS-1 Page 1'!O24</f>
        <v>629847.5242000001</v>
      </c>
      <c r="J24" s="30">
        <f>IF(F24&lt;&gt;0,I24/F24,0)</f>
        <v>0.15900165305821579</v>
      </c>
      <c r="K24" s="36">
        <f>YEC!D22-'JMS-1 Page 1'!J24</f>
        <v>3612.7761599998921</v>
      </c>
      <c r="L24" s="22">
        <f>K24/H24-J24</f>
        <v>-1.5641211555433854E-4</v>
      </c>
      <c r="M24" s="36">
        <f>H24*J24-K24</f>
        <v>3.5574371561679072</v>
      </c>
    </row>
    <row r="25" spans="1:13" ht="6" customHeight="1">
      <c r="A25" s="9"/>
      <c r="B25" s="28"/>
      <c r="C25" s="20"/>
      <c r="E25" s="20"/>
      <c r="I25" s="34"/>
      <c r="K25" s="36"/>
      <c r="L25" s="22"/>
    </row>
    <row r="26" spans="1:13" ht="12.75" customHeight="1">
      <c r="A26" s="100" t="s">
        <v>345</v>
      </c>
      <c r="B26" s="28">
        <f>'JMS-1 Page 1'!L26</f>
        <v>923</v>
      </c>
      <c r="C26" s="20">
        <f>B26/12</f>
        <v>76.916666666666671</v>
      </c>
      <c r="D26" s="6">
        <f>'JMS-1 Page 1'!M26</f>
        <v>76</v>
      </c>
      <c r="E26" s="20">
        <f>+D26-C26</f>
        <v>-0.9166666666666714</v>
      </c>
      <c r="F26" s="6">
        <f>'JMS-1 Page 1'!N26</f>
        <v>369750</v>
      </c>
      <c r="G26" s="6">
        <f>ROUND(F26/C26,3)</f>
        <v>4807.1509999999998</v>
      </c>
      <c r="H26" s="6">
        <f>ROUND(E26*G26,0)</f>
        <v>-4407</v>
      </c>
      <c r="I26" s="36">
        <f>'JMS-1 Page 1'!O26</f>
        <v>54075.931209999988</v>
      </c>
      <c r="J26" s="30">
        <f>IF(F26&lt;&gt;0,I26/F26,0)</f>
        <v>0.14624998298850572</v>
      </c>
      <c r="K26" s="36">
        <f>YEC!D24-'JMS-1 Page 1'!J26</f>
        <v>-644.40964999999414</v>
      </c>
      <c r="L26" s="22"/>
    </row>
    <row r="27" spans="1:13" ht="6" customHeight="1">
      <c r="A27" s="9"/>
      <c r="B27" s="28"/>
      <c r="C27" s="20"/>
      <c r="E27" s="20"/>
      <c r="I27" s="34"/>
      <c r="K27" s="36"/>
      <c r="L27" s="22"/>
    </row>
    <row r="28" spans="1:13">
      <c r="A28" s="9" t="s">
        <v>168</v>
      </c>
      <c r="B28" s="28">
        <f>'JMS-1 Page 1'!L28</f>
        <v>908</v>
      </c>
      <c r="C28" s="20">
        <f>B28/12</f>
        <v>75.666666666666671</v>
      </c>
      <c r="D28" s="6">
        <f>'JMS-1 Page 1'!M28</f>
        <v>77</v>
      </c>
      <c r="E28" s="20">
        <f>+D28-C28</f>
        <v>1.3333333333333286</v>
      </c>
      <c r="F28" s="6">
        <f>'JMS-1 Page 1'!N28</f>
        <v>1536074</v>
      </c>
      <c r="G28" s="6">
        <f>ROUND(F28/C28,3)</f>
        <v>20300.537</v>
      </c>
      <c r="H28" s="6">
        <f>ROUND(E28*G28,0)</f>
        <v>27067</v>
      </c>
      <c r="I28" s="36">
        <f>'JMS-1 Page 1'!O28</f>
        <v>164224.68596</v>
      </c>
      <c r="J28" s="30">
        <f>IF(F28&lt;&gt;0,I28/F28,0)</f>
        <v>0.1069119625486793</v>
      </c>
      <c r="K28" s="36">
        <f>YEC!D26-'JMS-1 Page 1'!J28</f>
        <v>2898.7596799999883</v>
      </c>
      <c r="L28" s="22">
        <f>K28/H28-J28</f>
        <v>1.8375105090648325E-4</v>
      </c>
      <c r="M28" s="36">
        <f>H28*J28-K28</f>
        <v>-4.973589694885959</v>
      </c>
    </row>
    <row r="29" spans="1:13" ht="6" customHeight="1">
      <c r="A29" s="9"/>
      <c r="B29" s="28"/>
      <c r="C29" s="20"/>
      <c r="E29" s="20"/>
      <c r="I29" s="34"/>
      <c r="K29" s="36"/>
      <c r="L29" s="22"/>
    </row>
    <row r="30" spans="1:13">
      <c r="A30" s="9" t="s">
        <v>169</v>
      </c>
      <c r="B30" s="28">
        <f>'JMS-1 Page 1'!L30</f>
        <v>83725</v>
      </c>
      <c r="C30" s="20">
        <f>B30/12</f>
        <v>6977.083333333333</v>
      </c>
      <c r="D30" s="6">
        <f>'JMS-1 Page 1'!M30</f>
        <v>7004</v>
      </c>
      <c r="E30" s="20">
        <f>+D30-C30</f>
        <v>26.91666666666697</v>
      </c>
      <c r="F30" s="6">
        <f>'JMS-1 Page 1'!N30</f>
        <v>494884637</v>
      </c>
      <c r="G30" s="6">
        <f>ROUND(F30/C30,3)</f>
        <v>70930.017000000007</v>
      </c>
      <c r="H30" s="6">
        <f>ROUND(E30*G30,0)</f>
        <v>1909200</v>
      </c>
      <c r="I30" s="36">
        <f>'JMS-1 Page 1'!O30</f>
        <v>55909064.262770258</v>
      </c>
      <c r="J30" s="30">
        <f>IF(F30&lt;&gt;0,I30/F30,0)</f>
        <v>0.11297393388829377</v>
      </c>
      <c r="K30" s="36">
        <f>YEC!D28-'JMS-1 Page 1'!J30</f>
        <v>215371.78878974271</v>
      </c>
      <c r="L30" s="22">
        <f>K30/H30-J30</f>
        <v>-1.6658589450437022E-4</v>
      </c>
      <c r="M30" s="36">
        <f>H30*J30-K30</f>
        <v>318.04578978774953</v>
      </c>
    </row>
    <row r="31" spans="1:13" ht="6" customHeight="1">
      <c r="A31" s="9"/>
      <c r="B31" s="28"/>
      <c r="C31" s="20"/>
      <c r="E31" s="20"/>
      <c r="I31" s="34"/>
      <c r="K31" s="36"/>
      <c r="L31" s="22"/>
    </row>
    <row r="32" spans="1:13">
      <c r="A32" s="9" t="s">
        <v>170</v>
      </c>
      <c r="B32" s="28">
        <f>'JMS-1 Page 1'!L32</f>
        <v>555</v>
      </c>
      <c r="C32" s="20">
        <f>B32/12</f>
        <v>46.25</v>
      </c>
      <c r="D32" s="6">
        <f>'JMS-1 Page 1'!M32</f>
        <v>46</v>
      </c>
      <c r="E32" s="20">
        <f>+D32-C32</f>
        <v>-0.25</v>
      </c>
      <c r="F32" s="6">
        <f>'JMS-1 Page 1'!N32</f>
        <v>1060745</v>
      </c>
      <c r="G32" s="6">
        <f>ROUND(F32/C32,3)</f>
        <v>22935.026999999998</v>
      </c>
      <c r="H32" s="6">
        <f>ROUND(E32*G32,0)</f>
        <v>-5734</v>
      </c>
      <c r="I32" s="36">
        <f>'JMS-1 Page 1'!O32</f>
        <v>107154.24609</v>
      </c>
      <c r="J32" s="30">
        <f>IF(F32&lt;&gt;0,I32/F32,0)</f>
        <v>0.10101791296682992</v>
      </c>
      <c r="K32" s="36">
        <f>YEC!D30-'JMS-1 Page 1'!J32</f>
        <v>-579.23429999999644</v>
      </c>
      <c r="L32" s="22">
        <f>K32/H32-J32</f>
        <v>-4.2081475520872047E-7</v>
      </c>
      <c r="M32" s="36">
        <f>H32*J32-K32</f>
        <v>-2.4129518063773503E-3</v>
      </c>
    </row>
    <row r="33" spans="1:13" ht="6" customHeight="1">
      <c r="A33" s="9"/>
      <c r="B33" s="28"/>
      <c r="C33" s="20"/>
      <c r="E33" s="20"/>
      <c r="I33" s="34"/>
      <c r="K33" s="36"/>
      <c r="L33" s="22"/>
    </row>
    <row r="34" spans="1:13">
      <c r="A34" s="9" t="s">
        <v>171</v>
      </c>
      <c r="B34" s="28">
        <f>'JMS-1 Page 1'!L34</f>
        <v>905</v>
      </c>
      <c r="C34" s="20">
        <f>B34/12</f>
        <v>75.416666666666671</v>
      </c>
      <c r="D34" s="6">
        <f>'JMS-1 Page 1'!M34</f>
        <v>76</v>
      </c>
      <c r="E34" s="20">
        <f>+D34-C34</f>
        <v>0.5833333333333286</v>
      </c>
      <c r="F34" s="6">
        <f>'JMS-1 Page 1'!N34</f>
        <v>3836888</v>
      </c>
      <c r="G34" s="6">
        <f>ROUND(F34/C34,3)</f>
        <v>50875.862999999998</v>
      </c>
      <c r="H34" s="6">
        <f>ROUND(E34*G34,0)</f>
        <v>29678</v>
      </c>
      <c r="I34" s="36">
        <f>'JMS-1 Page 1'!O34</f>
        <v>378348.02895999997</v>
      </c>
      <c r="J34" s="30">
        <f>IF(F34&lt;&gt;0,I34/F34,0)</f>
        <v>9.8608046145730599E-2</v>
      </c>
      <c r="K34" s="36">
        <f>YEC!D32-'JMS-1 Page 1'!J34</f>
        <v>2926.3702400000184</v>
      </c>
      <c r="L34" s="22">
        <f>K34/H34-J34</f>
        <v>-4.0216157751321591E-6</v>
      </c>
      <c r="M34" s="36">
        <f>H34*J34-K34</f>
        <v>0.11935351297415764</v>
      </c>
    </row>
    <row r="35" spans="1:13" ht="6" customHeight="1">
      <c r="A35" s="9"/>
      <c r="B35" s="28"/>
      <c r="C35" s="20"/>
      <c r="E35" s="20"/>
      <c r="I35" s="34"/>
      <c r="K35" s="36"/>
      <c r="L35" s="22"/>
    </row>
    <row r="36" spans="1:13">
      <c r="A36" s="9" t="s">
        <v>172</v>
      </c>
      <c r="B36" s="28">
        <f>'JMS-1 Page 1'!L36</f>
        <v>1048</v>
      </c>
      <c r="C36" s="20">
        <f>B36/12</f>
        <v>87.333333333333329</v>
      </c>
      <c r="D36" s="6">
        <f>'JMS-1 Page 1'!M36</f>
        <v>84</v>
      </c>
      <c r="E36" s="20">
        <f>+D36-C36</f>
        <v>-3.3333333333333286</v>
      </c>
      <c r="F36" s="6">
        <f>'JMS-1 Page 1'!N36</f>
        <v>9728413</v>
      </c>
      <c r="G36" s="6">
        <f>ROUND(F36/C36,3)</f>
        <v>111394.042</v>
      </c>
      <c r="H36" s="6">
        <f>ROUND(E36*G36,0)</f>
        <v>-371313</v>
      </c>
      <c r="I36" s="36">
        <f>'JMS-1 Page 1'!O36</f>
        <v>1035033.55004</v>
      </c>
      <c r="J36" s="30">
        <f>IF(F36&lt;&gt;0,I36/F36,0)</f>
        <v>0.10639284640156621</v>
      </c>
      <c r="K36" s="36">
        <f>YEC!D34-'JMS-1 Page 1'!J36</f>
        <v>-39506.852999999996</v>
      </c>
      <c r="L36" s="22">
        <f>K36/H36-J36</f>
        <v>4.8638859809352342E-6</v>
      </c>
      <c r="M36" s="36">
        <f>H36*J36-K36</f>
        <v>1.8060240952399909</v>
      </c>
    </row>
    <row r="37" spans="1:13" ht="6" customHeight="1">
      <c r="A37" s="9"/>
      <c r="B37" s="28"/>
      <c r="C37" s="20"/>
      <c r="E37" s="20"/>
      <c r="I37" s="34"/>
      <c r="K37" s="36"/>
      <c r="L37" s="22"/>
    </row>
    <row r="38" spans="1:13">
      <c r="A38" s="9" t="s">
        <v>173</v>
      </c>
      <c r="B38" s="28">
        <f>'JMS-1 Page 1'!L38</f>
        <v>124</v>
      </c>
      <c r="C38" s="20">
        <f>B38/12</f>
        <v>10.333333333333334</v>
      </c>
      <c r="D38" s="6">
        <f>'JMS-1 Page 1'!M38</f>
        <v>10</v>
      </c>
      <c r="E38" s="20">
        <f>+D38-C38</f>
        <v>-0.33333333333333393</v>
      </c>
      <c r="F38" s="6">
        <f>'JMS-1 Page 1'!N38</f>
        <v>1041361</v>
      </c>
      <c r="G38" s="6">
        <f>ROUND(F38/C38,3)</f>
        <v>100776.871</v>
      </c>
      <c r="H38" s="6">
        <f>ROUND(E38*G38,0)</f>
        <v>-33592</v>
      </c>
      <c r="I38" s="36">
        <f>'JMS-1 Page 1'!O38</f>
        <v>122263.58750000001</v>
      </c>
      <c r="J38" s="30">
        <f>IF(F38&lt;&gt;0,I38/F38,0)</f>
        <v>0.11740749605564257</v>
      </c>
      <c r="K38" s="36">
        <f>YEC!D36-'JMS-1 Page 1'!J38</f>
        <v>-4013.692950000026</v>
      </c>
      <c r="L38" s="22">
        <f>K38/H38-J38</f>
        <v>2.0760997409764448E-3</v>
      </c>
      <c r="M38" s="36">
        <f>H38*J38-K38</f>
        <v>69.740342498880636</v>
      </c>
    </row>
    <row r="39" spans="1:13" ht="6" customHeight="1">
      <c r="A39" s="9"/>
      <c r="B39" s="28"/>
      <c r="C39" s="20"/>
      <c r="E39" s="20"/>
      <c r="I39" s="34"/>
      <c r="K39" s="36"/>
      <c r="L39" s="22"/>
    </row>
    <row r="40" spans="1:13">
      <c r="A40" s="9" t="s">
        <v>174</v>
      </c>
      <c r="B40" s="28">
        <f>'JMS-1 Page 1'!L40</f>
        <v>8973</v>
      </c>
      <c r="C40" s="20">
        <f>B40/12</f>
        <v>747.75</v>
      </c>
      <c r="D40" s="6">
        <f>'JMS-1 Page 1'!M40</f>
        <v>748</v>
      </c>
      <c r="E40" s="20">
        <f>+D40-C40</f>
        <v>0.25</v>
      </c>
      <c r="F40" s="6">
        <f>'JMS-1 Page 1'!N40</f>
        <v>558634983</v>
      </c>
      <c r="G40" s="6">
        <f>ROUND(F40/C40,3)</f>
        <v>747087.90800000005</v>
      </c>
      <c r="H40" s="6">
        <f>ROUND(E40*G40,0)</f>
        <v>186772</v>
      </c>
      <c r="I40" s="36">
        <f>'JMS-1 Page 1'!O40</f>
        <v>55896370.7808</v>
      </c>
      <c r="J40" s="30">
        <f>IF(F40&lt;&gt;0,I40/F40,0)</f>
        <v>0.10005884429332275</v>
      </c>
      <c r="K40" s="36">
        <f>YEC!D38-'JMS-1 Page 1'!J40</f>
        <v>28052.449400001438</v>
      </c>
      <c r="L40" s="22">
        <f>K40/H40-J40</f>
        <v>5.0137381050954957E-2</v>
      </c>
      <c r="M40" s="36">
        <f>H40*J40-K40</f>
        <v>-9364.2589336489618</v>
      </c>
    </row>
    <row r="41" spans="1:13" ht="6" customHeight="1">
      <c r="A41" s="9"/>
      <c r="B41" s="28"/>
      <c r="C41" s="20"/>
      <c r="E41" s="20"/>
      <c r="I41" s="34"/>
      <c r="K41" s="36"/>
      <c r="L41" s="22"/>
    </row>
    <row r="42" spans="1:13">
      <c r="A42" s="9" t="s">
        <v>175</v>
      </c>
      <c r="B42" s="28">
        <f>'JMS-1 Page 1'!L42</f>
        <v>108</v>
      </c>
      <c r="C42" s="20">
        <f>B42/12</f>
        <v>9</v>
      </c>
      <c r="D42" s="6">
        <f>'JMS-1 Page 1'!M42</f>
        <v>9</v>
      </c>
      <c r="E42" s="20">
        <f>+D42-C42</f>
        <v>0</v>
      </c>
      <c r="F42" s="6">
        <f>'JMS-1 Page 1'!N42</f>
        <v>1959939</v>
      </c>
      <c r="G42" s="6">
        <f>ROUND(F42/C42,3)</f>
        <v>217771</v>
      </c>
      <c r="H42" s="6">
        <f>ROUND(E42*G42,0)</f>
        <v>0</v>
      </c>
      <c r="I42" s="36">
        <f>'JMS-1 Page 1'!O42</f>
        <v>193120.69399</v>
      </c>
      <c r="J42" s="30">
        <f>IF(F42&lt;&gt;0,I42/F42,0)</f>
        <v>9.8534032941841557E-2</v>
      </c>
      <c r="K42" s="36">
        <f>YEC!D40-'JMS-1 Page 1'!J42</f>
        <v>8.1800000000221189</v>
      </c>
      <c r="L42" s="22" t="e">
        <f>K42/H42-J42</f>
        <v>#DIV/0!</v>
      </c>
      <c r="M42" s="36">
        <f>H42*J42-K42</f>
        <v>-8.1800000000221189</v>
      </c>
    </row>
    <row r="43" spans="1:13" ht="6" customHeight="1">
      <c r="A43" s="9"/>
      <c r="B43" s="28"/>
      <c r="C43" s="20"/>
      <c r="E43" s="20"/>
      <c r="I43" s="34"/>
      <c r="K43" s="36"/>
      <c r="L43" s="22"/>
    </row>
    <row r="44" spans="1:13">
      <c r="A44" s="9" t="s">
        <v>100</v>
      </c>
      <c r="B44" s="28">
        <f>'JMS-1 Page 1'!L44</f>
        <v>915</v>
      </c>
      <c r="C44" s="20">
        <f>B44/12</f>
        <v>76.25</v>
      </c>
      <c r="D44" s="6">
        <f>'JMS-1 Page 1'!M44</f>
        <v>78</v>
      </c>
      <c r="E44" s="20">
        <f>+D44-C44</f>
        <v>1.75</v>
      </c>
      <c r="F44" s="6">
        <f>'JMS-1 Page 1'!N44</f>
        <v>109668698</v>
      </c>
      <c r="G44" s="6">
        <f>ROUND(F44/C44,3)</f>
        <v>1438278.007</v>
      </c>
      <c r="H44" s="6">
        <f>ROUND(E44*G44,0)</f>
        <v>2516987</v>
      </c>
      <c r="I44" s="36">
        <f>'JMS-1 Page 1'!O44</f>
        <v>9786166.0429933965</v>
      </c>
      <c r="J44" s="30">
        <f>IF(F44&lt;&gt;0,I44/F44,0)</f>
        <v>8.923390376161297E-2</v>
      </c>
      <c r="K44" s="36">
        <f>YEC!D42-'JMS-1 Page 1'!J44</f>
        <v>211455.91640660423</v>
      </c>
      <c r="L44" s="22">
        <f>K44/H44-J44</f>
        <v>-5.2223787093960833E-3</v>
      </c>
      <c r="M44" s="36">
        <f>H44*J44-K44</f>
        <v>13144.659320626728</v>
      </c>
    </row>
    <row r="45" spans="1:13" ht="6" customHeight="1">
      <c r="A45" s="9"/>
      <c r="B45" s="28"/>
      <c r="C45" s="20"/>
      <c r="E45" s="20"/>
      <c r="I45" s="34"/>
      <c r="K45" s="36"/>
      <c r="L45" s="22"/>
    </row>
    <row r="46" spans="1:13">
      <c r="A46" s="9" t="s">
        <v>176</v>
      </c>
      <c r="B46" s="28">
        <f>'JMS-1 Page 1'!L46</f>
        <v>261</v>
      </c>
      <c r="C46" s="20">
        <f>B46/12</f>
        <v>21.75</v>
      </c>
      <c r="D46" s="6">
        <f>'JMS-1 Page 1'!M46</f>
        <v>20</v>
      </c>
      <c r="E46" s="20">
        <f>+D46-C46</f>
        <v>-1.75</v>
      </c>
      <c r="F46" s="6">
        <f>'JMS-1 Page 1'!N46</f>
        <v>36676149</v>
      </c>
      <c r="G46" s="6">
        <f>ROUND(F46/C46,3)</f>
        <v>1686259.7239999999</v>
      </c>
      <c r="H46" s="6">
        <f>ROUND(E46*G46,0)</f>
        <v>-2950955</v>
      </c>
      <c r="I46" s="36">
        <f>'JMS-1 Page 1'!O46</f>
        <v>2646442.3807199998</v>
      </c>
      <c r="J46" s="30">
        <f>IF(F46&lt;&gt;0,I46/F46,0)</f>
        <v>7.2157040825633026E-2</v>
      </c>
      <c r="K46" s="36">
        <f>YEC!D44-'JMS-1 Page 1'!J46</f>
        <v>-212804.41931999987</v>
      </c>
      <c r="L46" s="22">
        <f>K46/H46-J46</f>
        <v>-4.329482815089436E-5</v>
      </c>
      <c r="M46" s="36">
        <f>H46*J46-K46</f>
        <v>-127.76108960603597</v>
      </c>
    </row>
    <row r="47" spans="1:13" ht="6" customHeight="1">
      <c r="A47" s="9"/>
      <c r="B47" s="28"/>
      <c r="C47" s="20"/>
      <c r="D47" s="6"/>
      <c r="E47" s="20"/>
      <c r="F47" s="6"/>
      <c r="G47" s="6"/>
      <c r="H47" s="6"/>
      <c r="I47" s="36"/>
      <c r="J47" s="30"/>
      <c r="K47" s="36"/>
      <c r="L47" s="22"/>
      <c r="M47" s="36"/>
    </row>
    <row r="48" spans="1:13">
      <c r="A48" s="9" t="s">
        <v>335</v>
      </c>
      <c r="B48" s="28">
        <f>'JMS-1 Page 1'!L48</f>
        <v>12</v>
      </c>
      <c r="C48" s="20">
        <f>B48/12</f>
        <v>1</v>
      </c>
      <c r="D48" s="6">
        <f>'JMS-1 Page 1'!M48</f>
        <v>1</v>
      </c>
      <c r="E48" s="20">
        <f>+D48-C48</f>
        <v>0</v>
      </c>
      <c r="F48" s="6">
        <f>'JMS-1 Page 1'!N48</f>
        <v>672426</v>
      </c>
      <c r="G48" s="6">
        <f>ROUND(F48/C48,3)</f>
        <v>672426</v>
      </c>
      <c r="H48" s="6">
        <f>ROUND(E48*G48,0)</f>
        <v>0</v>
      </c>
      <c r="I48" s="36">
        <f>'JMS-1 Page 1'!O48</f>
        <v>67112.57796000001</v>
      </c>
      <c r="J48" s="30">
        <f>IF(F48&lt;&gt;0,I48/F48,0)</f>
        <v>9.9806637399505682E-2</v>
      </c>
      <c r="K48" s="36">
        <f>YEC!D46-'JMS-1 Page 1'!J48</f>
        <v>-0.46600000000034925</v>
      </c>
      <c r="L48" s="22"/>
      <c r="M48" s="36"/>
    </row>
    <row r="49" spans="1:13" ht="6" customHeight="1">
      <c r="A49" s="9"/>
      <c r="B49" s="28"/>
      <c r="C49" s="20"/>
      <c r="E49" s="20"/>
      <c r="I49" s="34"/>
      <c r="K49" s="36"/>
      <c r="L49" s="22"/>
    </row>
    <row r="50" spans="1:13">
      <c r="A50" s="9" t="s">
        <v>269</v>
      </c>
      <c r="B50" s="28">
        <f>'JMS-1 Page 1'!L50</f>
        <v>75</v>
      </c>
      <c r="C50" s="20">
        <f>B50/12</f>
        <v>6.25</v>
      </c>
      <c r="D50" s="6">
        <f>'JMS-1 Page 1'!M50</f>
        <v>6</v>
      </c>
      <c r="E50" s="20">
        <f>+D50-C50</f>
        <v>-0.25</v>
      </c>
      <c r="F50" s="6">
        <f>'JMS-1 Page 1'!N50</f>
        <v>23355352</v>
      </c>
      <c r="G50" s="6">
        <f>ROUND(F50/C50,3)</f>
        <v>3736856.32</v>
      </c>
      <c r="H50" s="6">
        <f>ROUND(E50*G50,0)</f>
        <v>-934214</v>
      </c>
      <c r="I50" s="36">
        <f>'JMS-1 Page 1'!O50</f>
        <v>1972823.2841999999</v>
      </c>
      <c r="J50" s="30">
        <f>IF(F50&lt;&gt;0,I50/F50,0)</f>
        <v>8.4469858737303546E-2</v>
      </c>
      <c r="K50" s="36">
        <f>YEC!D48-'JMS-1 Page 1'!J50</f>
        <v>-78947.270899999654</v>
      </c>
      <c r="L50" s="22">
        <f>K50/H50-J50</f>
        <v>3.6764905672961867E-5</v>
      </c>
      <c r="M50" s="36">
        <f>H50*J50-K50</f>
        <v>34.34628958835674</v>
      </c>
    </row>
    <row r="51" spans="1:13" ht="6" customHeight="1">
      <c r="A51" s="9"/>
      <c r="B51" s="28"/>
      <c r="C51" s="20"/>
      <c r="E51" s="20"/>
      <c r="I51" s="34"/>
      <c r="K51" s="36"/>
      <c r="L51" s="22"/>
    </row>
    <row r="52" spans="1:13">
      <c r="A52" s="9" t="s">
        <v>101</v>
      </c>
      <c r="B52" s="28">
        <f>'JMS-1 Page 1'!L52</f>
        <v>480</v>
      </c>
      <c r="C52" s="20">
        <f>B52/12</f>
        <v>40</v>
      </c>
      <c r="D52" s="6">
        <f>'JMS-1 Page 1'!M52</f>
        <v>40</v>
      </c>
      <c r="E52" s="20">
        <f>+D52-C52</f>
        <v>0</v>
      </c>
      <c r="F52" s="6">
        <f>'JMS-1 Page 1'!N52</f>
        <v>331170851</v>
      </c>
      <c r="G52" s="6">
        <f>ROUND(F52/C52,3)</f>
        <v>8279271.2750000004</v>
      </c>
      <c r="H52" s="6">
        <f>ROUND(E52*G52,0)</f>
        <v>0</v>
      </c>
      <c r="I52" s="36">
        <f>'JMS-1 Page 1'!O52</f>
        <v>24295105.437680002</v>
      </c>
      <c r="J52" s="30">
        <f>IF(F52&lt;&gt;0,I52/F52,0)</f>
        <v>7.3361243492048769E-2</v>
      </c>
      <c r="K52" s="36">
        <f>YEC!D50-'JMS-1 Page 1'!J52</f>
        <v>-34.816000003367662</v>
      </c>
      <c r="L52" s="22" t="e">
        <f>K52/H52-J52</f>
        <v>#DIV/0!</v>
      </c>
      <c r="M52" s="36">
        <f>H52*J52-K52</f>
        <v>34.816000003367662</v>
      </c>
    </row>
    <row r="53" spans="1:13" ht="6" customHeight="1">
      <c r="A53" s="9"/>
      <c r="B53" s="28"/>
      <c r="C53" s="20"/>
      <c r="E53" s="20"/>
      <c r="I53" s="34"/>
      <c r="K53" s="36"/>
      <c r="L53" s="22"/>
    </row>
    <row r="54" spans="1:13">
      <c r="A54" s="9" t="s">
        <v>177</v>
      </c>
      <c r="B54" s="28">
        <f>'JMS-1 Page 1'!L54</f>
        <v>314</v>
      </c>
      <c r="C54" s="20">
        <f>B54/12</f>
        <v>26.166666666666668</v>
      </c>
      <c r="D54" s="6">
        <f>'JMS-1 Page 1'!M54</f>
        <v>26</v>
      </c>
      <c r="E54" s="20">
        <f>+D54-C54</f>
        <v>-0.16666666666666785</v>
      </c>
      <c r="F54" s="6">
        <f>'JMS-1 Page 1'!N54</f>
        <v>344605816</v>
      </c>
      <c r="G54" s="6">
        <f>ROUND(F54/C54,3)</f>
        <v>13169649.018999999</v>
      </c>
      <c r="H54" s="6">
        <f>ROUND(E54*G54,0)</f>
        <v>-2194942</v>
      </c>
      <c r="I54" s="36">
        <f>'JMS-1 Page 1'!O54</f>
        <v>22834307.848230001</v>
      </c>
      <c r="J54" s="30">
        <f>IF(F54&lt;&gt;0,I54/F54,0)</f>
        <v>6.6262108148023829E-2</v>
      </c>
      <c r="K54" s="36">
        <f>YEC!D52-'JMS-1 Page 1'!J54</f>
        <v>-145515.54334000126</v>
      </c>
      <c r="L54" s="22">
        <f>K54/H54-J54</f>
        <v>3.3740826573799843E-5</v>
      </c>
      <c r="M54" s="36">
        <f>H54*J54-K54</f>
        <v>74.059157361538382</v>
      </c>
    </row>
    <row r="55" spans="1:13" ht="6" customHeight="1">
      <c r="A55" s="9"/>
      <c r="B55" s="28"/>
      <c r="C55" s="20"/>
      <c r="E55" s="20"/>
      <c r="I55" s="34"/>
      <c r="K55" s="36"/>
      <c r="L55" s="22"/>
    </row>
    <row r="56" spans="1:13">
      <c r="A56" s="9" t="s">
        <v>178</v>
      </c>
      <c r="B56" s="28">
        <f>'JMS-1 Page 1'!L56</f>
        <v>55</v>
      </c>
      <c r="C56" s="20">
        <f>B56/12</f>
        <v>4.583333333333333</v>
      </c>
      <c r="D56" s="6">
        <f>'JMS-1 Page 1'!M56</f>
        <v>5</v>
      </c>
      <c r="E56" s="20">
        <f>+D56-C56</f>
        <v>0.41666666666666696</v>
      </c>
      <c r="F56" s="6">
        <f>'JMS-1 Page 1'!N56</f>
        <v>60749991</v>
      </c>
      <c r="G56" s="6">
        <f>ROUND(F56/C56,3)</f>
        <v>13254543.491</v>
      </c>
      <c r="H56" s="6">
        <f>ROUND(E56*G56,0)</f>
        <v>5522726</v>
      </c>
      <c r="I56" s="36">
        <f>'JMS-1 Page 1'!O56</f>
        <v>3616522.109322763</v>
      </c>
      <c r="J56" s="30">
        <f>IF(F56&lt;&gt;0,I56/F56,0)</f>
        <v>5.9531236956442725E-2</v>
      </c>
      <c r="K56" s="36">
        <f>YEC!D54-'JMS-1 Page 1'!J56</f>
        <v>328666.04083723668</v>
      </c>
      <c r="L56" s="22">
        <f>K56/H56-J56</f>
        <v>-1.9676752797515018E-5</v>
      </c>
      <c r="M56" s="36">
        <f>H56*J56-K56</f>
        <v>108.66931427043164</v>
      </c>
    </row>
    <row r="57" spans="1:13" ht="6" customHeight="1">
      <c r="A57" s="9"/>
      <c r="B57" s="28"/>
      <c r="C57" s="20"/>
      <c r="E57" s="20"/>
      <c r="I57" s="35"/>
      <c r="K57" s="36"/>
      <c r="L57" s="22"/>
    </row>
    <row r="58" spans="1:13">
      <c r="A58" s="9" t="s">
        <v>179</v>
      </c>
      <c r="B58" s="28">
        <f>'JMS-1 Page 1'!L58</f>
        <v>107</v>
      </c>
      <c r="C58" s="20">
        <f>B58/12</f>
        <v>8.9166666666666661</v>
      </c>
      <c r="D58" s="6">
        <f>'JMS-1 Page 1'!M58</f>
        <v>9</v>
      </c>
      <c r="E58" s="20">
        <f>+D58-C58</f>
        <v>8.3333333333333925E-2</v>
      </c>
      <c r="F58" s="6">
        <f>'JMS-1 Page 1'!N58</f>
        <v>1747719841</v>
      </c>
      <c r="G58" s="6">
        <f>ROUND(F58/C58,3)</f>
        <v>196005963.477</v>
      </c>
      <c r="H58" s="6">
        <f>ROUND(E58*G58,0)</f>
        <v>16333830</v>
      </c>
      <c r="I58" s="36">
        <f>'JMS-1 Page 1'!O58</f>
        <v>98213129.083083883</v>
      </c>
      <c r="J58" s="30">
        <f>IF(F58&lt;&gt;0,I58/F58,0)</f>
        <v>5.6195007219743458E-2</v>
      </c>
      <c r="K58" s="36">
        <f>YEC!D56-'JMS-1 Page 1'!J58</f>
        <v>924647.02617614402</v>
      </c>
      <c r="L58" s="22">
        <f>K58/H58-J58</f>
        <v>4.1431381372781378E-4</v>
      </c>
      <c r="M58" s="36">
        <f>H58*J58-K58</f>
        <v>-6767.3314000817481</v>
      </c>
    </row>
    <row r="59" spans="1:13" ht="6" customHeight="1">
      <c r="A59" s="9"/>
      <c r="B59" s="28"/>
      <c r="C59" s="20"/>
      <c r="E59" s="20"/>
      <c r="I59" s="36"/>
      <c r="K59" s="36"/>
      <c r="L59" s="22"/>
    </row>
    <row r="60" spans="1:13">
      <c r="A60" s="9" t="s">
        <v>180</v>
      </c>
      <c r="B60" s="28">
        <f>'JMS-1 Page 1'!L60</f>
        <v>26</v>
      </c>
      <c r="C60" s="20">
        <f>B60/12</f>
        <v>2.1666666666666665</v>
      </c>
      <c r="D60" s="6">
        <f>'JMS-1 Page 1'!M60</f>
        <v>2</v>
      </c>
      <c r="E60" s="20">
        <f>+D60-C60</f>
        <v>-0.16666666666666652</v>
      </c>
      <c r="F60" s="6">
        <f>'JMS-1 Page 1'!N60</f>
        <v>316710702</v>
      </c>
      <c r="G60" s="6">
        <f>ROUND(F60/C60,3)</f>
        <v>146174170.15400001</v>
      </c>
      <c r="H60" s="6">
        <f>ROUND(E60*G60,0)</f>
        <v>-24362362</v>
      </c>
      <c r="I60" s="36">
        <f>'JMS-1 Page 1'!O60</f>
        <v>17507511.282599997</v>
      </c>
      <c r="J60" s="30">
        <f>IF(F60&lt;&gt;0,I60/F60,0)</f>
        <v>5.5279190668460571E-2</v>
      </c>
      <c r="K60" s="36">
        <f>YEC!D58-'JMS-1 Page 1'!J60</f>
        <v>-1346730.3105999976</v>
      </c>
      <c r="L60" s="22">
        <f>K60/H60-J60</f>
        <v>-5.51478572044517E-8</v>
      </c>
      <c r="M60" s="36">
        <f>H60*J60-K60</f>
        <v>-1.3435320607386529</v>
      </c>
    </row>
    <row r="61" spans="1:13" ht="6" customHeight="1">
      <c r="A61" s="9"/>
      <c r="B61" s="28"/>
      <c r="C61" s="20"/>
      <c r="E61" s="20"/>
      <c r="I61" s="34"/>
      <c r="K61" s="36"/>
      <c r="L61" s="22"/>
    </row>
    <row r="62" spans="1:13">
      <c r="A62" t="s">
        <v>45</v>
      </c>
      <c r="B62" s="28">
        <f>'JMS-1 Page 1'!L62</f>
        <v>144903.09699999998</v>
      </c>
      <c r="C62" s="20">
        <f>B62/12</f>
        <v>12075.258083333332</v>
      </c>
      <c r="D62" s="6">
        <f>'JMS-1 Page 1'!M62</f>
        <v>11957.505000000001</v>
      </c>
      <c r="E62" s="20">
        <f>+D62-C62</f>
        <v>-117.75308333333123</v>
      </c>
      <c r="F62" s="6">
        <f>'JMS-1 Page 1'!N62</f>
        <v>8537689</v>
      </c>
      <c r="G62" s="6">
        <f>ROUND(F62/C62,0)</f>
        <v>707</v>
      </c>
      <c r="H62" s="6">
        <f>SL!L31</f>
        <v>-347607</v>
      </c>
      <c r="I62" s="36">
        <f>'JMS-1 Page 1'!O62</f>
        <v>1428283.0345000001</v>
      </c>
      <c r="J62" s="30">
        <f>IF(F62&lt;&gt;0,I62/F62,0)</f>
        <v>0.16729152754334342</v>
      </c>
      <c r="K62" s="36">
        <f>YEC!D60-'JMS-1 Page 1'!J62</f>
        <v>-52535.102105828468</v>
      </c>
      <c r="L62" s="22">
        <f>K62/H62-J62</f>
        <v>-1.6157913704069576E-2</v>
      </c>
      <c r="M62" s="36">
        <f>H62*J62-K62</f>
        <v>-5616.6039089305123</v>
      </c>
    </row>
    <row r="63" spans="1:13" ht="6" customHeight="1">
      <c r="A63" s="9"/>
      <c r="B63" s="28"/>
      <c r="C63" s="20"/>
      <c r="E63" s="20"/>
      <c r="I63" s="34"/>
      <c r="K63" s="36"/>
      <c r="L63" s="22"/>
    </row>
    <row r="64" spans="1:13">
      <c r="A64" s="16" t="s">
        <v>182</v>
      </c>
      <c r="B64" s="61">
        <f>'JMS-1 Page 1'!L64</f>
        <v>132</v>
      </c>
      <c r="C64" s="62">
        <f>B64/12</f>
        <v>11</v>
      </c>
      <c r="D64" s="17">
        <f>'JMS-1 Page 1'!M64</f>
        <v>11</v>
      </c>
      <c r="E64" s="62">
        <f>+D64-C64</f>
        <v>0</v>
      </c>
      <c r="F64" s="17">
        <f>'JMS-1 Page 1'!N64</f>
        <v>3864039</v>
      </c>
      <c r="G64" s="17">
        <f>ROUND(F64/C64,3)</f>
        <v>351276.27299999999</v>
      </c>
      <c r="H64" s="17">
        <f>ROUND(E64*G64,0)</f>
        <v>0</v>
      </c>
      <c r="I64" s="63">
        <f>'JMS-1 Page 1'!O64</f>
        <v>354484.31699999998</v>
      </c>
      <c r="J64" s="64">
        <f>IF(F64&lt;&gt;0,I64/F64,0)</f>
        <v>9.1739321730448367E-2</v>
      </c>
      <c r="K64" s="63">
        <f>YEC!D62-'JMS-1 Page 1'!J64</f>
        <v>1.6400000000139698</v>
      </c>
      <c r="L64" s="65" t="e">
        <f>K64/H64-J64</f>
        <v>#DIV/0!</v>
      </c>
      <c r="M64" s="63">
        <f>H64*J64-K64</f>
        <v>-1.6400000000139698</v>
      </c>
    </row>
    <row r="65" spans="1:15" ht="6" customHeight="1">
      <c r="B65" s="28"/>
      <c r="C65" s="20"/>
      <c r="K65" s="36"/>
      <c r="L65" s="22"/>
    </row>
    <row r="66" spans="1:15">
      <c r="A66" t="s">
        <v>18</v>
      </c>
      <c r="B66" s="28">
        <f>SUM(B12:B65)</f>
        <v>2961516.7270000004</v>
      </c>
      <c r="C66" s="42">
        <f>SUM(C12:C65)</f>
        <v>246793.06058333334</v>
      </c>
      <c r="D66" s="28">
        <f>SUM(D12:D65)</f>
        <v>238284.39500000002</v>
      </c>
      <c r="E66" s="42">
        <f>SUM(E12:E65)</f>
        <v>-8508.6655833333498</v>
      </c>
      <c r="F66" s="28">
        <f>SUM(F12:F65)</f>
        <v>6518229297</v>
      </c>
      <c r="G66" s="6">
        <f>ROUND(F66/C66,3)</f>
        <v>26411.72</v>
      </c>
      <c r="H66" s="28">
        <f>SUM(H12:H65)</f>
        <v>-26138089</v>
      </c>
      <c r="I66" s="8">
        <f>SUM(I12:I65)</f>
        <v>549683367.83373153</v>
      </c>
      <c r="J66" s="28"/>
      <c r="K66" s="36">
        <f>SUM(K12:K65)</f>
        <v>-2719823.8627511873</v>
      </c>
      <c r="M66" s="8">
        <f>SUM(M12:M65)</f>
        <v>-5368.9033762048348</v>
      </c>
      <c r="O66" s="8"/>
    </row>
    <row r="67" spans="1:15" ht="6" customHeight="1">
      <c r="B67" s="28"/>
    </row>
    <row r="68" spans="1:15">
      <c r="A68" t="s">
        <v>329</v>
      </c>
      <c r="B68" s="28"/>
      <c r="C68" s="28"/>
      <c r="D68" s="66" t="s">
        <v>330</v>
      </c>
      <c r="K68" s="6"/>
    </row>
    <row r="69" spans="1:15">
      <c r="B69" s="6"/>
    </row>
    <row r="70" spans="1:15">
      <c r="A70" s="1"/>
      <c r="B70" s="1"/>
      <c r="C70" s="27"/>
      <c r="D70" s="1"/>
      <c r="E70" s="1"/>
      <c r="F70" s="1"/>
      <c r="G70" s="1"/>
      <c r="H70" s="111"/>
      <c r="I70" s="1"/>
      <c r="J70" s="1"/>
      <c r="K70" s="1"/>
    </row>
    <row r="71" spans="1:15">
      <c r="A71" s="1"/>
      <c r="B71" s="1"/>
      <c r="C71" s="1"/>
      <c r="D71" s="1"/>
      <c r="E71" s="1"/>
      <c r="F71" s="1"/>
      <c r="G71" s="1"/>
      <c r="H71" s="111"/>
      <c r="I71" s="1"/>
      <c r="J71" s="1"/>
      <c r="K71" s="1"/>
    </row>
    <row r="72" spans="1:15">
      <c r="A72" s="1"/>
      <c r="B72" s="1"/>
      <c r="C72" s="1"/>
      <c r="D72" s="21"/>
      <c r="E72" s="1"/>
      <c r="F72" s="1"/>
      <c r="G72" s="1"/>
      <c r="H72" s="111"/>
      <c r="I72" s="1"/>
      <c r="J72" s="1"/>
      <c r="K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7" spans="1:15">
      <c r="B77" s="6"/>
      <c r="C77" s="6"/>
    </row>
  </sheetData>
  <phoneticPr fontId="0" type="noConversion"/>
  <printOptions horizontalCentered="1"/>
  <pageMargins left="0.25" right="0.25" top="0.75" bottom="0.75" header="0.3" footer="0.3"/>
  <pageSetup scale="10" orientation="landscape" r:id="rId1"/>
  <headerFooter alignWithMargins="0">
    <oddHeader>&amp;RCase No.:  2014-00396
Exhibit No.: JMS-1
Page 2 of 3
Witness:  J. Stegall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H10" sqref="H10"/>
    </sheetView>
  </sheetViews>
  <sheetFormatPr defaultRowHeight="12.75"/>
  <cols>
    <col min="1" max="1" width="22.85546875" customWidth="1"/>
    <col min="2" max="2" width="11.7109375" bestFit="1" customWidth="1"/>
    <col min="3" max="3" width="8.5703125" bestFit="1" customWidth="1"/>
    <col min="4" max="4" width="11.7109375" bestFit="1" customWidth="1"/>
    <col min="5" max="5" width="12.7109375" bestFit="1" customWidth="1"/>
    <col min="6" max="6" width="14.85546875" bestFit="1" customWidth="1"/>
    <col min="7" max="7" width="11.7109375" bestFit="1" customWidth="1"/>
    <col min="8" max="8" width="14.42578125" bestFit="1" customWidth="1"/>
    <col min="9" max="9" width="10.42578125" bestFit="1" customWidth="1"/>
    <col min="10" max="11" width="11.7109375" bestFit="1" customWidth="1"/>
    <col min="12" max="12" width="10.42578125" bestFit="1" customWidth="1"/>
    <col min="13" max="13" width="12.7109375" bestFit="1" customWidth="1"/>
    <col min="14" max="14" width="11.710937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150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O6" s="37" t="str">
        <f>+RS!S6</f>
        <v>Asset Transfer</v>
      </c>
      <c r="P6" s="37"/>
    </row>
    <row r="7" spans="1:16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37" t="str">
        <f>+RS!H7</f>
        <v>Excl. Env.</v>
      </c>
      <c r="H7" s="1" t="s">
        <v>245</v>
      </c>
      <c r="I7" s="1" t="s">
        <v>197</v>
      </c>
      <c r="J7" s="1" t="s">
        <v>197</v>
      </c>
      <c r="K7" s="1" t="s">
        <v>201</v>
      </c>
      <c r="L7" s="1" t="s">
        <v>231</v>
      </c>
      <c r="M7" s="1" t="s">
        <v>232</v>
      </c>
      <c r="N7" s="1" t="s">
        <v>233</v>
      </c>
      <c r="O7" s="1" t="str">
        <f>+RS!S7</f>
        <v>Rider</v>
      </c>
      <c r="P7" s="1" t="str">
        <f>+RS!T7</f>
        <v>Revised</v>
      </c>
    </row>
    <row r="8" spans="1:16">
      <c r="A8" s="3" t="s">
        <v>1</v>
      </c>
      <c r="B8" s="3" t="s">
        <v>18</v>
      </c>
      <c r="C8" s="3" t="s">
        <v>5</v>
      </c>
      <c r="D8" s="3" t="s">
        <v>6</v>
      </c>
      <c r="E8" s="3" t="s">
        <v>205</v>
      </c>
      <c r="F8" s="3" t="s">
        <v>271</v>
      </c>
      <c r="G8" s="3" t="str">
        <f>+RS!H8</f>
        <v>Surcharge</v>
      </c>
      <c r="H8" s="3" t="s">
        <v>246</v>
      </c>
      <c r="I8" s="3" t="s">
        <v>198</v>
      </c>
      <c r="J8" s="3" t="s">
        <v>18</v>
      </c>
      <c r="K8" s="3" t="s">
        <v>6</v>
      </c>
      <c r="L8" s="3" t="s">
        <v>198</v>
      </c>
      <c r="M8" s="3" t="s">
        <v>18</v>
      </c>
      <c r="N8" s="3" t="s">
        <v>6</v>
      </c>
      <c r="O8" s="3" t="str">
        <f>+RS!S8</f>
        <v>Adjustment</v>
      </c>
      <c r="P8" s="3" t="str">
        <f>+RS!T8</f>
        <v>Revenue</v>
      </c>
    </row>
    <row r="9" spans="1:16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1" t="s">
        <v>199</v>
      </c>
      <c r="I9" s="1" t="s">
        <v>226</v>
      </c>
      <c r="J9" s="96" t="s">
        <v>379</v>
      </c>
      <c r="K9" s="96" t="s">
        <v>380</v>
      </c>
      <c r="L9" s="98" t="s">
        <v>381</v>
      </c>
      <c r="M9" s="98" t="s">
        <v>382</v>
      </c>
      <c r="N9" s="98" t="s">
        <v>383</v>
      </c>
      <c r="O9" s="98" t="s">
        <v>371</v>
      </c>
      <c r="P9" s="96" t="s">
        <v>412</v>
      </c>
    </row>
    <row r="10" spans="1:16">
      <c r="H10" s="39">
        <f>RS!$I$10</f>
        <v>2.0411219651722302E-3</v>
      </c>
    </row>
    <row r="11" spans="1:16">
      <c r="D11" s="10"/>
      <c r="E11" s="11"/>
      <c r="F11" s="11"/>
      <c r="G11" s="11"/>
      <c r="H11" s="11"/>
    </row>
    <row r="12" spans="1:16">
      <c r="A12" s="4" t="s">
        <v>22</v>
      </c>
      <c r="C12" s="23"/>
      <c r="D12" s="10"/>
      <c r="E12" s="11"/>
      <c r="F12" s="11"/>
      <c r="G12" s="11"/>
      <c r="H12" s="11"/>
      <c r="L12" s="6"/>
      <c r="N12" s="10"/>
    </row>
    <row r="13" spans="1:16">
      <c r="A13" t="s">
        <v>109</v>
      </c>
      <c r="B13" s="75">
        <v>62081705</v>
      </c>
      <c r="C13" s="71">
        <v>0.13159999999999999</v>
      </c>
      <c r="D13" s="8">
        <f>+B13*C13</f>
        <v>8169952.3779999996</v>
      </c>
      <c r="E13" s="8">
        <f>D13</f>
        <v>8169952.3779999996</v>
      </c>
      <c r="F13" s="8">
        <f>E13</f>
        <v>8169952.3779999996</v>
      </c>
      <c r="G13" s="8">
        <f>+F13</f>
        <v>8169952.3779999996</v>
      </c>
      <c r="H13" s="8">
        <f t="shared" ref="H13:H14" si="0">+G13</f>
        <v>8169952.3779999996</v>
      </c>
      <c r="I13" s="74">
        <v>-145559</v>
      </c>
      <c r="J13" s="6">
        <f>+B13+I13</f>
        <v>61936146</v>
      </c>
      <c r="K13" s="8">
        <f>+C13*J13</f>
        <v>8150796.8136</v>
      </c>
      <c r="L13" s="6">
        <f>M13-J13</f>
        <v>247853</v>
      </c>
      <c r="M13" s="6">
        <f>ROUND(J13*M$20/J$20,0)</f>
        <v>62183999</v>
      </c>
      <c r="N13" s="8">
        <f>+M13*C13</f>
        <v>8183414.2683999995</v>
      </c>
      <c r="P13" s="8">
        <f>+N13+O13</f>
        <v>8183414.2683999995</v>
      </c>
    </row>
    <row r="14" spans="1:16">
      <c r="A14" t="s">
        <v>110</v>
      </c>
      <c r="B14" s="75">
        <v>77912213</v>
      </c>
      <c r="C14" s="71">
        <v>7.1160000000000001E-2</v>
      </c>
      <c r="D14" s="8">
        <f>+B14*C14</f>
        <v>5544233.0770800002</v>
      </c>
      <c r="E14" s="8">
        <f>D14</f>
        <v>5544233.0770800002</v>
      </c>
      <c r="F14" s="8">
        <f>E14</f>
        <v>5544233.0770800002</v>
      </c>
      <c r="G14" s="8">
        <f>+F14</f>
        <v>5544233.0770800002</v>
      </c>
      <c r="H14" s="8">
        <f t="shared" si="0"/>
        <v>5544233.0770800002</v>
      </c>
      <c r="I14" s="74">
        <v>-2190863</v>
      </c>
      <c r="J14" s="6">
        <f>+B14+I14</f>
        <v>75721350</v>
      </c>
      <c r="K14" s="8">
        <f>+C14*J14</f>
        <v>5388331.2659999998</v>
      </c>
      <c r="L14" s="6">
        <f>M14-J14</f>
        <v>303019</v>
      </c>
      <c r="M14" s="6">
        <f>ROUND(J14*M$20/J$20,0)+1</f>
        <v>76024369</v>
      </c>
      <c r="N14" s="8">
        <f>+M14*C14</f>
        <v>5409894.0980400005</v>
      </c>
      <c r="P14" s="8">
        <f>+N14+O14</f>
        <v>5409894.0980400005</v>
      </c>
    </row>
    <row r="15" spans="1:16">
      <c r="B15" s="7"/>
      <c r="D15" s="8"/>
      <c r="E15" s="8"/>
      <c r="F15" s="8"/>
      <c r="G15" s="8"/>
      <c r="H15" s="8"/>
      <c r="K15" s="8"/>
      <c r="N15" s="8"/>
    </row>
    <row r="16" spans="1:16">
      <c r="A16" t="s">
        <v>12</v>
      </c>
      <c r="B16" s="7">
        <f>+'12 Months TS'!E49</f>
        <v>139993918</v>
      </c>
      <c r="D16" s="8"/>
      <c r="E16" s="8"/>
      <c r="F16" s="8"/>
      <c r="G16" s="8"/>
      <c r="H16" s="8"/>
      <c r="I16" s="6">
        <f>SUM(I13:I14)</f>
        <v>-2336422</v>
      </c>
      <c r="J16" s="6">
        <f>+B16+I16</f>
        <v>137657496</v>
      </c>
      <c r="K16" s="8"/>
      <c r="L16" s="6">
        <f>M16-J16</f>
        <v>550870</v>
      </c>
      <c r="M16" s="6">
        <f>ROUND(J16*M$20/J$20,0)</f>
        <v>138208366</v>
      </c>
      <c r="N16" s="8"/>
    </row>
    <row r="17" spans="1:16">
      <c r="D17" s="8"/>
      <c r="E17" s="8"/>
      <c r="F17" s="8"/>
      <c r="G17" s="8"/>
      <c r="H17" s="8"/>
      <c r="K17" s="8"/>
      <c r="N17" s="8"/>
    </row>
    <row r="18" spans="1:16">
      <c r="A18" t="s">
        <v>13</v>
      </c>
      <c r="B18" s="83">
        <v>270533.61499999999</v>
      </c>
      <c r="C18" s="73">
        <v>11.5</v>
      </c>
      <c r="D18" s="8">
        <f>+B18*C18</f>
        <v>3111136.5724999998</v>
      </c>
      <c r="E18" s="8">
        <f>D18</f>
        <v>3111136.5724999998</v>
      </c>
      <c r="F18" s="8">
        <f>E18</f>
        <v>3111136.5724999998</v>
      </c>
      <c r="G18" s="8">
        <f>+F18</f>
        <v>3111136.5724999998</v>
      </c>
      <c r="H18" s="8">
        <f>+G18</f>
        <v>3111136.5724999998</v>
      </c>
      <c r="I18" s="74">
        <v>-49.560000000000031</v>
      </c>
      <c r="J18" s="6">
        <f>+B18+I18</f>
        <v>270484.05499999999</v>
      </c>
      <c r="K18" s="8">
        <f>+C18*J18</f>
        <v>3110566.6324999998</v>
      </c>
      <c r="L18" s="6">
        <f>M18-J18</f>
        <v>1081.945000000007</v>
      </c>
      <c r="M18" s="6">
        <f>ROUND(J18*M$20/J$20,0)</f>
        <v>271566</v>
      </c>
      <c r="N18" s="8">
        <f>+M18*C18</f>
        <v>3123009</v>
      </c>
      <c r="P18" s="8">
        <f>+N18+O18</f>
        <v>3123009</v>
      </c>
    </row>
    <row r="19" spans="1:16">
      <c r="D19" s="8"/>
      <c r="E19" s="8"/>
      <c r="F19" s="8"/>
      <c r="G19" s="8"/>
      <c r="H19" s="8"/>
      <c r="K19" s="8"/>
      <c r="N19" s="8"/>
    </row>
    <row r="20" spans="1:16">
      <c r="A20" t="s">
        <v>14</v>
      </c>
      <c r="B20" s="6">
        <f>'Monthly # of Customers'!N31</f>
        <v>270431</v>
      </c>
      <c r="D20" s="8"/>
      <c r="E20" s="8"/>
      <c r="F20" s="8"/>
      <c r="G20" s="8"/>
      <c r="H20" s="8"/>
      <c r="I20" s="74">
        <v>-49</v>
      </c>
      <c r="J20" s="6">
        <f>+B20+I20</f>
        <v>270382</v>
      </c>
      <c r="K20" s="8"/>
      <c r="L20" s="6">
        <f>M20-J20</f>
        <v>1082</v>
      </c>
      <c r="M20" s="6">
        <f>+'Monthly # of Customers'!M31*12</f>
        <v>271464</v>
      </c>
      <c r="N20" s="8"/>
    </row>
    <row r="21" spans="1:16">
      <c r="D21" s="8"/>
      <c r="E21" s="8"/>
      <c r="F21" s="8"/>
      <c r="G21" s="8"/>
      <c r="H21" s="8"/>
      <c r="K21" s="8"/>
      <c r="N21" s="8"/>
    </row>
    <row r="22" spans="1:16">
      <c r="A22" t="str">
        <f>+RS!A27</f>
        <v xml:space="preserve">Fuel </v>
      </c>
      <c r="D22" s="8">
        <f>+'B&amp;A Surcharges'!B19</f>
        <v>376524.95999999996</v>
      </c>
      <c r="E22" s="8">
        <f>D22</f>
        <v>376524.95999999996</v>
      </c>
      <c r="F22" s="8">
        <f>E22</f>
        <v>376524.95999999996</v>
      </c>
      <c r="G22" s="8">
        <f>+F22</f>
        <v>376524.95999999996</v>
      </c>
      <c r="H22" s="8">
        <f>ROUND(B16*H10,2)</f>
        <v>285744.65999999997</v>
      </c>
      <c r="I22" s="8">
        <f>ROUND(I16*H10,2)</f>
        <v>-4768.92</v>
      </c>
      <c r="J22" s="10"/>
      <c r="K22" s="8">
        <f>+H22+I22</f>
        <v>280975.74</v>
      </c>
      <c r="L22" s="8">
        <f>+N22-K22</f>
        <v>1124.390000000014</v>
      </c>
      <c r="M22" s="10"/>
      <c r="N22" s="8">
        <f>ROUND(H10*M16,2)</f>
        <v>282100.13</v>
      </c>
      <c r="P22" s="8">
        <f>+N22+O22</f>
        <v>282100.13</v>
      </c>
    </row>
    <row r="23" spans="1:16">
      <c r="D23" s="8"/>
      <c r="E23" s="8"/>
      <c r="F23" s="8"/>
      <c r="G23" s="8"/>
      <c r="H23" s="8"/>
      <c r="I23" s="8"/>
      <c r="J23" s="10"/>
      <c r="K23" s="8"/>
      <c r="L23" s="8"/>
      <c r="M23" s="10"/>
      <c r="N23" s="8"/>
    </row>
    <row r="24" spans="1:16">
      <c r="A24" t="str">
        <f>+RS!A29</f>
        <v>System Sales Clause</v>
      </c>
      <c r="D24" s="8">
        <f>+'B&amp;A Surcharges'!D19</f>
        <v>53100.36</v>
      </c>
      <c r="E24" s="8">
        <v>0</v>
      </c>
      <c r="F24" s="8">
        <f>E24</f>
        <v>0</v>
      </c>
      <c r="G24" s="8">
        <f>+F24</f>
        <v>0</v>
      </c>
      <c r="H24" s="8">
        <f>+G24</f>
        <v>0</v>
      </c>
      <c r="I24" s="8"/>
      <c r="J24" s="10"/>
      <c r="K24" s="8">
        <f>+H24+I24</f>
        <v>0</v>
      </c>
      <c r="L24" s="8"/>
      <c r="M24" s="10"/>
      <c r="N24" s="8">
        <f>ROUND(K24*M$20/J$20,2)</f>
        <v>0</v>
      </c>
      <c r="P24" s="8">
        <f>+N24+O24</f>
        <v>0</v>
      </c>
    </row>
    <row r="25" spans="1:16">
      <c r="D25" s="8"/>
      <c r="E25" s="8"/>
      <c r="F25" s="8"/>
      <c r="G25" s="8"/>
      <c r="H25" s="8"/>
      <c r="I25" s="8"/>
      <c r="J25" s="10"/>
      <c r="K25" s="8"/>
      <c r="L25" s="8"/>
      <c r="M25" s="10"/>
      <c r="N25" s="8"/>
    </row>
    <row r="26" spans="1:16">
      <c r="A26" t="str">
        <f>+RS!A31</f>
        <v>Environmental Surcharge</v>
      </c>
      <c r="D26" s="8">
        <f>+'B&amp;A Surcharges'!J19</f>
        <v>-92763.1</v>
      </c>
      <c r="E26" s="8">
        <f>D26</f>
        <v>-92763.1</v>
      </c>
      <c r="F26" s="8">
        <f>E26</f>
        <v>-92763.1</v>
      </c>
      <c r="G26" s="8">
        <v>0</v>
      </c>
      <c r="H26" s="8">
        <f>+G26</f>
        <v>0</v>
      </c>
      <c r="I26" s="95">
        <v>0</v>
      </c>
      <c r="J26" s="10"/>
      <c r="K26" s="8">
        <f>+H26+I26</f>
        <v>0</v>
      </c>
      <c r="L26" s="8">
        <f>+N26-K26</f>
        <v>0</v>
      </c>
      <c r="M26" s="10"/>
      <c r="N26" s="8">
        <f>ROUND(K26*M$20/J$20,2)</f>
        <v>0</v>
      </c>
      <c r="P26" s="8">
        <f>+N26+O26</f>
        <v>0</v>
      </c>
    </row>
    <row r="27" spans="1:16">
      <c r="D27" s="8"/>
      <c r="E27" s="8"/>
      <c r="F27" s="8"/>
      <c r="G27" s="8"/>
      <c r="H27" s="8"/>
      <c r="I27" s="8"/>
      <c r="J27" s="10"/>
      <c r="K27" s="8"/>
      <c r="L27" s="8"/>
      <c r="M27" s="10"/>
      <c r="N27" s="8"/>
    </row>
    <row r="28" spans="1:16">
      <c r="A28" t="str">
        <f>+RS!A33</f>
        <v>Capacity Charge</v>
      </c>
      <c r="D28" s="8">
        <f>+'B&amp;A Surcharges'!F19</f>
        <v>135794.09</v>
      </c>
      <c r="E28" s="8">
        <f>D28</f>
        <v>135794.09</v>
      </c>
      <c r="F28" s="8">
        <v>0</v>
      </c>
      <c r="G28" s="8">
        <f>+F28</f>
        <v>0</v>
      </c>
      <c r="H28" s="8">
        <f>+G28</f>
        <v>0</v>
      </c>
      <c r="I28" s="10"/>
      <c r="J28" s="10"/>
      <c r="K28" s="8">
        <f>+H28+I28</f>
        <v>0</v>
      </c>
      <c r="L28" s="10"/>
      <c r="M28" s="10"/>
      <c r="N28" s="8">
        <f>ROUND(K28*M$20/J$20,2)</f>
        <v>0</v>
      </c>
      <c r="P28" s="8">
        <f>+N28+O28</f>
        <v>0</v>
      </c>
    </row>
    <row r="29" spans="1:16">
      <c r="D29" s="8"/>
      <c r="E29" s="8"/>
      <c r="F29" s="8"/>
      <c r="G29" s="8"/>
      <c r="H29" s="8"/>
      <c r="I29" s="10"/>
      <c r="J29" s="10"/>
      <c r="K29" s="8"/>
      <c r="L29" s="10"/>
      <c r="M29" s="10"/>
      <c r="N29" s="8"/>
    </row>
    <row r="30" spans="1:16">
      <c r="A30" t="str">
        <f>+RS!A35</f>
        <v>Asset Transfer Rider</v>
      </c>
      <c r="D30" s="8">
        <f>+'B&amp;A Surcharges'!N19</f>
        <v>1314773.9000000004</v>
      </c>
      <c r="E30" s="8">
        <f>D30</f>
        <v>1314773.9000000004</v>
      </c>
      <c r="F30" s="8">
        <f>E30</f>
        <v>1314773.9000000004</v>
      </c>
      <c r="G30" s="8">
        <f>+F30</f>
        <v>1314773.9000000004</v>
      </c>
      <c r="H30" s="8">
        <f>+G30</f>
        <v>1314773.9000000004</v>
      </c>
      <c r="I30" s="95">
        <v>-6091.1479999999974</v>
      </c>
      <c r="J30" s="10"/>
      <c r="K30" s="8">
        <f>+H30+I30</f>
        <v>1308682.7520000003</v>
      </c>
      <c r="L30" s="8">
        <f>+N30-K30</f>
        <v>5237.0179999996908</v>
      </c>
      <c r="M30" s="10"/>
      <c r="N30" s="8">
        <f>ROUND(K30*M$20/J$20,2)</f>
        <v>1313919.77</v>
      </c>
      <c r="O30" s="8">
        <f>+'ATR Adjustment WP'!G19</f>
        <v>433239.33765367459</v>
      </c>
      <c r="P30" s="8">
        <f>+N30+O30</f>
        <v>1747159.1076536747</v>
      </c>
    </row>
    <row r="31" spans="1:16">
      <c r="D31" s="8"/>
      <c r="E31" s="8"/>
      <c r="F31" s="8"/>
      <c r="G31" s="8"/>
      <c r="H31" s="8"/>
      <c r="I31" s="10"/>
      <c r="J31" s="10"/>
      <c r="K31" s="8"/>
      <c r="L31" s="10"/>
      <c r="M31" s="10"/>
      <c r="N31" s="8"/>
    </row>
    <row r="32" spans="1:16">
      <c r="A32" t="str">
        <f>+RS!A39</f>
        <v>Total</v>
      </c>
      <c r="D32" s="8">
        <f t="shared" ref="D32:H32" si="1">SUM(D13:D31)</f>
        <v>18612752.237580001</v>
      </c>
      <c r="E32" s="8">
        <f t="shared" si="1"/>
        <v>18559651.877580002</v>
      </c>
      <c r="F32" s="8">
        <f t="shared" si="1"/>
        <v>18423857.787579998</v>
      </c>
      <c r="G32" s="8">
        <f t="shared" si="1"/>
        <v>18516620.88758</v>
      </c>
      <c r="H32" s="8">
        <f t="shared" si="1"/>
        <v>18425840.587580003</v>
      </c>
      <c r="I32" s="10"/>
      <c r="J32" s="10"/>
      <c r="K32" s="8">
        <f>SUM(K13:K31)</f>
        <v>18239353.204099998</v>
      </c>
      <c r="L32" s="10"/>
      <c r="M32" s="10"/>
      <c r="N32" s="8">
        <f>SUM(N13:N31)</f>
        <v>18312337.26644</v>
      </c>
      <c r="P32" s="8">
        <f>SUM(P13:P31)</f>
        <v>18745576.604093675</v>
      </c>
    </row>
    <row r="34" spans="4:16">
      <c r="D34" s="8"/>
      <c r="I34" s="10"/>
      <c r="K34" s="59"/>
      <c r="L34" s="59"/>
      <c r="M34" s="59"/>
      <c r="N34" s="8"/>
      <c r="P34" s="8"/>
    </row>
  </sheetData>
  <phoneticPr fontId="0" type="noConversion"/>
  <printOptions horizontalCentered="1"/>
  <pageMargins left="0.25" right="0.25" top="0.75" bottom="0.75" header="0.3" footer="0.3"/>
  <pageSetup scale="7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A29" sqref="A29:XFD30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5" width="8" bestFit="1" customWidth="1"/>
    <col min="6" max="6" width="8.28515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332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P6" s="37"/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H11" s="39">
        <f>RS!$I$10</f>
        <v>2.0411219651722302E-3</v>
      </c>
    </row>
    <row r="12" spans="1:16">
      <c r="E12" s="11"/>
      <c r="F12" s="11"/>
      <c r="G12" s="11"/>
      <c r="H12" s="11"/>
    </row>
    <row r="13" spans="1:16">
      <c r="A13" s="4" t="s">
        <v>22</v>
      </c>
      <c r="E13" s="11"/>
      <c r="F13" s="11"/>
      <c r="G13" s="11"/>
      <c r="H13" s="11"/>
      <c r="L13" s="6"/>
      <c r="N13" s="10"/>
    </row>
    <row r="14" spans="1:16">
      <c r="A14" t="s">
        <v>25</v>
      </c>
      <c r="B14" s="74">
        <v>1456</v>
      </c>
      <c r="C14" s="71">
        <v>0.15326000000000001</v>
      </c>
      <c r="D14" s="8">
        <f>+B14*C14</f>
        <v>223.14656000000002</v>
      </c>
      <c r="E14" s="8">
        <f>D14</f>
        <v>223.14656000000002</v>
      </c>
      <c r="F14" s="8">
        <f>E14</f>
        <v>223.14656000000002</v>
      </c>
      <c r="G14" s="8">
        <f>+F14</f>
        <v>223.14656000000002</v>
      </c>
      <c r="H14" s="8">
        <f t="shared" ref="H14:H15" si="0">+G14</f>
        <v>223.14656000000002</v>
      </c>
      <c r="I14" s="74">
        <v>0</v>
      </c>
      <c r="J14" s="6">
        <f>+B14+I14</f>
        <v>1456</v>
      </c>
      <c r="K14" s="8">
        <f>+C14*J14</f>
        <v>223.14656000000002</v>
      </c>
      <c r="L14" s="6">
        <f>M14-J14</f>
        <v>0</v>
      </c>
      <c r="M14" s="6">
        <f>ROUND(J14*M$21/J$21,0)</f>
        <v>1456</v>
      </c>
      <c r="N14" s="8">
        <f>+M14*C14</f>
        <v>223.14656000000002</v>
      </c>
      <c r="P14" s="8">
        <f>+N14+O14</f>
        <v>223.14656000000002</v>
      </c>
    </row>
    <row r="15" spans="1:16">
      <c r="A15" t="s">
        <v>162</v>
      </c>
      <c r="B15" s="74">
        <v>1556</v>
      </c>
      <c r="C15" s="71">
        <v>4.9399999999999999E-2</v>
      </c>
      <c r="D15" s="8">
        <f>+B15*C15</f>
        <v>76.866399999999999</v>
      </c>
      <c r="E15" s="8">
        <f>D15</f>
        <v>76.866399999999999</v>
      </c>
      <c r="F15" s="8">
        <f>E15</f>
        <v>76.866399999999999</v>
      </c>
      <c r="G15" s="8">
        <f>+F15</f>
        <v>76.866399999999999</v>
      </c>
      <c r="H15" s="8">
        <f t="shared" si="0"/>
        <v>76.866399999999999</v>
      </c>
      <c r="I15" s="74">
        <v>0</v>
      </c>
      <c r="J15" s="6">
        <f>+B15+I15</f>
        <v>1556</v>
      </c>
      <c r="K15" s="8">
        <f>+C15*J15</f>
        <v>76.866399999999999</v>
      </c>
      <c r="L15" s="6">
        <f>M15-J15</f>
        <v>0</v>
      </c>
      <c r="M15" s="6">
        <f>ROUND(J15*M$21/J$21,0)</f>
        <v>1556</v>
      </c>
      <c r="N15" s="8">
        <f>+M15*C15</f>
        <v>76.866399999999999</v>
      </c>
      <c r="P15" s="8">
        <f>+N15+O15</f>
        <v>76.866399999999999</v>
      </c>
    </row>
    <row r="16" spans="1:16">
      <c r="B16" s="6"/>
      <c r="D16" s="8"/>
      <c r="E16" s="8"/>
      <c r="F16" s="8"/>
      <c r="G16" s="8"/>
      <c r="H16" s="8"/>
      <c r="I16" s="6"/>
      <c r="K16" s="8"/>
      <c r="N16" s="8"/>
    </row>
    <row r="17" spans="1:16">
      <c r="A17" t="s">
        <v>12</v>
      </c>
      <c r="B17" s="6">
        <f>+'12 Months TS'!E51</f>
        <v>3012</v>
      </c>
      <c r="D17" s="8"/>
      <c r="E17" s="8"/>
      <c r="F17" s="8"/>
      <c r="G17" s="8"/>
      <c r="H17" s="8"/>
      <c r="I17" s="6">
        <f>SUM(I14:I16)</f>
        <v>0</v>
      </c>
      <c r="J17" s="6">
        <f>+B17+I17</f>
        <v>3012</v>
      </c>
      <c r="K17" s="8"/>
      <c r="L17" s="6">
        <f>M17-J17</f>
        <v>0</v>
      </c>
      <c r="M17" s="6">
        <f>ROUND(J17*M$21/J$21,0)</f>
        <v>3012</v>
      </c>
      <c r="N17" s="8"/>
    </row>
    <row r="18" spans="1:16">
      <c r="B18" s="6"/>
      <c r="D18" s="8"/>
      <c r="E18" s="8"/>
      <c r="F18" s="8"/>
      <c r="G18" s="8"/>
      <c r="H18" s="8"/>
      <c r="I18" s="6"/>
      <c r="K18" s="8"/>
      <c r="N18" s="8"/>
    </row>
    <row r="19" spans="1:16">
      <c r="A19" t="s">
        <v>13</v>
      </c>
      <c r="B19" s="84">
        <v>12</v>
      </c>
      <c r="C19" s="73">
        <v>15.1</v>
      </c>
      <c r="D19" s="8">
        <f>+B19*C19</f>
        <v>181.2</v>
      </c>
      <c r="E19" s="8">
        <f>D19</f>
        <v>181.2</v>
      </c>
      <c r="F19" s="8">
        <f>E19</f>
        <v>181.2</v>
      </c>
      <c r="G19" s="8">
        <f>+F19</f>
        <v>181.2</v>
      </c>
      <c r="H19" s="8">
        <f>+G19</f>
        <v>181.2</v>
      </c>
      <c r="I19" s="74">
        <v>0</v>
      </c>
      <c r="J19" s="6">
        <f>+B19+I19</f>
        <v>12</v>
      </c>
      <c r="K19" s="8">
        <f>+C19*J19</f>
        <v>181.2</v>
      </c>
      <c r="L19" s="6">
        <f>M19-J19</f>
        <v>0</v>
      </c>
      <c r="M19" s="6">
        <f>ROUND(J19*M$21/J$21,3)</f>
        <v>12</v>
      </c>
      <c r="N19" s="8">
        <f>+M19*C19</f>
        <v>181.2</v>
      </c>
      <c r="P19" s="8">
        <f>+N19+O19</f>
        <v>181.2</v>
      </c>
    </row>
    <row r="20" spans="1:16">
      <c r="D20" s="8"/>
      <c r="E20" s="8"/>
      <c r="F20" s="8"/>
      <c r="G20" s="8"/>
      <c r="H20" s="8"/>
      <c r="I20" s="6"/>
      <c r="K20" s="8"/>
      <c r="N20" s="8"/>
    </row>
    <row r="21" spans="1:16">
      <c r="A21" t="s">
        <v>14</v>
      </c>
      <c r="B21" s="6">
        <f>'Monthly # of Customers'!N33</f>
        <v>12</v>
      </c>
      <c r="D21" s="8"/>
      <c r="E21" s="8"/>
      <c r="F21" s="8"/>
      <c r="G21" s="8"/>
      <c r="H21" s="8"/>
      <c r="I21" s="74">
        <v>0</v>
      </c>
      <c r="J21" s="6">
        <f>+B21+I21</f>
        <v>12</v>
      </c>
      <c r="K21" s="8"/>
      <c r="L21" s="6">
        <f>M21-J21</f>
        <v>0</v>
      </c>
      <c r="M21" s="6">
        <f>+'Monthly # of Customers'!M33*12</f>
        <v>12</v>
      </c>
      <c r="N21" s="8"/>
    </row>
    <row r="22" spans="1:16">
      <c r="B22" s="6"/>
      <c r="D22" s="8"/>
      <c r="E22" s="8"/>
      <c r="F22" s="8"/>
      <c r="G22" s="8"/>
      <c r="H22" s="8"/>
      <c r="I22" s="6"/>
      <c r="K22" s="8"/>
      <c r="N22" s="8"/>
    </row>
    <row r="23" spans="1:16">
      <c r="A23" t="str">
        <f>+RS!A27</f>
        <v xml:space="preserve">Fuel </v>
      </c>
      <c r="D23" s="8">
        <f>'B&amp;A Surcharges'!B21</f>
        <v>12.069999999999999</v>
      </c>
      <c r="E23" s="8">
        <f>D23</f>
        <v>12.069999999999999</v>
      </c>
      <c r="F23" s="8">
        <f>E23</f>
        <v>12.069999999999999</v>
      </c>
      <c r="G23" s="8">
        <f>+F23</f>
        <v>12.069999999999999</v>
      </c>
      <c r="H23" s="8">
        <f>ROUND(B17*H11,2)</f>
        <v>6.15</v>
      </c>
      <c r="I23" s="8">
        <f>ROUND(I17*H11,2)</f>
        <v>0</v>
      </c>
      <c r="J23" s="10"/>
      <c r="K23" s="8">
        <f>+H23+I23</f>
        <v>6.15</v>
      </c>
      <c r="L23" s="8">
        <f>+N23-K23</f>
        <v>0</v>
      </c>
      <c r="N23" s="8">
        <f>ROUND(H11*M17,2)</f>
        <v>6.15</v>
      </c>
      <c r="P23" s="8">
        <f>+N23+O23</f>
        <v>6.15</v>
      </c>
    </row>
    <row r="24" spans="1:16">
      <c r="D24" s="8"/>
      <c r="E24" s="8"/>
      <c r="F24" s="8"/>
      <c r="G24" s="8"/>
      <c r="H24" s="8"/>
      <c r="I24" s="8"/>
      <c r="J24" s="10"/>
      <c r="K24" s="8"/>
      <c r="L24" s="8"/>
      <c r="N24" s="8"/>
    </row>
    <row r="25" spans="1:16">
      <c r="A25" t="str">
        <f>+RS!A29</f>
        <v>System Sales Clause</v>
      </c>
      <c r="D25" s="8">
        <f>'B&amp;A Surcharges'!D21</f>
        <v>0.89</v>
      </c>
      <c r="E25" s="8">
        <v>0</v>
      </c>
      <c r="F25" s="8">
        <f>E25</f>
        <v>0</v>
      </c>
      <c r="G25" s="8">
        <f>+F25</f>
        <v>0</v>
      </c>
      <c r="H25" s="8">
        <f>+G25</f>
        <v>0</v>
      </c>
      <c r="I25" s="8"/>
      <c r="J25" s="10"/>
      <c r="K25" s="8">
        <f>+H25+I25</f>
        <v>0</v>
      </c>
      <c r="L25" s="8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10"/>
      <c r="K26" s="8"/>
      <c r="L26" s="8"/>
      <c r="N26" s="8"/>
    </row>
    <row r="27" spans="1:16">
      <c r="A27" t="str">
        <f>+RS!A31</f>
        <v>Environmental Surcharge</v>
      </c>
      <c r="D27" s="8">
        <f>'B&amp;A Surcharges'!J21</f>
        <v>-2.62</v>
      </c>
      <c r="E27" s="8">
        <f>D27</f>
        <v>-2.62</v>
      </c>
      <c r="F27" s="8">
        <f>E27</f>
        <v>-2.62</v>
      </c>
      <c r="G27" s="8">
        <v>0</v>
      </c>
      <c r="H27" s="8">
        <f>+G27</f>
        <v>0</v>
      </c>
      <c r="I27" s="8">
        <v>0</v>
      </c>
      <c r="J27" s="10"/>
      <c r="K27" s="8">
        <f>+H27+I27</f>
        <v>0</v>
      </c>
      <c r="L27" s="8">
        <f>+N27-K27</f>
        <v>0</v>
      </c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tr">
        <f>+RS!A33</f>
        <v>Capacity Charge</v>
      </c>
      <c r="D29" s="8">
        <f>'B&amp;A Surcharges'!F21</f>
        <v>2.9099999999999997</v>
      </c>
      <c r="E29" s="8">
        <f>D29</f>
        <v>2.9099999999999997</v>
      </c>
      <c r="F29" s="8">
        <v>0</v>
      </c>
      <c r="G29" s="8">
        <f>+F29</f>
        <v>0</v>
      </c>
      <c r="H29" s="8">
        <f>+G29</f>
        <v>0</v>
      </c>
      <c r="I29" s="10"/>
      <c r="J29" s="10"/>
      <c r="K29" s="8">
        <f>+H29+I29</f>
        <v>0</v>
      </c>
      <c r="L29" s="10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t="str">
        <f>+RS!A35</f>
        <v>Asset Transfer Rider</v>
      </c>
      <c r="D31" s="8">
        <f>+'B&amp;A Surcharges'!N21</f>
        <v>40.850000000000009</v>
      </c>
      <c r="E31" s="8">
        <f>D31</f>
        <v>40.850000000000009</v>
      </c>
      <c r="F31" s="8">
        <f>E31</f>
        <v>40.850000000000009</v>
      </c>
      <c r="G31" s="8">
        <f>+F31</f>
        <v>40.850000000000009</v>
      </c>
      <c r="H31" s="8">
        <f>+G31</f>
        <v>40.850000000000009</v>
      </c>
      <c r="I31" s="8">
        <v>0</v>
      </c>
      <c r="J31" s="10"/>
      <c r="K31" s="8">
        <f>+H31+I31</f>
        <v>40.850000000000009</v>
      </c>
      <c r="L31" s="8">
        <f>+N31-K31</f>
        <v>0</v>
      </c>
      <c r="N31" s="8">
        <f>ROUND(K31*M$21/J$21,2)</f>
        <v>40.85</v>
      </c>
      <c r="O31" s="8">
        <f>+'ATR Adjustment WP'!G21</f>
        <v>13.469488280211056</v>
      </c>
      <c r="P31" s="8">
        <f>+N31+O31</f>
        <v>54.319488280211061</v>
      </c>
    </row>
    <row r="32" spans="1:16">
      <c r="D32" s="8"/>
      <c r="E32" s="8"/>
      <c r="F32" s="8"/>
      <c r="G32" s="8"/>
      <c r="H32" s="8"/>
      <c r="I32" s="10"/>
      <c r="J32" s="10"/>
      <c r="K32" s="8"/>
      <c r="N32" s="8"/>
    </row>
    <row r="33" spans="1:16">
      <c r="A33" t="str">
        <f>+RS!A39</f>
        <v>Total</v>
      </c>
      <c r="D33" s="8">
        <f t="shared" ref="D33:H33" si="1">SUM(D14:D32)</f>
        <v>535.31295999999998</v>
      </c>
      <c r="E33" s="8">
        <f t="shared" si="1"/>
        <v>534.42295999999999</v>
      </c>
      <c r="F33" s="8">
        <f t="shared" si="1"/>
        <v>531.51296000000002</v>
      </c>
      <c r="G33" s="8">
        <f t="shared" si="1"/>
        <v>534.13296000000003</v>
      </c>
      <c r="H33" s="8">
        <f t="shared" si="1"/>
        <v>528.21295999999995</v>
      </c>
      <c r="I33" s="10"/>
      <c r="J33" s="10"/>
      <c r="K33" s="8">
        <f>SUM(K14:K32)</f>
        <v>528.21295999999995</v>
      </c>
      <c r="L33" s="10"/>
      <c r="N33" s="8">
        <f>SUM(N14:N32)</f>
        <v>528.21295999999995</v>
      </c>
      <c r="P33" s="8">
        <f>SUM(P14:P32)</f>
        <v>541.68244828021102</v>
      </c>
    </row>
  </sheetData>
  <phoneticPr fontId="0" type="noConversion"/>
  <printOptions horizontalCentered="1"/>
  <pageMargins left="0.25" right="0.25" top="0.75" bottom="0.75" header="0.3" footer="0.3"/>
  <pageSetup scale="7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A28" sqref="A28:XFD29"/>
    </sheetView>
  </sheetViews>
  <sheetFormatPr defaultRowHeight="12.75"/>
  <cols>
    <col min="1" max="1" width="22.85546875" customWidth="1"/>
    <col min="2" max="2" width="11.28515625" bestFit="1" customWidth="1"/>
    <col min="3" max="3" width="8.5703125" bestFit="1" customWidth="1"/>
    <col min="4" max="4" width="9.5703125" bestFit="1" customWidth="1"/>
    <col min="5" max="5" width="12.7109375" bestFit="1" customWidth="1"/>
    <col min="6" max="6" width="14.85546875" bestFit="1" customWidth="1"/>
    <col min="7" max="7" width="9.42578125" bestFit="1" customWidth="1"/>
    <col min="8" max="8" width="14.42578125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151</v>
      </c>
    </row>
    <row r="6" spans="1:16">
      <c r="E6" s="37" t="s">
        <v>6</v>
      </c>
      <c r="F6" s="37" t="s">
        <v>6</v>
      </c>
      <c r="G6" s="37" t="str">
        <f>RS!H6</f>
        <v>Revenue</v>
      </c>
      <c r="H6" s="37" t="s">
        <v>6</v>
      </c>
      <c r="O6" s="37" t="str">
        <f>+RS!S6</f>
        <v>Asset Transfer</v>
      </c>
      <c r="P6" s="37"/>
    </row>
    <row r="7" spans="1:16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37" t="str">
        <f>RS!H7</f>
        <v>Excl. Env.</v>
      </c>
      <c r="H7" s="1" t="s">
        <v>245</v>
      </c>
      <c r="I7" s="1" t="s">
        <v>197</v>
      </c>
      <c r="J7" s="1" t="s">
        <v>197</v>
      </c>
      <c r="K7" s="1" t="s">
        <v>201</v>
      </c>
      <c r="L7" s="1" t="s">
        <v>231</v>
      </c>
      <c r="M7" s="1" t="s">
        <v>232</v>
      </c>
      <c r="N7" s="1" t="s">
        <v>233</v>
      </c>
      <c r="O7" s="1" t="str">
        <f>+RS!S7</f>
        <v>Rider</v>
      </c>
      <c r="P7" s="1" t="str">
        <f>+RS!T7</f>
        <v>Revised</v>
      </c>
    </row>
    <row r="8" spans="1:16">
      <c r="A8" s="3" t="s">
        <v>1</v>
      </c>
      <c r="B8" s="3" t="s">
        <v>18</v>
      </c>
      <c r="C8" s="3" t="s">
        <v>5</v>
      </c>
      <c r="D8" s="3" t="s">
        <v>6</v>
      </c>
      <c r="E8" s="3" t="s">
        <v>205</v>
      </c>
      <c r="F8" s="3" t="s">
        <v>271</v>
      </c>
      <c r="G8" s="3" t="str">
        <f>RS!H8</f>
        <v>Surcharge</v>
      </c>
      <c r="H8" s="3" t="s">
        <v>246</v>
      </c>
      <c r="I8" s="3" t="s">
        <v>198</v>
      </c>
      <c r="J8" s="3" t="s">
        <v>18</v>
      </c>
      <c r="K8" s="3" t="s">
        <v>6</v>
      </c>
      <c r="L8" s="3" t="s">
        <v>198</v>
      </c>
      <c r="M8" s="3" t="s">
        <v>18</v>
      </c>
      <c r="N8" s="3" t="s">
        <v>6</v>
      </c>
      <c r="O8" s="3" t="str">
        <f>+RS!S8</f>
        <v>Adjustment</v>
      </c>
      <c r="P8" s="3" t="str">
        <f>+RS!T8</f>
        <v>Revenue</v>
      </c>
    </row>
    <row r="9" spans="1:16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1" t="s">
        <v>199</v>
      </c>
      <c r="I9" s="1" t="s">
        <v>226</v>
      </c>
      <c r="J9" s="96" t="s">
        <v>379</v>
      </c>
      <c r="K9" s="96" t="s">
        <v>380</v>
      </c>
      <c r="L9" s="98" t="s">
        <v>381</v>
      </c>
      <c r="M9" s="98" t="s">
        <v>382</v>
      </c>
      <c r="N9" s="98" t="s">
        <v>383</v>
      </c>
      <c r="O9" s="98" t="s">
        <v>371</v>
      </c>
      <c r="P9" s="96" t="s">
        <v>412</v>
      </c>
    </row>
    <row r="10" spans="1:16">
      <c r="H10" s="39">
        <f>RS!$I$10</f>
        <v>2.0411219651722302E-3</v>
      </c>
    </row>
    <row r="11" spans="1:16">
      <c r="D11" s="10"/>
      <c r="E11" s="11"/>
      <c r="F11" s="11"/>
      <c r="G11" s="11"/>
      <c r="H11" s="11"/>
    </row>
    <row r="12" spans="1:16">
      <c r="A12" s="4" t="s">
        <v>22</v>
      </c>
      <c r="D12" s="10"/>
      <c r="E12" s="11"/>
      <c r="F12" s="11"/>
      <c r="G12" s="11"/>
      <c r="H12" s="11"/>
      <c r="L12" s="6"/>
      <c r="N12" s="10"/>
    </row>
    <row r="13" spans="1:16">
      <c r="A13" t="s">
        <v>109</v>
      </c>
      <c r="B13" s="74">
        <v>2694734</v>
      </c>
      <c r="C13" s="71">
        <f>+SGS!C13</f>
        <v>0.13159999999999999</v>
      </c>
      <c r="D13" s="8">
        <f>+B13*C13</f>
        <v>354626.99439999997</v>
      </c>
      <c r="E13" s="8">
        <f>D13</f>
        <v>354626.99439999997</v>
      </c>
      <c r="F13" s="8">
        <f>E13</f>
        <v>354626.99439999997</v>
      </c>
      <c r="G13" s="8">
        <f>+F13</f>
        <v>354626.99439999997</v>
      </c>
      <c r="H13" s="8">
        <f t="shared" ref="H13:H14" si="0">+G13</f>
        <v>354626.99439999997</v>
      </c>
      <c r="I13" s="74">
        <v>0</v>
      </c>
      <c r="J13" s="6">
        <f>+B13+I13</f>
        <v>2694734</v>
      </c>
      <c r="K13" s="8">
        <f>+C13*J13</f>
        <v>354626.99439999997</v>
      </c>
      <c r="L13" s="6">
        <f>M13-J13</f>
        <v>15473</v>
      </c>
      <c r="M13" s="6">
        <f>ROUND(J13*M$20/J$20,0)+1</f>
        <v>2710207</v>
      </c>
      <c r="N13" s="8">
        <f>+M13*C13</f>
        <v>356663.24119999999</v>
      </c>
      <c r="P13" s="8">
        <f>+N13+O13</f>
        <v>356663.24119999999</v>
      </c>
    </row>
    <row r="14" spans="1:16">
      <c r="A14" t="s">
        <v>110</v>
      </c>
      <c r="B14" s="74">
        <v>1266530</v>
      </c>
      <c r="C14" s="71">
        <f>+SGS!C14</f>
        <v>7.1160000000000001E-2</v>
      </c>
      <c r="D14" s="8">
        <f>+B14*C14</f>
        <v>90126.274799999999</v>
      </c>
      <c r="E14" s="8">
        <f>D14</f>
        <v>90126.274799999999</v>
      </c>
      <c r="F14" s="8">
        <f>E14</f>
        <v>90126.274799999999</v>
      </c>
      <c r="G14" s="8">
        <f>+F14</f>
        <v>90126.274799999999</v>
      </c>
      <c r="H14" s="8">
        <f t="shared" si="0"/>
        <v>90126.274799999999</v>
      </c>
      <c r="I14" s="74">
        <v>0</v>
      </c>
      <c r="J14" s="6">
        <f>+B14+I14</f>
        <v>1266530</v>
      </c>
      <c r="K14" s="8">
        <f>+C14*J14</f>
        <v>90126.274799999999</v>
      </c>
      <c r="L14" s="6">
        <f>M14-J14</f>
        <v>7271</v>
      </c>
      <c r="M14" s="6">
        <f>ROUND(J14*M$20/J$20,0)-1</f>
        <v>1273801</v>
      </c>
      <c r="N14" s="8">
        <f>+M14*C14</f>
        <v>90643.67916</v>
      </c>
      <c r="P14" s="8">
        <f>+N14+O14</f>
        <v>90643.67916</v>
      </c>
    </row>
    <row r="15" spans="1:16">
      <c r="B15" s="6"/>
      <c r="D15" s="8"/>
      <c r="E15" s="8"/>
      <c r="F15" s="8"/>
      <c r="G15" s="8"/>
      <c r="H15" s="8"/>
      <c r="I15" s="6"/>
      <c r="K15" s="8"/>
      <c r="N15" s="8"/>
    </row>
    <row r="16" spans="1:16">
      <c r="A16" t="s">
        <v>12</v>
      </c>
      <c r="B16" s="6">
        <f>+'12 Months TS'!E55</f>
        <v>3961264</v>
      </c>
      <c r="D16" s="8"/>
      <c r="E16" s="8"/>
      <c r="F16" s="8"/>
      <c r="G16" s="8"/>
      <c r="H16" s="8"/>
      <c r="I16" s="6">
        <f>SUM(I13:I15)</f>
        <v>0</v>
      </c>
      <c r="J16" s="6">
        <f>+B16+I16</f>
        <v>3961264</v>
      </c>
      <c r="K16" s="8"/>
      <c r="L16" s="6">
        <f>M16-J16</f>
        <v>22744</v>
      </c>
      <c r="M16" s="6">
        <f>ROUND(J16*M$20/J$20,0)</f>
        <v>3984008</v>
      </c>
      <c r="N16" s="8">
        <f>+M16*C16</f>
        <v>0</v>
      </c>
      <c r="P16" s="8">
        <f>+N16+O16</f>
        <v>0</v>
      </c>
    </row>
    <row r="17" spans="1:16">
      <c r="B17" s="6"/>
      <c r="D17" s="8"/>
      <c r="E17" s="8"/>
      <c r="F17" s="8"/>
      <c r="G17" s="8"/>
      <c r="H17" s="8"/>
      <c r="I17" s="6"/>
      <c r="K17" s="8"/>
      <c r="N17" s="8"/>
    </row>
    <row r="18" spans="1:16">
      <c r="A18" t="s">
        <v>13</v>
      </c>
      <c r="B18" s="84">
        <v>17494.038</v>
      </c>
      <c r="C18" s="73">
        <v>7.5</v>
      </c>
      <c r="D18" s="8">
        <f>+B18*C18</f>
        <v>131205.285</v>
      </c>
      <c r="E18" s="8">
        <f>D18</f>
        <v>131205.285</v>
      </c>
      <c r="F18" s="8">
        <f>E18</f>
        <v>131205.285</v>
      </c>
      <c r="G18" s="8">
        <f>+F18</f>
        <v>131205.285</v>
      </c>
      <c r="H18" s="8">
        <f>+G18</f>
        <v>131205.285</v>
      </c>
      <c r="I18" s="74">
        <v>0</v>
      </c>
      <c r="J18" s="6">
        <f>+B18+I18</f>
        <v>17494.038</v>
      </c>
      <c r="K18" s="8">
        <f>+C18*J18</f>
        <v>131205.285</v>
      </c>
      <c r="L18" s="6">
        <f>M18-J18</f>
        <v>99.961999999999534</v>
      </c>
      <c r="M18" s="6">
        <f>ROUND(J18*M$20/J$20,0)</f>
        <v>17594</v>
      </c>
      <c r="N18" s="8">
        <f>+M18*C18</f>
        <v>131955</v>
      </c>
      <c r="P18" s="8">
        <f>+N18+O18</f>
        <v>131955</v>
      </c>
    </row>
    <row r="19" spans="1:16">
      <c r="D19" s="8"/>
      <c r="E19" s="8"/>
      <c r="F19" s="8"/>
      <c r="G19" s="8"/>
      <c r="H19" s="8"/>
      <c r="I19" s="6"/>
      <c r="K19" s="8"/>
      <c r="N19" s="8"/>
    </row>
    <row r="20" spans="1:16">
      <c r="A20" t="s">
        <v>14</v>
      </c>
      <c r="B20" s="6">
        <f>'Monthly # of Customers'!N37</f>
        <v>13411</v>
      </c>
      <c r="D20" s="8"/>
      <c r="E20" s="8"/>
      <c r="F20" s="8"/>
      <c r="G20" s="8"/>
      <c r="H20" s="8"/>
      <c r="I20" s="74">
        <v>0</v>
      </c>
      <c r="J20" s="6">
        <f>+B20+I20</f>
        <v>13411</v>
      </c>
      <c r="K20" s="8"/>
      <c r="L20" s="6">
        <f>M20-J20</f>
        <v>77</v>
      </c>
      <c r="M20" s="6">
        <f>+'Monthly # of Customers'!M37*12</f>
        <v>13488</v>
      </c>
      <c r="N20" s="8">
        <f>+M20*C20</f>
        <v>0</v>
      </c>
      <c r="P20" s="8">
        <f>+N20+O20</f>
        <v>0</v>
      </c>
    </row>
    <row r="21" spans="1:16">
      <c r="B21" s="6"/>
      <c r="D21" s="8"/>
      <c r="E21" s="8"/>
      <c r="F21" s="8"/>
      <c r="G21" s="8"/>
      <c r="H21" s="8"/>
      <c r="K21" s="8"/>
      <c r="N21" s="8"/>
    </row>
    <row r="22" spans="1:16">
      <c r="A22" t="str">
        <f>+RS!A27</f>
        <v xml:space="preserve">Fuel </v>
      </c>
      <c r="D22" s="8">
        <f>+'B&amp;A Surcharges'!B23</f>
        <v>12585.849999999999</v>
      </c>
      <c r="E22" s="8">
        <f>D22</f>
        <v>12585.849999999999</v>
      </c>
      <c r="F22" s="8">
        <f>E22</f>
        <v>12585.849999999999</v>
      </c>
      <c r="G22" s="8">
        <f>+F22</f>
        <v>12585.849999999999</v>
      </c>
      <c r="H22" s="8">
        <f>ROUND(B16*H10,2)</f>
        <v>8085.42</v>
      </c>
      <c r="I22" s="8">
        <f>ROUND(I16*H10,2)</f>
        <v>0</v>
      </c>
      <c r="J22" s="10"/>
      <c r="K22" s="8">
        <f>+H22+I22</f>
        <v>8085.42</v>
      </c>
      <c r="L22" s="8">
        <f>+N22-K22</f>
        <v>46.430000000000291</v>
      </c>
      <c r="M22" s="10"/>
      <c r="N22" s="8">
        <f>ROUND(H10*M16,2)</f>
        <v>8131.85</v>
      </c>
      <c r="P22" s="8">
        <f>+N22+O22</f>
        <v>8131.85</v>
      </c>
    </row>
    <row r="23" spans="1:16">
      <c r="D23" s="8"/>
      <c r="E23" s="8"/>
      <c r="F23" s="8"/>
      <c r="G23" s="8"/>
      <c r="H23" s="8"/>
      <c r="I23" s="8"/>
      <c r="J23" s="10"/>
      <c r="K23" s="8"/>
      <c r="L23" s="8"/>
      <c r="M23" s="10"/>
      <c r="N23" s="8"/>
    </row>
    <row r="24" spans="1:16">
      <c r="A24" t="str">
        <f>+RS!A29</f>
        <v>System Sales Clause</v>
      </c>
      <c r="D24" s="8">
        <f>+'B&amp;A Surcharges'!D23</f>
        <v>1441.76</v>
      </c>
      <c r="E24" s="8">
        <v>0</v>
      </c>
      <c r="F24" s="8">
        <f>E24</f>
        <v>0</v>
      </c>
      <c r="G24" s="8">
        <f>+F24</f>
        <v>0</v>
      </c>
      <c r="H24" s="8">
        <f>+G24</f>
        <v>0</v>
      </c>
      <c r="I24" s="8"/>
      <c r="J24" s="10"/>
      <c r="K24" s="8">
        <f>+H24+I24</f>
        <v>0</v>
      </c>
      <c r="L24" s="8"/>
      <c r="M24" s="10"/>
      <c r="N24" s="8">
        <f>ROUND(K24*M$20/J$20,2)</f>
        <v>0</v>
      </c>
      <c r="P24" s="8">
        <f>+N24+O24</f>
        <v>0</v>
      </c>
    </row>
    <row r="25" spans="1:16">
      <c r="D25" s="8"/>
      <c r="E25" s="8"/>
      <c r="F25" s="8"/>
      <c r="G25" s="8"/>
      <c r="H25" s="8"/>
      <c r="I25" s="8"/>
      <c r="J25" s="10"/>
      <c r="K25" s="8"/>
      <c r="L25" s="8"/>
      <c r="M25" s="10"/>
      <c r="N25" s="8"/>
    </row>
    <row r="26" spans="1:16">
      <c r="A26" t="str">
        <f>+RS!A31</f>
        <v>Environmental Surcharge</v>
      </c>
      <c r="D26" s="8">
        <f>+'B&amp;A Surcharges'!J23</f>
        <v>-3263.83</v>
      </c>
      <c r="E26" s="8">
        <f>D26</f>
        <v>-3263.83</v>
      </c>
      <c r="F26" s="8">
        <f>E26</f>
        <v>-3263.83</v>
      </c>
      <c r="G26" s="8">
        <v>0</v>
      </c>
      <c r="H26" s="8">
        <f>+G26</f>
        <v>0</v>
      </c>
      <c r="I26" s="95">
        <v>0</v>
      </c>
      <c r="J26" s="10"/>
      <c r="K26" s="8">
        <f>+H26+I26</f>
        <v>0</v>
      </c>
      <c r="L26" s="8">
        <f>+N26-K26</f>
        <v>0</v>
      </c>
      <c r="M26" s="10"/>
      <c r="N26" s="8">
        <f>ROUND(K26*M$20/J$20,2)</f>
        <v>0</v>
      </c>
      <c r="P26" s="8">
        <f>+N26+O26</f>
        <v>0</v>
      </c>
    </row>
    <row r="27" spans="1:16">
      <c r="D27" s="8"/>
      <c r="E27" s="8"/>
      <c r="F27" s="8"/>
      <c r="G27" s="8"/>
      <c r="H27" s="8"/>
      <c r="I27" s="8"/>
      <c r="J27" s="10"/>
      <c r="K27" s="8"/>
      <c r="L27" s="8"/>
      <c r="M27" s="10"/>
      <c r="N27" s="8"/>
    </row>
    <row r="28" spans="1:16">
      <c r="A28" t="str">
        <f>+RS!A33</f>
        <v>Capacity Charge</v>
      </c>
      <c r="D28" s="8">
        <f>+'B&amp;A Surcharges'!F23</f>
        <v>3842.42</v>
      </c>
      <c r="E28" s="8">
        <f>D28</f>
        <v>3842.42</v>
      </c>
      <c r="F28" s="8">
        <v>0</v>
      </c>
      <c r="G28" s="8">
        <f>+F28</f>
        <v>0</v>
      </c>
      <c r="H28" s="8">
        <f>+G28</f>
        <v>0</v>
      </c>
      <c r="I28" s="10"/>
      <c r="J28" s="10"/>
      <c r="K28" s="8">
        <f>+H28+I28</f>
        <v>0</v>
      </c>
      <c r="L28" s="10"/>
      <c r="M28" s="10"/>
      <c r="N28" s="8">
        <f>ROUND(K28*M$20/J$20,2)</f>
        <v>0</v>
      </c>
      <c r="P28" s="8">
        <f>+N28+O28</f>
        <v>0</v>
      </c>
    </row>
    <row r="29" spans="1:16">
      <c r="D29" s="8"/>
      <c r="E29" s="8"/>
      <c r="F29" s="8"/>
      <c r="G29" s="8"/>
      <c r="H29" s="8"/>
      <c r="I29" s="10"/>
      <c r="J29" s="10"/>
      <c r="K29" s="8"/>
      <c r="L29" s="10"/>
      <c r="M29" s="10"/>
      <c r="N29" s="8"/>
    </row>
    <row r="30" spans="1:16">
      <c r="A30" t="str">
        <f>+RS!A35</f>
        <v>Asset Transfer Rider</v>
      </c>
      <c r="D30" s="8">
        <f>+'B&amp;A Surcharges'!N23</f>
        <v>45803.55</v>
      </c>
      <c r="E30" s="8">
        <f>D30</f>
        <v>45803.55</v>
      </c>
      <c r="F30" s="8">
        <f>E30</f>
        <v>45803.55</v>
      </c>
      <c r="G30" s="8">
        <f>+F30</f>
        <v>45803.55</v>
      </c>
      <c r="H30" s="8">
        <f>+G30</f>
        <v>45803.55</v>
      </c>
      <c r="I30" s="95"/>
      <c r="J30" s="10"/>
      <c r="K30" s="8">
        <f>+H30+I30</f>
        <v>45803.55</v>
      </c>
      <c r="L30" s="8">
        <f>+N30-K30</f>
        <v>262.97999999999593</v>
      </c>
      <c r="M30" s="10"/>
      <c r="N30" s="8">
        <f>ROUND(K30*M$20/J$20,2)</f>
        <v>46066.53</v>
      </c>
      <c r="O30" s="8">
        <f>+'ATR Adjustment WP'!G23</f>
        <v>15189.536987637477</v>
      </c>
      <c r="P30" s="8">
        <f>+N30+O30</f>
        <v>61256.066987637474</v>
      </c>
    </row>
    <row r="31" spans="1:16">
      <c r="D31" s="8"/>
      <c r="E31" s="8"/>
      <c r="F31" s="8"/>
      <c r="G31" s="8"/>
      <c r="H31" s="8"/>
      <c r="I31" s="10"/>
      <c r="J31" s="10"/>
      <c r="K31" s="8"/>
      <c r="L31" s="10"/>
      <c r="M31" s="10"/>
      <c r="N31" s="8"/>
    </row>
    <row r="32" spans="1:16">
      <c r="A32" t="str">
        <f>+RS!A39</f>
        <v>Total</v>
      </c>
      <c r="D32" s="8">
        <f t="shared" ref="D32:H32" si="1">SUM(D13:D31)</f>
        <v>636368.30420000013</v>
      </c>
      <c r="E32" s="8">
        <f t="shared" si="1"/>
        <v>634926.54420000012</v>
      </c>
      <c r="F32" s="8">
        <f t="shared" si="1"/>
        <v>631084.12420000008</v>
      </c>
      <c r="G32" s="8">
        <f t="shared" si="1"/>
        <v>634347.95420000004</v>
      </c>
      <c r="H32" s="8">
        <f t="shared" si="1"/>
        <v>629847.5242000001</v>
      </c>
      <c r="I32" s="10"/>
      <c r="J32" s="10"/>
      <c r="K32" s="8">
        <f>SUM(K13:K31)</f>
        <v>629847.5242000001</v>
      </c>
      <c r="L32" s="10"/>
      <c r="M32" s="10"/>
      <c r="N32" s="8">
        <f>SUM(N13:N31)</f>
        <v>633460.30035999999</v>
      </c>
      <c r="P32" s="8">
        <f>SUM(P13:P31)</f>
        <v>648649.8373476374</v>
      </c>
    </row>
    <row r="34" spans="4:4">
      <c r="D34" s="8"/>
    </row>
  </sheetData>
  <phoneticPr fontId="0" type="noConversion"/>
  <printOptions horizontalCentered="1"/>
  <pageMargins left="0.25" right="0.25" top="0.75" bottom="0.75" header="0.3" footer="0.3"/>
  <pageSetup scale="7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A29" sqref="A29:XFD30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5" width="12.7109375" customWidth="1"/>
    <col min="6" max="6" width="14.85546875" bestFit="1" customWidth="1"/>
    <col min="7" max="7" width="9.42578125" bestFit="1" customWidth="1"/>
    <col min="8" max="8" width="14.42578125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341</v>
      </c>
    </row>
    <row r="6" spans="1:16">
      <c r="E6" s="37" t="s">
        <v>6</v>
      </c>
      <c r="F6" s="37" t="s">
        <v>6</v>
      </c>
      <c r="G6" s="37" t="str">
        <f>RS!H6</f>
        <v>Revenue</v>
      </c>
      <c r="H6" s="37" t="s">
        <v>6</v>
      </c>
      <c r="O6" s="37" t="str">
        <f>+RS!S6</f>
        <v>Asset Transfer</v>
      </c>
      <c r="P6" s="37"/>
    </row>
    <row r="7" spans="1:16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37" t="str">
        <f>RS!H7</f>
        <v>Excl. Env.</v>
      </c>
      <c r="H7" s="1" t="s">
        <v>245</v>
      </c>
      <c r="I7" s="1" t="s">
        <v>197</v>
      </c>
      <c r="J7" s="1" t="s">
        <v>197</v>
      </c>
      <c r="K7" s="1" t="s">
        <v>201</v>
      </c>
      <c r="L7" s="1" t="s">
        <v>231</v>
      </c>
      <c r="M7" s="1" t="s">
        <v>232</v>
      </c>
      <c r="N7" s="1" t="s">
        <v>233</v>
      </c>
      <c r="O7" s="1" t="str">
        <f>+RS!S7</f>
        <v>Rider</v>
      </c>
      <c r="P7" s="1" t="str">
        <f>+RS!T7</f>
        <v>Revised</v>
      </c>
    </row>
    <row r="8" spans="1:16">
      <c r="A8" s="3" t="s">
        <v>1</v>
      </c>
      <c r="B8" s="3" t="s">
        <v>18</v>
      </c>
      <c r="C8" s="3" t="s">
        <v>5</v>
      </c>
      <c r="D8" s="3" t="s">
        <v>6</v>
      </c>
      <c r="E8" s="3" t="s">
        <v>205</v>
      </c>
      <c r="F8" s="3" t="s">
        <v>271</v>
      </c>
      <c r="G8" s="3" t="str">
        <f>RS!H8</f>
        <v>Surcharge</v>
      </c>
      <c r="H8" s="3" t="s">
        <v>246</v>
      </c>
      <c r="I8" s="3" t="s">
        <v>198</v>
      </c>
      <c r="J8" s="3" t="s">
        <v>18</v>
      </c>
      <c r="K8" s="3" t="s">
        <v>6</v>
      </c>
      <c r="L8" s="3" t="s">
        <v>198</v>
      </c>
      <c r="M8" s="3" t="s">
        <v>18</v>
      </c>
      <c r="N8" s="3" t="s">
        <v>6</v>
      </c>
      <c r="O8" s="3" t="str">
        <f>+RS!S8</f>
        <v>Adjustment</v>
      </c>
      <c r="P8" s="3" t="str">
        <f>+RS!T8</f>
        <v>Revenue</v>
      </c>
    </row>
    <row r="9" spans="1:16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1" t="s">
        <v>199</v>
      </c>
      <c r="I9" s="1" t="s">
        <v>226</v>
      </c>
      <c r="J9" s="96" t="s">
        <v>379</v>
      </c>
      <c r="K9" s="96" t="s">
        <v>380</v>
      </c>
      <c r="L9" s="98" t="s">
        <v>381</v>
      </c>
      <c r="M9" s="98" t="s">
        <v>382</v>
      </c>
      <c r="N9" s="98" t="s">
        <v>383</v>
      </c>
      <c r="O9" s="98" t="s">
        <v>371</v>
      </c>
      <c r="P9" s="96" t="s">
        <v>412</v>
      </c>
    </row>
    <row r="10" spans="1:16">
      <c r="H10" s="39">
        <f>RS!$I$10</f>
        <v>2.0411219651722302E-3</v>
      </c>
    </row>
    <row r="11" spans="1:16">
      <c r="E11" s="11"/>
      <c r="F11" s="11"/>
      <c r="G11" s="11"/>
      <c r="H11" s="11"/>
    </row>
    <row r="12" spans="1:16">
      <c r="A12" s="4" t="s">
        <v>22</v>
      </c>
      <c r="E12" s="11"/>
      <c r="F12" s="11"/>
      <c r="G12" s="11"/>
      <c r="H12" s="11"/>
      <c r="L12" s="6"/>
      <c r="N12" s="10"/>
    </row>
    <row r="13" spans="1:16">
      <c r="A13" t="s">
        <v>342</v>
      </c>
      <c r="B13" s="74">
        <v>23932</v>
      </c>
      <c r="C13" s="71">
        <v>0.13538</v>
      </c>
      <c r="D13" s="8">
        <f>+B13*C13</f>
        <v>3239.9141599999998</v>
      </c>
      <c r="E13" s="8">
        <f t="shared" ref="E13:F15" si="0">D13</f>
        <v>3239.9141599999998</v>
      </c>
      <c r="F13" s="8">
        <f t="shared" si="0"/>
        <v>3239.9141599999998</v>
      </c>
      <c r="G13" s="8">
        <f>+F13</f>
        <v>3239.9141599999998</v>
      </c>
      <c r="H13" s="8">
        <f t="shared" ref="H13:H15" si="1">+G13</f>
        <v>3239.9141599999998</v>
      </c>
      <c r="I13" s="74"/>
      <c r="J13" s="6">
        <f>+B13+I13</f>
        <v>23932</v>
      </c>
      <c r="K13" s="8">
        <f>+C13*J13</f>
        <v>3239.9141599999998</v>
      </c>
      <c r="L13" s="6">
        <f>M13-J13</f>
        <v>-285</v>
      </c>
      <c r="M13" s="6">
        <f>ROUND(J13*M$21/J$21,0)</f>
        <v>23647</v>
      </c>
      <c r="N13" s="8">
        <f>+M13*C13</f>
        <v>3201.33086</v>
      </c>
      <c r="P13" s="8">
        <f>+N13+O13</f>
        <v>3201.33086</v>
      </c>
    </row>
    <row r="14" spans="1:16">
      <c r="A14" t="s">
        <v>343</v>
      </c>
      <c r="B14" s="74">
        <v>33140</v>
      </c>
      <c r="C14" s="71">
        <v>0.15553</v>
      </c>
      <c r="D14" s="8">
        <f>+B14*C14</f>
        <v>5154.2641999999996</v>
      </c>
      <c r="E14" s="8">
        <f t="shared" si="0"/>
        <v>5154.2641999999996</v>
      </c>
      <c r="F14" s="8">
        <f t="shared" si="0"/>
        <v>5154.2641999999996</v>
      </c>
      <c r="G14" s="8">
        <f t="shared" ref="G14:G15" si="2">+F14</f>
        <v>5154.2641999999996</v>
      </c>
      <c r="H14" s="8">
        <f t="shared" si="1"/>
        <v>5154.2641999999996</v>
      </c>
      <c r="I14" s="74"/>
      <c r="J14" s="6">
        <f>+B14+I14</f>
        <v>33140</v>
      </c>
      <c r="K14" s="8">
        <f>+C14*J14</f>
        <v>5154.2641999999996</v>
      </c>
      <c r="L14" s="6">
        <f>M14-J14</f>
        <v>-395</v>
      </c>
      <c r="M14" s="6">
        <f>ROUND(J14*M$21/J$21,0)</f>
        <v>32745</v>
      </c>
      <c r="N14" s="8">
        <f>+M14*C14</f>
        <v>5092.8298500000001</v>
      </c>
      <c r="P14" s="8">
        <f>+N14+O14</f>
        <v>5092.8298500000001</v>
      </c>
    </row>
    <row r="15" spans="1:16">
      <c r="A15" t="s">
        <v>162</v>
      </c>
      <c r="B15" s="74">
        <v>312678</v>
      </c>
      <c r="C15" s="71">
        <v>8.6999999999999994E-2</v>
      </c>
      <c r="D15" s="8">
        <f>+B15*C15</f>
        <v>27202.985999999997</v>
      </c>
      <c r="E15" s="8">
        <f t="shared" si="0"/>
        <v>27202.985999999997</v>
      </c>
      <c r="F15" s="8">
        <f t="shared" si="0"/>
        <v>27202.985999999997</v>
      </c>
      <c r="G15" s="8">
        <f t="shared" si="2"/>
        <v>27202.985999999997</v>
      </c>
      <c r="H15" s="8">
        <f t="shared" si="1"/>
        <v>27202.985999999997</v>
      </c>
      <c r="I15" s="74"/>
      <c r="J15" s="6">
        <f>+B15+I15</f>
        <v>312678</v>
      </c>
      <c r="K15" s="8">
        <f>+C15*J15</f>
        <v>27202.985999999997</v>
      </c>
      <c r="L15" s="6">
        <f>M15-J15</f>
        <v>-3726</v>
      </c>
      <c r="M15" s="6">
        <f>ROUND(J15*M$21/J$21,0)</f>
        <v>308952</v>
      </c>
      <c r="N15" s="8">
        <f>+M15*C15</f>
        <v>26878.823999999997</v>
      </c>
      <c r="P15" s="8">
        <f>+N15+O15</f>
        <v>26878.823999999997</v>
      </c>
    </row>
    <row r="16" spans="1:16">
      <c r="B16" s="6"/>
      <c r="D16" s="8"/>
      <c r="E16" s="8"/>
      <c r="F16" s="8"/>
      <c r="G16" s="8"/>
      <c r="H16" s="8"/>
      <c r="I16" s="6"/>
      <c r="K16" s="8"/>
      <c r="N16" s="8"/>
    </row>
    <row r="17" spans="1:16">
      <c r="A17" t="s">
        <v>12</v>
      </c>
      <c r="B17" s="6">
        <f>+'12 Months TS'!E57</f>
        <v>369750</v>
      </c>
      <c r="D17" s="8"/>
      <c r="E17" s="8"/>
      <c r="F17" s="8"/>
      <c r="G17" s="8"/>
      <c r="H17" s="8"/>
      <c r="I17" s="6">
        <f>SUM(I13:I16)</f>
        <v>0</v>
      </c>
      <c r="J17" s="6">
        <f>+B17+I17</f>
        <v>369750</v>
      </c>
      <c r="K17" s="8"/>
      <c r="L17" s="6">
        <f>M17-J17</f>
        <v>-4407</v>
      </c>
      <c r="M17" s="6">
        <f>ROUND(J17*M$21/J$21,0)</f>
        <v>365343</v>
      </c>
      <c r="N17" s="8"/>
    </row>
    <row r="18" spans="1:16">
      <c r="B18" s="6"/>
      <c r="D18" s="8"/>
      <c r="E18" s="8"/>
      <c r="F18" s="8"/>
      <c r="G18" s="8"/>
      <c r="H18" s="8"/>
      <c r="I18" s="6"/>
      <c r="K18" s="8"/>
      <c r="N18" s="8"/>
    </row>
    <row r="19" spans="1:16">
      <c r="A19" t="s">
        <v>13</v>
      </c>
      <c r="B19" s="77">
        <v>922.96299999999997</v>
      </c>
      <c r="C19" s="73">
        <v>14.95</v>
      </c>
      <c r="D19" s="8">
        <f>+B19*C19</f>
        <v>13798.296849999999</v>
      </c>
      <c r="E19" s="8">
        <f>D19</f>
        <v>13798.296849999999</v>
      </c>
      <c r="F19" s="8">
        <f>E19</f>
        <v>13798.296849999999</v>
      </c>
      <c r="G19" s="8">
        <f t="shared" ref="G19" si="3">+F19</f>
        <v>13798.296849999999</v>
      </c>
      <c r="H19" s="8">
        <f>+G19</f>
        <v>13798.296849999999</v>
      </c>
      <c r="I19" s="74"/>
      <c r="J19" s="6">
        <f>+B19+I19</f>
        <v>922.96299999999997</v>
      </c>
      <c r="K19" s="8">
        <f>+C19*J19</f>
        <v>13798.296849999999</v>
      </c>
      <c r="L19" s="6">
        <f>M19-J19</f>
        <v>-11</v>
      </c>
      <c r="M19" s="6">
        <f>ROUND(J19*M$21/J$21,3)</f>
        <v>911.96299999999997</v>
      </c>
      <c r="N19" s="8">
        <f>+M19*C19</f>
        <v>13633.846849999998</v>
      </c>
      <c r="P19" s="8">
        <f>+N19+O19</f>
        <v>13633.846849999998</v>
      </c>
    </row>
    <row r="20" spans="1:16">
      <c r="D20" s="8"/>
      <c r="E20" s="8"/>
      <c r="F20" s="8"/>
      <c r="G20" s="8"/>
      <c r="H20" s="8"/>
      <c r="I20" s="6"/>
      <c r="K20" s="8"/>
      <c r="N20" s="8"/>
    </row>
    <row r="21" spans="1:16">
      <c r="A21" t="s">
        <v>14</v>
      </c>
      <c r="B21" s="6">
        <f>'Monthly # of Customers'!N39</f>
        <v>923</v>
      </c>
      <c r="D21" s="8"/>
      <c r="E21" s="8"/>
      <c r="F21" s="8"/>
      <c r="G21" s="8"/>
      <c r="H21" s="8"/>
      <c r="I21" s="74"/>
      <c r="J21" s="6">
        <f>+B21+I21</f>
        <v>923</v>
      </c>
      <c r="K21" s="8"/>
      <c r="L21" s="6">
        <f>M21-J21</f>
        <v>-11</v>
      </c>
      <c r="M21" s="6">
        <f>+'Monthly # of Customers'!M39*12</f>
        <v>912</v>
      </c>
      <c r="N21" s="8"/>
    </row>
    <row r="22" spans="1:16">
      <c r="B22" s="6"/>
      <c r="D22" s="8"/>
      <c r="E22" s="8"/>
      <c r="F22" s="8"/>
      <c r="G22" s="8"/>
      <c r="H22" s="8"/>
      <c r="I22" s="6"/>
      <c r="K22" s="8"/>
      <c r="N22" s="8"/>
    </row>
    <row r="23" spans="1:16">
      <c r="A23" t="str">
        <f>+RS!A27</f>
        <v xml:space="preserve">Fuel </v>
      </c>
      <c r="D23" s="8">
        <f>'B&amp;A Surcharges'!B25</f>
        <v>1179.07</v>
      </c>
      <c r="E23" s="8">
        <f>D23</f>
        <v>1179.07</v>
      </c>
      <c r="F23" s="8">
        <f>E23</f>
        <v>1179.07</v>
      </c>
      <c r="G23" s="8">
        <f t="shared" ref="G23" si="4">+F23</f>
        <v>1179.07</v>
      </c>
      <c r="H23" s="8">
        <f>ROUND(B17*H10,2)</f>
        <v>754.7</v>
      </c>
      <c r="I23" s="8">
        <f>ROUND(I17*H10,2)</f>
        <v>0</v>
      </c>
      <c r="J23" s="10"/>
      <c r="K23" s="8">
        <f>+H23+I23</f>
        <v>754.7</v>
      </c>
      <c r="L23" s="8">
        <f>+N23-K23</f>
        <v>-8.9900000000000091</v>
      </c>
      <c r="N23" s="8">
        <f>ROUND(H10*M17,2)</f>
        <v>745.71</v>
      </c>
      <c r="P23" s="8">
        <f>+N23+O23</f>
        <v>745.71</v>
      </c>
    </row>
    <row r="24" spans="1:16">
      <c r="D24" s="8"/>
      <c r="E24" s="8"/>
      <c r="F24" s="8"/>
      <c r="G24" s="8"/>
      <c r="H24" s="8"/>
      <c r="I24" s="8"/>
      <c r="J24" s="10"/>
      <c r="K24" s="8"/>
      <c r="L24" s="8"/>
      <c r="N24" s="8"/>
    </row>
    <row r="25" spans="1:16">
      <c r="A25" t="str">
        <f>+RS!A29</f>
        <v>System Sales Clause</v>
      </c>
      <c r="D25" s="8">
        <f>'B&amp;A Surcharges'!D25</f>
        <v>136.39999999999998</v>
      </c>
      <c r="E25" s="8">
        <v>0</v>
      </c>
      <c r="F25" s="8">
        <f>E25</f>
        <v>0</v>
      </c>
      <c r="G25" s="8">
        <f t="shared" ref="G25:H25" si="5">+F25</f>
        <v>0</v>
      </c>
      <c r="H25" s="8">
        <f t="shared" si="5"/>
        <v>0</v>
      </c>
      <c r="I25" s="8"/>
      <c r="J25" s="10"/>
      <c r="K25" s="8">
        <f>+H25+I25</f>
        <v>0</v>
      </c>
      <c r="L25" s="8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10"/>
      <c r="K26" s="8"/>
      <c r="L26" s="8"/>
      <c r="N26" s="8"/>
    </row>
    <row r="27" spans="1:16">
      <c r="A27" t="str">
        <f>+RS!A31</f>
        <v>Environmental Surcharge</v>
      </c>
      <c r="D27" s="8">
        <f>'B&amp;A Surcharges'!J25</f>
        <v>-283.24</v>
      </c>
      <c r="E27" s="8">
        <f>D27</f>
        <v>-283.24</v>
      </c>
      <c r="F27" s="8">
        <f>E27</f>
        <v>-283.24</v>
      </c>
      <c r="G27" s="8">
        <v>0</v>
      </c>
      <c r="H27" s="8">
        <f t="shared" ref="H27" si="6">+G27</f>
        <v>0</v>
      </c>
      <c r="I27" s="95"/>
      <c r="J27" s="10"/>
      <c r="K27" s="8">
        <f>+H27+I27</f>
        <v>0</v>
      </c>
      <c r="L27" s="8">
        <f>+N27-K27</f>
        <v>0</v>
      </c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">
        <v>271</v>
      </c>
      <c r="D29" s="8">
        <f>'B&amp;A Surcharges'!F25</f>
        <v>358.66</v>
      </c>
      <c r="E29" s="8">
        <f>D29</f>
        <v>358.66</v>
      </c>
      <c r="F29" s="8">
        <v>0</v>
      </c>
      <c r="G29" s="8">
        <f t="shared" ref="G29:H29" si="7">+F29</f>
        <v>0</v>
      </c>
      <c r="H29" s="8">
        <f t="shared" si="7"/>
        <v>0</v>
      </c>
      <c r="I29" s="10"/>
      <c r="J29" s="10"/>
      <c r="K29" s="8">
        <f>+H29+I29</f>
        <v>0</v>
      </c>
      <c r="L29" s="10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s="88" t="s">
        <v>388</v>
      </c>
      <c r="D31" s="8">
        <f>+'B&amp;A Surcharges'!N25</f>
        <v>3925.7699999999995</v>
      </c>
      <c r="E31" s="8">
        <f>D31</f>
        <v>3925.7699999999995</v>
      </c>
      <c r="F31" s="8">
        <f>E31</f>
        <v>3925.7699999999995</v>
      </c>
      <c r="G31" s="8">
        <f t="shared" ref="G31" si="8">+F31</f>
        <v>3925.7699999999995</v>
      </c>
      <c r="H31" s="8">
        <f t="shared" ref="H31" si="9">+G31</f>
        <v>3925.7699999999995</v>
      </c>
      <c r="I31" s="10"/>
      <c r="J31" s="10"/>
      <c r="K31" s="8">
        <f>+H31+I31</f>
        <v>3925.7699999999995</v>
      </c>
      <c r="L31" s="8">
        <f>+N31-K31</f>
        <v>-46.789999999999509</v>
      </c>
      <c r="N31" s="8">
        <f>ROUND(K31*M$21/J$21,2)</f>
        <v>3878.98</v>
      </c>
      <c r="O31" s="8">
        <f>+'ATR Adjustment WP'!G25</f>
        <v>1279.017763749647</v>
      </c>
      <c r="P31" s="8">
        <f>+N31+O31</f>
        <v>5157.9977637496468</v>
      </c>
    </row>
    <row r="32" spans="1:16">
      <c r="D32" s="8"/>
      <c r="E32" s="8"/>
      <c r="F32" s="8"/>
      <c r="G32" s="8"/>
      <c r="H32" s="8"/>
      <c r="I32" s="10"/>
      <c r="J32" s="10"/>
      <c r="K32" s="8"/>
      <c r="N32" s="8"/>
    </row>
    <row r="33" spans="1:16">
      <c r="A33" t="str">
        <f>+RS!A39</f>
        <v>Total</v>
      </c>
      <c r="D33" s="8">
        <f t="shared" ref="D33:H33" si="10">SUM(D13:D32)</f>
        <v>54712.121209999998</v>
      </c>
      <c r="E33" s="8">
        <f t="shared" si="10"/>
        <v>54575.721209999996</v>
      </c>
      <c r="F33" s="8">
        <f t="shared" si="10"/>
        <v>54217.061209999993</v>
      </c>
      <c r="G33" s="8">
        <f t="shared" si="10"/>
        <v>54500.301209999991</v>
      </c>
      <c r="H33" s="8">
        <f t="shared" si="10"/>
        <v>54075.931209999988</v>
      </c>
      <c r="I33" s="10"/>
      <c r="J33" s="10"/>
      <c r="K33" s="8">
        <f>SUM(K13:K32)</f>
        <v>54075.931209999988</v>
      </c>
      <c r="L33" s="10"/>
      <c r="N33" s="8">
        <f>SUM(N13:N32)</f>
        <v>53431.521559999994</v>
      </c>
      <c r="P33" s="8">
        <f>SUM(P13:P32)</f>
        <v>54710.539323749639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A28" sqref="A28:XFD29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5" width="12.7109375" bestFit="1" customWidth="1"/>
    <col min="6" max="6" width="14.85546875" bestFit="1" customWidth="1"/>
    <col min="7" max="7" width="9.42578125" bestFit="1" customWidth="1"/>
    <col min="8" max="8" width="14.42578125" bestFit="1" customWidth="1"/>
    <col min="9" max="9" width="10.42578125" bestFit="1" customWidth="1"/>
    <col min="10" max="10" width="10.7109375" bestFit="1" customWidth="1"/>
    <col min="11" max="11" width="11.710937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108</v>
      </c>
    </row>
    <row r="7" spans="1:16">
      <c r="E7" s="37" t="s">
        <v>6</v>
      </c>
      <c r="F7" s="37" t="s">
        <v>6</v>
      </c>
      <c r="G7" s="37" t="str">
        <f>RS!H6</f>
        <v>Revenue</v>
      </c>
      <c r="H7" s="37" t="s">
        <v>6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244</v>
      </c>
      <c r="F8" s="1" t="s">
        <v>244</v>
      </c>
      <c r="G8" s="37" t="str">
        <f>RS!H7</f>
        <v>Excl. Env.</v>
      </c>
      <c r="H8" s="1" t="s">
        <v>245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205</v>
      </c>
      <c r="F9" s="3" t="s">
        <v>271</v>
      </c>
      <c r="G9" s="3" t="str">
        <f>RS!H8</f>
        <v>Surcharge</v>
      </c>
      <c r="H9" s="3" t="s">
        <v>246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H11" s="39">
        <f>RS!$I$10</f>
        <v>2.0411219651722302E-3</v>
      </c>
      <c r="N11" s="21"/>
    </row>
    <row r="12" spans="1:16">
      <c r="D12" s="10"/>
      <c r="E12" s="11"/>
      <c r="F12" s="11"/>
      <c r="G12" s="11"/>
      <c r="H12" s="11"/>
    </row>
    <row r="13" spans="1:16">
      <c r="A13" t="s">
        <v>20</v>
      </c>
      <c r="B13" s="74">
        <v>1623331</v>
      </c>
      <c r="C13" s="71">
        <v>9.0039999999999995E-2</v>
      </c>
      <c r="D13" s="8">
        <f>+B13*C13</f>
        <v>146164.72323999999</v>
      </c>
      <c r="E13" s="8">
        <f>D13</f>
        <v>146164.72323999999</v>
      </c>
      <c r="F13" s="8">
        <f>E13</f>
        <v>146164.72323999999</v>
      </c>
      <c r="G13" s="8">
        <f>+F13</f>
        <v>146164.72323999999</v>
      </c>
      <c r="H13" s="8">
        <f>+G13</f>
        <v>146164.72323999999</v>
      </c>
      <c r="I13" s="74">
        <v>-87257</v>
      </c>
      <c r="J13" s="6">
        <f>+B13+I13</f>
        <v>1536074</v>
      </c>
      <c r="K13" s="10">
        <f>+C13*J13</f>
        <v>138308.10295999999</v>
      </c>
      <c r="L13" s="6">
        <f>M13-J13</f>
        <v>27067</v>
      </c>
      <c r="M13" s="6">
        <f>ROUND(J13*M$20/J$20,0)</f>
        <v>1563141</v>
      </c>
      <c r="N13" s="8">
        <f>+M13*C13</f>
        <v>140745.21563999998</v>
      </c>
      <c r="P13" s="8">
        <f>+N13+O13</f>
        <v>140745.21563999998</v>
      </c>
    </row>
    <row r="14" spans="1:16">
      <c r="A14" s="88" t="s">
        <v>362</v>
      </c>
      <c r="B14" s="74">
        <v>-857</v>
      </c>
      <c r="C14" s="71"/>
      <c r="D14" s="8"/>
      <c r="E14" s="8"/>
      <c r="F14" s="8"/>
      <c r="G14" s="8"/>
      <c r="H14" s="8"/>
      <c r="I14" s="74">
        <f>-B14</f>
        <v>857</v>
      </c>
      <c r="J14" s="6"/>
      <c r="K14" s="10"/>
      <c r="L14" s="6"/>
      <c r="M14" s="6"/>
      <c r="N14" s="8"/>
    </row>
    <row r="15" spans="1:16">
      <c r="B15" s="6"/>
      <c r="D15" s="8"/>
      <c r="E15" s="8"/>
      <c r="F15" s="8"/>
      <c r="G15" s="8"/>
      <c r="H15" s="8"/>
      <c r="I15" s="6"/>
      <c r="L15" s="6"/>
      <c r="M15" s="6"/>
      <c r="N15" s="8"/>
    </row>
    <row r="16" spans="1:16">
      <c r="A16" t="s">
        <v>12</v>
      </c>
      <c r="B16" s="6">
        <f>+'12 Months TS'!E59</f>
        <v>1622474</v>
      </c>
      <c r="D16" s="8"/>
      <c r="E16" s="8"/>
      <c r="F16" s="8"/>
      <c r="G16" s="8"/>
      <c r="H16" s="8"/>
      <c r="I16" s="6">
        <f>SUM(I13:I15)</f>
        <v>-86400</v>
      </c>
      <c r="J16" s="6">
        <f>+B16+I16</f>
        <v>1536074</v>
      </c>
      <c r="L16" s="6">
        <f>M16-J16</f>
        <v>27067</v>
      </c>
      <c r="M16" s="6">
        <f>ROUND(J16*M$20/J$20,0)</f>
        <v>1563141</v>
      </c>
      <c r="N16" s="8">
        <f>+M16*C16</f>
        <v>0</v>
      </c>
      <c r="P16" s="8">
        <f>+N16+O16</f>
        <v>0</v>
      </c>
    </row>
    <row r="17" spans="1:16">
      <c r="B17" s="6"/>
      <c r="D17" s="8"/>
      <c r="E17" s="8"/>
      <c r="F17" s="8"/>
      <c r="G17" s="8"/>
      <c r="H17" s="8"/>
      <c r="I17" s="6"/>
      <c r="N17" s="8"/>
    </row>
    <row r="18" spans="1:16">
      <c r="A18" t="s">
        <v>13</v>
      </c>
      <c r="B18" s="78">
        <v>909.63800000000003</v>
      </c>
      <c r="C18" s="73">
        <v>13.5</v>
      </c>
      <c r="D18" s="8">
        <f>+B18*C18</f>
        <v>12280.113000000001</v>
      </c>
      <c r="E18" s="8">
        <f>D18</f>
        <v>12280.113000000001</v>
      </c>
      <c r="F18" s="8">
        <f>E18</f>
        <v>12280.113000000001</v>
      </c>
      <c r="G18" s="8">
        <f>+F18</f>
        <v>12280.113000000001</v>
      </c>
      <c r="H18" s="8">
        <f t="shared" ref="H18" si="0">+G18</f>
        <v>12280.113000000001</v>
      </c>
      <c r="I18" s="74">
        <v>-2</v>
      </c>
      <c r="J18" s="11">
        <f>+B18+I18</f>
        <v>907.63800000000003</v>
      </c>
      <c r="K18" s="10">
        <f>+C18*J18</f>
        <v>12253.113000000001</v>
      </c>
      <c r="L18" s="6">
        <f>M18-J18</f>
        <v>16.361999999999966</v>
      </c>
      <c r="M18" s="6">
        <f>ROUND(J18*M$20/J$20,0)</f>
        <v>924</v>
      </c>
      <c r="N18" s="8">
        <f>+M18*C18</f>
        <v>12474</v>
      </c>
      <c r="P18" s="8">
        <f>+N18+O18</f>
        <v>12474</v>
      </c>
    </row>
    <row r="19" spans="1:16">
      <c r="B19" s="38"/>
      <c r="D19" s="8"/>
      <c r="E19" s="8"/>
      <c r="F19" s="8"/>
      <c r="G19" s="8"/>
      <c r="H19" s="8"/>
      <c r="I19" s="6"/>
      <c r="N19" s="8"/>
    </row>
    <row r="20" spans="1:16">
      <c r="A20" t="s">
        <v>14</v>
      </c>
      <c r="B20" s="6">
        <f>'Monthly # of Customers'!N41</f>
        <v>910</v>
      </c>
      <c r="D20" s="8"/>
      <c r="E20" s="8"/>
      <c r="F20" s="8"/>
      <c r="G20" s="8"/>
      <c r="H20" s="8"/>
      <c r="I20" s="74">
        <v>-2</v>
      </c>
      <c r="J20" s="6">
        <f>+B20+I20</f>
        <v>908</v>
      </c>
      <c r="L20" s="6">
        <f>M20-J20</f>
        <v>16</v>
      </c>
      <c r="M20" s="6">
        <f>+'Monthly # of Customers'!M41*12</f>
        <v>924</v>
      </c>
      <c r="N20" s="8">
        <f>+M20*C20</f>
        <v>0</v>
      </c>
      <c r="P20" s="8">
        <f>+N20+O20</f>
        <v>0</v>
      </c>
    </row>
    <row r="21" spans="1:16">
      <c r="B21" s="6"/>
      <c r="D21" s="8"/>
      <c r="E21" s="8"/>
      <c r="F21" s="8"/>
      <c r="G21" s="8"/>
      <c r="H21" s="8"/>
      <c r="I21" s="6"/>
      <c r="N21" s="8"/>
    </row>
    <row r="22" spans="1:16">
      <c r="A22" t="str">
        <f>+RS!A27</f>
        <v xml:space="preserve">Fuel </v>
      </c>
      <c r="B22" s="6"/>
      <c r="D22" s="8">
        <f>+'B&amp;A Surcharges'!B27</f>
        <v>5231.74</v>
      </c>
      <c r="E22" s="8">
        <f>D22</f>
        <v>5231.74</v>
      </c>
      <c r="F22" s="8">
        <f>E22</f>
        <v>5231.74</v>
      </c>
      <c r="G22" s="8">
        <f>+F22</f>
        <v>5231.74</v>
      </c>
      <c r="H22" s="8">
        <f>ROUND(B16*H11,2)</f>
        <v>3311.67</v>
      </c>
      <c r="I22" s="8">
        <f>ROUND(H11*I16,2)</f>
        <v>-176.35</v>
      </c>
      <c r="J22" s="8"/>
      <c r="K22" s="8">
        <f>+H22+I22</f>
        <v>3135.32</v>
      </c>
      <c r="L22" s="8">
        <f>+N22-K22</f>
        <v>55.239999999999782</v>
      </c>
      <c r="N22" s="8">
        <f>ROUND(H11*M16,2)</f>
        <v>3190.56</v>
      </c>
      <c r="P22" s="8">
        <f>+N22+O22</f>
        <v>3190.56</v>
      </c>
    </row>
    <row r="23" spans="1:16">
      <c r="D23" s="8"/>
      <c r="E23" s="8"/>
      <c r="F23" s="8"/>
      <c r="G23" s="8"/>
      <c r="H23" s="8"/>
      <c r="I23" s="8"/>
      <c r="J23" s="8"/>
      <c r="K23" s="8"/>
      <c r="L23" s="8"/>
      <c r="N23" s="8"/>
    </row>
    <row r="24" spans="1:16">
      <c r="A24" t="str">
        <f>+RS!A29</f>
        <v>System Sales Clause</v>
      </c>
      <c r="D24" s="8">
        <f>+'B&amp;A Surcharges'!D27</f>
        <v>587.43000000000006</v>
      </c>
      <c r="E24" s="8">
        <v>0</v>
      </c>
      <c r="F24" s="8">
        <f>E24</f>
        <v>0</v>
      </c>
      <c r="G24" s="8">
        <f>+F24</f>
        <v>0</v>
      </c>
      <c r="H24" s="8">
        <f>+G24</f>
        <v>0</v>
      </c>
      <c r="I24" s="8"/>
      <c r="J24" s="8"/>
      <c r="K24" s="8">
        <f>+H24+I24</f>
        <v>0</v>
      </c>
      <c r="L24" s="8"/>
      <c r="N24" s="8">
        <f>ROUND(K24*M$20/J$20,2)</f>
        <v>0</v>
      </c>
      <c r="P24" s="8">
        <f>+N24+O24</f>
        <v>0</v>
      </c>
    </row>
    <row r="25" spans="1:16">
      <c r="D25" s="8"/>
      <c r="E25" s="8"/>
      <c r="F25" s="8"/>
      <c r="G25" s="8"/>
      <c r="H25" s="8"/>
      <c r="I25" s="8"/>
      <c r="J25" s="8"/>
      <c r="K25" s="8"/>
      <c r="L25" s="8"/>
      <c r="N25" s="8"/>
    </row>
    <row r="26" spans="1:16">
      <c r="A26" t="str">
        <f>+RS!A31</f>
        <v>Environmental Surcharge</v>
      </c>
      <c r="D26" s="8">
        <f>+'B&amp;A Surcharges'!J27</f>
        <v>-893.61</v>
      </c>
      <c r="E26" s="8">
        <f>D26</f>
        <v>-893.61</v>
      </c>
      <c r="F26" s="8">
        <f>E26</f>
        <v>-893.61</v>
      </c>
      <c r="G26" s="8">
        <v>0</v>
      </c>
      <c r="H26" s="8">
        <f>+G26</f>
        <v>0</v>
      </c>
      <c r="I26" s="95">
        <v>0</v>
      </c>
      <c r="J26" s="8"/>
      <c r="K26" s="8">
        <f>+H26+I26</f>
        <v>0</v>
      </c>
      <c r="L26" s="8">
        <f>+N26-K26</f>
        <v>0</v>
      </c>
      <c r="N26" s="8">
        <f>ROUND(K26*M$20/J$20,2)</f>
        <v>0</v>
      </c>
      <c r="P26" s="8">
        <f>+N26+O26</f>
        <v>0</v>
      </c>
    </row>
    <row r="27" spans="1:16">
      <c r="D27" s="8"/>
      <c r="E27" s="8"/>
      <c r="F27" s="8"/>
      <c r="G27" s="8"/>
      <c r="H27" s="8"/>
      <c r="I27" s="8"/>
      <c r="J27" s="8"/>
      <c r="K27" s="8"/>
      <c r="L27" s="8"/>
      <c r="N27" s="8"/>
    </row>
    <row r="28" spans="1:16">
      <c r="A28" t="str">
        <f>RS!A33</f>
        <v>Capacity Charge</v>
      </c>
      <c r="D28" s="8">
        <f>+'B&amp;A Surcharges'!F27</f>
        <v>1573.8099999999997</v>
      </c>
      <c r="E28" s="8">
        <f>D28</f>
        <v>1573.8099999999997</v>
      </c>
      <c r="F28" s="8">
        <v>0</v>
      </c>
      <c r="G28" s="8">
        <f>+F28</f>
        <v>0</v>
      </c>
      <c r="H28" s="8">
        <f>+G28</f>
        <v>0</v>
      </c>
      <c r="I28" s="8"/>
      <c r="J28" s="8"/>
      <c r="K28" s="8">
        <f>+H28+I28</f>
        <v>0</v>
      </c>
      <c r="L28" s="8"/>
      <c r="N28" s="8">
        <f>ROUND(K28*M$20/J$20,2)</f>
        <v>0</v>
      </c>
      <c r="P28" s="8">
        <f>+N28+O28</f>
        <v>0</v>
      </c>
    </row>
    <row r="29" spans="1:16">
      <c r="D29" s="8"/>
      <c r="E29" s="8"/>
      <c r="F29" s="8"/>
      <c r="G29" s="8"/>
      <c r="H29" s="8"/>
      <c r="I29" s="8"/>
      <c r="J29" s="8"/>
      <c r="K29" s="8"/>
      <c r="L29" s="8"/>
      <c r="N29" s="8"/>
    </row>
    <row r="30" spans="1:16">
      <c r="A30" t="str">
        <f>RS!A35</f>
        <v>Asset Transfer Rider</v>
      </c>
      <c r="D30" s="8">
        <f>+'B&amp;A Surcharges'!N27</f>
        <v>11360.15</v>
      </c>
      <c r="E30" s="8">
        <f>D30</f>
        <v>11360.15</v>
      </c>
      <c r="F30" s="8">
        <f>E30</f>
        <v>11360.15</v>
      </c>
      <c r="G30" s="8">
        <f>+F30</f>
        <v>11360.15</v>
      </c>
      <c r="H30" s="8">
        <f>+G30</f>
        <v>11360.15</v>
      </c>
      <c r="I30" s="95">
        <v>-832</v>
      </c>
      <c r="J30" s="8"/>
      <c r="K30" s="8">
        <f>+H30+I30</f>
        <v>10528.15</v>
      </c>
      <c r="L30" s="8">
        <f>+N30-K30</f>
        <v>185.52000000000044</v>
      </c>
      <c r="N30" s="8">
        <f>ROUND(K30*M$20/J$20,2)</f>
        <v>10713.67</v>
      </c>
      <c r="O30" s="8">
        <f>+'ATR Adjustment WP'!G27</f>
        <v>3532.6230722900559</v>
      </c>
      <c r="P30" s="8">
        <f>+N30+O30</f>
        <v>14246.293072290056</v>
      </c>
    </row>
    <row r="31" spans="1:16">
      <c r="D31" s="8"/>
      <c r="E31" s="8"/>
      <c r="F31" s="8"/>
      <c r="G31" s="8"/>
      <c r="H31" s="8"/>
      <c r="I31" s="8"/>
      <c r="J31" s="8"/>
      <c r="K31" s="8"/>
      <c r="L31" s="8"/>
      <c r="N31" s="8"/>
    </row>
    <row r="32" spans="1:16">
      <c r="A32" t="str">
        <f>+RS!A39</f>
        <v>Total</v>
      </c>
      <c r="D32" s="8">
        <f t="shared" ref="D32:H32" si="1">SUM(D13:D31)</f>
        <v>176304.35623999999</v>
      </c>
      <c r="E32" s="8">
        <f t="shared" si="1"/>
        <v>175716.92624</v>
      </c>
      <c r="F32" s="8">
        <f t="shared" si="1"/>
        <v>174143.11624</v>
      </c>
      <c r="G32" s="8">
        <f t="shared" si="1"/>
        <v>175036.72623999999</v>
      </c>
      <c r="H32" s="8">
        <f t="shared" si="1"/>
        <v>173116.65624000001</v>
      </c>
      <c r="I32" s="8"/>
      <c r="J32" s="8"/>
      <c r="K32" s="8">
        <f>SUM(K13:K31)</f>
        <v>164224.68596</v>
      </c>
      <c r="L32" s="8"/>
      <c r="N32" s="8">
        <f>SUM(N13:N31)</f>
        <v>167123.44563999999</v>
      </c>
      <c r="P32" s="8">
        <f>SUM(P13:P31)</f>
        <v>170656.06871229003</v>
      </c>
    </row>
    <row r="34" spans="4:4">
      <c r="D34" s="8"/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D23" sqref="D23"/>
    </sheetView>
  </sheetViews>
  <sheetFormatPr defaultRowHeight="12.75"/>
  <cols>
    <col min="1" max="1" width="28.5703125" customWidth="1"/>
    <col min="2" max="2" width="12" bestFit="1" customWidth="1"/>
    <col min="3" max="3" width="8.5703125" bestFit="1" customWidth="1"/>
    <col min="4" max="6" width="11.7109375" bestFit="1" customWidth="1"/>
    <col min="7" max="7" width="12.5703125" bestFit="1" customWidth="1"/>
    <col min="8" max="8" width="11.7109375" bestFit="1" customWidth="1"/>
    <col min="9" max="9" width="10.42578125" bestFit="1" customWidth="1"/>
    <col min="10" max="11" width="11.710937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107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2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4" t="s">
        <v>22</v>
      </c>
      <c r="D13" s="10"/>
      <c r="E13" s="11"/>
      <c r="F13" s="11"/>
      <c r="G13" s="11"/>
      <c r="H13" s="11"/>
      <c r="N13" s="6"/>
      <c r="P13" s="10"/>
    </row>
    <row r="14" spans="1:18">
      <c r="A14" t="s">
        <v>111</v>
      </c>
      <c r="B14" s="74">
        <v>332455791</v>
      </c>
      <c r="C14" s="71">
        <v>9.8619999999999999E-2</v>
      </c>
      <c r="D14" s="8">
        <f>+B14*C14</f>
        <v>32786790.108419999</v>
      </c>
      <c r="E14" s="8">
        <f>D14</f>
        <v>32786790.108419999</v>
      </c>
      <c r="F14" s="8">
        <f>E14</f>
        <v>32786790.108419999</v>
      </c>
      <c r="G14" s="8">
        <f>+F14</f>
        <v>32786790.108419999</v>
      </c>
      <c r="H14" s="8">
        <f t="shared" ref="H14" si="0">+G14</f>
        <v>32786790.108419999</v>
      </c>
      <c r="I14" s="74">
        <v>199835</v>
      </c>
      <c r="J14" s="6">
        <f>+B14+I14</f>
        <v>332655626</v>
      </c>
      <c r="K14" s="8">
        <f>+C14*J14</f>
        <v>32806497.836119998</v>
      </c>
      <c r="L14" s="74">
        <v>0</v>
      </c>
      <c r="M14" s="6">
        <f>+J14+L14</f>
        <v>332655626</v>
      </c>
      <c r="N14" s="6">
        <f>O14-M14</f>
        <v>1283342</v>
      </c>
      <c r="O14" s="6">
        <f>ROUND(M14*O$25/M$25,0)</f>
        <v>333938968</v>
      </c>
      <c r="P14" s="8">
        <f>+O14*C14</f>
        <v>32933061.024160001</v>
      </c>
      <c r="R14" s="8">
        <f>+P14+Q14</f>
        <v>32933061.024160001</v>
      </c>
    </row>
    <row r="15" spans="1:18">
      <c r="A15" t="s">
        <v>112</v>
      </c>
      <c r="B15" s="74">
        <v>162841088</v>
      </c>
      <c r="C15" s="71">
        <v>8.4599999999999995E-2</v>
      </c>
      <c r="D15" s="8">
        <f>+B15*C15</f>
        <v>13776356.044799998</v>
      </c>
      <c r="E15" s="8">
        <f>D15</f>
        <v>13776356.044799998</v>
      </c>
      <c r="F15" s="8">
        <f>E15</f>
        <v>13776356.044799998</v>
      </c>
      <c r="G15" s="8">
        <f>+F15</f>
        <v>13776356.044799998</v>
      </c>
      <c r="H15" s="8">
        <f t="shared" ref="H15" si="1">+G15</f>
        <v>13776356.044799998</v>
      </c>
      <c r="I15" s="74">
        <v>-612077</v>
      </c>
      <c r="J15" s="6">
        <f>+B15+I15</f>
        <v>162229011</v>
      </c>
      <c r="K15" s="8">
        <f>+C15*J15</f>
        <v>13724574.330599999</v>
      </c>
      <c r="L15" s="74">
        <v>0</v>
      </c>
      <c r="M15" s="6">
        <f>+J15+L15</f>
        <v>162229011</v>
      </c>
      <c r="N15" s="6">
        <f>O15-M15</f>
        <v>625858</v>
      </c>
      <c r="O15" s="6">
        <f t="shared" ref="O15:O16" si="2">ROUND(M15*O$25/M$25,0)</f>
        <v>162854869</v>
      </c>
      <c r="P15" s="8">
        <f>+O15*C15</f>
        <v>13777521.917399999</v>
      </c>
      <c r="R15" s="8">
        <f>+P15+Q15</f>
        <v>13777521.917399999</v>
      </c>
    </row>
    <row r="16" spans="1:18">
      <c r="A16" t="s">
        <v>200</v>
      </c>
      <c r="B16" s="74">
        <v>0</v>
      </c>
      <c r="C16" s="72"/>
      <c r="D16" s="8"/>
      <c r="E16" s="8"/>
      <c r="F16" s="8"/>
      <c r="G16" s="8"/>
      <c r="H16" s="8"/>
      <c r="I16" s="6">
        <v>0</v>
      </c>
      <c r="J16" s="6">
        <f>+B16+I16</f>
        <v>0</v>
      </c>
      <c r="K16" s="8"/>
      <c r="L16" s="74">
        <v>0</v>
      </c>
      <c r="M16" s="6">
        <f>+J16+L16</f>
        <v>0</v>
      </c>
      <c r="N16" s="6">
        <f>O16-M16</f>
        <v>0</v>
      </c>
      <c r="O16" s="6">
        <f t="shared" si="2"/>
        <v>0</v>
      </c>
      <c r="P16" s="8"/>
    </row>
    <row r="17" spans="1:18">
      <c r="A17" t="s">
        <v>12</v>
      </c>
      <c r="B17" s="6">
        <f>+'12 Months TS'!E65</f>
        <v>495296879</v>
      </c>
      <c r="D17" s="8"/>
      <c r="E17" s="8"/>
      <c r="F17" s="8"/>
      <c r="G17" s="8"/>
      <c r="H17" s="8"/>
      <c r="I17" s="6">
        <f>SUM(I14:I16)</f>
        <v>-412242</v>
      </c>
      <c r="J17" s="6">
        <f>+B17+I17</f>
        <v>494884637</v>
      </c>
      <c r="K17" s="8"/>
      <c r="L17" s="74">
        <v>0</v>
      </c>
      <c r="M17" s="6">
        <f>+J17+L17</f>
        <v>494884637</v>
      </c>
      <c r="N17" s="6">
        <f>O17-M17</f>
        <v>1909200</v>
      </c>
      <c r="O17" s="6">
        <f>ROUND(M17*O$25/M$25,0)</f>
        <v>496793837</v>
      </c>
      <c r="P17" s="8"/>
    </row>
    <row r="18" spans="1:18">
      <c r="B18" s="6"/>
      <c r="D18" s="8"/>
      <c r="E18" s="8"/>
      <c r="F18" s="8"/>
      <c r="G18" s="8"/>
      <c r="H18" s="8"/>
      <c r="I18" s="6"/>
      <c r="K18" s="8"/>
      <c r="L18" s="6"/>
      <c r="P18" s="8"/>
    </row>
    <row r="19" spans="1:18">
      <c r="A19" t="s">
        <v>21</v>
      </c>
      <c r="B19" s="6"/>
      <c r="D19" s="8"/>
      <c r="E19" s="8"/>
      <c r="F19" s="8"/>
      <c r="G19" s="8"/>
      <c r="H19" s="8"/>
      <c r="I19" s="6"/>
      <c r="K19" s="8"/>
      <c r="L19" s="6"/>
      <c r="P19" s="8"/>
    </row>
    <row r="20" spans="1:18">
      <c r="A20" t="s">
        <v>106</v>
      </c>
      <c r="B20" s="74">
        <v>2060545.9</v>
      </c>
      <c r="C20" s="73">
        <v>1.64</v>
      </c>
      <c r="D20" s="8">
        <f>+B20*C20</f>
        <v>3379295.2759999996</v>
      </c>
      <c r="E20" s="8">
        <f>D20</f>
        <v>3379295.2759999996</v>
      </c>
      <c r="F20" s="8">
        <f>E20</f>
        <v>3379295.2759999996</v>
      </c>
      <c r="G20" s="8">
        <f>+F20</f>
        <v>3379295.2759999996</v>
      </c>
      <c r="H20" s="8">
        <f t="shared" ref="H20" si="3">+G20</f>
        <v>3379295.2759999996</v>
      </c>
      <c r="I20" s="74">
        <v>7536.9353965010559</v>
      </c>
      <c r="J20" s="6">
        <f>+B20+I20</f>
        <v>2068082.835396501</v>
      </c>
      <c r="K20" s="8">
        <f>+C20*J20</f>
        <v>3391655.8500502612</v>
      </c>
      <c r="L20" s="74">
        <v>-38</v>
      </c>
      <c r="M20" s="6">
        <f>+J20+L20</f>
        <v>2068044.835396501</v>
      </c>
      <c r="N20" s="6">
        <f>O20-M20</f>
        <v>7978.1646034989972</v>
      </c>
      <c r="O20" s="6">
        <f>ROUND(M20*O$25/M$25,0)</f>
        <v>2076023</v>
      </c>
      <c r="P20" s="8">
        <f>+O20*C20</f>
        <v>3404677.7199999997</v>
      </c>
      <c r="R20" s="8">
        <f>+P20+Q20</f>
        <v>3404677.7199999997</v>
      </c>
    </row>
    <row r="21" spans="1:18">
      <c r="A21" t="s">
        <v>160</v>
      </c>
      <c r="B21" s="74">
        <v>0</v>
      </c>
      <c r="C21" s="73">
        <v>6.84</v>
      </c>
      <c r="D21" s="8">
        <f>+B21*C21</f>
        <v>0</v>
      </c>
      <c r="E21" s="8">
        <f>D21</f>
        <v>0</v>
      </c>
      <c r="F21" s="8">
        <f>E21</f>
        <v>0</v>
      </c>
      <c r="G21" s="8">
        <f>+F21</f>
        <v>0</v>
      </c>
      <c r="H21" s="8">
        <f t="shared" ref="H21" si="4">+G21</f>
        <v>0</v>
      </c>
      <c r="I21" s="74">
        <v>0</v>
      </c>
      <c r="J21" s="6">
        <f>+B21+I21</f>
        <v>0</v>
      </c>
      <c r="K21" s="8">
        <f>+C21*J21</f>
        <v>0</v>
      </c>
      <c r="L21" s="74">
        <v>0</v>
      </c>
      <c r="M21" s="6">
        <f>+J21+L21</f>
        <v>0</v>
      </c>
      <c r="N21" s="6">
        <f>O21-M21</f>
        <v>0</v>
      </c>
      <c r="O21" s="6">
        <f>ROUND(J21*O$25/J$25,0)</f>
        <v>0</v>
      </c>
      <c r="P21" s="8">
        <f>+O21*C21</f>
        <v>0</v>
      </c>
      <c r="R21" s="8">
        <f>+P21+Q21</f>
        <v>0</v>
      </c>
    </row>
    <row r="22" spans="1:18">
      <c r="B22" s="6"/>
      <c r="C22" s="24"/>
      <c r="D22" s="8"/>
      <c r="E22" s="8"/>
      <c r="F22" s="8"/>
      <c r="G22" s="8"/>
      <c r="H22" s="8"/>
      <c r="I22" s="6"/>
      <c r="J22" s="10"/>
      <c r="K22" s="8"/>
      <c r="L22" s="6"/>
      <c r="M22" s="10"/>
      <c r="P22" s="8"/>
    </row>
    <row r="23" spans="1:18">
      <c r="A23" t="s">
        <v>13</v>
      </c>
      <c r="B23" s="74">
        <v>84149.641000000003</v>
      </c>
      <c r="C23" s="73">
        <v>13.5</v>
      </c>
      <c r="D23" s="8">
        <f>+B23*C23</f>
        <v>1136020.1535</v>
      </c>
      <c r="E23" s="8">
        <f>D23</f>
        <v>1136020.1535</v>
      </c>
      <c r="F23" s="8">
        <f>E23</f>
        <v>1136020.1535</v>
      </c>
      <c r="G23" s="8">
        <f>+F23</f>
        <v>1136020.1535</v>
      </c>
      <c r="H23" s="8">
        <f t="shared" ref="H23" si="5">+G23</f>
        <v>1136020.1535</v>
      </c>
      <c r="I23" s="74">
        <v>-447.65999999999997</v>
      </c>
      <c r="J23" s="6">
        <f>+B23+I23</f>
        <v>83701.981</v>
      </c>
      <c r="K23" s="8">
        <f>+C23*J23</f>
        <v>1129976.7435000001</v>
      </c>
      <c r="L23" s="74">
        <v>-6.367</v>
      </c>
      <c r="M23" s="6">
        <f>+J23+L23</f>
        <v>83695.614000000001</v>
      </c>
      <c r="N23" s="6">
        <f>O23-M23</f>
        <v>322.3859999999986</v>
      </c>
      <c r="O23" s="6">
        <f>ROUND(J23*O$25/J$25,0)</f>
        <v>84018</v>
      </c>
      <c r="P23" s="8">
        <f>+O23*C23</f>
        <v>1134243</v>
      </c>
      <c r="R23" s="8">
        <f>+P23+Q23</f>
        <v>1134243</v>
      </c>
    </row>
    <row r="24" spans="1:18">
      <c r="B24" s="6"/>
      <c r="D24" s="8"/>
      <c r="E24" s="8"/>
      <c r="F24" s="8"/>
      <c r="G24" s="8"/>
      <c r="H24" s="8"/>
      <c r="I24" s="6"/>
      <c r="K24" s="8"/>
      <c r="L24" s="6"/>
      <c r="P24" s="8"/>
    </row>
    <row r="25" spans="1:18">
      <c r="A25" t="s">
        <v>14</v>
      </c>
      <c r="B25" s="6">
        <f>'Monthly # of Customers'!N46</f>
        <v>84154</v>
      </c>
      <c r="D25" s="8"/>
      <c r="E25" s="8"/>
      <c r="F25" s="8"/>
      <c r="G25" s="8"/>
      <c r="H25" s="8"/>
      <c r="I25" s="74">
        <v>-422</v>
      </c>
      <c r="J25" s="6">
        <f>+B25+I25</f>
        <v>83732</v>
      </c>
      <c r="K25" s="8"/>
      <c r="L25" s="74">
        <v>-7</v>
      </c>
      <c r="M25" s="6">
        <f>+J25+L25</f>
        <v>83725</v>
      </c>
      <c r="N25" s="6">
        <f>O25-M25</f>
        <v>323</v>
      </c>
      <c r="O25" s="6">
        <f>+'Monthly # of Customers'!M46*12</f>
        <v>84048</v>
      </c>
      <c r="P25" s="8"/>
    </row>
    <row r="26" spans="1:18">
      <c r="B26" s="6"/>
      <c r="D26" s="8"/>
      <c r="E26" s="8"/>
      <c r="F26" s="8"/>
      <c r="G26" s="8"/>
      <c r="H26" s="8"/>
      <c r="L26" s="8">
        <f>SUMPRODUCT(L14:L23,C14:C23)</f>
        <v>-148.27449999999999</v>
      </c>
    </row>
    <row r="27" spans="1:18">
      <c r="A27" t="str">
        <f>+RS!A27</f>
        <v xml:space="preserve">Fuel </v>
      </c>
      <c r="B27" s="6"/>
      <c r="D27" s="8">
        <f>+'B&amp;A Surcharges'!B29</f>
        <v>1475698.1</v>
      </c>
      <c r="E27" s="8">
        <f>D27</f>
        <v>1475698.1</v>
      </c>
      <c r="F27" s="8">
        <f>E27</f>
        <v>1475698.1</v>
      </c>
      <c r="G27" s="8">
        <f>+F27</f>
        <v>1475698.1</v>
      </c>
      <c r="H27" s="8">
        <f>ROUND(B17*H11,2)</f>
        <v>1010961.34</v>
      </c>
      <c r="I27" s="8">
        <f>ROUND(H11*I17,2)</f>
        <v>-841.44</v>
      </c>
      <c r="J27" s="8"/>
      <c r="K27" s="8">
        <f>+H27+I27</f>
        <v>1010119.9</v>
      </c>
      <c r="L27" s="8">
        <f>+L17*H11</f>
        <v>0</v>
      </c>
      <c r="M27" s="8"/>
      <c r="N27" s="8">
        <f>O27-M27</f>
        <v>0</v>
      </c>
      <c r="O27" s="8"/>
      <c r="P27" s="8">
        <f>ROUND(O17*H11,2)</f>
        <v>1014016.81</v>
      </c>
      <c r="R27" s="8">
        <f>+P27+Q27</f>
        <v>1014016.81</v>
      </c>
    </row>
    <row r="28" spans="1:18">
      <c r="B28" s="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8">
      <c r="A29" t="str">
        <f>+RS!A29</f>
        <v>System Sales Clause</v>
      </c>
      <c r="B29" s="6"/>
      <c r="D29" s="8">
        <f>+'B&amp;A Surcharges'!D29</f>
        <v>177212.41999999998</v>
      </c>
      <c r="E29" s="8">
        <v>0</v>
      </c>
      <c r="F29" s="8">
        <f>E29</f>
        <v>0</v>
      </c>
      <c r="G29" s="8">
        <f>+F29</f>
        <v>0</v>
      </c>
      <c r="H29" s="8">
        <f t="shared" ref="H29" si="6">+G29</f>
        <v>0</v>
      </c>
      <c r="I29" s="8"/>
      <c r="J29" s="8"/>
      <c r="K29" s="8">
        <f>+H29+I29</f>
        <v>0</v>
      </c>
      <c r="L29" s="8"/>
      <c r="M29" s="8"/>
      <c r="N29" s="8"/>
      <c r="O29" s="8"/>
      <c r="P29" s="8">
        <f>ROUND(K29*O$25/J$25,2)</f>
        <v>0</v>
      </c>
      <c r="R29" s="8">
        <f>+P29+Q29</f>
        <v>0</v>
      </c>
    </row>
    <row r="30" spans="1:18">
      <c r="B30" s="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8">
      <c r="A31" t="str">
        <f>+RS!A31</f>
        <v>Environmental Surcharge</v>
      </c>
      <c r="B31" s="6"/>
      <c r="D31" s="8">
        <f>+'B&amp;A Surcharges'!J29</f>
        <v>-276234.33999999997</v>
      </c>
      <c r="E31" s="8">
        <f>D31</f>
        <v>-276234.33999999997</v>
      </c>
      <c r="F31" s="8">
        <f>E31</f>
        <v>-276234.33999999997</v>
      </c>
      <c r="G31" s="8">
        <v>0</v>
      </c>
      <c r="H31" s="8">
        <f t="shared" ref="H31" si="7">+G31</f>
        <v>0</v>
      </c>
      <c r="I31" s="95">
        <v>0</v>
      </c>
      <c r="J31" s="8"/>
      <c r="K31" s="8">
        <f>+H31+I31</f>
        <v>0</v>
      </c>
      <c r="L31" s="80">
        <v>0</v>
      </c>
      <c r="M31" s="8"/>
      <c r="N31" s="8">
        <f>O31-M31</f>
        <v>0</v>
      </c>
      <c r="O31" s="8"/>
      <c r="P31" s="8">
        <f>ROUND(K31*O$25/J$25,2)</f>
        <v>0</v>
      </c>
      <c r="R31" s="8">
        <f>+P31+Q31</f>
        <v>0</v>
      </c>
    </row>
    <row r="32" spans="1:18">
      <c r="B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8">
      <c r="A33" t="str">
        <f>RS!A33</f>
        <v>Capacity Charge</v>
      </c>
      <c r="D33" s="8">
        <f>+'B&amp;A Surcharges'!F29</f>
        <v>480437.98</v>
      </c>
      <c r="E33" s="8">
        <f>D33</f>
        <v>480437.98</v>
      </c>
      <c r="F33" s="8">
        <v>0</v>
      </c>
      <c r="G33" s="8">
        <f>+F33</f>
        <v>0</v>
      </c>
      <c r="H33" s="8">
        <f>+G33</f>
        <v>0</v>
      </c>
      <c r="I33" s="8"/>
      <c r="J33" s="8"/>
      <c r="K33" s="8">
        <f>+H33+I33</f>
        <v>0</v>
      </c>
      <c r="L33" s="8"/>
      <c r="M33" s="8"/>
      <c r="N33" s="8"/>
      <c r="O33" s="8"/>
      <c r="P33" s="8">
        <f>ROUND(K33*O$25/J$25,2)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8">
      <c r="A35" t="str">
        <f>RS!A35</f>
        <v>Asset Transfer Rider</v>
      </c>
      <c r="D35" s="8">
        <f>+'B&amp;A Surcharges'!N29</f>
        <v>3843112.7800000003</v>
      </c>
      <c r="E35" s="8">
        <f>D35</f>
        <v>3843112.7800000003</v>
      </c>
      <c r="F35" s="8">
        <f>E35</f>
        <v>3843112.7800000003</v>
      </c>
      <c r="G35" s="8">
        <f>+F35</f>
        <v>3843112.7800000003</v>
      </c>
      <c r="H35" s="8">
        <f t="shared" ref="H35" si="8">+G35</f>
        <v>3843112.7800000003</v>
      </c>
      <c r="I35" s="95">
        <v>3286.696999999991</v>
      </c>
      <c r="J35" s="8"/>
      <c r="K35" s="8">
        <f>+H35+I35</f>
        <v>3846399.4770000004</v>
      </c>
      <c r="L35" s="80">
        <v>-11.6</v>
      </c>
      <c r="M35" s="8"/>
      <c r="N35" s="8">
        <f>+P35-K35-L35</f>
        <v>14527.702999999654</v>
      </c>
      <c r="O35" s="8"/>
      <c r="P35" s="8">
        <f>ROUND(K35*O$25/J$25,2)</f>
        <v>3860915.58</v>
      </c>
      <c r="Q35" s="8">
        <f>+'ATR Adjustment WP'!G29</f>
        <v>1273061.3746803983</v>
      </c>
      <c r="R35" s="8">
        <f>+P35+Q35</f>
        <v>5133976.9546803981</v>
      </c>
    </row>
    <row r="36" spans="1:18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8">
      <c r="A37" t="str">
        <f>+RS!A39</f>
        <v>Total</v>
      </c>
      <c r="D37" s="8">
        <f t="shared" ref="D37:H37" si="9">SUM(D14:D36)</f>
        <v>56778688.522719994</v>
      </c>
      <c r="E37" s="8">
        <f t="shared" si="9"/>
        <v>56601476.102719992</v>
      </c>
      <c r="F37" s="8">
        <f t="shared" si="9"/>
        <v>56121038.122719996</v>
      </c>
      <c r="G37" s="8">
        <f t="shared" si="9"/>
        <v>56397272.462719999</v>
      </c>
      <c r="H37" s="8">
        <f t="shared" si="9"/>
        <v>55932535.702720001</v>
      </c>
      <c r="I37" s="8"/>
      <c r="J37" s="8"/>
      <c r="K37" s="8">
        <f>SUM(K14:K36)</f>
        <v>55909224.137270257</v>
      </c>
      <c r="L37" s="8">
        <f>SUM(L26:L36)</f>
        <v>-159.87449999999998</v>
      </c>
      <c r="M37" s="8"/>
      <c r="N37" s="8"/>
      <c r="O37" s="8"/>
      <c r="P37" s="8">
        <f>SUM(P12:P36)</f>
        <v>56124436.05156</v>
      </c>
      <c r="R37" s="8">
        <f>SUM(R12:R36)</f>
        <v>57397497.426240399</v>
      </c>
    </row>
    <row r="39" spans="1:18">
      <c r="P39" s="8"/>
    </row>
    <row r="40" spans="1:18">
      <c r="P40" s="8"/>
    </row>
  </sheetData>
  <phoneticPr fontId="0" type="noConversion"/>
  <printOptions horizontalCentered="1"/>
  <pageMargins left="0.25" right="0.25" top="0.75" bottom="0.75" header="0.3" footer="0.3"/>
  <pageSetup scale="6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A29" sqref="A29:XFD30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333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P6" s="37"/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A11" s="2"/>
      <c r="B11" s="2"/>
      <c r="C11" s="2"/>
      <c r="D11" s="2"/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s="4" t="s">
        <v>22</v>
      </c>
      <c r="D13" s="10"/>
      <c r="E13" s="11"/>
      <c r="F13" s="11"/>
      <c r="G13" s="11"/>
      <c r="H13" s="11"/>
      <c r="N13" s="10"/>
    </row>
    <row r="14" spans="1:16">
      <c r="A14" t="s">
        <v>23</v>
      </c>
      <c r="B14" s="74">
        <v>427329</v>
      </c>
      <c r="C14" s="71">
        <v>0.14801</v>
      </c>
      <c r="D14" s="8">
        <f>+B14*C14</f>
        <v>63248.96529</v>
      </c>
      <c r="E14" s="8">
        <f>D14</f>
        <v>63248.96529</v>
      </c>
      <c r="F14" s="8">
        <f>E14</f>
        <v>63248.96529</v>
      </c>
      <c r="G14" s="8">
        <f>+F14</f>
        <v>63248.96529</v>
      </c>
      <c r="H14" s="8">
        <f t="shared" ref="H14" si="0">+G14</f>
        <v>63248.96529</v>
      </c>
      <c r="I14" s="74">
        <v>0</v>
      </c>
      <c r="J14" s="6">
        <f>+B14+I14</f>
        <v>427329</v>
      </c>
      <c r="K14" s="8">
        <f>+C14*J14</f>
        <v>63248.96529</v>
      </c>
      <c r="L14" s="6">
        <f>M14-J14</f>
        <v>-2310</v>
      </c>
      <c r="M14" s="6">
        <f>ROUND(J14*M$21/J$21,0)</f>
        <v>425019</v>
      </c>
      <c r="N14" s="8">
        <f>+M14*C14</f>
        <v>62907.062190000004</v>
      </c>
      <c r="P14" s="8">
        <f>+N14+O14</f>
        <v>62907.062190000004</v>
      </c>
    </row>
    <row r="15" spans="1:16">
      <c r="A15" t="s">
        <v>24</v>
      </c>
      <c r="B15" s="74">
        <v>633416</v>
      </c>
      <c r="C15" s="71">
        <v>5.1299999999999998E-2</v>
      </c>
      <c r="D15" s="8">
        <f>+B15*C15</f>
        <v>32494.2408</v>
      </c>
      <c r="E15" s="8">
        <f>D15</f>
        <v>32494.2408</v>
      </c>
      <c r="F15" s="8">
        <f>E15</f>
        <v>32494.2408</v>
      </c>
      <c r="G15" s="8">
        <f>+F15</f>
        <v>32494.2408</v>
      </c>
      <c r="H15" s="8">
        <f t="shared" ref="H15" si="1">+G15</f>
        <v>32494.2408</v>
      </c>
      <c r="I15" s="74">
        <v>0</v>
      </c>
      <c r="J15" s="6">
        <f>+B15+I15</f>
        <v>633416</v>
      </c>
      <c r="K15" s="8">
        <f>+C15*J15</f>
        <v>32494.2408</v>
      </c>
      <c r="L15" s="6">
        <f>M15-J15</f>
        <v>-3424</v>
      </c>
      <c r="M15" s="6">
        <f>ROUND(J15*M$21/J$21,0)</f>
        <v>629992</v>
      </c>
      <c r="N15" s="8">
        <f>+M15*C15</f>
        <v>32318.589599999999</v>
      </c>
      <c r="P15" s="8">
        <f>+N15+O15</f>
        <v>32318.589599999999</v>
      </c>
    </row>
    <row r="16" spans="1:16">
      <c r="B16" s="6"/>
      <c r="D16" s="8"/>
      <c r="E16" s="8"/>
      <c r="F16" s="8"/>
      <c r="G16" s="8"/>
      <c r="H16" s="8"/>
      <c r="I16" s="6"/>
      <c r="K16" s="8"/>
      <c r="L16" s="6"/>
      <c r="M16" s="6"/>
      <c r="N16" s="8"/>
    </row>
    <row r="17" spans="1:16">
      <c r="A17" t="s">
        <v>12</v>
      </c>
      <c r="B17" s="6">
        <f>+'12 Months TS'!E67</f>
        <v>1060745</v>
      </c>
      <c r="D17" s="8"/>
      <c r="E17" s="8"/>
      <c r="F17" s="8"/>
      <c r="G17" s="8"/>
      <c r="H17" s="8"/>
      <c r="I17" s="6">
        <f>SUM(I14:I16)</f>
        <v>0</v>
      </c>
      <c r="J17" s="6">
        <f>+B17+I17</f>
        <v>1060745</v>
      </c>
      <c r="K17" s="8"/>
      <c r="L17" s="6">
        <f>M17-J17</f>
        <v>-5734</v>
      </c>
      <c r="M17" s="6">
        <f>ROUND(J17*M$21/J$21,0)</f>
        <v>1055011</v>
      </c>
      <c r="N17" s="8"/>
    </row>
    <row r="18" spans="1:16">
      <c r="B18" s="6"/>
      <c r="D18" s="8"/>
      <c r="E18" s="8"/>
      <c r="F18" s="8"/>
      <c r="G18" s="8"/>
      <c r="H18" s="8"/>
      <c r="I18" s="6"/>
      <c r="K18" s="8"/>
      <c r="L18" s="6"/>
      <c r="M18" s="6"/>
      <c r="N18" s="8"/>
    </row>
    <row r="19" spans="1:16">
      <c r="A19" t="s">
        <v>13</v>
      </c>
      <c r="B19" s="74">
        <v>555</v>
      </c>
      <c r="C19" s="73">
        <v>3</v>
      </c>
      <c r="D19" s="8">
        <f>+B19*C19</f>
        <v>1665</v>
      </c>
      <c r="E19" s="8">
        <f>D19</f>
        <v>1665</v>
      </c>
      <c r="F19" s="8">
        <f>E19</f>
        <v>1665</v>
      </c>
      <c r="G19" s="8">
        <f>+F19</f>
        <v>1665</v>
      </c>
      <c r="H19" s="8">
        <f t="shared" ref="H19" si="2">+G19</f>
        <v>1665</v>
      </c>
      <c r="I19" s="74">
        <v>0</v>
      </c>
      <c r="J19" s="6">
        <f>+B19+I19</f>
        <v>555</v>
      </c>
      <c r="K19" s="8">
        <f>+C19*J19</f>
        <v>1665</v>
      </c>
      <c r="L19" s="6">
        <f>M19-J19</f>
        <v>-3</v>
      </c>
      <c r="M19" s="6">
        <f>ROUND(J19*M$21/J$21,0)</f>
        <v>552</v>
      </c>
      <c r="N19" s="8">
        <f>+M19*C19</f>
        <v>1656</v>
      </c>
      <c r="P19" s="8">
        <f>+N19+O19</f>
        <v>1656</v>
      </c>
    </row>
    <row r="20" spans="1:16">
      <c r="D20" s="8"/>
      <c r="E20" s="8"/>
      <c r="F20" s="8"/>
      <c r="G20" s="8"/>
      <c r="H20" s="8"/>
      <c r="I20" s="6"/>
      <c r="K20" s="8"/>
      <c r="L20" s="6"/>
      <c r="M20" s="6"/>
      <c r="N20" s="8"/>
    </row>
    <row r="21" spans="1:16">
      <c r="A21" t="s">
        <v>14</v>
      </c>
      <c r="B21" s="6">
        <f>'Monthly # of Customers'!N48</f>
        <v>555</v>
      </c>
      <c r="D21" s="8"/>
      <c r="E21" s="8"/>
      <c r="F21" s="8"/>
      <c r="G21" s="8"/>
      <c r="H21" s="8"/>
      <c r="I21" s="74">
        <v>0</v>
      </c>
      <c r="J21" s="6">
        <f>+B21+I21</f>
        <v>555</v>
      </c>
      <c r="K21" s="8"/>
      <c r="L21" s="6">
        <f>M21-J21</f>
        <v>-3</v>
      </c>
      <c r="M21" s="6">
        <f>+'Monthly # of Customers'!M48*12</f>
        <v>552</v>
      </c>
      <c r="N21" s="8"/>
    </row>
    <row r="22" spans="1:16">
      <c r="D22" s="8"/>
      <c r="E22" s="8"/>
      <c r="F22" s="8"/>
      <c r="G22" s="8"/>
      <c r="H22" s="8"/>
      <c r="K22" s="8"/>
      <c r="N22" s="8"/>
    </row>
    <row r="23" spans="1:16">
      <c r="A23" t="str">
        <f>+RS!A27</f>
        <v xml:space="preserve">Fuel </v>
      </c>
      <c r="D23" s="8">
        <f>+'B&amp;A Surcharges'!B31</f>
        <v>1904.1200000000001</v>
      </c>
      <c r="E23" s="8">
        <f>D23</f>
        <v>1904.1200000000001</v>
      </c>
      <c r="F23" s="8">
        <f>E23</f>
        <v>1904.1200000000001</v>
      </c>
      <c r="G23" s="8">
        <f>+F23</f>
        <v>1904.1200000000001</v>
      </c>
      <c r="H23" s="8">
        <f>ROUND(B17*H11,2)</f>
        <v>2165.11</v>
      </c>
      <c r="I23" s="8">
        <f>ROUND(H11*I17,2)</f>
        <v>0</v>
      </c>
      <c r="J23" s="10"/>
      <c r="K23" s="8">
        <f>+H23+I23</f>
        <v>2165.11</v>
      </c>
      <c r="L23" s="8">
        <f>N23-K23</f>
        <v>-11.700000000000273</v>
      </c>
      <c r="N23" s="8">
        <f>ROUND(H11*M17,2)</f>
        <v>2153.41</v>
      </c>
      <c r="P23" s="8">
        <f>+N23+O23</f>
        <v>2153.41</v>
      </c>
    </row>
    <row r="24" spans="1:16">
      <c r="D24" s="8"/>
      <c r="E24" s="8"/>
      <c r="F24" s="8"/>
      <c r="G24" s="8"/>
      <c r="H24" s="8"/>
      <c r="I24" s="8"/>
      <c r="J24" s="10"/>
      <c r="K24" s="8"/>
      <c r="N24" s="8"/>
    </row>
    <row r="25" spans="1:16">
      <c r="A25" t="str">
        <f>+RS!A29</f>
        <v>System Sales Clause</v>
      </c>
      <c r="D25" s="8">
        <f>+'B&amp;A Surcharges'!D31</f>
        <v>425.68</v>
      </c>
      <c r="E25" s="8">
        <v>0</v>
      </c>
      <c r="F25" s="8">
        <f>E25</f>
        <v>0</v>
      </c>
      <c r="G25" s="8">
        <f>+F25</f>
        <v>0</v>
      </c>
      <c r="H25" s="8">
        <f t="shared" ref="H25" si="3">+G25</f>
        <v>0</v>
      </c>
      <c r="I25" s="8"/>
      <c r="J25" s="10"/>
      <c r="K25" s="8">
        <f>+H25+I25</f>
        <v>0</v>
      </c>
      <c r="L25" s="10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10"/>
      <c r="K26" s="8"/>
      <c r="N26" s="8"/>
    </row>
    <row r="27" spans="1:16">
      <c r="A27" t="str">
        <f>+RS!A31</f>
        <v>Environmental Surcharge</v>
      </c>
      <c r="D27" s="8">
        <f>+'B&amp;A Surcharges'!J31</f>
        <v>-480.04999999999995</v>
      </c>
      <c r="E27" s="8">
        <f>D27</f>
        <v>-480.04999999999995</v>
      </c>
      <c r="F27" s="8">
        <f>E27</f>
        <v>-480.04999999999995</v>
      </c>
      <c r="G27" s="8">
        <v>0</v>
      </c>
      <c r="H27" s="8">
        <f t="shared" ref="H27:H29" si="4">+G27</f>
        <v>0</v>
      </c>
      <c r="I27" s="95">
        <v>0</v>
      </c>
      <c r="J27" s="10"/>
      <c r="K27" s="8">
        <f>+H27+I27</f>
        <v>0</v>
      </c>
      <c r="L27" s="8">
        <f>N27-K27</f>
        <v>0</v>
      </c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tr">
        <f>RS!A33</f>
        <v>Capacity Charge</v>
      </c>
      <c r="D29" s="8">
        <f>+'B&amp;A Surcharges'!F31</f>
        <v>1028.9099999999999</v>
      </c>
      <c r="E29" s="8">
        <f>D29</f>
        <v>1028.9099999999999</v>
      </c>
      <c r="F29" s="8">
        <v>0</v>
      </c>
      <c r="G29" s="8">
        <f>+F29</f>
        <v>0</v>
      </c>
      <c r="H29" s="8">
        <f t="shared" si="4"/>
        <v>0</v>
      </c>
      <c r="I29" s="10"/>
      <c r="J29" s="10"/>
      <c r="K29" s="8">
        <f>+H29+I29</f>
        <v>0</v>
      </c>
      <c r="L29" s="10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t="str">
        <f>RS!A35</f>
        <v>Asset Transfer Rider</v>
      </c>
      <c r="D31" s="8">
        <f>+'B&amp;A Surcharges'!N31</f>
        <v>7580.93</v>
      </c>
      <c r="E31" s="8">
        <f>D31</f>
        <v>7580.93</v>
      </c>
      <c r="F31" s="8">
        <f>E31</f>
        <v>7580.93</v>
      </c>
      <c r="G31" s="8">
        <f>+F31</f>
        <v>7580.93</v>
      </c>
      <c r="H31" s="8">
        <f t="shared" ref="H31" si="5">+G31</f>
        <v>7580.93</v>
      </c>
      <c r="I31" s="95">
        <v>0</v>
      </c>
      <c r="J31" s="10"/>
      <c r="K31" s="8">
        <f>+H31+I31</f>
        <v>7580.93</v>
      </c>
      <c r="L31" s="8">
        <f>N31-K31</f>
        <v>-40.980000000000473</v>
      </c>
      <c r="N31" s="8">
        <f>ROUND(K31*M$21/J$21,2)</f>
        <v>7539.95</v>
      </c>
      <c r="O31" s="8">
        <f>+'ATR Adjustment WP'!G31</f>
        <v>2486.1509953091149</v>
      </c>
      <c r="P31" s="8">
        <f>+N31+O31</f>
        <v>10026.100995309114</v>
      </c>
    </row>
    <row r="32" spans="1:16">
      <c r="D32" s="8"/>
      <c r="E32" s="8"/>
      <c r="F32" s="8"/>
      <c r="G32" s="8"/>
      <c r="H32" s="8"/>
      <c r="I32" s="10"/>
      <c r="J32" s="10"/>
      <c r="K32" s="8"/>
      <c r="N32" s="8"/>
    </row>
    <row r="33" spans="1:16">
      <c r="A33" t="str">
        <f>+RS!A39</f>
        <v>Total</v>
      </c>
      <c r="D33" s="8">
        <f>SUM(D14:D32)</f>
        <v>107867.79608999999</v>
      </c>
      <c r="E33" s="8">
        <f t="shared" ref="E33:H33" si="6">SUM(E14:E32)</f>
        <v>107442.11609</v>
      </c>
      <c r="F33" s="8">
        <f t="shared" si="6"/>
        <v>106413.20608999999</v>
      </c>
      <c r="G33" s="8">
        <f t="shared" si="6"/>
        <v>106893.25608999998</v>
      </c>
      <c r="H33" s="8">
        <f t="shared" si="6"/>
        <v>107154.24609</v>
      </c>
      <c r="I33" s="10"/>
      <c r="J33" s="10"/>
      <c r="K33" s="8">
        <f>SUM(K14:K32)</f>
        <v>107154.24609</v>
      </c>
      <c r="L33" s="10"/>
      <c r="N33" s="8">
        <f>SUM(N14:N32)</f>
        <v>106575.01179</v>
      </c>
      <c r="P33" s="8">
        <f>SUM(P14:P32)</f>
        <v>109061.16278530912</v>
      </c>
    </row>
    <row r="34" spans="1:16">
      <c r="D34" s="10"/>
      <c r="E34" s="10"/>
      <c r="F34" s="10"/>
      <c r="G34" s="10"/>
      <c r="H34" s="10"/>
    </row>
    <row r="35" spans="1:16">
      <c r="D35" s="86"/>
      <c r="E35" s="10"/>
      <c r="F35" s="10"/>
      <c r="G35" s="10"/>
      <c r="H35" s="10"/>
    </row>
    <row r="36" spans="1:16">
      <c r="D36" s="10"/>
      <c r="E36" s="10"/>
      <c r="F36" s="10"/>
      <c r="G36" s="10"/>
      <c r="H36" s="10"/>
    </row>
    <row r="37" spans="1:16">
      <c r="D37" s="10"/>
      <c r="E37" s="10"/>
      <c r="F37" s="10"/>
      <c r="G37" s="10"/>
      <c r="H37" s="10"/>
    </row>
  </sheetData>
  <phoneticPr fontId="0" type="noConversion"/>
  <printOptions horizontalCentered="1"/>
  <pageMargins left="0.25" right="0.25" top="0.75" bottom="0.75" header="0.3" footer="0.3"/>
  <pageSetup scale="7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selection activeCell="A29" sqref="A29:XFD30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114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P6" s="37"/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A11" s="2"/>
      <c r="B11" s="2"/>
      <c r="C11" s="2"/>
      <c r="D11" s="10"/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s="4" t="s">
        <v>22</v>
      </c>
      <c r="D13" s="10"/>
      <c r="E13" s="11"/>
      <c r="F13" s="11"/>
      <c r="G13" s="11"/>
      <c r="H13" s="11"/>
      <c r="N13" s="10"/>
    </row>
    <row r="14" spans="1:16">
      <c r="A14" t="s">
        <v>23</v>
      </c>
      <c r="B14" s="74">
        <v>1396822</v>
      </c>
      <c r="C14" s="71">
        <f>+MGSLMTOD!C14</f>
        <v>0.14801</v>
      </c>
      <c r="D14" s="8">
        <f>+B14*C14</f>
        <v>206743.62422</v>
      </c>
      <c r="E14" s="8">
        <f>D14</f>
        <v>206743.62422</v>
      </c>
      <c r="F14" s="8">
        <f>E14</f>
        <v>206743.62422</v>
      </c>
      <c r="G14" s="8">
        <f>+F14</f>
        <v>206743.62422</v>
      </c>
      <c r="H14" s="8">
        <f>+G14</f>
        <v>206743.62422</v>
      </c>
      <c r="I14" s="94">
        <v>3914</v>
      </c>
      <c r="J14" s="6">
        <f>+B14+I14</f>
        <v>1400736</v>
      </c>
      <c r="K14" s="8">
        <f>+C14*J14</f>
        <v>207322.93536</v>
      </c>
      <c r="L14" s="6">
        <f>M14-J14</f>
        <v>10834</v>
      </c>
      <c r="M14" s="6">
        <f>ROUND(J14*M$21/J$21,0)</f>
        <v>1411570</v>
      </c>
      <c r="N14" s="8">
        <f>+M14*C14</f>
        <v>208926.47570000001</v>
      </c>
      <c r="P14" s="8">
        <f>+N14+O14</f>
        <v>208926.47570000001</v>
      </c>
    </row>
    <row r="15" spans="1:16">
      <c r="A15" t="s">
        <v>24</v>
      </c>
      <c r="B15" s="74">
        <v>2429346</v>
      </c>
      <c r="C15" s="71">
        <f>+MGSLMTOD!C15</f>
        <v>5.1299999999999998E-2</v>
      </c>
      <c r="D15" s="8">
        <f>+B15*C15</f>
        <v>124625.4498</v>
      </c>
      <c r="E15" s="8">
        <f>D15</f>
        <v>124625.4498</v>
      </c>
      <c r="F15" s="8">
        <f>E15</f>
        <v>124625.4498</v>
      </c>
      <c r="G15" s="8">
        <f>+F15</f>
        <v>124625.4498</v>
      </c>
      <c r="H15" s="8">
        <f>+G15</f>
        <v>124625.4498</v>
      </c>
      <c r="I15" s="94">
        <v>6806</v>
      </c>
      <c r="J15" s="6">
        <f>+B15+I15</f>
        <v>2436152</v>
      </c>
      <c r="K15" s="8">
        <f>+C15*J15</f>
        <v>124974.59759999999</v>
      </c>
      <c r="L15" s="6">
        <f>M15-J15</f>
        <v>18843</v>
      </c>
      <c r="M15" s="6">
        <f>ROUND(J15*M$21/J$21,0)</f>
        <v>2454995</v>
      </c>
      <c r="N15" s="8">
        <f>+M15*C15</f>
        <v>125941.2435</v>
      </c>
      <c r="P15" s="8">
        <f>+N15+O15</f>
        <v>125941.2435</v>
      </c>
    </row>
    <row r="16" spans="1:16">
      <c r="B16" s="6"/>
      <c r="D16" s="8"/>
      <c r="E16" s="8"/>
      <c r="F16" s="8"/>
      <c r="G16" s="8"/>
      <c r="H16" s="8"/>
      <c r="I16" s="6"/>
      <c r="K16" s="8"/>
      <c r="N16" s="8"/>
    </row>
    <row r="17" spans="1:16">
      <c r="A17" t="s">
        <v>12</v>
      </c>
      <c r="B17" s="6">
        <f>+'12 Months TS'!E69</f>
        <v>3826168</v>
      </c>
      <c r="D17" s="8"/>
      <c r="E17" s="8"/>
      <c r="F17" s="8"/>
      <c r="G17" s="8"/>
      <c r="H17" s="8"/>
      <c r="I17" s="6">
        <f>SUM(I14:I16)</f>
        <v>10720</v>
      </c>
      <c r="J17" s="6">
        <f>+B17+I17</f>
        <v>3836888</v>
      </c>
      <c r="K17" s="8"/>
      <c r="L17" s="6">
        <f>M17-J17</f>
        <v>29678</v>
      </c>
      <c r="M17" s="6">
        <f>ROUND(J17*M$21/J$21,0)</f>
        <v>3866566</v>
      </c>
      <c r="N17" s="8"/>
    </row>
    <row r="18" spans="1:16">
      <c r="B18" s="6"/>
      <c r="D18" s="8"/>
      <c r="E18" s="8"/>
      <c r="F18" s="8"/>
      <c r="G18" s="8"/>
      <c r="H18" s="8"/>
      <c r="I18" s="6"/>
      <c r="K18" s="8"/>
      <c r="N18" s="8"/>
    </row>
    <row r="19" spans="1:16">
      <c r="A19" t="s">
        <v>13</v>
      </c>
      <c r="B19" s="74">
        <v>901</v>
      </c>
      <c r="C19" s="73">
        <v>14.3</v>
      </c>
      <c r="D19" s="8">
        <f>+B19*C19</f>
        <v>12884.300000000001</v>
      </c>
      <c r="E19" s="8">
        <f>D19</f>
        <v>12884.300000000001</v>
      </c>
      <c r="F19" s="8">
        <f>E19</f>
        <v>12884.300000000001</v>
      </c>
      <c r="G19" s="8">
        <f>+F19</f>
        <v>12884.300000000001</v>
      </c>
      <c r="H19" s="8">
        <f>+G19</f>
        <v>12884.300000000001</v>
      </c>
      <c r="I19" s="94">
        <v>4</v>
      </c>
      <c r="J19" s="20">
        <f>+B19+I19</f>
        <v>905</v>
      </c>
      <c r="K19" s="8">
        <f>+C19*J19</f>
        <v>12941.5</v>
      </c>
      <c r="L19" s="6">
        <f>M19-J19</f>
        <v>7</v>
      </c>
      <c r="M19" s="20">
        <f>ROUND(J19*M$21/J$21,3)</f>
        <v>912</v>
      </c>
      <c r="N19" s="8">
        <f>+M19*C19</f>
        <v>13041.6</v>
      </c>
      <c r="P19" s="8">
        <f>+N19+O19</f>
        <v>13041.6</v>
      </c>
    </row>
    <row r="20" spans="1:16">
      <c r="D20" s="8"/>
      <c r="E20" s="8"/>
      <c r="F20" s="8"/>
      <c r="G20" s="8"/>
      <c r="H20" s="8"/>
      <c r="I20" s="6"/>
      <c r="K20" s="8"/>
      <c r="N20" s="8"/>
    </row>
    <row r="21" spans="1:16">
      <c r="A21" t="s">
        <v>14</v>
      </c>
      <c r="B21" s="6">
        <f>'Monthly # of Customers'!N50</f>
        <v>901</v>
      </c>
      <c r="D21" s="8"/>
      <c r="E21" s="8"/>
      <c r="F21" s="8"/>
      <c r="G21" s="8"/>
      <c r="H21" s="8"/>
      <c r="I21" s="94">
        <v>4</v>
      </c>
      <c r="J21" s="6">
        <f>+B21+I21</f>
        <v>905</v>
      </c>
      <c r="K21" s="8"/>
      <c r="L21" s="6">
        <f>M21-J21</f>
        <v>7</v>
      </c>
      <c r="M21" s="6">
        <f>+'Monthly # of Customers'!M50*12</f>
        <v>912</v>
      </c>
      <c r="N21" s="8"/>
    </row>
    <row r="22" spans="1:16">
      <c r="B22" s="6"/>
      <c r="D22" s="8"/>
      <c r="E22" s="8"/>
      <c r="F22" s="8"/>
      <c r="G22" s="8"/>
      <c r="H22" s="8"/>
      <c r="K22" s="8"/>
      <c r="N22" s="8"/>
    </row>
    <row r="23" spans="1:16">
      <c r="A23" t="str">
        <f>+RS!A27</f>
        <v xml:space="preserve">Fuel </v>
      </c>
      <c r="B23" s="6"/>
      <c r="D23" s="8">
        <f>+'B&amp;A Surcharges'!B33</f>
        <v>10613.689999999999</v>
      </c>
      <c r="E23" s="8">
        <f>D23</f>
        <v>10613.689999999999</v>
      </c>
      <c r="F23" s="8">
        <f>E23</f>
        <v>10613.689999999999</v>
      </c>
      <c r="G23" s="8">
        <f>+F23</f>
        <v>10613.689999999999</v>
      </c>
      <c r="H23" s="8">
        <f>ROUND(B17*H11,2)</f>
        <v>7809.68</v>
      </c>
      <c r="I23" s="8">
        <f>ROUND(H11*I17,2)</f>
        <v>21.88</v>
      </c>
      <c r="J23" s="8"/>
      <c r="K23" s="8">
        <f>+H23+I23</f>
        <v>7831.56</v>
      </c>
      <c r="L23" s="8">
        <f>+N23-K23</f>
        <v>60.569999999999709</v>
      </c>
      <c r="M23" s="8"/>
      <c r="N23" s="8">
        <f>ROUND(H11*M17,2)</f>
        <v>7892.13</v>
      </c>
      <c r="P23" s="8">
        <f>+N23+O23</f>
        <v>7892.13</v>
      </c>
    </row>
    <row r="24" spans="1:16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6">
      <c r="A25" t="str">
        <f>+RS!A29</f>
        <v>System Sales Clause</v>
      </c>
      <c r="D25" s="8">
        <f>+'B&amp;A Surcharges'!D33</f>
        <v>1400.7</v>
      </c>
      <c r="E25" s="8">
        <v>0</v>
      </c>
      <c r="F25" s="8">
        <f>E25</f>
        <v>0</v>
      </c>
      <c r="G25" s="8">
        <f>+F25</f>
        <v>0</v>
      </c>
      <c r="H25" s="8">
        <f>+G25</f>
        <v>0</v>
      </c>
      <c r="I25" s="8"/>
      <c r="J25" s="8"/>
      <c r="K25" s="8">
        <f>+H25+I25</f>
        <v>0</v>
      </c>
      <c r="L25" s="8"/>
      <c r="M25" s="8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6">
      <c r="A27" t="str">
        <f>+RS!A31</f>
        <v>Environmental Surcharge</v>
      </c>
      <c r="D27" s="8">
        <f>+'B&amp;A Surcharges'!J33</f>
        <v>-1849.3899999999999</v>
      </c>
      <c r="E27" s="8">
        <f>D27</f>
        <v>-1849.3899999999999</v>
      </c>
      <c r="F27" s="8">
        <f>E27</f>
        <v>-1849.3899999999999</v>
      </c>
      <c r="G27" s="8">
        <v>0</v>
      </c>
      <c r="H27" s="8">
        <f>+G27</f>
        <v>0</v>
      </c>
      <c r="I27" s="99">
        <v>0</v>
      </c>
      <c r="J27" s="8"/>
      <c r="K27" s="8">
        <f>+H27+I27</f>
        <v>0</v>
      </c>
      <c r="L27" s="8">
        <f>+N27-K27</f>
        <v>0</v>
      </c>
      <c r="M27" s="8"/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36"/>
      <c r="J28" s="8"/>
      <c r="K28" s="8"/>
      <c r="L28" s="8"/>
      <c r="M28" s="8"/>
      <c r="N28" s="8"/>
    </row>
    <row r="29" spans="1:16">
      <c r="A29" t="str">
        <f>RS!A33</f>
        <v>Capacity Charge</v>
      </c>
      <c r="D29" s="8">
        <f>+'B&amp;A Surcharges'!F33</f>
        <v>3711.3799999999997</v>
      </c>
      <c r="E29" s="8">
        <f>D29</f>
        <v>3711.3799999999997</v>
      </c>
      <c r="F29" s="8">
        <v>0</v>
      </c>
      <c r="G29" s="8">
        <f>+F29</f>
        <v>0</v>
      </c>
      <c r="H29" s="8">
        <f>+G29</f>
        <v>0</v>
      </c>
      <c r="I29" s="8"/>
      <c r="J29" s="8"/>
      <c r="K29" s="8">
        <f>+H29+I29</f>
        <v>0</v>
      </c>
      <c r="L29" s="8"/>
      <c r="M29" s="8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>
      <c r="A31" t="str">
        <f>RS!A35</f>
        <v>Asset Transfer Rider</v>
      </c>
      <c r="D31" s="8">
        <f>+'B&amp;A Surcharges'!N33</f>
        <v>25158.85</v>
      </c>
      <c r="E31" s="8">
        <f>D31</f>
        <v>25158.85</v>
      </c>
      <c r="F31" s="8">
        <f>E31</f>
        <v>25158.85</v>
      </c>
      <c r="G31" s="8">
        <f>+F31</f>
        <v>25158.85</v>
      </c>
      <c r="H31" s="8">
        <f>+G31</f>
        <v>25158.85</v>
      </c>
      <c r="I31" s="99">
        <v>118.586</v>
      </c>
      <c r="J31" s="8"/>
      <c r="K31" s="8">
        <f>+H31+I31</f>
        <v>25277.435999999998</v>
      </c>
      <c r="L31" s="8">
        <f>+N31-K31</f>
        <v>195.51400000000285</v>
      </c>
      <c r="M31" s="8"/>
      <c r="N31" s="8">
        <f>ROUND(K31*M$21/J$21,2)</f>
        <v>25472.95</v>
      </c>
      <c r="O31" s="8">
        <f>+'ATR Adjustment WP'!G33</f>
        <v>8399.206890756479</v>
      </c>
      <c r="P31" s="8">
        <f>+N31+O31</f>
        <v>33872.15689075648</v>
      </c>
    </row>
    <row r="32" spans="1:16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6">
      <c r="A33" t="str">
        <f>+RS!A39</f>
        <v>Total</v>
      </c>
      <c r="D33" s="8">
        <f t="shared" ref="D33:H33" si="0">SUM(D14:D32)</f>
        <v>383288.60401999997</v>
      </c>
      <c r="E33" s="8">
        <f t="shared" si="0"/>
        <v>381887.90401999996</v>
      </c>
      <c r="F33" s="8">
        <f t="shared" si="0"/>
        <v>378176.52401999995</v>
      </c>
      <c r="G33" s="8">
        <f t="shared" si="0"/>
        <v>380025.91401999997</v>
      </c>
      <c r="H33" s="8">
        <f t="shared" si="0"/>
        <v>377221.90401999996</v>
      </c>
      <c r="I33" s="8"/>
      <c r="J33" s="8"/>
      <c r="K33" s="8">
        <f>SUM(K14:K32)</f>
        <v>378348.02895999997</v>
      </c>
      <c r="L33" s="8"/>
      <c r="M33" s="8"/>
      <c r="N33" s="8">
        <f>SUM(N12:N32)</f>
        <v>381274.39919999999</v>
      </c>
      <c r="P33" s="8">
        <f>SUM(P12:P32)</f>
        <v>389673.60609075648</v>
      </c>
    </row>
  </sheetData>
  <phoneticPr fontId="0" type="noConversion"/>
  <printOptions horizontalCentered="1"/>
  <pageMargins left="0.25" right="0.25" top="0.75" bottom="0.75" header="0.3" footer="0.3"/>
  <pageSetup scale="7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A34" sqref="A34:XFD35"/>
    </sheetView>
  </sheetViews>
  <sheetFormatPr defaultRowHeight="12.75"/>
  <cols>
    <col min="1" max="1" width="27.28515625" customWidth="1"/>
    <col min="2" max="2" width="10.7109375" bestFit="1" customWidth="1"/>
    <col min="3" max="3" width="8.5703125" bestFit="1" customWidth="1"/>
    <col min="4" max="4" width="10.710937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1.7109375" bestFit="1" customWidth="1"/>
    <col min="11" max="11" width="11.5703125" bestFit="1" customWidth="1"/>
    <col min="12" max="12" width="11.285156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149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4" t="s">
        <v>22</v>
      </c>
      <c r="B13" s="6"/>
      <c r="D13" s="10"/>
      <c r="E13" s="11"/>
      <c r="F13" s="11"/>
      <c r="G13" s="11"/>
      <c r="H13" s="11"/>
      <c r="L13" s="6"/>
      <c r="M13" s="6"/>
      <c r="N13" s="6"/>
      <c r="O13" s="6"/>
      <c r="P13" s="10"/>
    </row>
    <row r="14" spans="1:18">
      <c r="A14" t="s">
        <v>111</v>
      </c>
      <c r="B14" s="74">
        <v>4381364</v>
      </c>
      <c r="C14" s="71">
        <v>9.0539999999999995E-2</v>
      </c>
      <c r="D14" s="8">
        <f>+B14*C14</f>
        <v>396688.69655999995</v>
      </c>
      <c r="E14" s="8">
        <f>D14</f>
        <v>396688.69655999995</v>
      </c>
      <c r="F14" s="8">
        <f>E14</f>
        <v>396688.69655999995</v>
      </c>
      <c r="G14" s="8">
        <f>+F14</f>
        <v>396688.69655999995</v>
      </c>
      <c r="H14" s="8">
        <f t="shared" ref="H14" si="0">+G14</f>
        <v>396688.69655999995</v>
      </c>
      <c r="I14" s="74">
        <v>1562068</v>
      </c>
      <c r="J14" s="6">
        <f>+B14+I14</f>
        <v>5943432</v>
      </c>
      <c r="K14" s="8">
        <f>+C14*J14</f>
        <v>538118.33328000002</v>
      </c>
      <c r="L14" s="74">
        <v>0</v>
      </c>
      <c r="M14" s="6">
        <f>J14+L14</f>
        <v>5943432</v>
      </c>
      <c r="N14" s="6">
        <f>O14-M14</f>
        <v>-226849</v>
      </c>
      <c r="O14" s="6">
        <f>ROUND(M14*O$26/M$26,0)</f>
        <v>5716583</v>
      </c>
      <c r="P14" s="8">
        <f>+O14*C14</f>
        <v>517579.42481999996</v>
      </c>
      <c r="R14" s="8">
        <f>+P14+Q14</f>
        <v>517579.42481999996</v>
      </c>
    </row>
    <row r="15" spans="1:18">
      <c r="A15" t="s">
        <v>112</v>
      </c>
      <c r="B15" s="74">
        <v>3385692</v>
      </c>
      <c r="C15" s="71">
        <v>8.0979999999999996E-2</v>
      </c>
      <c r="D15" s="8">
        <f>+B15*C15</f>
        <v>274173.33815999998</v>
      </c>
      <c r="E15" s="8">
        <f>D15</f>
        <v>274173.33815999998</v>
      </c>
      <c r="F15" s="8">
        <f>E15</f>
        <v>274173.33815999998</v>
      </c>
      <c r="G15" s="8">
        <f>+F15</f>
        <v>274173.33815999998</v>
      </c>
      <c r="H15" s="8">
        <f t="shared" ref="H15" si="1">+G15</f>
        <v>274173.33815999998</v>
      </c>
      <c r="I15" s="74">
        <v>349720</v>
      </c>
      <c r="J15" s="6">
        <f>+B15+I15</f>
        <v>3735412</v>
      </c>
      <c r="K15" s="8">
        <f>+C15*J15</f>
        <v>302493.66375999997</v>
      </c>
      <c r="L15" s="74">
        <v>0</v>
      </c>
      <c r="M15" s="6">
        <f>J15+L15</f>
        <v>3735412</v>
      </c>
      <c r="N15" s="6">
        <f>O15-M15</f>
        <v>-142573</v>
      </c>
      <c r="O15" s="6">
        <f>ROUND(M15*O$26/M$26,0)</f>
        <v>3592839</v>
      </c>
      <c r="P15" s="8">
        <f>+O15*C15</f>
        <v>290948.10222</v>
      </c>
      <c r="R15" s="8">
        <f>+P15+Q15</f>
        <v>290948.10222</v>
      </c>
    </row>
    <row r="16" spans="1:18">
      <c r="A16" t="s">
        <v>200</v>
      </c>
      <c r="B16" s="74">
        <v>49569</v>
      </c>
      <c r="C16" s="79"/>
      <c r="D16" s="8"/>
      <c r="E16" s="8"/>
      <c r="F16" s="8"/>
      <c r="G16" s="8"/>
      <c r="H16" s="8"/>
      <c r="I16" s="74">
        <v>0</v>
      </c>
      <c r="J16" s="6">
        <f>+B16+I16</f>
        <v>49569</v>
      </c>
      <c r="K16" s="8"/>
      <c r="L16" s="74">
        <v>0</v>
      </c>
      <c r="M16" s="6">
        <f>J16+L16</f>
        <v>49569</v>
      </c>
      <c r="N16" s="6">
        <f>O16-M16</f>
        <v>-1892</v>
      </c>
      <c r="O16" s="6">
        <f>ROUND(M16*O$26/M$26,0)</f>
        <v>47677</v>
      </c>
      <c r="P16" s="8"/>
    </row>
    <row r="17" spans="1:18">
      <c r="A17" t="s">
        <v>284</v>
      </c>
      <c r="B17" s="74">
        <v>0</v>
      </c>
      <c r="C17" s="79"/>
      <c r="D17" s="8"/>
      <c r="E17" s="8"/>
      <c r="F17" s="8"/>
      <c r="G17" s="8"/>
      <c r="H17" s="8"/>
      <c r="I17" s="74">
        <v>0</v>
      </c>
      <c r="J17" s="6">
        <f>+B17+I17</f>
        <v>0</v>
      </c>
      <c r="K17" s="8"/>
      <c r="L17" s="74">
        <v>0</v>
      </c>
      <c r="M17" s="6">
        <f>J17+L17</f>
        <v>0</v>
      </c>
      <c r="N17" s="6">
        <f>O17-M17</f>
        <v>0</v>
      </c>
      <c r="O17" s="6">
        <f>ROUND(M17*O$26/M$26,0)</f>
        <v>0</v>
      </c>
      <c r="P17" s="8"/>
    </row>
    <row r="18" spans="1:18">
      <c r="A18" t="s">
        <v>12</v>
      </c>
      <c r="B18" s="6">
        <f>+'12 Months TS'!E73</f>
        <v>7816626</v>
      </c>
      <c r="C18" s="24"/>
      <c r="D18" s="8"/>
      <c r="E18" s="8"/>
      <c r="F18" s="8"/>
      <c r="G18" s="8"/>
      <c r="H18" s="8"/>
      <c r="I18" s="6">
        <f>SUM(I14:I17)</f>
        <v>1911788</v>
      </c>
      <c r="J18" s="6">
        <f>SUM(J14:J17)</f>
        <v>9728413</v>
      </c>
      <c r="K18" s="8"/>
      <c r="L18" s="6">
        <f>SUM(L14:L17)</f>
        <v>0</v>
      </c>
      <c r="M18" s="6">
        <f>SUM(M14:M17)</f>
        <v>9728413</v>
      </c>
      <c r="N18" s="6">
        <f>SUM(N14:N17)</f>
        <v>-371314</v>
      </c>
      <c r="O18" s="6">
        <f>SUM(O14:O17)</f>
        <v>9357099</v>
      </c>
      <c r="P18" s="8"/>
    </row>
    <row r="19" spans="1:18">
      <c r="B19" s="6"/>
      <c r="D19" s="8"/>
      <c r="E19" s="8"/>
      <c r="F19" s="8"/>
      <c r="G19" s="8"/>
      <c r="H19" s="8"/>
      <c r="I19" s="6"/>
      <c r="K19" s="8"/>
      <c r="L19" s="6"/>
      <c r="P19" s="8"/>
    </row>
    <row r="20" spans="1:18">
      <c r="A20" t="s">
        <v>21</v>
      </c>
      <c r="B20" s="6"/>
      <c r="D20" s="8"/>
      <c r="E20" s="8"/>
      <c r="F20" s="8"/>
      <c r="G20" s="8"/>
      <c r="H20" s="8"/>
      <c r="I20" s="6"/>
      <c r="K20" s="8"/>
      <c r="L20" s="6"/>
      <c r="P20" s="8"/>
    </row>
    <row r="21" spans="1:18">
      <c r="A21" t="s">
        <v>106</v>
      </c>
      <c r="B21" s="74">
        <v>26011.7</v>
      </c>
      <c r="C21" s="73">
        <v>1.59</v>
      </c>
      <c r="D21" s="8">
        <f>+B21*C21</f>
        <v>41358.603000000003</v>
      </c>
      <c r="E21" s="8">
        <f>D21</f>
        <v>41358.603000000003</v>
      </c>
      <c r="F21" s="8">
        <f>E21</f>
        <v>41358.603000000003</v>
      </c>
      <c r="G21" s="8">
        <f>+F21</f>
        <v>41358.603000000003</v>
      </c>
      <c r="H21" s="8">
        <f t="shared" ref="H21" si="2">+G21</f>
        <v>41358.603000000003</v>
      </c>
      <c r="I21" s="74">
        <v>13619.8</v>
      </c>
      <c r="J21" s="6">
        <f>+B21+I21</f>
        <v>39631.5</v>
      </c>
      <c r="K21" s="8">
        <f>+C21*J21</f>
        <v>63014.085000000006</v>
      </c>
      <c r="L21" s="74">
        <v>-38</v>
      </c>
      <c r="M21" s="6">
        <f>J21+L21</f>
        <v>39593.5</v>
      </c>
      <c r="N21" s="6">
        <f>O21-M21</f>
        <v>-1511.5</v>
      </c>
      <c r="O21" s="6">
        <f>ROUND(M21*O$26/M$26,0)</f>
        <v>38082</v>
      </c>
      <c r="P21" s="8">
        <f>+O21*C21</f>
        <v>60550.380000000005</v>
      </c>
      <c r="R21" s="8">
        <f>+P21+Q21</f>
        <v>60550.380000000005</v>
      </c>
    </row>
    <row r="22" spans="1:18">
      <c r="A22" t="s">
        <v>160</v>
      </c>
      <c r="B22" s="74">
        <v>2776.6999999999989</v>
      </c>
      <c r="C22" s="73">
        <f>+'MGS-SEC'!C21</f>
        <v>6.84</v>
      </c>
      <c r="D22" s="8">
        <f>+B22*C22</f>
        <v>18992.627999999993</v>
      </c>
      <c r="E22" s="8">
        <f>D22</f>
        <v>18992.627999999993</v>
      </c>
      <c r="F22" s="8">
        <f>E22</f>
        <v>18992.627999999993</v>
      </c>
      <c r="G22" s="8">
        <f>+F22</f>
        <v>18992.627999999993</v>
      </c>
      <c r="H22" s="8">
        <f t="shared" ref="H22" si="3">+G22</f>
        <v>18992.627999999993</v>
      </c>
      <c r="I22" s="74">
        <v>0</v>
      </c>
      <c r="J22" s="6">
        <f>+B22+I22</f>
        <v>2776.6999999999989</v>
      </c>
      <c r="K22" s="8">
        <f>+C22*J22</f>
        <v>18992.627999999993</v>
      </c>
      <c r="L22" s="74">
        <v>0</v>
      </c>
      <c r="M22" s="6">
        <f>J22+L22</f>
        <v>2776.6999999999989</v>
      </c>
      <c r="N22" s="6">
        <f>O22-M22</f>
        <v>-105.69999999999891</v>
      </c>
      <c r="O22" s="6">
        <f>ROUND(M22*O$26/M$26,0)</f>
        <v>2671</v>
      </c>
      <c r="P22" s="8">
        <f>+O22*C22</f>
        <v>18269.64</v>
      </c>
      <c r="R22" s="8">
        <f>+P22+Q22</f>
        <v>18269.64</v>
      </c>
    </row>
    <row r="23" spans="1:18">
      <c r="B23" s="6"/>
      <c r="C23" s="24"/>
      <c r="D23" s="8"/>
      <c r="E23" s="8"/>
      <c r="F23" s="8"/>
      <c r="G23" s="8"/>
      <c r="H23" s="8"/>
      <c r="I23" s="6"/>
      <c r="J23" s="10"/>
      <c r="K23" s="8"/>
      <c r="L23" s="6"/>
      <c r="P23" s="8"/>
    </row>
    <row r="24" spans="1:18">
      <c r="A24" t="s">
        <v>13</v>
      </c>
      <c r="B24" s="74">
        <v>998</v>
      </c>
      <c r="C24" s="73">
        <v>25</v>
      </c>
      <c r="D24" s="8">
        <f>+B24*C24</f>
        <v>24950</v>
      </c>
      <c r="E24" s="8">
        <f>D24</f>
        <v>24950</v>
      </c>
      <c r="F24" s="8">
        <f>E24</f>
        <v>24950</v>
      </c>
      <c r="G24" s="8">
        <f>+F24</f>
        <v>24950</v>
      </c>
      <c r="H24" s="8">
        <f t="shared" ref="H24" si="4">+G24</f>
        <v>24950</v>
      </c>
      <c r="I24" s="74">
        <v>57.599999999999994</v>
      </c>
      <c r="J24" s="6">
        <f>+B24+I24</f>
        <v>1055.5999999999999</v>
      </c>
      <c r="K24" s="8">
        <f>+C24*J24</f>
        <v>26389.999999999996</v>
      </c>
      <c r="L24" s="74">
        <v>-6.367</v>
      </c>
      <c r="M24" s="6">
        <f>J24+L24</f>
        <v>1049.2329999999999</v>
      </c>
      <c r="N24" s="6">
        <f>O24-M24</f>
        <v>-40.232999999999947</v>
      </c>
      <c r="O24" s="6">
        <f>ROUND(M24*O$26/M$26,0)</f>
        <v>1009</v>
      </c>
      <c r="P24" s="8">
        <f>+O24*C24</f>
        <v>25225</v>
      </c>
      <c r="R24" s="8">
        <f>+P24+Q24</f>
        <v>25225</v>
      </c>
    </row>
    <row r="25" spans="1:18">
      <c r="B25" s="6"/>
      <c r="D25" s="8"/>
      <c r="E25" s="8"/>
      <c r="F25" s="8"/>
      <c r="G25" s="8"/>
      <c r="H25" s="8"/>
      <c r="I25" s="6"/>
      <c r="K25" s="8"/>
      <c r="L25" s="6"/>
      <c r="P25" s="8"/>
    </row>
    <row r="26" spans="1:18">
      <c r="A26" t="s">
        <v>14</v>
      </c>
      <c r="B26" s="6">
        <f>'Monthly # of Customers'!N54</f>
        <v>998</v>
      </c>
      <c r="D26" s="8"/>
      <c r="E26" s="8"/>
      <c r="F26" s="8"/>
      <c r="G26" s="8"/>
      <c r="H26" s="8"/>
      <c r="I26" s="74">
        <v>57</v>
      </c>
      <c r="J26" s="6">
        <f>+B26+I26</f>
        <v>1055</v>
      </c>
      <c r="K26" s="8"/>
      <c r="L26" s="74">
        <v>-7</v>
      </c>
      <c r="M26" s="6">
        <f>J26+L26</f>
        <v>1048</v>
      </c>
      <c r="N26" s="6">
        <f>O26-M26</f>
        <v>-40</v>
      </c>
      <c r="O26" s="6">
        <f>+'Monthly # of Customers'!M54*12</f>
        <v>1008</v>
      </c>
      <c r="P26" s="8"/>
    </row>
    <row r="27" spans="1:18">
      <c r="B27" s="6"/>
      <c r="D27" s="8"/>
      <c r="E27" s="8"/>
      <c r="F27" s="8"/>
      <c r="G27" s="8"/>
      <c r="H27" s="8"/>
      <c r="K27" s="8"/>
      <c r="L27" s="8">
        <f>L14*C14+L15*C15+L21*C21+L22*C22+L24*C24</f>
        <v>-219.59500000000003</v>
      </c>
      <c r="P27" s="8"/>
    </row>
    <row r="28" spans="1:18">
      <c r="A28" t="str">
        <f>+RS!A27</f>
        <v xml:space="preserve">Fuel </v>
      </c>
      <c r="B28" s="6"/>
      <c r="D28" s="8">
        <f>+'B&amp;A Surcharges'!B35</f>
        <v>23346.97</v>
      </c>
      <c r="E28" s="8">
        <f>D28</f>
        <v>23346.97</v>
      </c>
      <c r="F28" s="8">
        <f>E28</f>
        <v>23346.97</v>
      </c>
      <c r="G28" s="8">
        <f>+F28</f>
        <v>23346.97</v>
      </c>
      <c r="H28" s="8">
        <f>ROUND(B18*H11,2)</f>
        <v>15954.69</v>
      </c>
      <c r="I28" s="8">
        <f>ROUND(H11*I18,2)</f>
        <v>3902.19</v>
      </c>
      <c r="J28" s="10"/>
      <c r="K28" s="8">
        <f>H28+I28</f>
        <v>19856.88</v>
      </c>
      <c r="L28" s="8">
        <f>L18*H11</f>
        <v>0</v>
      </c>
      <c r="M28" s="10"/>
      <c r="N28" s="8">
        <f>P28-K28-L28-0.5</f>
        <v>-758.40000000000146</v>
      </c>
      <c r="O28" s="10"/>
      <c r="P28" s="8">
        <f>ROUND(O18*H11,2)</f>
        <v>19098.98</v>
      </c>
      <c r="R28" s="8">
        <f>+P28+Q28</f>
        <v>19098.98</v>
      </c>
    </row>
    <row r="29" spans="1:18">
      <c r="B29" s="6"/>
      <c r="D29" s="8"/>
      <c r="E29" s="8"/>
      <c r="F29" s="8"/>
      <c r="G29" s="8"/>
      <c r="H29" s="8"/>
      <c r="I29" s="8"/>
      <c r="J29" s="10"/>
      <c r="K29" s="8"/>
      <c r="L29" s="8"/>
      <c r="M29" s="10"/>
      <c r="N29" s="10"/>
      <c r="O29" s="10"/>
      <c r="P29" s="8"/>
    </row>
    <row r="30" spans="1:18">
      <c r="A30" t="str">
        <f>+RS!A29</f>
        <v>System Sales Clause</v>
      </c>
      <c r="D30" s="8">
        <f>+'B&amp;A Surcharges'!D35</f>
        <v>2702.26</v>
      </c>
      <c r="E30" s="8">
        <v>0</v>
      </c>
      <c r="F30" s="8">
        <f>E30</f>
        <v>0</v>
      </c>
      <c r="G30" s="8">
        <f>+F30</f>
        <v>0</v>
      </c>
      <c r="H30" s="8">
        <f t="shared" ref="H30" si="5">+G30</f>
        <v>0</v>
      </c>
      <c r="I30" s="8"/>
      <c r="J30" s="10"/>
      <c r="K30" s="8">
        <f>H30+I30</f>
        <v>0</v>
      </c>
      <c r="L30" s="8"/>
      <c r="M30" s="10"/>
      <c r="N30" s="10"/>
      <c r="O30" s="10"/>
      <c r="P30" s="8">
        <f>ROUND(K30*O$18/J$18,2)</f>
        <v>0</v>
      </c>
      <c r="R30" s="8">
        <f>+P30+Q30</f>
        <v>0</v>
      </c>
    </row>
    <row r="31" spans="1:18">
      <c r="D31" s="8"/>
      <c r="E31" s="8"/>
      <c r="F31" s="8"/>
      <c r="G31" s="8"/>
      <c r="H31" s="8"/>
      <c r="I31" s="8"/>
      <c r="J31" s="10"/>
      <c r="K31" s="8"/>
      <c r="L31" s="8"/>
      <c r="M31" s="10"/>
      <c r="N31" s="10"/>
      <c r="O31" s="10"/>
      <c r="P31" s="8"/>
    </row>
    <row r="32" spans="1:18">
      <c r="A32" t="str">
        <f>+RS!A31</f>
        <v>Environmental Surcharge</v>
      </c>
      <c r="D32" s="8">
        <f>+'B&amp;A Surcharges'!J35</f>
        <v>-3850.81</v>
      </c>
      <c r="E32" s="8">
        <f>D32</f>
        <v>-3850.81</v>
      </c>
      <c r="F32" s="8">
        <f>E32</f>
        <v>-3850.81</v>
      </c>
      <c r="G32" s="8">
        <v>0</v>
      </c>
      <c r="H32" s="8">
        <f t="shared" ref="H32" si="6">+G32</f>
        <v>0</v>
      </c>
      <c r="I32" s="95">
        <v>0</v>
      </c>
      <c r="J32" s="10"/>
      <c r="K32" s="8">
        <f>H32+I32</f>
        <v>0</v>
      </c>
      <c r="L32" s="95">
        <v>0</v>
      </c>
      <c r="M32" s="10"/>
      <c r="N32" s="8">
        <f>P32-K32-L32</f>
        <v>0</v>
      </c>
      <c r="O32" s="10"/>
      <c r="P32" s="8">
        <f>ROUND(K32*SUM(P13:P28)/SUM(K13:K28),2)</f>
        <v>0</v>
      </c>
      <c r="R32" s="8">
        <f>+P32+Q32</f>
        <v>0</v>
      </c>
    </row>
    <row r="33" spans="1:18">
      <c r="D33" s="8"/>
      <c r="E33" s="8"/>
      <c r="F33" s="8"/>
      <c r="G33" s="8"/>
      <c r="H33" s="8"/>
      <c r="I33" s="8"/>
      <c r="J33" s="10"/>
      <c r="K33" s="8"/>
      <c r="L33" s="8"/>
      <c r="M33" s="10"/>
      <c r="N33" s="8"/>
      <c r="O33" s="10"/>
      <c r="P33" s="8"/>
    </row>
    <row r="34" spans="1:18">
      <c r="A34" t="str">
        <f>RS!A33</f>
        <v>Capacity Charge</v>
      </c>
      <c r="D34" s="8">
        <f>+'B&amp;A Surcharges'!F35</f>
        <v>7582.119999999999</v>
      </c>
      <c r="E34" s="8">
        <f>D34</f>
        <v>7582.119999999999</v>
      </c>
      <c r="F34" s="8">
        <v>0</v>
      </c>
      <c r="G34" s="8">
        <f>+F34</f>
        <v>0</v>
      </c>
      <c r="H34" s="8">
        <f>+G34</f>
        <v>0</v>
      </c>
      <c r="I34" s="10"/>
      <c r="J34" s="10"/>
      <c r="K34" s="8">
        <f>H34+I34</f>
        <v>0</v>
      </c>
      <c r="L34" s="10"/>
      <c r="M34" s="10"/>
      <c r="N34" s="10"/>
      <c r="O34" s="10"/>
      <c r="P34" s="8">
        <f>ROUND(K34*O$18/J$18,2)</f>
        <v>0</v>
      </c>
      <c r="R34" s="8">
        <f>+P34+Q34</f>
        <v>0</v>
      </c>
    </row>
    <row r="35" spans="1:18">
      <c r="D35" s="8"/>
      <c r="E35" s="8"/>
      <c r="F35" s="8"/>
      <c r="G35" s="8"/>
      <c r="H35" s="8"/>
      <c r="I35" s="10"/>
      <c r="J35" s="10"/>
      <c r="K35" s="8"/>
      <c r="L35" s="10"/>
      <c r="M35" s="10"/>
      <c r="N35" s="10"/>
      <c r="O35" s="10"/>
      <c r="P35" s="8"/>
    </row>
    <row r="36" spans="1:18">
      <c r="A36" t="str">
        <f>RS!A35</f>
        <v>Asset Transfer Rider</v>
      </c>
      <c r="D36" s="8">
        <f>'B&amp;A Surcharges'!N35</f>
        <v>56012.590000000004</v>
      </c>
      <c r="E36" s="8">
        <f>D36</f>
        <v>56012.590000000004</v>
      </c>
      <c r="F36" s="8">
        <f>E36</f>
        <v>56012.590000000004</v>
      </c>
      <c r="G36" s="8">
        <f>+F36</f>
        <v>56012.590000000004</v>
      </c>
      <c r="H36" s="8">
        <f t="shared" ref="H36" si="7">+G36</f>
        <v>56012.590000000004</v>
      </c>
      <c r="I36" s="95">
        <v>10392.115</v>
      </c>
      <c r="J36" s="10"/>
      <c r="K36" s="8">
        <f>H36+I36</f>
        <v>66404.705000000002</v>
      </c>
      <c r="L36" s="95">
        <v>-17.150000000000002</v>
      </c>
      <c r="M36" s="10"/>
      <c r="N36" s="8">
        <f>P36-K36-L36</f>
        <v>-2532.3850000000034</v>
      </c>
      <c r="O36" s="10"/>
      <c r="P36" s="8">
        <f>ROUND(K36*SUM(P14:P27)/SUM(K14:K27),2)</f>
        <v>63855.17</v>
      </c>
      <c r="Q36" s="8">
        <f>+'ATR Adjustment WP'!G35</f>
        <v>21054.992997451274</v>
      </c>
      <c r="R36" s="8">
        <f>+P36+Q36</f>
        <v>84910.162997451276</v>
      </c>
    </row>
    <row r="37" spans="1:18">
      <c r="D37" s="8"/>
      <c r="E37" s="8"/>
      <c r="F37" s="8"/>
      <c r="G37" s="8"/>
      <c r="H37" s="8"/>
      <c r="I37" s="10"/>
      <c r="J37" s="10"/>
      <c r="K37" s="8"/>
      <c r="L37" s="8"/>
      <c r="M37" s="10"/>
      <c r="N37" s="10"/>
      <c r="O37" s="10"/>
      <c r="P37" s="8"/>
    </row>
    <row r="38" spans="1:18">
      <c r="A38" t="str">
        <f>+RS!A39</f>
        <v>Total</v>
      </c>
      <c r="D38" s="8">
        <f t="shared" ref="D38:H38" si="8">SUM(D14:D37)</f>
        <v>841956.3957199998</v>
      </c>
      <c r="E38" s="8">
        <f t="shared" si="8"/>
        <v>839254.13571999979</v>
      </c>
      <c r="F38" s="8">
        <f t="shared" si="8"/>
        <v>831672.01571999979</v>
      </c>
      <c r="G38" s="8">
        <f t="shared" si="8"/>
        <v>835522.82571999985</v>
      </c>
      <c r="H38" s="8">
        <f t="shared" si="8"/>
        <v>828130.54571999982</v>
      </c>
      <c r="I38" s="10"/>
      <c r="J38" s="10"/>
      <c r="K38" s="8">
        <f>SUM(K14:K37)</f>
        <v>1035270.29504</v>
      </c>
      <c r="L38" s="8">
        <f>SUM(L27:L37)</f>
        <v>-236.74500000000003</v>
      </c>
      <c r="M38" s="10"/>
      <c r="N38" s="10"/>
      <c r="O38" s="10"/>
      <c r="P38" s="8">
        <f>SUM(P14:P37)</f>
        <v>995526.69704</v>
      </c>
      <c r="R38" s="8">
        <f>SUM(R14:R37)</f>
        <v>1016581.6900374512</v>
      </c>
    </row>
    <row r="40" spans="1:18">
      <c r="P40" s="8"/>
    </row>
    <row r="41" spans="1:18">
      <c r="P41" s="8"/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>
      <selection activeCell="A33" sqref="A33:XFD34"/>
    </sheetView>
  </sheetViews>
  <sheetFormatPr defaultRowHeight="12.75"/>
  <cols>
    <col min="1" max="1" width="27.28515625" customWidth="1"/>
    <col min="2" max="2" width="9.7109375" bestFit="1" customWidth="1"/>
    <col min="3" max="3" width="8.570312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113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4" t="s">
        <v>22</v>
      </c>
      <c r="D13" s="10"/>
      <c r="E13" s="11"/>
      <c r="F13" s="11"/>
      <c r="G13" s="11"/>
      <c r="H13" s="11"/>
      <c r="L13" s="6"/>
      <c r="M13" s="6"/>
      <c r="N13" s="6"/>
      <c r="O13" s="6"/>
      <c r="P13" s="10"/>
    </row>
    <row r="14" spans="1:18">
      <c r="A14" t="s">
        <v>111</v>
      </c>
      <c r="B14" s="74">
        <v>710803</v>
      </c>
      <c r="C14" s="71">
        <v>8.3610000000000004E-2</v>
      </c>
      <c r="D14" s="8">
        <f>+B14*C14</f>
        <v>59430.238830000002</v>
      </c>
      <c r="E14" s="8">
        <f>D14</f>
        <v>59430.238830000002</v>
      </c>
      <c r="F14" s="8">
        <f>E14</f>
        <v>59430.238830000002</v>
      </c>
      <c r="G14" s="8">
        <f>+F14</f>
        <v>59430.238830000002</v>
      </c>
      <c r="H14" s="8">
        <f t="shared" ref="H14:H15" si="0">+G14</f>
        <v>59430.238830000002</v>
      </c>
      <c r="I14" s="74">
        <v>-312900</v>
      </c>
      <c r="J14" s="6">
        <f>+B14+I14</f>
        <v>397903</v>
      </c>
      <c r="K14" s="8">
        <f>+C14*J14</f>
        <v>33268.669829999999</v>
      </c>
      <c r="L14" s="6">
        <v>0</v>
      </c>
      <c r="M14" s="6">
        <f>J14+L14</f>
        <v>397903</v>
      </c>
      <c r="N14" s="6">
        <f>O14-M14</f>
        <v>-12836</v>
      </c>
      <c r="O14" s="6">
        <f>ROUND(M14*O$25/M$25,0)</f>
        <v>385067</v>
      </c>
      <c r="P14" s="8">
        <f>+O14*C14</f>
        <v>32195.451870000001</v>
      </c>
      <c r="R14" s="8">
        <f>+P14+Q14</f>
        <v>32195.451870000001</v>
      </c>
    </row>
    <row r="15" spans="1:18">
      <c r="A15" t="s">
        <v>112</v>
      </c>
      <c r="B15" s="74">
        <v>798317</v>
      </c>
      <c r="C15" s="71">
        <v>7.8509999999999996E-2</v>
      </c>
      <c r="D15" s="8">
        <f>+B15*C15</f>
        <v>62675.86767</v>
      </c>
      <c r="E15" s="8">
        <f>D15</f>
        <v>62675.86767</v>
      </c>
      <c r="F15" s="8">
        <f>E15</f>
        <v>62675.86767</v>
      </c>
      <c r="G15" s="8">
        <f>+F15</f>
        <v>62675.86767</v>
      </c>
      <c r="H15" s="8">
        <f t="shared" si="0"/>
        <v>62675.86767</v>
      </c>
      <c r="I15" s="74">
        <v>-158200</v>
      </c>
      <c r="J15" s="6">
        <f>+B15+I15</f>
        <v>640117</v>
      </c>
      <c r="K15" s="8">
        <f>+C15*J15</f>
        <v>50255.58567</v>
      </c>
      <c r="L15" s="6">
        <v>0</v>
      </c>
      <c r="M15" s="6">
        <f>J15+L15</f>
        <v>640117</v>
      </c>
      <c r="N15" s="6">
        <f>O15-M15</f>
        <v>-20649</v>
      </c>
      <c r="O15" s="6">
        <f>ROUND(M15*O$25/M$25,0)</f>
        <v>619468</v>
      </c>
      <c r="P15" s="8">
        <f>+O15*C15</f>
        <v>48634.432679999998</v>
      </c>
      <c r="R15" s="8">
        <f>+P15+Q15</f>
        <v>48634.432679999998</v>
      </c>
    </row>
    <row r="16" spans="1:18">
      <c r="A16" t="s">
        <v>200</v>
      </c>
      <c r="B16" s="74">
        <v>3341</v>
      </c>
      <c r="C16" s="72"/>
      <c r="D16" s="8"/>
      <c r="E16" s="8"/>
      <c r="F16" s="8"/>
      <c r="G16" s="8"/>
      <c r="H16" s="8"/>
      <c r="I16" s="74">
        <v>0</v>
      </c>
      <c r="J16" s="6">
        <f>+B16+I16</f>
        <v>3341</v>
      </c>
      <c r="K16" s="8"/>
      <c r="L16" s="6">
        <v>0</v>
      </c>
      <c r="M16" s="6">
        <f>J16+L16</f>
        <v>3341</v>
      </c>
      <c r="N16" s="6">
        <f>O16-M16</f>
        <v>-108</v>
      </c>
      <c r="O16" s="6">
        <f>ROUND(M16*O$25/M$25,0)</f>
        <v>3233</v>
      </c>
      <c r="P16" s="8"/>
    </row>
    <row r="17" spans="1:18">
      <c r="A17" t="s">
        <v>12</v>
      </c>
      <c r="B17" s="87">
        <f>+'12 Months TS'!E75</f>
        <v>1512461</v>
      </c>
      <c r="C17" s="72"/>
      <c r="D17" s="8"/>
      <c r="E17" s="8"/>
      <c r="F17" s="8"/>
      <c r="G17" s="8"/>
      <c r="H17" s="8"/>
      <c r="I17" s="6">
        <f>SUM(I14:I16)</f>
        <v>-471100</v>
      </c>
      <c r="J17" s="6">
        <f>+B17+I17</f>
        <v>1041361</v>
      </c>
      <c r="K17" s="8"/>
      <c r="L17" s="6">
        <f>SUM(L14:L16)</f>
        <v>0</v>
      </c>
      <c r="M17" s="6">
        <f>SUM(M14:M16)</f>
        <v>1041361</v>
      </c>
      <c r="N17" s="6">
        <f>SUM(N14:N16)</f>
        <v>-33593</v>
      </c>
      <c r="O17" s="6">
        <f>SUM(O14:O16)</f>
        <v>1007768</v>
      </c>
      <c r="P17" s="8"/>
    </row>
    <row r="18" spans="1:18">
      <c r="B18" s="6"/>
      <c r="D18" s="8"/>
      <c r="E18" s="8"/>
      <c r="F18" s="8"/>
      <c r="G18" s="8"/>
      <c r="H18" s="8"/>
      <c r="I18" s="6"/>
      <c r="K18" s="8"/>
      <c r="P18" s="8"/>
    </row>
    <row r="19" spans="1:18">
      <c r="A19" t="s">
        <v>21</v>
      </c>
      <c r="B19" s="6"/>
      <c r="D19" s="8"/>
      <c r="E19" s="8"/>
      <c r="F19" s="8"/>
      <c r="G19" s="8"/>
      <c r="H19" s="8"/>
      <c r="I19" s="6"/>
      <c r="K19" s="8"/>
      <c r="P19" s="8"/>
    </row>
    <row r="20" spans="1:18">
      <c r="A20" t="s">
        <v>106</v>
      </c>
      <c r="B20" s="74">
        <v>4412.2</v>
      </c>
      <c r="C20" s="73">
        <v>1.55</v>
      </c>
      <c r="D20" s="8">
        <f>+B20*C20</f>
        <v>6838.91</v>
      </c>
      <c r="E20" s="8">
        <f>D20</f>
        <v>6838.91</v>
      </c>
      <c r="F20" s="8">
        <f>E20</f>
        <v>6838.91</v>
      </c>
      <c r="G20" s="8">
        <f>+F20</f>
        <v>6838.91</v>
      </c>
      <c r="H20" s="8">
        <f t="shared" ref="H20:H21" si="1">+G20</f>
        <v>6838.91</v>
      </c>
      <c r="I20" s="74">
        <v>-1821</v>
      </c>
      <c r="J20" s="6">
        <f>+B20+I20</f>
        <v>2591.1999999999998</v>
      </c>
      <c r="K20" s="8">
        <f>+C20*J20</f>
        <v>4016.3599999999997</v>
      </c>
      <c r="L20" s="6">
        <v>0</v>
      </c>
      <c r="M20" s="6">
        <f>J20+L20</f>
        <v>2591.1999999999998</v>
      </c>
      <c r="N20" s="6">
        <f>O20-M20</f>
        <v>-83.199999999999818</v>
      </c>
      <c r="O20" s="6">
        <f>ROUND(M20*O$25/M$25,0)</f>
        <v>2508</v>
      </c>
      <c r="P20" s="8">
        <f>+O20*C20</f>
        <v>3887.4</v>
      </c>
      <c r="R20" s="8">
        <f t="shared" ref="R20:R21" si="2">+P20+Q20</f>
        <v>3887.4</v>
      </c>
    </row>
    <row r="21" spans="1:18">
      <c r="A21" t="s">
        <v>160</v>
      </c>
      <c r="B21" s="74">
        <v>324.39999999999998</v>
      </c>
      <c r="C21" s="73">
        <f>+'MGS-SEC'!C21</f>
        <v>6.84</v>
      </c>
      <c r="D21" s="8">
        <f>+B21*C21</f>
        <v>2218.8959999999997</v>
      </c>
      <c r="E21" s="8">
        <f>D21</f>
        <v>2218.8959999999997</v>
      </c>
      <c r="F21" s="8">
        <f>E21</f>
        <v>2218.8959999999997</v>
      </c>
      <c r="G21" s="8">
        <f>+F21</f>
        <v>2218.8959999999997</v>
      </c>
      <c r="H21" s="8">
        <f t="shared" si="1"/>
        <v>2218.8959999999997</v>
      </c>
      <c r="I21" s="74">
        <v>0</v>
      </c>
      <c r="J21" s="6">
        <f>+B21+I21</f>
        <v>324.39999999999998</v>
      </c>
      <c r="K21" s="8">
        <f>+C21*J21</f>
        <v>2218.8959999999997</v>
      </c>
      <c r="L21" s="6">
        <v>0</v>
      </c>
      <c r="M21" s="6">
        <f>J21+L21</f>
        <v>324.39999999999998</v>
      </c>
      <c r="N21" s="6">
        <f>O21-M21</f>
        <v>-10.399999999999977</v>
      </c>
      <c r="O21" s="6">
        <f>ROUND(M21*O$25/M$25,0)</f>
        <v>314</v>
      </c>
      <c r="P21" s="8">
        <f>+O21*C21</f>
        <v>2147.7599999999998</v>
      </c>
      <c r="R21" s="8">
        <f t="shared" si="2"/>
        <v>2147.7599999999998</v>
      </c>
    </row>
    <row r="22" spans="1:18">
      <c r="B22" s="6"/>
      <c r="C22" s="24"/>
      <c r="D22" s="8"/>
      <c r="E22" s="8"/>
      <c r="F22" s="8"/>
      <c r="G22" s="8"/>
      <c r="H22" s="8"/>
      <c r="I22" s="6"/>
      <c r="K22" s="8"/>
      <c r="P22" s="8"/>
    </row>
    <row r="23" spans="1:18">
      <c r="A23" t="s">
        <v>13</v>
      </c>
      <c r="B23" s="82">
        <v>146.34199999999998</v>
      </c>
      <c r="C23" s="73">
        <v>182</v>
      </c>
      <c r="D23" s="8">
        <f>+B23*C23</f>
        <v>26634.243999999999</v>
      </c>
      <c r="E23" s="8">
        <f>D23</f>
        <v>26634.243999999999</v>
      </c>
      <c r="F23" s="8">
        <f>E23</f>
        <v>26634.243999999999</v>
      </c>
      <c r="G23" s="8">
        <f>+F23</f>
        <v>26634.243999999999</v>
      </c>
      <c r="H23" s="8">
        <f>+G23</f>
        <v>26634.243999999999</v>
      </c>
      <c r="I23" s="74">
        <v>-23</v>
      </c>
      <c r="J23" s="6">
        <f>+B23+I23</f>
        <v>123.34199999999998</v>
      </c>
      <c r="K23" s="8">
        <f>+C23*J23</f>
        <v>22448.243999999999</v>
      </c>
      <c r="L23" s="6">
        <v>0</v>
      </c>
      <c r="M23" s="6">
        <f>J23+L23</f>
        <v>123.34199999999998</v>
      </c>
      <c r="N23" s="6">
        <f>O23-M23</f>
        <v>-4.3419999999999845</v>
      </c>
      <c r="O23" s="6">
        <f>ROUND(M23*O$25/M$25,0)</f>
        <v>119</v>
      </c>
      <c r="P23" s="8">
        <f>+O23*C23</f>
        <v>21658</v>
      </c>
      <c r="R23" s="8">
        <f>+P23+Q23</f>
        <v>21658</v>
      </c>
    </row>
    <row r="24" spans="1:18">
      <c r="B24" s="6"/>
      <c r="D24" s="8"/>
      <c r="E24" s="8"/>
      <c r="F24" s="8"/>
      <c r="G24" s="8"/>
      <c r="H24" s="8"/>
      <c r="I24" s="6"/>
      <c r="K24" s="8"/>
      <c r="P24" s="8"/>
    </row>
    <row r="25" spans="1:18">
      <c r="A25" t="s">
        <v>14</v>
      </c>
      <c r="B25" s="6">
        <f>'Monthly # of Customers'!N56</f>
        <v>147</v>
      </c>
      <c r="D25" s="8"/>
      <c r="E25" s="8"/>
      <c r="F25" s="8"/>
      <c r="G25" s="8"/>
      <c r="H25" s="8"/>
      <c r="I25" s="74">
        <v>-23</v>
      </c>
      <c r="J25" s="6">
        <f>+B25+I25</f>
        <v>124</v>
      </c>
      <c r="K25" s="8"/>
      <c r="L25" s="6">
        <v>0</v>
      </c>
      <c r="M25" s="6">
        <f>J25+L25</f>
        <v>124</v>
      </c>
      <c r="N25" s="6">
        <f>O25-M25</f>
        <v>-4</v>
      </c>
      <c r="O25" s="6">
        <f>'Monthly # of Customers'!M56*12</f>
        <v>120</v>
      </c>
      <c r="P25" s="8"/>
    </row>
    <row r="26" spans="1:18">
      <c r="D26" s="8"/>
      <c r="E26" s="8"/>
      <c r="F26" s="8"/>
      <c r="G26" s="8"/>
      <c r="H26" s="8"/>
      <c r="K26" s="8"/>
      <c r="L26" s="8">
        <f>L14*C14+L15*C15+L20*C20+L21*C21+L23*C23</f>
        <v>0</v>
      </c>
      <c r="N26" s="36"/>
      <c r="P26" s="8"/>
    </row>
    <row r="27" spans="1:18">
      <c r="A27" t="str">
        <f>+RS!A27</f>
        <v xml:space="preserve">Fuel </v>
      </c>
      <c r="D27" s="8">
        <f>+'B&amp;A Surcharges'!B37</f>
        <v>4409.42</v>
      </c>
      <c r="E27" s="8">
        <f>D27</f>
        <v>4409.42</v>
      </c>
      <c r="F27" s="8">
        <f>E27</f>
        <v>4409.42</v>
      </c>
      <c r="G27" s="8">
        <f>+F27</f>
        <v>4409.42</v>
      </c>
      <c r="H27" s="8">
        <f>ROUND(B17*H11,2)</f>
        <v>3087.12</v>
      </c>
      <c r="I27" s="8">
        <f>ROUND(H11*I17,2)</f>
        <v>-961.57</v>
      </c>
      <c r="J27" s="10"/>
      <c r="K27" s="8">
        <f>+H27+I27</f>
        <v>2125.5499999999997</v>
      </c>
      <c r="L27" s="8">
        <f>L17*H11</f>
        <v>0</v>
      </c>
      <c r="M27" s="10"/>
      <c r="N27" s="36">
        <f>N17*H11</f>
        <v>-68.567410176030734</v>
      </c>
      <c r="O27" s="10"/>
      <c r="P27" s="8">
        <f>ROUND(O17*H11,2)</f>
        <v>2056.98</v>
      </c>
      <c r="R27" s="8">
        <f>+P27+Q27</f>
        <v>2056.98</v>
      </c>
    </row>
    <row r="28" spans="1:18">
      <c r="D28" s="8"/>
      <c r="E28" s="8"/>
      <c r="F28" s="8"/>
      <c r="G28" s="8"/>
      <c r="H28" s="8"/>
      <c r="I28" s="8"/>
      <c r="J28" s="10"/>
      <c r="K28" s="8"/>
      <c r="L28" s="8"/>
      <c r="M28" s="10"/>
      <c r="N28" s="36"/>
      <c r="O28" s="10"/>
      <c r="P28" s="8"/>
    </row>
    <row r="29" spans="1:18">
      <c r="A29" t="str">
        <f>+RS!A29</f>
        <v>System Sales Clause</v>
      </c>
      <c r="D29" s="8">
        <f>+'B&amp;A Surcharges'!D37</f>
        <v>431.69</v>
      </c>
      <c r="E29" s="8">
        <v>0</v>
      </c>
      <c r="F29" s="8">
        <f>E29</f>
        <v>0</v>
      </c>
      <c r="G29" s="8">
        <f>+F29</f>
        <v>0</v>
      </c>
      <c r="H29" s="8">
        <f>+G29</f>
        <v>0</v>
      </c>
      <c r="I29" s="8"/>
      <c r="J29" s="10"/>
      <c r="K29" s="8">
        <f>+H29+I29</f>
        <v>0</v>
      </c>
      <c r="L29" s="8"/>
      <c r="M29" s="10"/>
      <c r="N29" s="36"/>
      <c r="O29" s="10"/>
      <c r="P29" s="8">
        <f>ROUND(K29*O$17/J$17,2)</f>
        <v>0</v>
      </c>
      <c r="R29" s="8">
        <f>+P29+Q29</f>
        <v>0</v>
      </c>
    </row>
    <row r="30" spans="1:18">
      <c r="D30" s="8"/>
      <c r="E30" s="8"/>
      <c r="F30" s="8"/>
      <c r="G30" s="8"/>
      <c r="H30" s="8"/>
      <c r="I30" s="8"/>
      <c r="J30" s="10"/>
      <c r="K30" s="8"/>
      <c r="L30" s="8"/>
      <c r="M30" s="10"/>
      <c r="N30" s="36"/>
      <c r="O30" s="10"/>
      <c r="P30" s="8"/>
    </row>
    <row r="31" spans="1:18">
      <c r="A31" t="str">
        <f>+RS!A31</f>
        <v>Environmental Surcharge</v>
      </c>
      <c r="D31" s="8">
        <f>+'B&amp;A Surcharges'!J37</f>
        <v>-858.66</v>
      </c>
      <c r="E31" s="8">
        <f>D31</f>
        <v>-858.66</v>
      </c>
      <c r="F31" s="8">
        <f>E31</f>
        <v>-858.66</v>
      </c>
      <c r="G31" s="8">
        <v>0</v>
      </c>
      <c r="H31" s="8">
        <f>+G31</f>
        <v>0</v>
      </c>
      <c r="I31" s="95">
        <v>0</v>
      </c>
      <c r="J31" s="10"/>
      <c r="K31" s="8">
        <f>+H31+I31</f>
        <v>0</v>
      </c>
      <c r="L31" s="8">
        <f>ROUND(K31*SUM(L26:L27)/SUM(K12:K27),2)</f>
        <v>0</v>
      </c>
      <c r="M31" s="10"/>
      <c r="N31" s="36">
        <f>P31-K31-L31</f>
        <v>0</v>
      </c>
      <c r="O31" s="10"/>
      <c r="P31" s="8">
        <f>ROUND(K31*SUM(P13:P27)/SUM(K13:K27),2)</f>
        <v>0</v>
      </c>
      <c r="R31" s="8">
        <f>+P31+Q31</f>
        <v>0</v>
      </c>
    </row>
    <row r="32" spans="1:18">
      <c r="D32" s="8"/>
      <c r="E32" s="8"/>
      <c r="F32" s="8"/>
      <c r="G32" s="8"/>
      <c r="H32" s="8"/>
      <c r="I32" s="8"/>
      <c r="J32" s="10"/>
      <c r="K32" s="8"/>
      <c r="L32" s="8"/>
      <c r="M32" s="10"/>
      <c r="N32" s="36"/>
      <c r="O32" s="10"/>
      <c r="P32" s="8"/>
    </row>
    <row r="33" spans="1:18">
      <c r="A33" t="str">
        <f>RS!A33</f>
        <v>Capacity Charge</v>
      </c>
      <c r="D33" s="8">
        <f>+'B&amp;A Surcharges'!F37</f>
        <v>1467.08</v>
      </c>
      <c r="E33" s="8">
        <f>D33</f>
        <v>1467.08</v>
      </c>
      <c r="F33" s="8">
        <v>0</v>
      </c>
      <c r="G33" s="8">
        <f>+F33</f>
        <v>0</v>
      </c>
      <c r="H33" s="8">
        <f>+G33</f>
        <v>0</v>
      </c>
      <c r="I33" s="10"/>
      <c r="J33" s="10"/>
      <c r="K33" s="8">
        <f>+H33+I33</f>
        <v>0</v>
      </c>
      <c r="L33" s="8"/>
      <c r="M33" s="10"/>
      <c r="N33" s="36"/>
      <c r="O33" s="10"/>
      <c r="P33" s="8">
        <f>ROUND(K33*O$17/J$17,2)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10"/>
      <c r="J34" s="10"/>
      <c r="K34" s="8"/>
      <c r="L34" s="8"/>
      <c r="M34" s="10"/>
      <c r="N34" s="36"/>
      <c r="O34" s="10"/>
      <c r="P34" s="8"/>
    </row>
    <row r="35" spans="1:18">
      <c r="A35" t="str">
        <f>RS!A35</f>
        <v>Asset Transfer Rider</v>
      </c>
      <c r="D35" s="8">
        <f>+'B&amp;A Surcharges'!N37</f>
        <v>11520.03</v>
      </c>
      <c r="E35" s="8">
        <f>D35</f>
        <v>11520.03</v>
      </c>
      <c r="F35" s="8">
        <f>E35</f>
        <v>11520.03</v>
      </c>
      <c r="G35" s="8">
        <f>+F35</f>
        <v>11520.03</v>
      </c>
      <c r="H35" s="8">
        <f>+G35</f>
        <v>11520.03</v>
      </c>
      <c r="I35" s="95">
        <v>-3589.7479999999996</v>
      </c>
      <c r="J35" s="10"/>
      <c r="K35" s="8">
        <f>+H35+I35</f>
        <v>7930.2820000000011</v>
      </c>
      <c r="L35" s="8">
        <f>ROUND(K35*SUM(L32:L32)/SUM(K18:K32),2)</f>
        <v>0</v>
      </c>
      <c r="M35" s="10"/>
      <c r="N35" s="36">
        <f>P35-K35-L35</f>
        <v>-260.41200000000117</v>
      </c>
      <c r="O35" s="10"/>
      <c r="P35" s="8">
        <f>ROUND(K35*SUM(P14:P26)/SUM(K14:K26),2)</f>
        <v>7669.87</v>
      </c>
      <c r="Q35" s="8">
        <f>+'ATR Adjustment WP'!G37</f>
        <v>2528.9895734575853</v>
      </c>
      <c r="R35" s="8">
        <f>+P35+Q35</f>
        <v>10198.859573457585</v>
      </c>
    </row>
    <row r="36" spans="1:18">
      <c r="D36" s="8"/>
      <c r="E36" s="8"/>
      <c r="F36" s="8"/>
      <c r="G36" s="8"/>
      <c r="H36" s="8"/>
      <c r="I36" s="10"/>
      <c r="J36" s="10"/>
      <c r="K36" s="8"/>
      <c r="L36" s="8"/>
      <c r="M36" s="10"/>
      <c r="N36" s="36"/>
      <c r="O36" s="10"/>
      <c r="P36" s="8"/>
    </row>
    <row r="37" spans="1:18">
      <c r="A37" t="str">
        <f>+RS!A39</f>
        <v>Total</v>
      </c>
      <c r="D37" s="8">
        <f t="shared" ref="D37:H37" si="3">SUM(D14:D36)</f>
        <v>174767.71650000001</v>
      </c>
      <c r="E37" s="8">
        <f t="shared" si="3"/>
        <v>174336.02650000001</v>
      </c>
      <c r="F37" s="8">
        <f t="shared" si="3"/>
        <v>172868.94650000002</v>
      </c>
      <c r="G37" s="8">
        <f t="shared" si="3"/>
        <v>173727.60650000002</v>
      </c>
      <c r="H37" s="8">
        <f t="shared" si="3"/>
        <v>172405.30650000001</v>
      </c>
      <c r="I37" s="10"/>
      <c r="J37" s="10"/>
      <c r="K37" s="8">
        <f>SUM(K14:K36)</f>
        <v>122263.58750000001</v>
      </c>
      <c r="L37" s="8">
        <f>SUM(L26:L36)</f>
        <v>0</v>
      </c>
      <c r="M37" s="10"/>
      <c r="N37" s="36"/>
      <c r="O37" s="10"/>
      <c r="P37" s="8">
        <f>SUM(P14:P36)</f>
        <v>118249.89454999998</v>
      </c>
      <c r="R37" s="8">
        <f>SUM(R14:R36)</f>
        <v>120778.88412345757</v>
      </c>
    </row>
    <row r="38" spans="1:18">
      <c r="K38" s="30"/>
      <c r="N38" s="59"/>
    </row>
  </sheetData>
  <phoneticPr fontId="0" type="noConversion"/>
  <printOptions horizontalCentered="1"/>
  <pageMargins left="0.25" right="0.25" top="0.75" bottom="0.75" header="0.3" footer="0.3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activeCell="I69" sqref="I69"/>
    </sheetView>
  </sheetViews>
  <sheetFormatPr defaultRowHeight="15"/>
  <cols>
    <col min="1" max="1" width="7.140625" style="114" customWidth="1"/>
    <col min="2" max="2" width="2.7109375" style="114" customWidth="1"/>
    <col min="3" max="3" width="6.140625" style="114" customWidth="1"/>
    <col min="4" max="4" width="51.85546875" style="114" bestFit="1" customWidth="1"/>
    <col min="5" max="5" width="14" style="114" bestFit="1" customWidth="1"/>
    <col min="6" max="6" width="2.7109375" style="114" customWidth="1"/>
    <col min="7" max="8" width="9.140625" style="114"/>
    <col min="9" max="9" width="13.7109375" style="114" bestFit="1" customWidth="1"/>
    <col min="10" max="10" width="9.140625" style="114"/>
    <col min="11" max="11" width="11.5703125" style="114" bestFit="1" customWidth="1"/>
    <col min="12" max="16384" width="9.140625" style="114"/>
  </cols>
  <sheetData>
    <row r="1" spans="1:6">
      <c r="A1" s="114" t="s">
        <v>206</v>
      </c>
    </row>
    <row r="2" spans="1:6">
      <c r="A2" s="114" t="s">
        <v>424</v>
      </c>
    </row>
    <row r="3" spans="1:6">
      <c r="A3" s="114" t="s">
        <v>425</v>
      </c>
    </row>
    <row r="7" spans="1:6">
      <c r="A7" s="115" t="s">
        <v>426</v>
      </c>
      <c r="B7" s="115"/>
    </row>
    <row r="8" spans="1:6">
      <c r="A8" s="116" t="s">
        <v>427</v>
      </c>
      <c r="B8" s="116"/>
      <c r="D8" s="116" t="s">
        <v>1</v>
      </c>
      <c r="E8" s="116" t="s">
        <v>428</v>
      </c>
    </row>
    <row r="11" spans="1:6">
      <c r="C11" s="117" t="s">
        <v>429</v>
      </c>
    </row>
    <row r="13" spans="1:6" ht="15" customHeight="1">
      <c r="A13" s="115">
        <v>1</v>
      </c>
      <c r="D13" s="118" t="s">
        <v>430</v>
      </c>
      <c r="E13" s="119">
        <v>567450376.09000003</v>
      </c>
      <c r="F13" s="120"/>
    </row>
    <row r="14" spans="1:6">
      <c r="A14" s="115"/>
      <c r="D14" s="118"/>
      <c r="E14" s="122"/>
    </row>
    <row r="15" spans="1:6">
      <c r="A15" s="115">
        <f>+A13+1</f>
        <v>2</v>
      </c>
      <c r="D15" s="118" t="s">
        <v>431</v>
      </c>
      <c r="E15" s="123">
        <v>-3615458.96</v>
      </c>
    </row>
    <row r="16" spans="1:6">
      <c r="A16" s="115"/>
      <c r="E16" s="122"/>
    </row>
    <row r="17" spans="1:11">
      <c r="A17" s="115">
        <f>+A15+1</f>
        <v>3</v>
      </c>
      <c r="D17" s="118" t="s">
        <v>432</v>
      </c>
      <c r="E17" s="123">
        <f>+'PB - CC'!D71</f>
        <v>-5719969.6999999983</v>
      </c>
      <c r="F17" s="125"/>
    </row>
    <row r="18" spans="1:11">
      <c r="A18" s="115"/>
      <c r="E18" s="122"/>
    </row>
    <row r="19" spans="1:11">
      <c r="A19" s="115">
        <f>+A17+1</f>
        <v>4</v>
      </c>
      <c r="D19" s="118" t="s">
        <v>433</v>
      </c>
      <c r="E19" s="126">
        <v>79106.542486786842</v>
      </c>
      <c r="F19" s="125"/>
      <c r="G19" s="138"/>
      <c r="I19" s="124"/>
    </row>
    <row r="20" spans="1:11">
      <c r="A20" s="115"/>
      <c r="E20" s="122"/>
    </row>
    <row r="21" spans="1:11">
      <c r="A21" s="115">
        <f>+A19+1</f>
        <v>5</v>
      </c>
      <c r="D21" s="118" t="s">
        <v>434</v>
      </c>
      <c r="E21" s="126">
        <f>+'PB - SS'!D71</f>
        <v>-2486805.6500000097</v>
      </c>
      <c r="F21" s="125"/>
    </row>
    <row r="22" spans="1:11">
      <c r="A22" s="115"/>
      <c r="D22" s="118"/>
      <c r="E22" s="127"/>
      <c r="F22" s="125"/>
    </row>
    <row r="23" spans="1:11">
      <c r="A23" s="115">
        <f>+A21+1</f>
        <v>6</v>
      </c>
      <c r="D23" s="118" t="s">
        <v>435</v>
      </c>
      <c r="E23" s="126">
        <f>+'PB - ES'!D71</f>
        <v>2812947.0900000045</v>
      </c>
      <c r="F23" s="125"/>
      <c r="I23" s="124"/>
    </row>
    <row r="24" spans="1:11">
      <c r="A24" s="115"/>
      <c r="E24" s="122"/>
    </row>
    <row r="25" spans="1:11">
      <c r="A25" s="115">
        <f>+A23+1</f>
        <v>7</v>
      </c>
      <c r="D25" s="114" t="s">
        <v>436</v>
      </c>
      <c r="E25" s="123">
        <f>+'PB Sum'!B74+'PB Sum'!B75+'PB - AF'!D67+'PB - AF'!D69-'PB - ES'!D67-'PB - ES'!D69-'PB - CC'!D67-'PB - CC'!D69-'PB - SS'!D67-'PB - SS'!D69</f>
        <v>70659.093920668704</v>
      </c>
      <c r="F25" s="125"/>
      <c r="G25" s="137"/>
      <c r="I25" s="138"/>
    </row>
    <row r="26" spans="1:11">
      <c r="A26" s="115"/>
      <c r="E26" s="122"/>
    </row>
    <row r="27" spans="1:11">
      <c r="A27" s="115">
        <f>+A25+1</f>
        <v>8</v>
      </c>
      <c r="D27" s="118" t="s">
        <v>437</v>
      </c>
      <c r="E27" s="128">
        <f>+'PB - AF'!D71</f>
        <v>-5298772.1960793287</v>
      </c>
      <c r="F27" s="125"/>
    </row>
    <row r="28" spans="1:11">
      <c r="A28" s="115"/>
    </row>
    <row r="29" spans="1:11">
      <c r="A29" s="115">
        <f>+A27+1</f>
        <v>9</v>
      </c>
      <c r="C29" s="129" t="s">
        <v>18</v>
      </c>
      <c r="E29" s="121">
        <f>SUM(E13:E28)</f>
        <v>553292082.31032813</v>
      </c>
      <c r="F29" s="121"/>
      <c r="G29" s="121"/>
      <c r="I29" s="121"/>
      <c r="K29" s="121"/>
    </row>
    <row r="30" spans="1:11">
      <c r="A30" s="115"/>
      <c r="E30" s="130"/>
      <c r="F30" s="131"/>
    </row>
    <row r="31" spans="1:11">
      <c r="A31" s="115"/>
      <c r="C31" s="117" t="s">
        <v>438</v>
      </c>
      <c r="E31" s="121"/>
      <c r="F31" s="121"/>
    </row>
    <row r="32" spans="1:11">
      <c r="A32" s="115"/>
    </row>
    <row r="33" spans="1:6">
      <c r="A33" s="115">
        <f>+A29+1</f>
        <v>10</v>
      </c>
      <c r="D33" s="118" t="s">
        <v>439</v>
      </c>
      <c r="E33" s="124">
        <f>+E37+E35</f>
        <v>348652947</v>
      </c>
      <c r="F33" s="124"/>
    </row>
    <row r="34" spans="1:6">
      <c r="A34" s="115"/>
      <c r="D34" s="118"/>
      <c r="E34" s="124"/>
      <c r="F34" s="124"/>
    </row>
    <row r="35" spans="1:6">
      <c r="A35" s="115">
        <f>+A33+1</f>
        <v>11</v>
      </c>
      <c r="D35" s="118" t="s">
        <v>440</v>
      </c>
      <c r="E35" s="132">
        <v>-3787763</v>
      </c>
      <c r="F35" s="133"/>
    </row>
    <row r="36" spans="1:6">
      <c r="A36" s="115"/>
      <c r="D36" s="118"/>
      <c r="E36" s="133"/>
      <c r="F36" s="133"/>
    </row>
    <row r="37" spans="1:6">
      <c r="A37" s="115">
        <f>+A35+1</f>
        <v>12</v>
      </c>
      <c r="C37" s="134" t="s">
        <v>441</v>
      </c>
      <c r="E37" s="124">
        <f>331764550+16889526+3786634</f>
        <v>352440710</v>
      </c>
      <c r="F37" s="124"/>
    </row>
    <row r="38" spans="1:6">
      <c r="A38" s="115"/>
    </row>
    <row r="39" spans="1:6">
      <c r="A39" s="115">
        <f>+A37+1</f>
        <v>13</v>
      </c>
      <c r="D39" s="114" t="s">
        <v>442</v>
      </c>
      <c r="E39" s="124">
        <v>31455751</v>
      </c>
      <c r="F39" s="124"/>
    </row>
    <row r="40" spans="1:6">
      <c r="A40" s="115"/>
      <c r="E40" s="124"/>
      <c r="F40" s="124"/>
    </row>
    <row r="41" spans="1:6">
      <c r="A41" s="115">
        <f>+A39+1</f>
        <v>14</v>
      </c>
      <c r="D41" s="114" t="s">
        <v>443</v>
      </c>
      <c r="E41" s="124">
        <v>-9228205</v>
      </c>
      <c r="F41" s="124"/>
    </row>
    <row r="42" spans="1:6">
      <c r="A42" s="115"/>
      <c r="E42" s="124"/>
      <c r="F42" s="124"/>
    </row>
    <row r="43" spans="1:6">
      <c r="A43" s="115">
        <f>+A41+1</f>
        <v>15</v>
      </c>
      <c r="D43" s="114" t="s">
        <v>444</v>
      </c>
      <c r="E43" s="124">
        <v>-973508</v>
      </c>
      <c r="F43" s="124"/>
    </row>
    <row r="44" spans="1:6">
      <c r="A44" s="115"/>
      <c r="E44" s="124"/>
      <c r="F44" s="124"/>
    </row>
    <row r="45" spans="1:6">
      <c r="A45" s="115">
        <f>+A43+1</f>
        <v>16</v>
      </c>
      <c r="D45" s="114" t="s">
        <v>445</v>
      </c>
      <c r="E45" s="132">
        <v>29576</v>
      </c>
      <c r="F45" s="124"/>
    </row>
    <row r="46" spans="1:6">
      <c r="A46" s="115"/>
      <c r="E46" s="124"/>
      <c r="F46" s="124"/>
    </row>
    <row r="47" spans="1:6">
      <c r="A47" s="115">
        <f>A45+1</f>
        <v>17</v>
      </c>
      <c r="C47" s="134" t="s">
        <v>441</v>
      </c>
      <c r="E47" s="124">
        <f>SUM(E39:E46)</f>
        <v>21283614</v>
      </c>
      <c r="F47" s="124"/>
    </row>
    <row r="48" spans="1:6">
      <c r="A48" s="115"/>
    </row>
    <row r="49" spans="1:7">
      <c r="A49" s="115">
        <f>+A47+1</f>
        <v>18</v>
      </c>
      <c r="C49" s="129" t="s">
        <v>446</v>
      </c>
      <c r="E49" s="124">
        <f>+E37-E47</f>
        <v>331157096</v>
      </c>
      <c r="F49" s="124"/>
    </row>
    <row r="50" spans="1:7">
      <c r="A50" s="115"/>
    </row>
    <row r="51" spans="1:7">
      <c r="A51" s="115">
        <f>+A49+1</f>
        <v>19</v>
      </c>
      <c r="C51" s="117" t="s">
        <v>447</v>
      </c>
      <c r="E51" s="135">
        <f>+E49/E29</f>
        <v>0.59852129930581943</v>
      </c>
      <c r="F51" s="135"/>
      <c r="G51" s="136"/>
    </row>
    <row r="52" spans="1:7">
      <c r="A52" s="115"/>
    </row>
    <row r="53" spans="1:7">
      <c r="A53" s="115"/>
    </row>
    <row r="54" spans="1:7">
      <c r="A54" s="115"/>
    </row>
    <row r="55" spans="1:7">
      <c r="A55" s="115"/>
    </row>
    <row r="56" spans="1:7">
      <c r="A56" s="115"/>
    </row>
    <row r="57" spans="1:7">
      <c r="A57" s="115"/>
    </row>
  </sheetData>
  <pageMargins left="0.7" right="0.7" top="0.75" bottom="0.75" header="0.3" footer="0.3"/>
  <pageSetup scale="90" orientation="portrait" r:id="rId1"/>
  <headerFooter>
    <oddHeader>&amp;RCase No.:  2014-00396
Exhibit No.: JMS-1
Page 3 of 3
Witness:  J. Stegall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E20" sqref="E19:E20"/>
    </sheetView>
  </sheetViews>
  <sheetFormatPr defaultRowHeight="12.75"/>
  <cols>
    <col min="1" max="1" width="27.28515625" customWidth="1"/>
    <col min="2" max="2" width="11.7109375" bestFit="1" customWidth="1"/>
    <col min="3" max="3" width="8.5703125" bestFit="1" customWidth="1"/>
    <col min="4" max="6" width="11.7109375" bestFit="1" customWidth="1"/>
    <col min="7" max="7" width="12.5703125" bestFit="1" customWidth="1"/>
    <col min="8" max="8" width="11.7109375" bestFit="1" customWidth="1"/>
    <col min="9" max="9" width="10.42578125" bestFit="1" customWidth="1"/>
    <col min="10" max="11" width="11.710937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161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549719325</v>
      </c>
      <c r="C13" s="71">
        <v>7.7950000000000005E-2</v>
      </c>
      <c r="D13" s="8">
        <f>+B13*C13</f>
        <v>42850621.383750007</v>
      </c>
      <c r="E13" s="8">
        <f>D13</f>
        <v>42850621.383750007</v>
      </c>
      <c r="F13" s="8">
        <f>E13</f>
        <v>42850621.383750007</v>
      </c>
      <c r="G13" s="8">
        <f>+F13</f>
        <v>42850621.383750007</v>
      </c>
      <c r="H13" s="8">
        <f t="shared" ref="H13" si="0">+G13</f>
        <v>42850621.383750007</v>
      </c>
      <c r="I13" s="74">
        <v>2494679</v>
      </c>
      <c r="J13" s="6">
        <f>+B13+I13</f>
        <v>552214004</v>
      </c>
      <c r="K13" s="8">
        <f>+C13*J13</f>
        <v>43045081.6118</v>
      </c>
      <c r="L13" s="74">
        <v>6360000</v>
      </c>
      <c r="M13" s="6">
        <f>J13+L13</f>
        <v>558574004</v>
      </c>
      <c r="N13" s="6">
        <f>O13-M13</f>
        <v>186752</v>
      </c>
      <c r="O13" s="6">
        <f>ROUND(M13*O$22/M$22,0)</f>
        <v>558760756</v>
      </c>
      <c r="P13" s="8">
        <f>+O13*C13</f>
        <v>43555400.930200003</v>
      </c>
      <c r="R13" s="8">
        <f>+P13+Q13</f>
        <v>43555400.930200003</v>
      </c>
    </row>
    <row r="14" spans="1:18">
      <c r="A14" t="s">
        <v>285</v>
      </c>
      <c r="B14" s="74">
        <v>60979</v>
      </c>
      <c r="C14" s="72"/>
      <c r="D14" s="8"/>
      <c r="E14" s="8"/>
      <c r="F14" s="8"/>
      <c r="G14" s="8"/>
      <c r="H14" s="8"/>
      <c r="I14" s="74">
        <v>0</v>
      </c>
      <c r="J14" s="6">
        <f>J15-J13</f>
        <v>60979</v>
      </c>
      <c r="K14" s="8"/>
      <c r="L14" s="74">
        <v>0</v>
      </c>
      <c r="M14" s="6">
        <f>J14+L14</f>
        <v>60979</v>
      </c>
      <c r="N14" s="6">
        <f>N15-N13</f>
        <v>20</v>
      </c>
      <c r="O14" s="6">
        <f>O15-O13</f>
        <v>60999</v>
      </c>
      <c r="P14" s="8"/>
    </row>
    <row r="15" spans="1:18">
      <c r="A15" t="s">
        <v>12</v>
      </c>
      <c r="B15" s="81">
        <f>+'12 Months TS'!E79</f>
        <v>549780304</v>
      </c>
      <c r="C15" s="72"/>
      <c r="D15" s="8"/>
      <c r="E15" s="8"/>
      <c r="F15" s="8"/>
      <c r="G15" s="8"/>
      <c r="H15" s="8"/>
      <c r="I15" s="74">
        <v>2494679</v>
      </c>
      <c r="J15" s="6">
        <f>+B15+I15</f>
        <v>552274983</v>
      </c>
      <c r="K15" s="8"/>
      <c r="L15" s="74">
        <v>6360000</v>
      </c>
      <c r="M15" s="6">
        <f>J15+L15</f>
        <v>558634983</v>
      </c>
      <c r="N15" s="6">
        <f>O15-M15</f>
        <v>186772</v>
      </c>
      <c r="O15" s="6">
        <f>ROUND(M15*O$22/M$22,0)</f>
        <v>558821755</v>
      </c>
      <c r="P15" s="8"/>
    </row>
    <row r="16" spans="1:18">
      <c r="B16" s="6"/>
      <c r="D16" s="8"/>
      <c r="E16" s="8"/>
      <c r="F16" s="8"/>
      <c r="G16" s="8"/>
      <c r="H16" s="8"/>
      <c r="I16" s="6"/>
      <c r="K16" s="8"/>
      <c r="L16" s="6"/>
      <c r="P16" s="8"/>
    </row>
    <row r="17" spans="1:18">
      <c r="A17" t="s">
        <v>21</v>
      </c>
      <c r="B17" s="74">
        <v>1650523.8</v>
      </c>
      <c r="C17" s="73">
        <v>4.0199999999999996</v>
      </c>
      <c r="D17" s="8">
        <f>+B17*C17</f>
        <v>6635105.675999999</v>
      </c>
      <c r="E17" s="8">
        <f>D17</f>
        <v>6635105.675999999</v>
      </c>
      <c r="F17" s="8">
        <f>E17</f>
        <v>6635105.675999999</v>
      </c>
      <c r="G17" s="8">
        <f>+F17</f>
        <v>6635105.675999999</v>
      </c>
      <c r="H17" s="8">
        <f t="shared" ref="H17" si="1">+G17</f>
        <v>6635105.675999999</v>
      </c>
      <c r="I17" s="74">
        <v>6800</v>
      </c>
      <c r="J17" s="6">
        <f>+B17+I17</f>
        <v>1657323.8</v>
      </c>
      <c r="K17" s="8">
        <f>+C17*J17</f>
        <v>6662441.675999999</v>
      </c>
      <c r="L17" s="74">
        <v>8400</v>
      </c>
      <c r="M17" s="6">
        <f>J17+L17</f>
        <v>1665723.8</v>
      </c>
      <c r="N17" s="6">
        <f>O17-M17</f>
        <v>557.19999999995343</v>
      </c>
      <c r="O17" s="6">
        <f>ROUND(M17*O$22/M$22,0)</f>
        <v>1666281</v>
      </c>
      <c r="P17" s="8">
        <f>+O17*C17</f>
        <v>6698449.6199999992</v>
      </c>
      <c r="R17" s="8">
        <f t="shared" ref="R17:R18" si="2">+P17+Q17</f>
        <v>6698449.6199999992</v>
      </c>
    </row>
    <row r="18" spans="1:18">
      <c r="A18" t="s">
        <v>277</v>
      </c>
      <c r="B18" s="74">
        <v>50167.5</v>
      </c>
      <c r="C18" s="73">
        <v>3.46</v>
      </c>
      <c r="D18" s="8">
        <f>+B18*C18</f>
        <v>173579.55</v>
      </c>
      <c r="E18" s="8">
        <f>D18</f>
        <v>173579.55</v>
      </c>
      <c r="F18" s="8">
        <f>E18</f>
        <v>173579.55</v>
      </c>
      <c r="G18" s="8">
        <f>+F18</f>
        <v>173579.55</v>
      </c>
      <c r="H18" s="8">
        <f t="shared" ref="H18" si="3">+G18</f>
        <v>173579.55</v>
      </c>
      <c r="I18" s="74">
        <v>-1072</v>
      </c>
      <c r="J18" s="6">
        <f>+B18+I18</f>
        <v>49095.5</v>
      </c>
      <c r="K18" s="8">
        <f>+C18*J18</f>
        <v>169870.43</v>
      </c>
      <c r="L18" s="74">
        <v>0</v>
      </c>
      <c r="M18" s="6">
        <f>J18+L18</f>
        <v>49095.5</v>
      </c>
      <c r="N18" s="6">
        <f>O18-M18</f>
        <v>16.5</v>
      </c>
      <c r="O18" s="6">
        <f>ROUND(M18*O$22/M$22,0)</f>
        <v>49112</v>
      </c>
      <c r="P18" s="8">
        <f>+O18*C18</f>
        <v>169927.52</v>
      </c>
      <c r="R18" s="8">
        <f t="shared" si="2"/>
        <v>169927.52</v>
      </c>
    </row>
    <row r="19" spans="1:18">
      <c r="B19" s="74"/>
      <c r="C19" s="73"/>
      <c r="D19" s="8"/>
      <c r="E19" s="8"/>
      <c r="F19" s="8"/>
      <c r="G19" s="8"/>
      <c r="H19" s="8"/>
      <c r="I19" s="6"/>
      <c r="K19" s="8"/>
      <c r="L19" s="6"/>
      <c r="P19" s="8"/>
    </row>
    <row r="20" spans="1:18">
      <c r="A20" t="s">
        <v>13</v>
      </c>
      <c r="B20" s="82">
        <v>8914.5839999999989</v>
      </c>
      <c r="C20" s="73">
        <v>85</v>
      </c>
      <c r="D20" s="8">
        <f>+B20*C20</f>
        <v>757739.6399999999</v>
      </c>
      <c r="E20" s="8">
        <f>D20</f>
        <v>757739.6399999999</v>
      </c>
      <c r="F20" s="8">
        <f>E20</f>
        <v>757739.6399999999</v>
      </c>
      <c r="G20" s="8">
        <f>+F20</f>
        <v>757739.6399999999</v>
      </c>
      <c r="H20" s="8">
        <f t="shared" ref="H20" si="4">+G20</f>
        <v>757739.6399999999</v>
      </c>
      <c r="I20" s="74">
        <v>43</v>
      </c>
      <c r="J20" s="6">
        <f>+B20+I20</f>
        <v>8957.5839999999989</v>
      </c>
      <c r="K20" s="8">
        <f>+C20*J20</f>
        <v>761394.6399999999</v>
      </c>
      <c r="L20" s="74">
        <v>12</v>
      </c>
      <c r="M20" s="6">
        <f>J20+L20</f>
        <v>8969.5839999999989</v>
      </c>
      <c r="N20" s="6">
        <f>O20-M20</f>
        <v>3.4160000000010768</v>
      </c>
      <c r="O20" s="6">
        <f>ROUND(M20*O$22/M$22,0)</f>
        <v>8973</v>
      </c>
      <c r="P20" s="8">
        <f>+O20*C20</f>
        <v>762705</v>
      </c>
      <c r="R20" s="8">
        <f>+P20+Q20</f>
        <v>762705</v>
      </c>
    </row>
    <row r="21" spans="1:18">
      <c r="B21" s="6"/>
      <c r="D21" s="8"/>
      <c r="E21" s="8"/>
      <c r="F21" s="8"/>
      <c r="G21" s="8"/>
      <c r="H21" s="8"/>
      <c r="I21" s="6"/>
      <c r="K21" s="8"/>
      <c r="L21" s="6"/>
      <c r="P21" s="8"/>
    </row>
    <row r="22" spans="1:18">
      <c r="A22" t="s">
        <v>14</v>
      </c>
      <c r="B22" s="6">
        <f>'Monthly # of Customers'!N60</f>
        <v>8917</v>
      </c>
      <c r="D22" s="8"/>
      <c r="E22" s="8"/>
      <c r="F22" s="8"/>
      <c r="G22" s="8"/>
      <c r="H22" s="8"/>
      <c r="I22" s="74">
        <v>44</v>
      </c>
      <c r="J22" s="6">
        <f>+B22+I22</f>
        <v>8961</v>
      </c>
      <c r="K22" s="8"/>
      <c r="L22" s="74">
        <v>12</v>
      </c>
      <c r="M22" s="6">
        <f>J22+L22</f>
        <v>8973</v>
      </c>
      <c r="N22" s="6">
        <f>O22-M22</f>
        <v>3</v>
      </c>
      <c r="O22" s="6">
        <f>+'Monthly # of Customers'!M60*12+L22</f>
        <v>8976</v>
      </c>
      <c r="P22" s="8"/>
    </row>
    <row r="23" spans="1:18">
      <c r="B23" s="6"/>
      <c r="D23" s="8"/>
      <c r="E23" s="8"/>
      <c r="F23" s="8"/>
      <c r="G23" s="8"/>
      <c r="H23" s="8"/>
      <c r="I23" s="6"/>
      <c r="K23" s="8"/>
      <c r="L23" s="8">
        <f>SUMPRODUCT(L13:L20,C13:C20)</f>
        <v>530550</v>
      </c>
      <c r="P23" s="8"/>
    </row>
    <row r="24" spans="1:18">
      <c r="A24" t="str">
        <f>+RS!A27</f>
        <v xml:space="preserve">Fuel </v>
      </c>
      <c r="B24" s="6"/>
      <c r="D24" s="8">
        <f>+'B&amp;A Surcharges'!B39</f>
        <v>1723555.4500000002</v>
      </c>
      <c r="E24" s="8">
        <f>D24</f>
        <v>1723555.4500000002</v>
      </c>
      <c r="F24" s="8">
        <f>E24</f>
        <v>1723555.4500000002</v>
      </c>
      <c r="G24" s="8">
        <f>+F24</f>
        <v>1723555.4500000002</v>
      </c>
      <c r="H24" s="8">
        <f>ROUND(B15*H11,2)</f>
        <v>1122168.6499999999</v>
      </c>
      <c r="I24" s="8">
        <f>ROUND(H11*I15,2)</f>
        <v>5091.9399999999996</v>
      </c>
      <c r="J24" s="10"/>
      <c r="K24" s="8">
        <f>+H24+I24</f>
        <v>1127260.5899999999</v>
      </c>
      <c r="L24" s="8">
        <v>0</v>
      </c>
      <c r="M24" s="10"/>
      <c r="N24" s="8">
        <f>P24-K24</f>
        <v>13362.770000000251</v>
      </c>
      <c r="P24" s="8">
        <f>ROUND(O15*H11,2)</f>
        <v>1140623.3600000001</v>
      </c>
      <c r="R24" s="8">
        <f>+P24+Q24</f>
        <v>1140623.3600000001</v>
      </c>
    </row>
    <row r="25" spans="1:18">
      <c r="D25" s="8"/>
      <c r="E25" s="8"/>
      <c r="F25" s="8"/>
      <c r="G25" s="8"/>
      <c r="H25" s="8"/>
      <c r="I25" s="8"/>
      <c r="J25" s="10"/>
      <c r="K25" s="8"/>
      <c r="L25" s="8"/>
      <c r="M25" s="10"/>
      <c r="P25" s="8"/>
    </row>
    <row r="26" spans="1:18">
      <c r="A26" t="str">
        <f>+RS!A29</f>
        <v>System Sales Clause</v>
      </c>
      <c r="D26" s="8">
        <f>+'B&amp;A Surcharges'!D39</f>
        <v>198915.36000000002</v>
      </c>
      <c r="E26" s="8">
        <v>0</v>
      </c>
      <c r="F26" s="8">
        <f>E26</f>
        <v>0</v>
      </c>
      <c r="G26" s="8">
        <f>+F26</f>
        <v>0</v>
      </c>
      <c r="H26" s="8">
        <f>+G26</f>
        <v>0</v>
      </c>
      <c r="I26" s="8"/>
      <c r="J26" s="10"/>
      <c r="K26" s="8">
        <f>+H26+I26</f>
        <v>0</v>
      </c>
      <c r="L26" s="8"/>
      <c r="M26" s="10"/>
      <c r="N26" s="10"/>
      <c r="P26" s="8">
        <f>ROUND(K26*O$15/J$15,2)</f>
        <v>0</v>
      </c>
      <c r="R26" s="8">
        <f>+P26+Q26</f>
        <v>0</v>
      </c>
    </row>
    <row r="27" spans="1:18">
      <c r="D27" s="8"/>
      <c r="E27" s="8"/>
      <c r="F27" s="8"/>
      <c r="G27" s="8"/>
      <c r="H27" s="8"/>
      <c r="I27" s="8"/>
      <c r="J27" s="10"/>
      <c r="K27" s="8"/>
      <c r="L27" s="8"/>
      <c r="M27" s="10"/>
      <c r="P27" s="8"/>
    </row>
    <row r="28" spans="1:18">
      <c r="A28" t="str">
        <f>+RS!A31</f>
        <v>Environmental Surcharge</v>
      </c>
      <c r="D28" s="8">
        <f>+'B&amp;A Surcharges'!J39</f>
        <v>-283281.91000000003</v>
      </c>
      <c r="E28" s="8">
        <f>D28</f>
        <v>-283281.91000000003</v>
      </c>
      <c r="F28" s="8">
        <f>E28</f>
        <v>-283281.91000000003</v>
      </c>
      <c r="G28" s="8">
        <v>0</v>
      </c>
      <c r="H28" s="8">
        <f>+G28</f>
        <v>0</v>
      </c>
      <c r="I28" s="95">
        <v>0</v>
      </c>
      <c r="J28" s="10"/>
      <c r="K28" s="8">
        <f>+H28+I28</f>
        <v>0</v>
      </c>
      <c r="L28" s="95">
        <v>0</v>
      </c>
      <c r="M28" s="10"/>
      <c r="N28" s="8">
        <f>P28-K28</f>
        <v>0</v>
      </c>
      <c r="P28" s="8">
        <f>ROUND(K28*SUM(P13:P24)/SUM(K13:K24),2)</f>
        <v>0</v>
      </c>
      <c r="R28" s="8">
        <f>+P28+Q28</f>
        <v>0</v>
      </c>
    </row>
    <row r="29" spans="1:18">
      <c r="D29" s="8"/>
      <c r="E29" s="8"/>
      <c r="F29" s="8"/>
      <c r="G29" s="8"/>
      <c r="H29" s="8"/>
      <c r="I29" s="8"/>
      <c r="J29" s="10"/>
      <c r="K29" s="8"/>
      <c r="L29" s="8"/>
      <c r="M29" s="10"/>
      <c r="N29" s="8"/>
      <c r="P29" s="8"/>
    </row>
    <row r="30" spans="1:18">
      <c r="A30" t="str">
        <f>RS!A33</f>
        <v>Capacity Charge</v>
      </c>
      <c r="D30" s="8">
        <f>+'B&amp;A Surcharges'!F39</f>
        <v>533286.91</v>
      </c>
      <c r="E30" s="8">
        <f>D30</f>
        <v>533286.91</v>
      </c>
      <c r="F30" s="8">
        <v>0</v>
      </c>
      <c r="G30" s="8">
        <f>+F30</f>
        <v>0</v>
      </c>
      <c r="H30" s="8">
        <f>+G30</f>
        <v>0</v>
      </c>
      <c r="I30" s="29"/>
      <c r="J30" s="10"/>
      <c r="K30" s="8">
        <f>+H30+I30</f>
        <v>0</v>
      </c>
      <c r="L30" s="29"/>
      <c r="M30" s="10"/>
      <c r="N30" s="10"/>
      <c r="P30" s="8">
        <f>ROUND(K30*O$15/J$15,2)</f>
        <v>0</v>
      </c>
      <c r="R30" s="8">
        <f>+P30+Q30</f>
        <v>0</v>
      </c>
    </row>
    <row r="31" spans="1:18">
      <c r="D31" s="8"/>
      <c r="E31" s="8"/>
      <c r="F31" s="8"/>
      <c r="G31" s="8"/>
      <c r="H31" s="8"/>
      <c r="I31" s="29"/>
      <c r="J31" s="10"/>
      <c r="K31" s="8"/>
      <c r="L31" s="29"/>
      <c r="M31" s="10"/>
      <c r="N31" s="10"/>
      <c r="P31" s="8"/>
    </row>
    <row r="32" spans="1:18">
      <c r="A32" t="str">
        <f>RS!A35</f>
        <v>Asset Transfer Rider</v>
      </c>
      <c r="D32" s="8">
        <f>'B&amp;A Surcharges'!N39</f>
        <v>3539537.28</v>
      </c>
      <c r="E32" s="8">
        <f>D32</f>
        <v>3539537.28</v>
      </c>
      <c r="F32" s="8">
        <f>E32</f>
        <v>3539537.28</v>
      </c>
      <c r="G32" s="8">
        <f>+F32</f>
        <v>3539537.28</v>
      </c>
      <c r="H32" s="8">
        <f>+G32</f>
        <v>3539537.28</v>
      </c>
      <c r="I32" s="95">
        <v>19288.273000000005</v>
      </c>
      <c r="J32" s="10"/>
      <c r="K32" s="8">
        <f>+H32+I32</f>
        <v>3558825.5529999998</v>
      </c>
      <c r="L32" s="95">
        <v>40946.28</v>
      </c>
      <c r="M32" s="10"/>
      <c r="N32" s="8">
        <f>P32-K32-L32</f>
        <v>-2455.0330000000249</v>
      </c>
      <c r="P32" s="8">
        <f>ROUND(K32*SUM(P13:P23)/SUM(K13:K23),2)</f>
        <v>3597316.8</v>
      </c>
      <c r="Q32" s="8">
        <f>+'ATR Adjustment WP'!G39</f>
        <v>1186144.8342180254</v>
      </c>
      <c r="R32" s="8">
        <f>+P32+Q32</f>
        <v>4783461.634218025</v>
      </c>
    </row>
    <row r="33" spans="1:18">
      <c r="D33" s="8"/>
      <c r="E33" s="8"/>
      <c r="F33" s="8"/>
      <c r="G33" s="8"/>
      <c r="H33" s="8"/>
      <c r="I33" s="10"/>
      <c r="J33" s="10"/>
      <c r="K33" s="8"/>
      <c r="L33" s="8"/>
      <c r="M33" s="10"/>
      <c r="P33" s="8"/>
    </row>
    <row r="34" spans="1:18">
      <c r="A34" t="str">
        <f>+RS!A39</f>
        <v>Total</v>
      </c>
      <c r="D34" s="8">
        <f t="shared" ref="D34:H34" si="5">SUM(D13:D33)</f>
        <v>56129059.339750007</v>
      </c>
      <c r="E34" s="8">
        <f t="shared" si="5"/>
        <v>55930143.979750007</v>
      </c>
      <c r="F34" s="8">
        <f t="shared" si="5"/>
        <v>55396857.069750011</v>
      </c>
      <c r="G34" s="8">
        <f t="shared" si="5"/>
        <v>55680138.979750007</v>
      </c>
      <c r="H34" s="8">
        <f t="shared" si="5"/>
        <v>55078752.179750003</v>
      </c>
      <c r="I34" s="10"/>
      <c r="J34" s="10"/>
      <c r="K34" s="8">
        <f>SUM(K13:K33)</f>
        <v>55324874.500799999</v>
      </c>
      <c r="L34" s="8">
        <f>SUM(L23:L33)</f>
        <v>571496.28</v>
      </c>
      <c r="M34" s="10"/>
      <c r="N34" s="10"/>
      <c r="P34" s="8">
        <f>SUM(P13:P33)</f>
        <v>55924423.2302</v>
      </c>
      <c r="R34" s="8">
        <f>SUM(R13:R33)</f>
        <v>57110568.064418025</v>
      </c>
    </row>
    <row r="36" spans="1:18">
      <c r="P36" s="8"/>
    </row>
    <row r="37" spans="1:18">
      <c r="P37" s="8"/>
    </row>
  </sheetData>
  <phoneticPr fontId="0" type="noConversion"/>
  <printOptions horizontalCentered="1"/>
  <pageMargins left="0.25" right="0.25" top="0.75" bottom="0.75" header="0.3" footer="0.3"/>
  <pageSetup scale="6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G24" sqref="G24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710937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316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P6" s="37"/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A11" s="2"/>
      <c r="B11" s="2"/>
      <c r="C11" s="2"/>
      <c r="D11" s="2"/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s="4" t="s">
        <v>22</v>
      </c>
      <c r="D13" s="10"/>
      <c r="E13" s="11"/>
      <c r="F13" s="11"/>
      <c r="G13" s="11"/>
      <c r="H13" s="11"/>
      <c r="L13" s="6"/>
      <c r="M13" s="6"/>
      <c r="N13" s="10"/>
    </row>
    <row r="14" spans="1:16">
      <c r="A14" t="s">
        <v>23</v>
      </c>
      <c r="B14" s="74">
        <v>862445</v>
      </c>
      <c r="C14" s="71">
        <v>0.12970999999999999</v>
      </c>
      <c r="D14" s="8">
        <f>+B14*C14</f>
        <v>111867.74094999999</v>
      </c>
      <c r="E14" s="8">
        <f>D14</f>
        <v>111867.74094999999</v>
      </c>
      <c r="F14" s="8">
        <f>E14</f>
        <v>111867.74094999999</v>
      </c>
      <c r="G14" s="8">
        <f>+F14</f>
        <v>111867.74094999999</v>
      </c>
      <c r="H14" s="8">
        <f t="shared" ref="H14:H15" si="0">+G14</f>
        <v>111867.74094999999</v>
      </c>
      <c r="I14" s="74">
        <v>0</v>
      </c>
      <c r="J14" s="6">
        <f>+B14+I14</f>
        <v>862445</v>
      </c>
      <c r="K14" s="8">
        <f>+C14*J14</f>
        <v>111867.74094999999</v>
      </c>
      <c r="L14" s="6">
        <f>M14-J14</f>
        <v>0</v>
      </c>
      <c r="M14" s="6">
        <f>ROUND(J14*M$21/J$21,0)</f>
        <v>862445</v>
      </c>
      <c r="N14" s="8">
        <f>+M14*C14</f>
        <v>111867.74094999999</v>
      </c>
      <c r="P14" s="8">
        <f>+N14+O14</f>
        <v>111867.74094999999</v>
      </c>
    </row>
    <row r="15" spans="1:16">
      <c r="A15" t="s">
        <v>24</v>
      </c>
      <c r="B15" s="74">
        <v>1097494</v>
      </c>
      <c r="C15" s="71">
        <v>5.1159999999999997E-2</v>
      </c>
      <c r="D15" s="8">
        <f>+B15*C15</f>
        <v>56147.793039999997</v>
      </c>
      <c r="E15" s="8">
        <f>D15</f>
        <v>56147.793039999997</v>
      </c>
      <c r="F15" s="8">
        <f>E15</f>
        <v>56147.793039999997</v>
      </c>
      <c r="G15" s="8">
        <f>+F15</f>
        <v>56147.793039999997</v>
      </c>
      <c r="H15" s="8">
        <f t="shared" si="0"/>
        <v>56147.793039999997</v>
      </c>
      <c r="I15" s="74">
        <v>0</v>
      </c>
      <c r="J15" s="6">
        <f>+B15+I15</f>
        <v>1097494</v>
      </c>
      <c r="K15" s="8">
        <f>+C15*J15</f>
        <v>56147.793039999997</v>
      </c>
      <c r="L15" s="6">
        <f>M15-J15</f>
        <v>0</v>
      </c>
      <c r="M15" s="6">
        <f>ROUND(J15*M$21/J$21,0)</f>
        <v>1097494</v>
      </c>
      <c r="N15" s="8">
        <f>+M15*C15</f>
        <v>56147.793039999997</v>
      </c>
      <c r="P15" s="8">
        <f>+N15+O15</f>
        <v>56147.793039999997</v>
      </c>
    </row>
    <row r="16" spans="1:16">
      <c r="B16" s="6"/>
      <c r="D16" s="8"/>
      <c r="E16" s="8"/>
      <c r="F16" s="8"/>
      <c r="G16" s="8"/>
      <c r="H16" s="8"/>
      <c r="I16" s="6"/>
      <c r="K16" s="8"/>
      <c r="N16" s="8"/>
    </row>
    <row r="17" spans="1:16">
      <c r="A17" t="s">
        <v>12</v>
      </c>
      <c r="B17" s="6">
        <f>+'12 Months TS'!E81</f>
        <v>1959939</v>
      </c>
      <c r="D17" s="8"/>
      <c r="E17" s="8"/>
      <c r="F17" s="8"/>
      <c r="G17" s="8"/>
      <c r="H17" s="8"/>
      <c r="I17" s="6">
        <f>SUM(I14:I16)</f>
        <v>0</v>
      </c>
      <c r="J17" s="6">
        <f>+B17+I17</f>
        <v>1959939</v>
      </c>
      <c r="K17" s="8"/>
      <c r="L17" s="6">
        <f>M17-J17</f>
        <v>0</v>
      </c>
      <c r="M17" s="6">
        <f>ROUND(J17*M$21/J$21,0)</f>
        <v>1959939</v>
      </c>
      <c r="N17" s="8"/>
    </row>
    <row r="18" spans="1:16">
      <c r="D18" s="8"/>
      <c r="E18" s="8"/>
      <c r="F18" s="8"/>
      <c r="G18" s="8"/>
      <c r="H18" s="8"/>
      <c r="I18" s="6"/>
      <c r="K18" s="8"/>
      <c r="L18" s="6"/>
      <c r="M18" s="6"/>
      <c r="N18" s="8"/>
    </row>
    <row r="19" spans="1:16">
      <c r="A19" t="s">
        <v>13</v>
      </c>
      <c r="B19" s="74">
        <v>108.9</v>
      </c>
      <c r="C19" s="73">
        <v>81.8</v>
      </c>
      <c r="D19" s="8">
        <f>+B19*C19</f>
        <v>8908.02</v>
      </c>
      <c r="E19" s="8">
        <f>D19</f>
        <v>8908.02</v>
      </c>
      <c r="F19" s="8">
        <f>E19</f>
        <v>8908.02</v>
      </c>
      <c r="G19" s="8">
        <f>+F19</f>
        <v>8908.02</v>
      </c>
      <c r="H19" s="8">
        <f>+G19</f>
        <v>8908.02</v>
      </c>
      <c r="I19" s="74">
        <v>0</v>
      </c>
      <c r="J19" s="6">
        <f>+B19+I19</f>
        <v>108.9</v>
      </c>
      <c r="K19" s="8">
        <f>+C19*J19</f>
        <v>8908.02</v>
      </c>
      <c r="L19" s="6">
        <f>M19-J19</f>
        <v>9.9999999999994316E-2</v>
      </c>
      <c r="M19" s="6">
        <f>ROUND(J19*M$21/J$21,0)</f>
        <v>109</v>
      </c>
      <c r="N19" s="8">
        <f>+M19*C19</f>
        <v>8916.1999999999989</v>
      </c>
      <c r="P19" s="8">
        <f>+N19+O19</f>
        <v>8916.1999999999989</v>
      </c>
    </row>
    <row r="20" spans="1:16">
      <c r="D20" s="8"/>
      <c r="E20" s="8"/>
      <c r="F20" s="8"/>
      <c r="G20" s="8"/>
      <c r="H20" s="8"/>
      <c r="I20" s="6"/>
      <c r="K20" s="8"/>
      <c r="L20" s="6"/>
      <c r="M20" s="6"/>
      <c r="N20" s="8"/>
    </row>
    <row r="21" spans="1:16">
      <c r="A21" t="s">
        <v>14</v>
      </c>
      <c r="B21" s="6">
        <f>'Monthly # of Customers'!N62</f>
        <v>108</v>
      </c>
      <c r="D21" s="8"/>
      <c r="E21" s="8"/>
      <c r="F21" s="8"/>
      <c r="G21" s="8"/>
      <c r="H21" s="8"/>
      <c r="I21" s="74">
        <v>0</v>
      </c>
      <c r="J21" s="6">
        <f>+B21+I21</f>
        <v>108</v>
      </c>
      <c r="K21" s="8"/>
      <c r="L21" s="6">
        <f>M21-J21</f>
        <v>0</v>
      </c>
      <c r="M21" s="6">
        <f>+'Monthly # of Customers'!M62*12</f>
        <v>108</v>
      </c>
      <c r="N21" s="8"/>
    </row>
    <row r="22" spans="1:16">
      <c r="D22" s="8"/>
      <c r="E22" s="8"/>
      <c r="F22" s="8"/>
      <c r="G22" s="8"/>
      <c r="H22" s="8"/>
      <c r="K22" s="8"/>
      <c r="L22" s="6"/>
      <c r="M22" s="6"/>
      <c r="N22" s="8"/>
    </row>
    <row r="23" spans="1:16">
      <c r="A23" t="str">
        <f>+RS!A27</f>
        <v xml:space="preserve">Fuel </v>
      </c>
      <c r="D23" s="8">
        <f>+'B&amp;A Surcharges'!B41</f>
        <v>5748.85</v>
      </c>
      <c r="E23" s="8">
        <f>D23</f>
        <v>5748.85</v>
      </c>
      <c r="F23" s="8">
        <f>E23</f>
        <v>5748.85</v>
      </c>
      <c r="G23" s="8">
        <f>+F23</f>
        <v>5748.85</v>
      </c>
      <c r="H23" s="8">
        <f>ROUND(B17*H11,2)</f>
        <v>4000.47</v>
      </c>
      <c r="I23" s="8">
        <f>ROUND(I17*H11,2)</f>
        <v>0</v>
      </c>
      <c r="J23" s="10"/>
      <c r="K23" s="8">
        <f>H23+I23</f>
        <v>4000.47</v>
      </c>
      <c r="L23" s="8">
        <f>+N23-K23</f>
        <v>0</v>
      </c>
      <c r="N23" s="8">
        <f>ROUND(H11*M17,2)</f>
        <v>4000.47</v>
      </c>
      <c r="P23" s="8">
        <f>+N23+O23</f>
        <v>4000.47</v>
      </c>
    </row>
    <row r="24" spans="1:16">
      <c r="D24" s="8"/>
      <c r="E24" s="8"/>
      <c r="F24" s="8"/>
      <c r="G24" s="8"/>
      <c r="H24" s="8"/>
      <c r="I24" s="8"/>
      <c r="J24" s="10"/>
      <c r="K24" s="8"/>
      <c r="L24" s="8"/>
      <c r="M24" s="6"/>
      <c r="N24" s="8"/>
    </row>
    <row r="25" spans="1:16">
      <c r="A25" t="str">
        <f>+RS!A29</f>
        <v>System Sales Clause</v>
      </c>
      <c r="D25" s="8">
        <f>+'B&amp;A Surcharges'!D41</f>
        <v>764.95</v>
      </c>
      <c r="E25" s="8">
        <v>0</v>
      </c>
      <c r="F25" s="8">
        <f>E25</f>
        <v>0</v>
      </c>
      <c r="G25" s="8">
        <f>+F25</f>
        <v>0</v>
      </c>
      <c r="H25" s="8">
        <f>+G25</f>
        <v>0</v>
      </c>
      <c r="I25" s="8"/>
      <c r="J25" s="10"/>
      <c r="K25" s="8">
        <f>H25+I25</f>
        <v>0</v>
      </c>
      <c r="L25" s="8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10"/>
      <c r="K26" s="8"/>
      <c r="L26" s="8"/>
      <c r="N26" s="8"/>
    </row>
    <row r="27" spans="1:16">
      <c r="A27" t="str">
        <f>+RS!A31</f>
        <v>Environmental Surcharge</v>
      </c>
      <c r="D27" s="8">
        <f>+'B&amp;A Surcharges'!J41</f>
        <v>-1077.8699999999999</v>
      </c>
      <c r="E27" s="8">
        <f>D27</f>
        <v>-1077.8699999999999</v>
      </c>
      <c r="F27" s="8">
        <f>E27</f>
        <v>-1077.8699999999999</v>
      </c>
      <c r="G27" s="8">
        <v>0</v>
      </c>
      <c r="H27" s="8">
        <f>+G27</f>
        <v>0</v>
      </c>
      <c r="I27" s="95">
        <v>0</v>
      </c>
      <c r="J27" s="10"/>
      <c r="K27" s="8">
        <f>H27+I27</f>
        <v>0</v>
      </c>
      <c r="L27" s="8">
        <f>+N27-K27</f>
        <v>0</v>
      </c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tr">
        <f>RS!A33</f>
        <v>Capacity Charge</v>
      </c>
      <c r="D29" s="8">
        <f>+'B&amp;A Surcharges'!F41</f>
        <v>1901.1399999999999</v>
      </c>
      <c r="E29" s="8">
        <f>D29</f>
        <v>1901.1399999999999</v>
      </c>
      <c r="F29" s="8">
        <v>0</v>
      </c>
      <c r="G29" s="8">
        <f>+F29</f>
        <v>0</v>
      </c>
      <c r="H29" s="8">
        <f>+G29</f>
        <v>0</v>
      </c>
      <c r="I29" s="10"/>
      <c r="J29" s="10"/>
      <c r="K29" s="8">
        <f>H29+I29</f>
        <v>0</v>
      </c>
      <c r="L29" s="10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t="str">
        <f>RS!A35</f>
        <v>Asset Transfer Rider</v>
      </c>
      <c r="D31" s="8">
        <f>+'B&amp;A Surcharges'!N41</f>
        <v>12196.669999999998</v>
      </c>
      <c r="E31" s="8">
        <f>D31</f>
        <v>12196.669999999998</v>
      </c>
      <c r="F31" s="8">
        <f>E31</f>
        <v>12196.669999999998</v>
      </c>
      <c r="G31" s="8">
        <f>+F31</f>
        <v>12196.669999999998</v>
      </c>
      <c r="H31" s="8">
        <f>+G31</f>
        <v>12196.669999999998</v>
      </c>
      <c r="I31" s="95">
        <v>0</v>
      </c>
      <c r="J31" s="10"/>
      <c r="K31" s="8">
        <f>H31+I31</f>
        <v>12196.669999999998</v>
      </c>
      <c r="L31" s="8">
        <f>+N31-K31</f>
        <v>0</v>
      </c>
      <c r="N31" s="8">
        <f>ROUND(K31*M$21/J$21,2)</f>
        <v>12196.67</v>
      </c>
      <c r="O31" s="8">
        <f>+'ATR Adjustment WP'!G41</f>
        <v>4021.6133077748295</v>
      </c>
      <c r="P31" s="8">
        <f>+N31+O31</f>
        <v>16218.283307774829</v>
      </c>
    </row>
    <row r="32" spans="1:16">
      <c r="D32" s="8"/>
      <c r="E32" s="8"/>
      <c r="F32" s="8"/>
      <c r="G32" s="8"/>
      <c r="H32" s="8"/>
      <c r="I32" s="10"/>
      <c r="J32" s="10"/>
      <c r="K32" s="8"/>
      <c r="L32" s="10"/>
      <c r="N32" s="8"/>
    </row>
    <row r="33" spans="1:16">
      <c r="A33" t="str">
        <f>+RS!A39</f>
        <v>Total</v>
      </c>
      <c r="D33" s="8">
        <f t="shared" ref="D33:H33" si="1">SUM(D14:D32)</f>
        <v>196457.29399000003</v>
      </c>
      <c r="E33" s="8">
        <f t="shared" si="1"/>
        <v>195692.34399000002</v>
      </c>
      <c r="F33" s="8">
        <f t="shared" si="1"/>
        <v>193791.20399000001</v>
      </c>
      <c r="G33" s="8">
        <f t="shared" si="1"/>
        <v>194869.07399</v>
      </c>
      <c r="H33" s="8">
        <f t="shared" si="1"/>
        <v>193120.69399</v>
      </c>
      <c r="I33" s="10"/>
      <c r="J33" s="10"/>
      <c r="K33" s="8">
        <f>SUM(K14:K32)</f>
        <v>193120.69399</v>
      </c>
      <c r="L33" s="10"/>
      <c r="N33" s="8">
        <f>SUM(N14:N32)</f>
        <v>193128.87399000002</v>
      </c>
      <c r="P33" s="8">
        <f>SUM(P14:P32)</f>
        <v>197150.48729777485</v>
      </c>
    </row>
    <row r="34" spans="1:16">
      <c r="D34" s="10"/>
      <c r="E34" s="10"/>
      <c r="F34" s="10"/>
      <c r="G34" s="10"/>
      <c r="H34" s="10"/>
    </row>
    <row r="35" spans="1:16">
      <c r="D35" s="10"/>
      <c r="E35" s="10"/>
      <c r="F35" s="10"/>
      <c r="G35" s="10"/>
      <c r="H35" s="10"/>
      <c r="L35" s="10"/>
      <c r="N35" s="10"/>
    </row>
    <row r="36" spans="1:16">
      <c r="D36" s="10"/>
      <c r="E36" s="10"/>
      <c r="F36" s="10"/>
      <c r="G36" s="10"/>
      <c r="H36" s="10"/>
      <c r="L36" s="10"/>
      <c r="N36" s="10"/>
    </row>
    <row r="37" spans="1:16">
      <c r="D37" s="10"/>
      <c r="E37" s="10"/>
      <c r="F37" s="10"/>
      <c r="G37" s="10"/>
      <c r="H37" s="10"/>
    </row>
    <row r="38" spans="1:16">
      <c r="D38" s="10"/>
      <c r="E38" s="10"/>
      <c r="F38" s="10"/>
      <c r="G38" s="10"/>
      <c r="H38" s="10"/>
    </row>
    <row r="39" spans="1:16">
      <c r="D39" s="10"/>
      <c r="E39" s="10"/>
      <c r="F39" s="10"/>
      <c r="G39" s="10"/>
      <c r="H39" s="10"/>
    </row>
    <row r="40" spans="1:16">
      <c r="D40" s="10"/>
      <c r="E40" s="10"/>
      <c r="F40" s="10"/>
      <c r="G40" s="10"/>
      <c r="H40" s="10"/>
    </row>
    <row r="41" spans="1:16">
      <c r="D41" s="10"/>
      <c r="E41" s="10"/>
      <c r="F41" s="10"/>
      <c r="G41" s="10"/>
      <c r="H41" s="10"/>
    </row>
  </sheetData>
  <phoneticPr fontId="0" type="noConversion"/>
  <printOptions horizontalCentered="1"/>
  <pageMargins left="0.25" right="0.25" top="0.75" bottom="0.75" header="0.3" footer="0.3"/>
  <pageSetup scale="72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E6" sqref="E6:H9"/>
    </sheetView>
  </sheetViews>
  <sheetFormatPr defaultRowHeight="12.75"/>
  <cols>
    <col min="1" max="1" width="27.28515625" customWidth="1"/>
    <col min="2" max="2" width="10.7109375" bestFit="1" customWidth="1"/>
    <col min="3" max="3" width="8.5703125" bestFit="1" customWidth="1"/>
    <col min="4" max="6" width="10.710937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710937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115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2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92478743</v>
      </c>
      <c r="C13" s="71">
        <v>6.5140000000000003E-2</v>
      </c>
      <c r="D13" s="8">
        <f>+B13*C13</f>
        <v>6024065.3190200003</v>
      </c>
      <c r="E13" s="8">
        <f>D13</f>
        <v>6024065.3190200003</v>
      </c>
      <c r="F13" s="8">
        <f>E13</f>
        <v>6024065.3190200003</v>
      </c>
      <c r="G13" s="8">
        <f>+F13</f>
        <v>6024065.3190200003</v>
      </c>
      <c r="H13" s="8">
        <f>+G13</f>
        <v>6024065.3190200003</v>
      </c>
      <c r="I13" s="74">
        <v>-2746200</v>
      </c>
      <c r="J13" s="6">
        <f>+B13+I13</f>
        <v>89732543</v>
      </c>
      <c r="K13" s="8">
        <f>+C13*J13</f>
        <v>5845177.8510199999</v>
      </c>
      <c r="L13" s="74">
        <v>19944000</v>
      </c>
      <c r="M13" s="6">
        <f>J13+L13</f>
        <v>109676543</v>
      </c>
      <c r="N13" s="6">
        <f>O13-M13</f>
        <v>2517167</v>
      </c>
      <c r="O13" s="6">
        <f>ROUND(M13*O$22/M$22,0)</f>
        <v>112193710</v>
      </c>
      <c r="P13" s="8">
        <f>+O13*C13</f>
        <v>7308298.2694000006</v>
      </c>
      <c r="R13" s="8">
        <f>+P13+Q13</f>
        <v>7308298.2694000006</v>
      </c>
    </row>
    <row r="14" spans="1:18">
      <c r="A14" t="s">
        <v>285</v>
      </c>
      <c r="B14" s="74">
        <v>-7845</v>
      </c>
      <c r="C14" s="72"/>
      <c r="D14" s="8"/>
      <c r="E14" s="8"/>
      <c r="F14" s="8"/>
      <c r="G14" s="8"/>
      <c r="H14" s="8"/>
      <c r="I14" s="74">
        <v>0</v>
      </c>
      <c r="J14" s="6">
        <f>J15-J13</f>
        <v>-7845</v>
      </c>
      <c r="K14" s="8"/>
      <c r="L14" s="74">
        <v>0</v>
      </c>
      <c r="M14" s="6">
        <f>J14+L14</f>
        <v>-7845</v>
      </c>
      <c r="N14" s="6">
        <f>N15-N13</f>
        <v>-180</v>
      </c>
      <c r="O14" s="6">
        <f>O15-O13</f>
        <v>-8025</v>
      </c>
      <c r="P14" s="8"/>
    </row>
    <row r="15" spans="1:18">
      <c r="A15" t="s">
        <v>12</v>
      </c>
      <c r="B15" s="6">
        <f>+'12 Months TS'!E85</f>
        <v>92470898</v>
      </c>
      <c r="D15" s="8"/>
      <c r="E15" s="8"/>
      <c r="F15" s="8"/>
      <c r="G15" s="8"/>
      <c r="H15" s="8"/>
      <c r="I15" s="6">
        <f>SUM(I13:I14)</f>
        <v>-2746200</v>
      </c>
      <c r="J15" s="6">
        <f>+B15+I15</f>
        <v>89724698</v>
      </c>
      <c r="K15" s="8"/>
      <c r="L15" s="6">
        <f>SUM(L13:L14)</f>
        <v>19944000</v>
      </c>
      <c r="M15" s="6">
        <f>J15+L15</f>
        <v>109668698</v>
      </c>
      <c r="N15" s="6">
        <f>O15-M15</f>
        <v>2516987</v>
      </c>
      <c r="O15" s="6">
        <f>ROUND(M15*O$22/M$22,0)</f>
        <v>112185685</v>
      </c>
      <c r="P15" s="8"/>
    </row>
    <row r="16" spans="1:18">
      <c r="B16" s="6"/>
      <c r="D16" s="8"/>
      <c r="E16" s="8"/>
      <c r="F16" s="8"/>
      <c r="G16" s="8"/>
      <c r="H16" s="8"/>
      <c r="I16" s="6"/>
      <c r="K16" s="8"/>
      <c r="L16" s="6"/>
      <c r="P16" s="8"/>
    </row>
    <row r="17" spans="1:18">
      <c r="A17" t="s">
        <v>21</v>
      </c>
      <c r="B17" s="74">
        <v>353609.40000000008</v>
      </c>
      <c r="C17" s="73">
        <v>3.89</v>
      </c>
      <c r="D17" s="8">
        <f>+B17*C17</f>
        <v>1375540.5660000003</v>
      </c>
      <c r="E17" s="8">
        <f>D17</f>
        <v>1375540.5660000003</v>
      </c>
      <c r="F17" s="8">
        <f>E17</f>
        <v>1375540.5660000003</v>
      </c>
      <c r="G17" s="8">
        <f>+F17</f>
        <v>1375540.5660000003</v>
      </c>
      <c r="H17" s="8">
        <f t="shared" ref="H17:H18" si="0">+G17</f>
        <v>1375540.5660000003</v>
      </c>
      <c r="I17" s="74">
        <v>-12625.8</v>
      </c>
      <c r="J17" s="6">
        <f>+B17+I17</f>
        <v>340983.60000000009</v>
      </c>
      <c r="K17" s="8">
        <f>+C17*J17</f>
        <v>1326426.2040000004</v>
      </c>
      <c r="L17" s="74">
        <v>37200</v>
      </c>
      <c r="M17" s="6">
        <f>J17+L17</f>
        <v>378183.60000000009</v>
      </c>
      <c r="N17" s="6">
        <f>O17-M17</f>
        <v>8679.3999999999069</v>
      </c>
      <c r="O17" s="6">
        <f>ROUND(M17*O$22/M$22,0)</f>
        <v>386863</v>
      </c>
      <c r="P17" s="8">
        <f>+O17*C17</f>
        <v>1504897.07</v>
      </c>
      <c r="R17" s="8">
        <f t="shared" ref="R17:R18" si="1">+P17+Q17</f>
        <v>1504897.07</v>
      </c>
    </row>
    <row r="18" spans="1:18">
      <c r="A18" t="s">
        <v>277</v>
      </c>
      <c r="B18" s="74">
        <v>62996.299999999996</v>
      </c>
      <c r="C18" s="73">
        <f>+'LGS-SEC'!C18</f>
        <v>3.46</v>
      </c>
      <c r="D18" s="8">
        <f>+B18*C18</f>
        <v>217967.19799999997</v>
      </c>
      <c r="E18" s="8">
        <f>D18</f>
        <v>217967.19799999997</v>
      </c>
      <c r="F18" s="8">
        <f>E18</f>
        <v>217967.19799999997</v>
      </c>
      <c r="G18" s="8">
        <f>+F18</f>
        <v>217967.19799999997</v>
      </c>
      <c r="H18" s="8">
        <f t="shared" si="0"/>
        <v>217967.19799999997</v>
      </c>
      <c r="I18" s="74">
        <v>-1535</v>
      </c>
      <c r="J18" s="6">
        <f>+B18+I18</f>
        <v>61461.299999999996</v>
      </c>
      <c r="K18" s="8">
        <f>+C18*J18</f>
        <v>212656.09799999997</v>
      </c>
      <c r="L18" s="74">
        <v>0</v>
      </c>
      <c r="M18" s="6">
        <f>J18+L18</f>
        <v>61461.299999999996</v>
      </c>
      <c r="N18" s="6">
        <f>O18-M18</f>
        <v>1410.7000000000044</v>
      </c>
      <c r="O18" s="6">
        <f>ROUND(M18*O$22/M$22,0)</f>
        <v>62872</v>
      </c>
      <c r="P18" s="8">
        <f>+O18*C18</f>
        <v>217537.12</v>
      </c>
      <c r="R18" s="8">
        <f t="shared" si="1"/>
        <v>217537.12</v>
      </c>
    </row>
    <row r="19" spans="1:18">
      <c r="B19" s="6"/>
      <c r="C19" s="24"/>
      <c r="D19" s="8"/>
      <c r="E19" s="8"/>
      <c r="F19" s="8"/>
      <c r="G19" s="8"/>
      <c r="H19" s="8"/>
      <c r="I19" s="6"/>
      <c r="K19" s="8"/>
      <c r="L19" s="6"/>
      <c r="P19" s="8"/>
    </row>
    <row r="20" spans="1:18">
      <c r="A20" t="s">
        <v>13</v>
      </c>
      <c r="B20" s="74">
        <v>937.04899999999998</v>
      </c>
      <c r="C20" s="73">
        <v>127.5</v>
      </c>
      <c r="D20" s="8">
        <f>+B20*C20</f>
        <v>119473.7475</v>
      </c>
      <c r="E20" s="8">
        <f>D20</f>
        <v>119473.7475</v>
      </c>
      <c r="F20" s="8">
        <f>E20</f>
        <v>119473.7475</v>
      </c>
      <c r="G20" s="8">
        <f>+F20</f>
        <v>119473.7475</v>
      </c>
      <c r="H20" s="8">
        <f>+G20</f>
        <v>119473.7475</v>
      </c>
      <c r="I20" s="74">
        <v>-57.599999999999994</v>
      </c>
      <c r="J20" s="6">
        <f>+B20+I20</f>
        <v>879.44899999999996</v>
      </c>
      <c r="K20" s="8">
        <f>+C20*J20</f>
        <v>112129.7475</v>
      </c>
      <c r="L20" s="74">
        <v>36</v>
      </c>
      <c r="M20" s="6">
        <f>J20+L20</f>
        <v>915.44899999999996</v>
      </c>
      <c r="N20" s="6">
        <f>O20-M20</f>
        <v>20.551000000000045</v>
      </c>
      <c r="O20" s="6">
        <f>ROUND(M20*O$22/M$22,0)</f>
        <v>936</v>
      </c>
      <c r="P20" s="8">
        <f>+O20*C20</f>
        <v>119340</v>
      </c>
      <c r="R20" s="8">
        <f>+P20+Q20</f>
        <v>119340</v>
      </c>
    </row>
    <row r="21" spans="1:18">
      <c r="B21" s="6"/>
      <c r="D21" s="8"/>
      <c r="E21" s="8"/>
      <c r="F21" s="8"/>
      <c r="G21" s="8"/>
      <c r="H21" s="8"/>
      <c r="I21" s="6"/>
      <c r="K21" s="8"/>
      <c r="L21" s="6"/>
      <c r="P21" s="8"/>
    </row>
    <row r="22" spans="1:18">
      <c r="A22" t="s">
        <v>14</v>
      </c>
      <c r="B22" s="6">
        <f>'Monthly # of Customers'!N66</f>
        <v>938</v>
      </c>
      <c r="D22" s="8"/>
      <c r="E22" s="8"/>
      <c r="F22" s="8"/>
      <c r="G22" s="8"/>
      <c r="H22" s="8"/>
      <c r="I22" s="74">
        <v>-59</v>
      </c>
      <c r="J22" s="6">
        <f>+B22+I22</f>
        <v>879</v>
      </c>
      <c r="K22" s="8"/>
      <c r="L22" s="74">
        <v>36</v>
      </c>
      <c r="M22" s="6">
        <f>J22+L22</f>
        <v>915</v>
      </c>
      <c r="N22" s="6">
        <f>O22-M22</f>
        <v>21</v>
      </c>
      <c r="O22" s="6">
        <f>('Monthly # of Customers'!M66+3)*12</f>
        <v>936</v>
      </c>
      <c r="P22" s="8"/>
    </row>
    <row r="23" spans="1:18">
      <c r="B23" s="6"/>
      <c r="D23" s="8"/>
      <c r="E23" s="8"/>
      <c r="F23" s="8"/>
      <c r="G23" s="8"/>
      <c r="H23" s="8"/>
      <c r="I23" s="6"/>
      <c r="K23" s="8"/>
      <c r="L23" s="8">
        <f>L13*C13+L17*C17+L18*C18+L20*C20</f>
        <v>1448450.1600000001</v>
      </c>
      <c r="P23" s="8"/>
    </row>
    <row r="24" spans="1:18">
      <c r="A24" t="str">
        <f>+RS!A27</f>
        <v xml:space="preserve">Fuel </v>
      </c>
      <c r="B24" s="6"/>
      <c r="D24" s="8">
        <f>+'B&amp;A Surcharges'!B43</f>
        <v>268349.23000000004</v>
      </c>
      <c r="E24" s="8">
        <f>D24</f>
        <v>268349.23000000004</v>
      </c>
      <c r="F24" s="8">
        <f>E24</f>
        <v>268349.23000000004</v>
      </c>
      <c r="G24" s="8">
        <f>+F24</f>
        <v>268349.23000000004</v>
      </c>
      <c r="H24" s="8">
        <f>ROUND(B15*H11,2)</f>
        <v>188744.38</v>
      </c>
      <c r="I24" s="8">
        <f>ROUND(H11*I15,2)</f>
        <v>-5605.33</v>
      </c>
      <c r="J24" s="10"/>
      <c r="K24" s="8">
        <f>+H24+I24</f>
        <v>183139.05000000002</v>
      </c>
      <c r="L24" s="8">
        <f>L15*H11</f>
        <v>40708.136473394959</v>
      </c>
      <c r="M24" s="10"/>
      <c r="N24" s="8">
        <f>P24-K24-L24</f>
        <v>5137.4835266050359</v>
      </c>
      <c r="P24" s="8">
        <f>ROUND(O15*H11,2)</f>
        <v>228984.67</v>
      </c>
      <c r="R24" s="8">
        <f>+P24+Q24</f>
        <v>228984.67</v>
      </c>
    </row>
    <row r="25" spans="1:18">
      <c r="D25" s="8"/>
      <c r="E25" s="8"/>
      <c r="F25" s="8"/>
      <c r="G25" s="8"/>
      <c r="H25" s="8"/>
      <c r="I25" s="8"/>
      <c r="J25" s="10"/>
      <c r="K25" s="8"/>
      <c r="L25" s="8"/>
      <c r="M25" s="10"/>
      <c r="P25" s="8"/>
    </row>
    <row r="26" spans="1:18">
      <c r="A26" t="str">
        <f>+RS!A29</f>
        <v>System Sales Clause</v>
      </c>
      <c r="D26" s="8">
        <f>+'B&amp;A Surcharges'!D43</f>
        <v>35299.68</v>
      </c>
      <c r="E26" s="8">
        <v>0</v>
      </c>
      <c r="F26" s="8">
        <f>E26</f>
        <v>0</v>
      </c>
      <c r="G26" s="8">
        <f>+F26</f>
        <v>0</v>
      </c>
      <c r="H26" s="8">
        <f>+G26</f>
        <v>0</v>
      </c>
      <c r="I26" s="8"/>
      <c r="J26" s="10"/>
      <c r="K26" s="8">
        <f>+H26+I26</f>
        <v>0</v>
      </c>
      <c r="L26" s="8"/>
      <c r="M26" s="10"/>
      <c r="N26" s="10"/>
      <c r="P26" s="8">
        <f>ROUND(K26*O$15/J$15,2)</f>
        <v>0</v>
      </c>
      <c r="R26" s="8">
        <f>+P26+Q26</f>
        <v>0</v>
      </c>
    </row>
    <row r="27" spans="1:18">
      <c r="D27" s="8"/>
      <c r="E27" s="8"/>
      <c r="F27" s="8"/>
      <c r="G27" s="8"/>
      <c r="H27" s="8"/>
      <c r="I27" s="8"/>
      <c r="J27" s="10"/>
      <c r="K27" s="8"/>
      <c r="L27" s="8"/>
      <c r="M27" s="10"/>
      <c r="P27" s="8"/>
    </row>
    <row r="28" spans="1:18">
      <c r="A28" t="str">
        <f>+RS!A31</f>
        <v>Environmental Surcharge</v>
      </c>
      <c r="D28" s="8">
        <f>+'B&amp;A Surcharges'!J43</f>
        <v>-45329.26</v>
      </c>
      <c r="E28" s="8">
        <f>D28</f>
        <v>-45329.26</v>
      </c>
      <c r="F28" s="8">
        <f>E28</f>
        <v>-45329.26</v>
      </c>
      <c r="G28" s="8">
        <v>0</v>
      </c>
      <c r="H28" s="8">
        <f>+G28</f>
        <v>0</v>
      </c>
      <c r="I28" s="95">
        <v>0</v>
      </c>
      <c r="J28" s="10"/>
      <c r="K28" s="8">
        <f>+H28+I28</f>
        <v>0</v>
      </c>
      <c r="L28" s="95">
        <v>0</v>
      </c>
      <c r="M28" s="10"/>
      <c r="N28" s="8">
        <f>P28-K28-L28</f>
        <v>0</v>
      </c>
      <c r="P28" s="8">
        <f>ROUND(K28*SUM(P13:P24)/SUM(K13:K24),2)</f>
        <v>0</v>
      </c>
      <c r="R28" s="8">
        <f>+P28+Q28</f>
        <v>0</v>
      </c>
    </row>
    <row r="29" spans="1:18">
      <c r="D29" s="8"/>
      <c r="E29" s="8"/>
      <c r="F29" s="8"/>
      <c r="G29" s="8"/>
      <c r="H29" s="8"/>
      <c r="I29" s="8"/>
      <c r="J29" s="10"/>
      <c r="K29" s="8"/>
      <c r="L29" s="8"/>
      <c r="M29" s="10"/>
      <c r="N29" s="8"/>
      <c r="P29" s="8"/>
    </row>
    <row r="30" spans="1:18">
      <c r="A30" t="str">
        <f>RS!A33</f>
        <v>Capacity Charge</v>
      </c>
      <c r="D30" s="8">
        <f>+'B&amp;A Surcharges'!F43</f>
        <v>89696.76999999999</v>
      </c>
      <c r="E30" s="8">
        <f>D30</f>
        <v>89696.76999999999</v>
      </c>
      <c r="F30" s="8">
        <v>0</v>
      </c>
      <c r="G30" s="8">
        <f>+F30</f>
        <v>0</v>
      </c>
      <c r="H30" s="8">
        <f>+G30</f>
        <v>0</v>
      </c>
      <c r="I30" s="29"/>
      <c r="J30" s="10"/>
      <c r="K30" s="8">
        <f>+H30+I30</f>
        <v>0</v>
      </c>
      <c r="L30" s="29"/>
      <c r="M30" s="10"/>
      <c r="N30" s="10"/>
      <c r="P30" s="8">
        <f>ROUND(K30*O$15/J$15,2)</f>
        <v>0</v>
      </c>
      <c r="R30" s="8">
        <f>+P30+Q30</f>
        <v>0</v>
      </c>
    </row>
    <row r="31" spans="1:18">
      <c r="D31" s="8"/>
      <c r="E31" s="8"/>
      <c r="F31" s="8"/>
      <c r="G31" s="8"/>
      <c r="H31" s="8"/>
      <c r="I31" s="29"/>
      <c r="J31" s="10"/>
      <c r="K31" s="8"/>
      <c r="L31" s="29"/>
      <c r="M31" s="10"/>
      <c r="N31" s="10"/>
      <c r="P31" s="8"/>
    </row>
    <row r="32" spans="1:18">
      <c r="A32" t="str">
        <f>RS!A35</f>
        <v>Asset Transfer Rider</v>
      </c>
      <c r="D32" s="8">
        <f>+'B&amp;A Surcharges'!N43</f>
        <v>513293.72000000003</v>
      </c>
      <c r="E32" s="8">
        <f>D32</f>
        <v>513293.72000000003</v>
      </c>
      <c r="F32" s="8">
        <f>E32</f>
        <v>513293.72000000003</v>
      </c>
      <c r="G32" s="8">
        <f>+F32</f>
        <v>513293.72000000003</v>
      </c>
      <c r="H32" s="8">
        <f>+G32</f>
        <v>513293.72000000003</v>
      </c>
      <c r="I32" s="95">
        <v>-6521.4339999999993</v>
      </c>
      <c r="J32" s="10"/>
      <c r="K32" s="8">
        <f>+H32+I32</f>
        <v>506772.28600000002</v>
      </c>
      <c r="L32" s="95">
        <v>110706.51</v>
      </c>
      <c r="M32" s="10"/>
      <c r="N32" s="8">
        <f>P32-K32-L32</f>
        <v>1086.0339999999414</v>
      </c>
      <c r="P32" s="8">
        <f>ROUND(K32*SUM(P13:P23)/SUM(K13:K23),2)</f>
        <v>618564.82999999996</v>
      </c>
      <c r="Q32" s="8">
        <f>+'ATR Adjustment WP'!G43</f>
        <v>203959.65063000596</v>
      </c>
      <c r="R32" s="8">
        <f>+P32+Q32</f>
        <v>822524.48063000594</v>
      </c>
    </row>
    <row r="33" spans="1:18">
      <c r="D33" s="8"/>
      <c r="E33" s="8"/>
      <c r="F33" s="8"/>
      <c r="G33" s="8"/>
      <c r="H33" s="8"/>
      <c r="I33" s="10"/>
      <c r="J33" s="10"/>
      <c r="K33" s="8"/>
      <c r="L33" s="8"/>
      <c r="M33" s="10"/>
      <c r="P33" s="8"/>
    </row>
    <row r="34" spans="1:18">
      <c r="A34" t="str">
        <f>+RS!A39</f>
        <v>Total</v>
      </c>
      <c r="D34" s="8">
        <f t="shared" ref="D34:H34" si="2">SUM(D13:D33)</f>
        <v>8598356.9705200009</v>
      </c>
      <c r="E34" s="8">
        <f t="shared" si="2"/>
        <v>8563057.2905200012</v>
      </c>
      <c r="F34" s="8">
        <f t="shared" si="2"/>
        <v>8473360.5205200016</v>
      </c>
      <c r="G34" s="8">
        <f t="shared" si="2"/>
        <v>8518689.7805200014</v>
      </c>
      <c r="H34" s="8">
        <f t="shared" si="2"/>
        <v>8439084.9305199999</v>
      </c>
      <c r="I34" s="10"/>
      <c r="J34" s="10"/>
      <c r="K34" s="8">
        <f>SUM(K13:K33)</f>
        <v>8186301.2365200007</v>
      </c>
      <c r="L34" s="8">
        <f>SUM(L23:L33)</f>
        <v>1599864.8064733951</v>
      </c>
      <c r="M34" s="10"/>
      <c r="N34" s="10"/>
      <c r="P34" s="8">
        <f>SUM(P13:P33)</f>
        <v>9997621.9594000001</v>
      </c>
      <c r="R34" s="8">
        <f>SUM(R13:R33)</f>
        <v>10201581.610030007</v>
      </c>
    </row>
    <row r="35" spans="1:18">
      <c r="P35" s="10"/>
    </row>
    <row r="36" spans="1:18">
      <c r="D36" s="8"/>
      <c r="P36" s="8"/>
    </row>
    <row r="37" spans="1:18">
      <c r="P37" s="8"/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E6" sqref="E6:H9"/>
    </sheetView>
  </sheetViews>
  <sheetFormatPr defaultRowHeight="12.75"/>
  <cols>
    <col min="1" max="1" width="27.28515625" customWidth="1"/>
    <col min="2" max="2" width="10.7109375" bestFit="1" customWidth="1"/>
    <col min="3" max="3" width="8.5703125" bestFit="1" customWidth="1"/>
    <col min="4" max="6" width="10.710937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116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32295816</v>
      </c>
      <c r="C13" s="71">
        <v>4.9419999999999999E-2</v>
      </c>
      <c r="D13" s="8">
        <f>+B13*C13</f>
        <v>1596059.2267199999</v>
      </c>
      <c r="E13" s="8">
        <f>D13</f>
        <v>1596059.2267199999</v>
      </c>
      <c r="F13" s="8">
        <f>E13</f>
        <v>1596059.2267199999</v>
      </c>
      <c r="G13" s="8">
        <f>+F13</f>
        <v>1596059.2267199999</v>
      </c>
      <c r="H13" s="8">
        <f>+G13</f>
        <v>1596059.2267199999</v>
      </c>
      <c r="I13" s="74">
        <v>4402600</v>
      </c>
      <c r="J13" s="6">
        <f>+B13+I13</f>
        <v>36698416</v>
      </c>
      <c r="K13" s="8">
        <f>+C13*J13</f>
        <v>1813635.71872</v>
      </c>
      <c r="L13" s="6">
        <v>0</v>
      </c>
      <c r="M13" s="6">
        <f>J13+L13</f>
        <v>36698416</v>
      </c>
      <c r="N13" s="6">
        <f>O13-M13</f>
        <v>-2952746</v>
      </c>
      <c r="O13" s="6">
        <f>ROUND(M13*O$22/M$22,0)</f>
        <v>33745670</v>
      </c>
      <c r="P13" s="8">
        <f>+O13*C13</f>
        <v>1667711.0114</v>
      </c>
      <c r="R13" s="8">
        <f>+P13+Q13</f>
        <v>1667711.0114</v>
      </c>
    </row>
    <row r="14" spans="1:18">
      <c r="A14" t="s">
        <v>285</v>
      </c>
      <c r="B14" s="74">
        <v>-22267</v>
      </c>
      <c r="C14" s="72"/>
      <c r="D14" s="8"/>
      <c r="E14" s="8"/>
      <c r="F14" s="8"/>
      <c r="G14" s="8"/>
      <c r="H14" s="8"/>
      <c r="I14" s="74">
        <v>0</v>
      </c>
      <c r="J14" s="6">
        <f>J15-J13</f>
        <v>-22267</v>
      </c>
      <c r="K14" s="8"/>
      <c r="L14" s="6">
        <v>0</v>
      </c>
      <c r="M14" s="6">
        <f>J14+L14</f>
        <v>-22267</v>
      </c>
      <c r="N14" s="6">
        <f>N15-N13</f>
        <v>1791</v>
      </c>
      <c r="O14" s="6">
        <f>O15-O13</f>
        <v>-20476</v>
      </c>
      <c r="P14" s="8"/>
    </row>
    <row r="15" spans="1:18">
      <c r="A15" t="s">
        <v>12</v>
      </c>
      <c r="B15" s="6">
        <f>+'12 Months TS'!E87</f>
        <v>32273549</v>
      </c>
      <c r="D15" s="8"/>
      <c r="E15" s="8"/>
      <c r="F15" s="8"/>
      <c r="G15" s="8"/>
      <c r="H15" s="8"/>
      <c r="I15" s="6">
        <f>SUM(I13:I14)</f>
        <v>4402600</v>
      </c>
      <c r="J15" s="6">
        <f>+B15+I15</f>
        <v>36676149</v>
      </c>
      <c r="K15" s="8"/>
      <c r="L15" s="6">
        <f>SUM(L13:L14)</f>
        <v>0</v>
      </c>
      <c r="M15" s="6">
        <f>J15+L15</f>
        <v>36676149</v>
      </c>
      <c r="N15" s="6">
        <f>O15-M15</f>
        <v>-2950955</v>
      </c>
      <c r="O15" s="6">
        <f>ROUND(M15*O$22/M$22,0)</f>
        <v>33725194</v>
      </c>
      <c r="P15" s="8"/>
    </row>
    <row r="16" spans="1:18">
      <c r="B16" s="6"/>
      <c r="D16" s="8"/>
      <c r="E16" s="8"/>
      <c r="F16" s="8"/>
      <c r="G16" s="8"/>
      <c r="H16" s="8"/>
      <c r="I16" s="6"/>
      <c r="K16" s="8"/>
      <c r="P16" s="8"/>
    </row>
    <row r="17" spans="1:18">
      <c r="A17" t="s">
        <v>21</v>
      </c>
      <c r="B17" s="74">
        <v>103508.70000000001</v>
      </c>
      <c r="C17" s="73">
        <v>3.8</v>
      </c>
      <c r="D17" s="8">
        <f>+B17*C17</f>
        <v>393333.06</v>
      </c>
      <c r="E17" s="8">
        <f>D17</f>
        <v>393333.06</v>
      </c>
      <c r="F17" s="8">
        <f>E17</f>
        <v>393333.06</v>
      </c>
      <c r="G17" s="8">
        <f>+F17</f>
        <v>393333.06</v>
      </c>
      <c r="H17" s="8">
        <f t="shared" ref="H17:H18" si="0">+G17</f>
        <v>393333.06</v>
      </c>
      <c r="I17" s="74">
        <v>17039</v>
      </c>
      <c r="J17" s="6">
        <f>+B17+I17</f>
        <v>120547.70000000001</v>
      </c>
      <c r="K17" s="8">
        <f>+C17*J17</f>
        <v>458081.26</v>
      </c>
      <c r="L17" s="6">
        <v>0</v>
      </c>
      <c r="M17" s="6">
        <f>J17+L17</f>
        <v>120547.70000000001</v>
      </c>
      <c r="N17" s="6">
        <f>O17-M17</f>
        <v>-9699.7000000000116</v>
      </c>
      <c r="O17" s="6">
        <f>ROUND(M17*O$22/M$22,0)</f>
        <v>110848</v>
      </c>
      <c r="P17" s="8">
        <f>+O17*C17</f>
        <v>421222.39999999997</v>
      </c>
      <c r="R17" s="8">
        <f t="shared" ref="R17:R18" si="1">+P17+Q17</f>
        <v>421222.39999999997</v>
      </c>
    </row>
    <row r="18" spans="1:18">
      <c r="A18" t="s">
        <v>277</v>
      </c>
      <c r="B18" s="74">
        <v>2891.8999999999996</v>
      </c>
      <c r="C18" s="73">
        <f>+'LGS-SEC'!C18</f>
        <v>3.46</v>
      </c>
      <c r="D18" s="8">
        <f>+B18*C18</f>
        <v>10005.973999999998</v>
      </c>
      <c r="E18" s="8">
        <f>D18</f>
        <v>10005.973999999998</v>
      </c>
      <c r="F18" s="8">
        <f>E18</f>
        <v>10005.973999999998</v>
      </c>
      <c r="G18" s="8">
        <f>+F18</f>
        <v>10005.973999999998</v>
      </c>
      <c r="H18" s="8">
        <f t="shared" si="0"/>
        <v>10005.973999999998</v>
      </c>
      <c r="I18" s="74">
        <v>3854</v>
      </c>
      <c r="J18" s="6">
        <f>+B18+I18</f>
        <v>6745.9</v>
      </c>
      <c r="K18" s="8">
        <f>+C18*J18</f>
        <v>23340.813999999998</v>
      </c>
      <c r="L18" s="6">
        <v>0</v>
      </c>
      <c r="M18" s="6">
        <f>J18+L18</f>
        <v>6745.9</v>
      </c>
      <c r="N18" s="6">
        <f>O18-M18</f>
        <v>-542.89999999999964</v>
      </c>
      <c r="O18" s="6">
        <f>ROUND(M18*O$22/M$22,0)</f>
        <v>6203</v>
      </c>
      <c r="P18" s="8">
        <f>+O18*C18</f>
        <v>21462.38</v>
      </c>
      <c r="R18" s="8">
        <f t="shared" si="1"/>
        <v>21462.38</v>
      </c>
    </row>
    <row r="19" spans="1:18">
      <c r="B19" s="6"/>
      <c r="C19" s="24"/>
      <c r="D19" s="8"/>
      <c r="E19" s="8"/>
      <c r="F19" s="8"/>
      <c r="G19" s="8"/>
      <c r="H19" s="8"/>
      <c r="I19" s="6"/>
      <c r="K19" s="8"/>
      <c r="P19" s="8"/>
    </row>
    <row r="20" spans="1:18">
      <c r="A20" t="s">
        <v>13</v>
      </c>
      <c r="B20" s="82">
        <v>233.35</v>
      </c>
      <c r="C20" s="73">
        <v>535.5</v>
      </c>
      <c r="D20" s="8">
        <f>+B20*C20</f>
        <v>124958.925</v>
      </c>
      <c r="E20" s="8">
        <f>D20</f>
        <v>124958.925</v>
      </c>
      <c r="F20" s="8">
        <f>E20</f>
        <v>124958.925</v>
      </c>
      <c r="G20" s="8">
        <f>+F20</f>
        <v>124958.925</v>
      </c>
      <c r="H20" s="8">
        <f>+G20</f>
        <v>124958.925</v>
      </c>
      <c r="I20" s="74">
        <v>27.4</v>
      </c>
      <c r="J20" s="6">
        <f>+B20+I20</f>
        <v>260.75</v>
      </c>
      <c r="K20" s="8">
        <f>+C20*J20</f>
        <v>139631.625</v>
      </c>
      <c r="L20" s="6">
        <v>0</v>
      </c>
      <c r="M20" s="6">
        <f>J20+L20</f>
        <v>260.75</v>
      </c>
      <c r="N20" s="6">
        <f>O20-M20</f>
        <v>-20.75</v>
      </c>
      <c r="O20" s="6">
        <f>ROUND(M20*O$22/M$22,0)</f>
        <v>240</v>
      </c>
      <c r="P20" s="8">
        <f>+O20*C20</f>
        <v>128520</v>
      </c>
      <c r="R20" s="8">
        <f>+P20+Q20</f>
        <v>128520</v>
      </c>
    </row>
    <row r="21" spans="1:18">
      <c r="B21" s="6"/>
      <c r="D21" s="8"/>
      <c r="E21" s="8"/>
      <c r="F21" s="8"/>
      <c r="G21" s="8"/>
      <c r="H21" s="8"/>
      <c r="I21" s="6"/>
      <c r="K21" s="8"/>
      <c r="P21" s="8"/>
    </row>
    <row r="22" spans="1:18">
      <c r="A22" t="s">
        <v>14</v>
      </c>
      <c r="B22" s="6">
        <f>'Monthly # of Customers'!N68</f>
        <v>233</v>
      </c>
      <c r="D22" s="8"/>
      <c r="E22" s="8"/>
      <c r="F22" s="8"/>
      <c r="G22" s="8"/>
      <c r="H22" s="8"/>
      <c r="I22" s="74">
        <v>28</v>
      </c>
      <c r="J22" s="6">
        <f>+B22+I22</f>
        <v>261</v>
      </c>
      <c r="K22" s="8"/>
      <c r="L22" s="6">
        <v>0</v>
      </c>
      <c r="M22" s="6">
        <f>J22+L22</f>
        <v>261</v>
      </c>
      <c r="N22" s="6">
        <f>O22-M22</f>
        <v>-21</v>
      </c>
      <c r="O22" s="6">
        <f>'Monthly # of Customers'!M68*12</f>
        <v>240</v>
      </c>
      <c r="P22" s="8"/>
    </row>
    <row r="23" spans="1:18">
      <c r="B23" s="6"/>
      <c r="D23" s="8"/>
      <c r="E23" s="8"/>
      <c r="F23" s="8"/>
      <c r="G23" s="8"/>
      <c r="H23" s="8"/>
      <c r="K23" s="8"/>
      <c r="L23" s="8">
        <f>L13*$C13+L17*$C17+L18*$C18+L20*$C20</f>
        <v>0</v>
      </c>
      <c r="N23" s="8"/>
      <c r="P23" s="8"/>
    </row>
    <row r="24" spans="1:18">
      <c r="A24" t="str">
        <f>+RS!A27</f>
        <v xml:space="preserve">Fuel </v>
      </c>
      <c r="D24" s="8">
        <f>+'B&amp;A Surcharges'!B45</f>
        <v>99433.47</v>
      </c>
      <c r="E24" s="8">
        <f>D24</f>
        <v>99433.47</v>
      </c>
      <c r="F24" s="8">
        <f>E24</f>
        <v>99433.47</v>
      </c>
      <c r="G24" s="8">
        <f>+F24</f>
        <v>99433.47</v>
      </c>
      <c r="H24" s="8">
        <f>ROUND(B15*H11,2)</f>
        <v>65874.25</v>
      </c>
      <c r="I24" s="8">
        <f>ROUND(I15*H11,2)</f>
        <v>8986.24</v>
      </c>
      <c r="J24" s="10"/>
      <c r="K24" s="8">
        <f>H24+I24</f>
        <v>74860.490000000005</v>
      </c>
      <c r="L24" s="8">
        <f>L15*$H11</f>
        <v>0</v>
      </c>
      <c r="M24" s="10"/>
      <c r="N24" s="8">
        <f>P24-L24-K24</f>
        <v>-6023.2600000000093</v>
      </c>
      <c r="P24" s="8">
        <f>ROUND(O15*H11,2)</f>
        <v>68837.23</v>
      </c>
      <c r="R24" s="8">
        <f>+P24+Q24</f>
        <v>68837.23</v>
      </c>
    </row>
    <row r="25" spans="1:18">
      <c r="D25" s="8"/>
      <c r="E25" s="8"/>
      <c r="F25" s="8"/>
      <c r="G25" s="8"/>
      <c r="H25" s="8"/>
      <c r="I25" s="8"/>
      <c r="J25" s="10"/>
      <c r="K25" s="8"/>
      <c r="L25" s="8"/>
      <c r="M25" s="10"/>
      <c r="N25" s="8"/>
      <c r="P25" s="8"/>
    </row>
    <row r="26" spans="1:18">
      <c r="A26" t="str">
        <f>+RS!A29</f>
        <v>System Sales Clause</v>
      </c>
      <c r="D26" s="8">
        <f>+'B&amp;A Surcharges'!D45</f>
        <v>12237.1</v>
      </c>
      <c r="E26" s="8">
        <v>0</v>
      </c>
      <c r="F26" s="8">
        <f>E26</f>
        <v>0</v>
      </c>
      <c r="G26" s="8">
        <f>+F26</f>
        <v>0</v>
      </c>
      <c r="H26" s="8">
        <f>+G26</f>
        <v>0</v>
      </c>
      <c r="I26" s="8"/>
      <c r="J26" s="10"/>
      <c r="K26" s="8">
        <f>H26+I26</f>
        <v>0</v>
      </c>
      <c r="L26" s="8"/>
      <c r="M26" s="10"/>
      <c r="N26" s="8"/>
      <c r="P26" s="8">
        <f>ROUND(K26*O$15/J$15,2)</f>
        <v>0</v>
      </c>
      <c r="R26" s="8">
        <f>+P26+Q26</f>
        <v>0</v>
      </c>
    </row>
    <row r="27" spans="1:18">
      <c r="D27" s="8"/>
      <c r="E27" s="8"/>
      <c r="F27" s="8"/>
      <c r="G27" s="8"/>
      <c r="H27" s="8"/>
      <c r="I27" s="8"/>
      <c r="J27" s="10"/>
      <c r="K27" s="8"/>
      <c r="L27" s="8"/>
      <c r="M27" s="10"/>
      <c r="N27" s="8"/>
      <c r="P27" s="8"/>
    </row>
    <row r="28" spans="1:18">
      <c r="A28" t="str">
        <f>+RS!A31</f>
        <v>Environmental Surcharge</v>
      </c>
      <c r="D28" s="8">
        <f>+'B&amp;A Surcharges'!J45</f>
        <v>-11973.85</v>
      </c>
      <c r="E28" s="8">
        <f>D28</f>
        <v>-11973.85</v>
      </c>
      <c r="F28" s="8">
        <f>E28</f>
        <v>-11973.85</v>
      </c>
      <c r="G28" s="8">
        <v>0</v>
      </c>
      <c r="H28" s="8">
        <f>+G28</f>
        <v>0</v>
      </c>
      <c r="I28" s="95">
        <v>0</v>
      </c>
      <c r="J28" s="10"/>
      <c r="K28" s="8">
        <f>H28+I28</f>
        <v>0</v>
      </c>
      <c r="L28" s="8">
        <f>ROUND(K28*SUM(L23:L24)/SUM(K13:K24),2)</f>
        <v>0</v>
      </c>
      <c r="M28" s="10"/>
      <c r="N28" s="8">
        <f>P28-L28-K28</f>
        <v>0</v>
      </c>
      <c r="P28" s="8">
        <f>ROUND(K28*SUM(P13:P24)/SUM(K13:K24),2)</f>
        <v>0</v>
      </c>
      <c r="R28" s="8">
        <f>+P28+Q28</f>
        <v>0</v>
      </c>
    </row>
    <row r="29" spans="1:18">
      <c r="D29" s="8"/>
      <c r="E29" s="8"/>
      <c r="F29" s="8"/>
      <c r="G29" s="8"/>
      <c r="H29" s="8"/>
      <c r="I29" s="8"/>
      <c r="J29" s="10"/>
      <c r="K29" s="8"/>
      <c r="L29" s="8"/>
      <c r="M29" s="10"/>
      <c r="N29" s="8"/>
      <c r="P29" s="8"/>
    </row>
    <row r="30" spans="1:18">
      <c r="A30" t="str">
        <f>RS!A33</f>
        <v>Capacity Charge</v>
      </c>
      <c r="D30" s="8">
        <f>+'B&amp;A Surcharges'!F45</f>
        <v>31305.350000000002</v>
      </c>
      <c r="E30" s="8">
        <f>D30</f>
        <v>31305.350000000002</v>
      </c>
      <c r="F30" s="8">
        <v>0</v>
      </c>
      <c r="G30" s="8">
        <f>+F30</f>
        <v>0</v>
      </c>
      <c r="H30" s="8">
        <f>+G30</f>
        <v>0</v>
      </c>
      <c r="I30" s="10"/>
      <c r="J30" s="10"/>
      <c r="K30" s="8">
        <f>H30+I30</f>
        <v>0</v>
      </c>
      <c r="L30" s="8"/>
      <c r="M30" s="10"/>
      <c r="N30" s="8"/>
      <c r="P30" s="8">
        <f>ROUND(K30*O$15/J$15,2)</f>
        <v>0</v>
      </c>
      <c r="R30" s="8">
        <f>+P30+Q30</f>
        <v>0</v>
      </c>
    </row>
    <row r="31" spans="1:18">
      <c r="D31" s="8"/>
      <c r="E31" s="8"/>
      <c r="F31" s="8"/>
      <c r="G31" s="8"/>
      <c r="H31" s="8"/>
      <c r="I31" s="10"/>
      <c r="J31" s="10"/>
      <c r="K31" s="8"/>
      <c r="L31" s="8"/>
      <c r="M31" s="10"/>
      <c r="N31" s="8"/>
      <c r="P31" s="8"/>
    </row>
    <row r="32" spans="1:18">
      <c r="A32" t="str">
        <f>RS!A35</f>
        <v>Asset Transfer Rider</v>
      </c>
      <c r="D32" s="8">
        <f>+'B&amp;A Surcharges'!N45</f>
        <v>121649.36</v>
      </c>
      <c r="E32" s="8">
        <f>D32</f>
        <v>121649.36</v>
      </c>
      <c r="F32" s="8">
        <f>E32</f>
        <v>121649.36</v>
      </c>
      <c r="G32" s="8">
        <f>+F32</f>
        <v>121649.36</v>
      </c>
      <c r="H32" s="8">
        <f>+G32</f>
        <v>121649.36</v>
      </c>
      <c r="I32" s="95">
        <v>15243.112999999999</v>
      </c>
      <c r="J32" s="10"/>
      <c r="K32" s="8">
        <f>H32+I32</f>
        <v>136892.473</v>
      </c>
      <c r="L32" s="8">
        <f>ROUND(K32*SUM(L29:L29)/SUM(K19:K29),2)</f>
        <v>0</v>
      </c>
      <c r="M32" s="10"/>
      <c r="N32" s="8">
        <f>P32-L32-K32</f>
        <v>-11007.532999999996</v>
      </c>
      <c r="P32" s="8">
        <f>ROUND(K32*SUM(P13:P23)/SUM(K13:K23),2)</f>
        <v>125884.94</v>
      </c>
      <c r="Q32" s="8">
        <f>+'ATR Adjustment WP'!G45</f>
        <v>41508.096058386094</v>
      </c>
      <c r="R32" s="8">
        <f>+P32+Q32</f>
        <v>167393.03605838609</v>
      </c>
    </row>
    <row r="33" spans="1:18">
      <c r="D33" s="8"/>
      <c r="E33" s="8"/>
      <c r="F33" s="8"/>
      <c r="G33" s="8"/>
      <c r="H33" s="8"/>
      <c r="I33" s="10"/>
      <c r="J33" s="10"/>
      <c r="K33" s="8"/>
      <c r="L33" s="8"/>
      <c r="M33" s="10"/>
      <c r="N33" s="8"/>
      <c r="P33" s="8"/>
    </row>
    <row r="34" spans="1:18">
      <c r="A34" t="str">
        <f>+RS!A39</f>
        <v>Total</v>
      </c>
      <c r="D34" s="8">
        <f t="shared" ref="D34:H34" si="2">SUM(D13:D33)</f>
        <v>2377008.6157200001</v>
      </c>
      <c r="E34" s="8">
        <f t="shared" si="2"/>
        <v>2364771.51572</v>
      </c>
      <c r="F34" s="8">
        <f t="shared" si="2"/>
        <v>2333466.1657199999</v>
      </c>
      <c r="G34" s="8">
        <f t="shared" si="2"/>
        <v>2345440.01572</v>
      </c>
      <c r="H34" s="8">
        <f t="shared" si="2"/>
        <v>2311880.7957199998</v>
      </c>
      <c r="I34" s="10"/>
      <c r="J34" s="10"/>
      <c r="K34" s="8">
        <f>SUM(K11:K33)</f>
        <v>2646442.3807199998</v>
      </c>
      <c r="L34" s="8">
        <f>SUM(L23:L33)</f>
        <v>0</v>
      </c>
      <c r="M34" s="10"/>
      <c r="N34" s="8"/>
      <c r="P34" s="8">
        <f>SUM(P13:P33)</f>
        <v>2433637.9613999999</v>
      </c>
      <c r="R34" s="8">
        <f>SUM(R13:R33)</f>
        <v>2475146.0574583858</v>
      </c>
    </row>
    <row r="35" spans="1:18">
      <c r="D35" s="10"/>
      <c r="E35" s="10"/>
      <c r="F35" s="10"/>
      <c r="G35" s="10"/>
      <c r="H35" s="10"/>
    </row>
    <row r="36" spans="1:18">
      <c r="D36" s="10"/>
      <c r="E36" s="10"/>
      <c r="F36" s="10"/>
      <c r="G36" s="10"/>
      <c r="H36" s="10"/>
      <c r="K36" s="59"/>
      <c r="L36" s="59"/>
      <c r="M36" s="60"/>
      <c r="N36" s="59"/>
    </row>
    <row r="37" spans="1:18">
      <c r="D37" s="10"/>
      <c r="E37" s="10"/>
      <c r="F37" s="10"/>
      <c r="G37" s="10"/>
      <c r="H37" s="10"/>
    </row>
  </sheetData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A30" sqref="A30:XFD31"/>
    </sheetView>
  </sheetViews>
  <sheetFormatPr defaultRowHeight="12.75"/>
  <cols>
    <col min="1" max="1" width="27.28515625" customWidth="1"/>
    <col min="2" max="2" width="9.7109375" bestFit="1" customWidth="1"/>
    <col min="3" max="3" width="8.5703125" bestFit="1" customWidth="1"/>
    <col min="4" max="4" width="9.5703125" bestFit="1" customWidth="1"/>
    <col min="5" max="6" width="9.14062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334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A11" s="2"/>
      <c r="B11" s="2"/>
      <c r="C11" s="2"/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2092679</v>
      </c>
      <c r="C13" s="71">
        <v>4.6440000000000002E-2</v>
      </c>
      <c r="D13" s="8">
        <f>+B13*C13</f>
        <v>97184.012759999998</v>
      </c>
      <c r="E13" s="8">
        <f>D13</f>
        <v>97184.012759999998</v>
      </c>
      <c r="F13" s="8">
        <f>E13</f>
        <v>97184.012759999998</v>
      </c>
      <c r="G13" s="8">
        <f>+F13</f>
        <v>97184.012759999998</v>
      </c>
      <c r="H13" s="8">
        <f>+G13</f>
        <v>97184.012759999998</v>
      </c>
      <c r="I13" s="74">
        <v>-1421070</v>
      </c>
      <c r="J13" s="6">
        <f>+B13+I13</f>
        <v>671609</v>
      </c>
      <c r="K13" s="8">
        <f>+C13*J13</f>
        <v>31189.521960000002</v>
      </c>
      <c r="L13" s="6">
        <v>0</v>
      </c>
      <c r="M13" s="6">
        <f>J13+L13</f>
        <v>671609</v>
      </c>
      <c r="N13" s="6">
        <f>O13-M13</f>
        <v>0</v>
      </c>
      <c r="O13" s="6">
        <f>ROUND(M13*O$22/M$22,0)</f>
        <v>671609</v>
      </c>
      <c r="P13" s="8">
        <f>+O13*C13</f>
        <v>31189.521960000002</v>
      </c>
      <c r="R13" s="8">
        <f>+P13+Q13</f>
        <v>31189.521960000002</v>
      </c>
    </row>
    <row r="14" spans="1:18">
      <c r="A14" t="s">
        <v>285</v>
      </c>
      <c r="B14" s="74">
        <v>-13253</v>
      </c>
      <c r="C14" s="72"/>
      <c r="D14" s="8"/>
      <c r="E14" s="8"/>
      <c r="F14" s="8"/>
      <c r="G14" s="8"/>
      <c r="H14" s="8"/>
      <c r="I14" s="74">
        <v>14070</v>
      </c>
      <c r="J14" s="6">
        <f>J15-J13</f>
        <v>817</v>
      </c>
      <c r="K14" s="8"/>
      <c r="L14" s="6">
        <v>0</v>
      </c>
      <c r="M14" s="6">
        <f>J14+L14</f>
        <v>817</v>
      </c>
      <c r="N14" s="6">
        <f>N15-N13</f>
        <v>0</v>
      </c>
      <c r="O14" s="6">
        <f>O15-O13</f>
        <v>817</v>
      </c>
      <c r="P14" s="8"/>
    </row>
    <row r="15" spans="1:18">
      <c r="A15" t="s">
        <v>12</v>
      </c>
      <c r="B15" s="6">
        <f>+'12 Months TS'!E89</f>
        <v>2079426</v>
      </c>
      <c r="D15" s="8"/>
      <c r="E15" s="8"/>
      <c r="F15" s="8"/>
      <c r="G15" s="8"/>
      <c r="H15" s="8"/>
      <c r="I15" s="6">
        <f>+I13+I14</f>
        <v>-1407000</v>
      </c>
      <c r="J15" s="6">
        <f>+B15+I15</f>
        <v>672426</v>
      </c>
      <c r="K15" s="8"/>
      <c r="L15" s="6">
        <f>SUM(L13:L14)</f>
        <v>0</v>
      </c>
      <c r="M15" s="6">
        <f>J15+L15</f>
        <v>672426</v>
      </c>
      <c r="N15" s="6">
        <f>O15-M15</f>
        <v>0</v>
      </c>
      <c r="O15" s="6">
        <f>ROUND(M15*O$22/M$22,0)</f>
        <v>672426</v>
      </c>
      <c r="P15" s="8"/>
    </row>
    <row r="16" spans="1:18">
      <c r="B16" s="6"/>
      <c r="D16" s="8"/>
      <c r="E16" s="8"/>
      <c r="F16" s="8"/>
      <c r="G16" s="8"/>
      <c r="H16" s="8"/>
      <c r="I16" s="6"/>
      <c r="K16" s="8"/>
      <c r="P16" s="8"/>
    </row>
    <row r="17" spans="1:18">
      <c r="A17" t="s">
        <v>21</v>
      </c>
      <c r="B17" s="74">
        <v>10533.4</v>
      </c>
      <c r="C17" s="73">
        <v>3.76</v>
      </c>
      <c r="D17" s="8">
        <f>+B17*C17</f>
        <v>39605.583999999995</v>
      </c>
      <c r="E17" s="8">
        <f>D17</f>
        <v>39605.583999999995</v>
      </c>
      <c r="F17" s="8">
        <f>E17</f>
        <v>39605.583999999995</v>
      </c>
      <c r="G17" s="8">
        <f>+F17</f>
        <v>39605.583999999995</v>
      </c>
      <c r="H17" s="8">
        <f t="shared" ref="H17:H18" si="0">+G17</f>
        <v>39605.583999999995</v>
      </c>
      <c r="I17" s="74">
        <v>-5256</v>
      </c>
      <c r="J17" s="6">
        <f>+B17+I17</f>
        <v>5277.4</v>
      </c>
      <c r="K17" s="8">
        <f>+C17*J17</f>
        <v>19843.023999999998</v>
      </c>
      <c r="L17" s="6">
        <v>0</v>
      </c>
      <c r="M17" s="6">
        <f>J17+L17</f>
        <v>5277.4</v>
      </c>
      <c r="N17" s="6">
        <f>O17-M17</f>
        <v>-0.3999999999996362</v>
      </c>
      <c r="O17" s="6">
        <f>ROUND(M17*O$22/M$22,0)</f>
        <v>5277</v>
      </c>
      <c r="P17" s="8">
        <f>+O17*C17</f>
        <v>19841.52</v>
      </c>
      <c r="R17" s="8">
        <f t="shared" ref="R17:R18" si="1">+P17+Q17</f>
        <v>19841.52</v>
      </c>
    </row>
    <row r="18" spans="1:18">
      <c r="A18" t="s">
        <v>277</v>
      </c>
      <c r="B18" s="74">
        <v>2540.6999999999998</v>
      </c>
      <c r="C18" s="73">
        <f>+'LGS-SEC'!C18</f>
        <v>3.46</v>
      </c>
      <c r="D18" s="8">
        <f>+B18*C18</f>
        <v>8790.8220000000001</v>
      </c>
      <c r="E18" s="8">
        <f>D18</f>
        <v>8790.8220000000001</v>
      </c>
      <c r="F18" s="8">
        <f>E18</f>
        <v>8790.8220000000001</v>
      </c>
      <c r="G18" s="8">
        <f>+F18</f>
        <v>8790.8220000000001</v>
      </c>
      <c r="H18" s="8">
        <f t="shared" si="0"/>
        <v>8790.8220000000001</v>
      </c>
      <c r="I18" s="74">
        <v>0</v>
      </c>
      <c r="J18" s="6">
        <f>+B18+I18</f>
        <v>2540.6999999999998</v>
      </c>
      <c r="K18" s="8">
        <f>+C18*J18</f>
        <v>8790.8220000000001</v>
      </c>
      <c r="L18" s="6">
        <v>0</v>
      </c>
      <c r="M18" s="6">
        <f>J18+L18</f>
        <v>2540.6999999999998</v>
      </c>
      <c r="N18" s="6">
        <f>O18-M18</f>
        <v>0.3000000000001819</v>
      </c>
      <c r="O18" s="6">
        <f>ROUND(M18*O$22/M$22,0)</f>
        <v>2541</v>
      </c>
      <c r="P18" s="8">
        <f>+O18*C18</f>
        <v>8791.86</v>
      </c>
      <c r="R18" s="8">
        <f t="shared" si="1"/>
        <v>8791.86</v>
      </c>
    </row>
    <row r="19" spans="1:18">
      <c r="B19" s="6"/>
      <c r="C19" s="24"/>
      <c r="D19" s="8"/>
      <c r="E19" s="8"/>
      <c r="F19" s="8"/>
      <c r="G19" s="8"/>
      <c r="H19" s="8"/>
      <c r="I19" s="6"/>
      <c r="K19" s="8"/>
      <c r="P19" s="8"/>
    </row>
    <row r="20" spans="1:18">
      <c r="A20" t="s">
        <v>13</v>
      </c>
      <c r="B20" s="74">
        <v>19</v>
      </c>
      <c r="C20" s="73">
        <v>535.5</v>
      </c>
      <c r="D20" s="8">
        <f>+B20*C20</f>
        <v>10174.5</v>
      </c>
      <c r="E20" s="8">
        <f>D20</f>
        <v>10174.5</v>
      </c>
      <c r="F20" s="8">
        <f>E20</f>
        <v>10174.5</v>
      </c>
      <c r="G20" s="8">
        <f>+F20</f>
        <v>10174.5</v>
      </c>
      <c r="H20" s="8">
        <f>+G20</f>
        <v>10174.5</v>
      </c>
      <c r="I20" s="74">
        <v>-7</v>
      </c>
      <c r="J20" s="6">
        <f>+B20+I20</f>
        <v>12</v>
      </c>
      <c r="K20" s="8">
        <f>+C20*J20</f>
        <v>6426</v>
      </c>
      <c r="L20" s="6">
        <v>0</v>
      </c>
      <c r="M20" s="6">
        <f>J20+L20</f>
        <v>12</v>
      </c>
      <c r="N20" s="6">
        <f>O20-M20</f>
        <v>0</v>
      </c>
      <c r="O20" s="6">
        <f>ROUND(M20*O$22/M$22,0)</f>
        <v>12</v>
      </c>
      <c r="P20" s="8">
        <f>+O20*C20</f>
        <v>6426</v>
      </c>
      <c r="R20" s="8">
        <f>+P20+Q20</f>
        <v>6426</v>
      </c>
    </row>
    <row r="21" spans="1:18">
      <c r="B21" s="6"/>
      <c r="D21" s="8"/>
      <c r="E21" s="8"/>
      <c r="F21" s="8"/>
      <c r="G21" s="8"/>
      <c r="H21" s="8"/>
      <c r="I21" s="6"/>
      <c r="K21" s="8"/>
      <c r="P21" s="8"/>
    </row>
    <row r="22" spans="1:18">
      <c r="A22" t="s">
        <v>14</v>
      </c>
      <c r="B22" s="6">
        <f>'Monthly # of Customers'!N70</f>
        <v>19</v>
      </c>
      <c r="D22" s="8"/>
      <c r="E22" s="8"/>
      <c r="F22" s="8"/>
      <c r="G22" s="8"/>
      <c r="H22" s="8"/>
      <c r="I22" s="74">
        <v>-7</v>
      </c>
      <c r="J22" s="6">
        <f>+B22+I22</f>
        <v>12</v>
      </c>
      <c r="K22" s="8"/>
      <c r="L22" s="6">
        <v>0</v>
      </c>
      <c r="M22" s="6">
        <f>J22+L22</f>
        <v>12</v>
      </c>
      <c r="N22" s="6">
        <f>O22-M22</f>
        <v>0</v>
      </c>
      <c r="O22" s="6">
        <f>'Monthly # of Customers'!M70*12</f>
        <v>12</v>
      </c>
      <c r="P22" s="8"/>
    </row>
    <row r="23" spans="1:18">
      <c r="B23" s="6"/>
      <c r="D23" s="8"/>
      <c r="E23" s="8"/>
      <c r="F23" s="8"/>
      <c r="G23" s="8"/>
      <c r="H23" s="8"/>
      <c r="K23" s="8"/>
      <c r="L23" s="8">
        <f>L13*$C13+L17*$C17+L18*$C18+L20*$C20</f>
        <v>0</v>
      </c>
      <c r="N23" s="8"/>
      <c r="P23" s="8"/>
    </row>
    <row r="24" spans="1:18">
      <c r="A24" t="str">
        <f>+RS!A27</f>
        <v xml:space="preserve">Fuel </v>
      </c>
      <c r="D24" s="8">
        <f>+'B&amp;A Surcharges'!B47</f>
        <v>1487.3</v>
      </c>
      <c r="E24" s="8">
        <f>D24</f>
        <v>1487.3</v>
      </c>
      <c r="F24" s="8">
        <f>E24</f>
        <v>1487.3</v>
      </c>
      <c r="G24" s="8">
        <f>+F24</f>
        <v>1487.3</v>
      </c>
      <c r="H24" s="8">
        <f>ROUND(B15*H11,2)</f>
        <v>4244.3599999999997</v>
      </c>
      <c r="I24" s="8">
        <f>ROUND(I15*H11,2)</f>
        <v>-2871.86</v>
      </c>
      <c r="J24" s="10"/>
      <c r="K24" s="8">
        <f>H24+I24</f>
        <v>1372.4999999999995</v>
      </c>
      <c r="L24" s="8">
        <f>L15*$H11</f>
        <v>0</v>
      </c>
      <c r="M24" s="10"/>
      <c r="N24" s="8">
        <f>P24-L24-K24</f>
        <v>0</v>
      </c>
      <c r="P24" s="8">
        <f>ROUND(O15*H11,2)</f>
        <v>1372.5</v>
      </c>
      <c r="R24" s="8">
        <f>+P24+Q24</f>
        <v>1372.5</v>
      </c>
    </row>
    <row r="25" spans="1:18">
      <c r="D25" s="8"/>
      <c r="E25" s="8"/>
      <c r="F25" s="8"/>
      <c r="G25" s="8"/>
      <c r="H25" s="8"/>
      <c r="I25" s="8"/>
      <c r="J25" s="10"/>
      <c r="K25" s="8"/>
      <c r="L25" s="8"/>
      <c r="M25" s="10"/>
      <c r="N25" s="8"/>
      <c r="P25" s="8"/>
    </row>
    <row r="26" spans="1:18">
      <c r="A26" t="str">
        <f>+RS!A29</f>
        <v>System Sales Clause</v>
      </c>
      <c r="D26" s="8">
        <f>+'B&amp;A Surcharges'!D47</f>
        <v>1229.4099999999999</v>
      </c>
      <c r="E26" s="8">
        <v>0</v>
      </c>
      <c r="F26" s="8">
        <f>E26</f>
        <v>0</v>
      </c>
      <c r="G26" s="8">
        <f>+F26</f>
        <v>0</v>
      </c>
      <c r="H26" s="8">
        <f>+G26</f>
        <v>0</v>
      </c>
      <c r="I26" s="8"/>
      <c r="J26" s="10"/>
      <c r="K26" s="8">
        <f>H26+I26</f>
        <v>0</v>
      </c>
      <c r="L26" s="8"/>
      <c r="M26" s="10"/>
      <c r="N26" s="8"/>
      <c r="P26" s="8">
        <f>ROUND(K26*O$15/J$15,2)</f>
        <v>0</v>
      </c>
      <c r="R26" s="8">
        <f>+P26+Q26</f>
        <v>0</v>
      </c>
    </row>
    <row r="27" spans="1:18">
      <c r="D27" s="8"/>
      <c r="E27" s="8"/>
      <c r="F27" s="8"/>
      <c r="G27" s="8"/>
      <c r="H27" s="8"/>
      <c r="I27" s="8"/>
      <c r="J27" s="10"/>
      <c r="K27" s="8"/>
      <c r="L27" s="8"/>
      <c r="M27" s="10"/>
      <c r="N27" s="8"/>
      <c r="P27" s="8"/>
    </row>
    <row r="28" spans="1:18">
      <c r="A28" t="str">
        <f>+RS!A31</f>
        <v>Environmental Surcharge</v>
      </c>
      <c r="D28" s="8">
        <f>+'B&amp;A Surcharges'!J47</f>
        <v>-1008.14</v>
      </c>
      <c r="E28" s="8">
        <f>D28</f>
        <v>-1008.14</v>
      </c>
      <c r="F28" s="8">
        <f>E28</f>
        <v>-1008.14</v>
      </c>
      <c r="G28" s="8">
        <v>0</v>
      </c>
      <c r="H28" s="8">
        <f>+G28</f>
        <v>0</v>
      </c>
      <c r="I28" s="95">
        <v>0</v>
      </c>
      <c r="J28" s="10"/>
      <c r="K28" s="8">
        <f>H28+I28</f>
        <v>0</v>
      </c>
      <c r="L28" s="8">
        <f>ROUND(K28*SUM(L23:L24)/SUM(K13:K24),2)</f>
        <v>0</v>
      </c>
      <c r="M28" s="10"/>
      <c r="N28" s="8">
        <f>P28-L28-K28</f>
        <v>0</v>
      </c>
      <c r="P28" s="8">
        <f>ROUND(K28*SUM(P13:P24)/SUM(K13:K24),2)</f>
        <v>0</v>
      </c>
      <c r="R28" s="8">
        <f>+P28+Q28</f>
        <v>0</v>
      </c>
    </row>
    <row r="29" spans="1:18">
      <c r="D29" s="8"/>
      <c r="E29" s="8"/>
      <c r="F29" s="8"/>
      <c r="G29" s="8"/>
      <c r="H29" s="8"/>
      <c r="I29" s="8"/>
      <c r="J29" s="10"/>
      <c r="K29" s="8"/>
      <c r="L29" s="8"/>
      <c r="M29" s="10"/>
      <c r="N29" s="8"/>
      <c r="P29" s="8"/>
    </row>
    <row r="30" spans="1:18">
      <c r="A30" t="str">
        <f>+RS!A33</f>
        <v>Capacity Charge</v>
      </c>
      <c r="D30" s="8">
        <f>+'B&amp;A Surcharges'!F47</f>
        <v>2017.0400000000002</v>
      </c>
      <c r="E30" s="8">
        <f>D30</f>
        <v>2017.0400000000002</v>
      </c>
      <c r="F30" s="8">
        <v>0</v>
      </c>
      <c r="G30" s="8">
        <f>+F30</f>
        <v>0</v>
      </c>
      <c r="H30" s="8">
        <f>+G30</f>
        <v>0</v>
      </c>
      <c r="I30" s="10"/>
      <c r="J30" s="10"/>
      <c r="K30" s="8">
        <f>H30+I30</f>
        <v>0</v>
      </c>
      <c r="L30" s="8"/>
      <c r="M30" s="10"/>
      <c r="N30" s="8"/>
      <c r="P30" s="8">
        <f>ROUND(K30*O$15/J$15,2)</f>
        <v>0</v>
      </c>
      <c r="R30" s="8">
        <f>+P30+Q30</f>
        <v>0</v>
      </c>
    </row>
    <row r="31" spans="1:18">
      <c r="D31" s="8"/>
      <c r="E31" s="8"/>
      <c r="F31" s="8"/>
      <c r="G31" s="8"/>
      <c r="H31" s="8"/>
      <c r="I31" s="10"/>
      <c r="J31" s="10"/>
      <c r="K31" s="8"/>
      <c r="L31" s="8"/>
      <c r="M31" s="10"/>
      <c r="N31" s="8"/>
      <c r="P31" s="8"/>
    </row>
    <row r="32" spans="1:18">
      <c r="A32" t="str">
        <f>+RS!A35</f>
        <v>Asset Transfer Rider</v>
      </c>
      <c r="D32" s="8">
        <f>+'B&amp;A Surcharges'!N47</f>
        <v>4873.7100000000019</v>
      </c>
      <c r="E32" s="8">
        <f>D32</f>
        <v>4873.7100000000019</v>
      </c>
      <c r="F32" s="8">
        <f>E32</f>
        <v>4873.7100000000019</v>
      </c>
      <c r="G32" s="8">
        <f>+F32</f>
        <v>4873.7100000000019</v>
      </c>
      <c r="H32" s="8">
        <f>+G32</f>
        <v>4873.7100000000019</v>
      </c>
      <c r="I32" s="95">
        <v>-5383</v>
      </c>
      <c r="J32" s="10"/>
      <c r="K32" s="8">
        <f>H32+I32</f>
        <v>-509.28999999999814</v>
      </c>
      <c r="L32" s="8">
        <f>ROUND(K32*SUM(L29:L29)/SUM(K19:K29),2)</f>
        <v>0</v>
      </c>
      <c r="M32" s="10"/>
      <c r="N32" s="8">
        <f>P32-L32-K32</f>
        <v>-1.8758328224066645E-12</v>
      </c>
      <c r="P32" s="8">
        <f>ROUND(K32*SUM(P13:P23)/SUM(K13:K23),2)</f>
        <v>-509.29</v>
      </c>
      <c r="Q32" s="8">
        <f>+'ATR Adjustment WP'!G47</f>
        <v>-167.92841337157131</v>
      </c>
      <c r="R32" s="8">
        <f>+P32+Q32</f>
        <v>-677.21841337157139</v>
      </c>
    </row>
    <row r="33" spans="1:18">
      <c r="D33" s="8"/>
      <c r="E33" s="8"/>
      <c r="F33" s="8"/>
      <c r="G33" s="8"/>
      <c r="H33" s="8"/>
      <c r="I33" s="10"/>
      <c r="J33" s="10"/>
      <c r="K33" s="8"/>
      <c r="L33" s="8"/>
      <c r="M33" s="10"/>
      <c r="N33" s="8"/>
      <c r="P33" s="8"/>
    </row>
    <row r="34" spans="1:18">
      <c r="A34" t="str">
        <f>+RS!A39</f>
        <v>Total</v>
      </c>
      <c r="D34" s="8">
        <f>SUM(D13:D33)</f>
        <v>164354.23875999995</v>
      </c>
      <c r="E34" s="8">
        <f t="shared" ref="E34:H34" si="2">SUM(E13:E33)</f>
        <v>163124.82875999995</v>
      </c>
      <c r="F34" s="8">
        <f t="shared" si="2"/>
        <v>161107.78875999994</v>
      </c>
      <c r="G34" s="8">
        <f t="shared" si="2"/>
        <v>162115.92875999995</v>
      </c>
      <c r="H34" s="8">
        <f t="shared" si="2"/>
        <v>164872.98875999995</v>
      </c>
      <c r="I34" s="10"/>
      <c r="J34" s="10"/>
      <c r="K34" s="8">
        <f>SUM(K11:K33)</f>
        <v>67112.57796000001</v>
      </c>
      <c r="L34" s="8">
        <f>SUM(L23:L33)</f>
        <v>0</v>
      </c>
      <c r="M34" s="10"/>
      <c r="N34" s="8"/>
      <c r="P34" s="8">
        <f>SUM(P13:P33)</f>
        <v>67112.111960000009</v>
      </c>
      <c r="R34" s="8">
        <f>SUM(R13:R33)</f>
        <v>66944.183546628425</v>
      </c>
    </row>
    <row r="35" spans="1:18">
      <c r="D35" s="10"/>
      <c r="E35" s="10"/>
      <c r="F35" s="10"/>
      <c r="G35" s="10"/>
      <c r="H35" s="10"/>
    </row>
    <row r="36" spans="1:18">
      <c r="D36" s="10"/>
      <c r="E36" s="10"/>
      <c r="F36" s="10"/>
      <c r="G36" s="10"/>
      <c r="H36" s="10"/>
      <c r="K36" s="59"/>
      <c r="L36" s="59"/>
      <c r="M36" s="60"/>
      <c r="N36" s="59"/>
    </row>
    <row r="37" spans="1:18">
      <c r="D37" s="10"/>
      <c r="E37" s="10"/>
      <c r="F37" s="10"/>
      <c r="G37" s="10"/>
      <c r="H37" s="10"/>
    </row>
  </sheetData>
  <phoneticPr fontId="0" type="noConversion"/>
  <printOptions horizontalCentered="1"/>
  <pageMargins left="0.25" right="0.25" top="0.75" bottom="0.75" header="0.3" footer="0.3"/>
  <pageSetup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E6" sqref="E6:H9"/>
    </sheetView>
  </sheetViews>
  <sheetFormatPr defaultRowHeight="12.75"/>
  <cols>
    <col min="1" max="1" width="22.85546875" customWidth="1"/>
    <col min="2" max="2" width="10.7109375" bestFit="1" customWidth="1"/>
    <col min="3" max="3" width="8.5703125" bestFit="1" customWidth="1"/>
    <col min="4" max="6" width="10.710937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276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  <c r="O6" s="37" t="str">
        <f>+RS!S6</f>
        <v>Asset Transfer</v>
      </c>
      <c r="P6" s="37"/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/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s="5" t="s">
        <v>22</v>
      </c>
      <c r="B13" s="74">
        <v>21029570</v>
      </c>
      <c r="C13" s="71">
        <v>3.2849999999999997E-2</v>
      </c>
      <c r="D13" s="8">
        <f>+B13*C13</f>
        <v>690821.37449999992</v>
      </c>
      <c r="E13" s="8">
        <f>D13</f>
        <v>690821.37449999992</v>
      </c>
      <c r="F13" s="8">
        <f>E13</f>
        <v>690821.37449999992</v>
      </c>
      <c r="G13" s="8">
        <f>+F13</f>
        <v>690821.37449999992</v>
      </c>
      <c r="H13" s="8">
        <f>+G13</f>
        <v>690821.37449999992</v>
      </c>
      <c r="I13" s="74">
        <v>2325782</v>
      </c>
      <c r="J13" s="6">
        <f>+B13+I13</f>
        <v>23355352</v>
      </c>
      <c r="K13" s="8">
        <f>+C13*J13</f>
        <v>767223.31319999998</v>
      </c>
      <c r="L13" s="6">
        <f>M13-J13</f>
        <v>-934214</v>
      </c>
      <c r="M13" s="6">
        <f>ROUND(J13*M$25/J$25,0)</f>
        <v>22421138</v>
      </c>
      <c r="N13" s="8">
        <f>+M13*C13</f>
        <v>736534.38329999999</v>
      </c>
      <c r="P13" s="8">
        <f>+N13+O13</f>
        <v>736534.38329999999</v>
      </c>
    </row>
    <row r="14" spans="1:16">
      <c r="B14" s="6"/>
      <c r="D14" s="8"/>
      <c r="E14" s="8"/>
      <c r="F14" s="8"/>
      <c r="G14" s="8"/>
      <c r="H14" s="8"/>
      <c r="I14" s="6"/>
      <c r="K14" s="8"/>
      <c r="L14" s="6"/>
      <c r="M14" s="6"/>
      <c r="N14" s="8"/>
    </row>
    <row r="15" spans="1:16">
      <c r="A15" t="s">
        <v>12</v>
      </c>
      <c r="B15" s="6">
        <f>+'12 Months TS'!E91</f>
        <v>21029570</v>
      </c>
      <c r="D15" s="8"/>
      <c r="E15" s="8"/>
      <c r="F15" s="8"/>
      <c r="G15" s="8"/>
      <c r="H15" s="8"/>
      <c r="I15" s="74">
        <v>2325782</v>
      </c>
      <c r="J15" s="6">
        <f>+B15+I15</f>
        <v>23355352</v>
      </c>
      <c r="K15" s="8"/>
      <c r="L15" s="6">
        <f>M15-J15</f>
        <v>-934214</v>
      </c>
      <c r="M15" s="6">
        <f>ROUND(J15*M$25/J$25,0)</f>
        <v>22421138</v>
      </c>
      <c r="N15" s="8"/>
    </row>
    <row r="16" spans="1:16">
      <c r="B16" s="6"/>
      <c r="D16" s="8"/>
      <c r="E16" s="8"/>
      <c r="F16" s="8"/>
      <c r="G16" s="8"/>
      <c r="H16" s="8"/>
      <c r="I16" s="6"/>
      <c r="K16" s="8"/>
      <c r="L16" s="6"/>
      <c r="M16" s="6"/>
      <c r="N16" s="8"/>
    </row>
    <row r="17" spans="1:16">
      <c r="A17" s="4" t="s">
        <v>21</v>
      </c>
      <c r="B17" s="6"/>
      <c r="D17" s="8"/>
      <c r="E17" s="8"/>
      <c r="F17" s="8"/>
      <c r="G17" s="8"/>
      <c r="H17" s="8"/>
      <c r="I17" s="6"/>
      <c r="K17" s="8"/>
      <c r="L17" s="6"/>
      <c r="M17" s="6"/>
      <c r="N17" s="8"/>
    </row>
    <row r="18" spans="1:16">
      <c r="A18" t="s">
        <v>25</v>
      </c>
      <c r="B18" s="74">
        <v>52558.399999999994</v>
      </c>
      <c r="C18" s="73">
        <v>18.510000000000002</v>
      </c>
      <c r="D18" s="8">
        <f>+B18*C18</f>
        <v>972855.98399999994</v>
      </c>
      <c r="E18" s="8">
        <f>D18</f>
        <v>972855.98399999994</v>
      </c>
      <c r="F18" s="8">
        <f>E18</f>
        <v>972855.98399999994</v>
      </c>
      <c r="G18" s="8">
        <f>+F18</f>
        <v>972855.98399999994</v>
      </c>
      <c r="H18" s="8">
        <f>+G18</f>
        <v>972855.98399999994</v>
      </c>
      <c r="I18" s="74">
        <v>2056</v>
      </c>
      <c r="J18" s="6">
        <f>+B18+I18</f>
        <v>54614.399999999994</v>
      </c>
      <c r="K18" s="8">
        <f>+C18*J18</f>
        <v>1010912.544</v>
      </c>
      <c r="L18" s="6">
        <f>M18-J18</f>
        <v>-2184.3999999999942</v>
      </c>
      <c r="M18" s="6">
        <f>ROUND(J18*M$25/J$25,0)</f>
        <v>52430</v>
      </c>
      <c r="N18" s="8">
        <f>+M18*C18</f>
        <v>970479.3</v>
      </c>
      <c r="P18" s="8">
        <f t="shared" ref="P18:P19" si="0">+N18+O18</f>
        <v>970479.3</v>
      </c>
    </row>
    <row r="19" spans="1:16">
      <c r="A19" t="s">
        <v>26</v>
      </c>
      <c r="B19" s="74">
        <v>481.90000000000003</v>
      </c>
      <c r="C19" s="73">
        <v>8.65</v>
      </c>
      <c r="D19" s="8">
        <f>+B19*C19</f>
        <v>4168.4350000000004</v>
      </c>
      <c r="E19" s="8">
        <f>D19</f>
        <v>4168.4350000000004</v>
      </c>
      <c r="F19" s="8">
        <f>E19</f>
        <v>4168.4350000000004</v>
      </c>
      <c r="G19" s="8">
        <f>+F19</f>
        <v>4168.4350000000004</v>
      </c>
      <c r="H19" s="8">
        <f t="shared" ref="H19" si="1">+G19</f>
        <v>4168.4350000000004</v>
      </c>
      <c r="I19" s="74">
        <v>0</v>
      </c>
      <c r="J19" s="6">
        <f>+B19+I19</f>
        <v>481.90000000000003</v>
      </c>
      <c r="K19" s="8">
        <f>+C19*J19</f>
        <v>4168.4350000000004</v>
      </c>
      <c r="L19" s="6">
        <f>M19-J19</f>
        <v>-18.900000000000034</v>
      </c>
      <c r="M19" s="6">
        <f>ROUND(J19*M$25/J$25,0)</f>
        <v>463</v>
      </c>
      <c r="N19" s="8">
        <f>+M19*C19</f>
        <v>4004.9500000000003</v>
      </c>
      <c r="P19" s="8">
        <f t="shared" si="0"/>
        <v>4004.9500000000003</v>
      </c>
    </row>
    <row r="20" spans="1:16">
      <c r="B20" s="6"/>
      <c r="C20" s="24"/>
      <c r="D20" s="8"/>
      <c r="E20" s="8"/>
      <c r="F20" s="8"/>
      <c r="G20" s="8">
        <f>+F20</f>
        <v>0</v>
      </c>
      <c r="H20" s="8"/>
      <c r="I20" s="6"/>
      <c r="J20" s="10"/>
      <c r="K20" s="8"/>
      <c r="L20" s="6"/>
      <c r="M20" s="6"/>
      <c r="N20" s="8"/>
    </row>
    <row r="21" spans="1:16">
      <c r="A21" t="s">
        <v>27</v>
      </c>
      <c r="B21" s="74">
        <v>4586</v>
      </c>
      <c r="C21" s="73">
        <v>0.69</v>
      </c>
      <c r="D21" s="8">
        <f>+B21*C21</f>
        <v>3164.3399999999997</v>
      </c>
      <c r="E21" s="8">
        <f>D21</f>
        <v>3164.3399999999997</v>
      </c>
      <c r="F21" s="8">
        <f>E21</f>
        <v>3164.3399999999997</v>
      </c>
      <c r="G21" s="8">
        <f>+F21</f>
        <v>3164.3399999999997</v>
      </c>
      <c r="H21" s="8">
        <f>+G21</f>
        <v>3164.3399999999997</v>
      </c>
      <c r="I21" s="74">
        <v>-16</v>
      </c>
      <c r="J21" s="6">
        <f>+B21+I21</f>
        <v>4570</v>
      </c>
      <c r="K21" s="8">
        <f>+C21*J21</f>
        <v>3153.2999999999997</v>
      </c>
      <c r="L21" s="6">
        <f>M21-J21</f>
        <v>-183</v>
      </c>
      <c r="M21" s="6">
        <f>ROUND(J21*M$25/J$25,0)</f>
        <v>4387</v>
      </c>
      <c r="N21" s="8">
        <f>+M21*C21</f>
        <v>3027.0299999999997</v>
      </c>
      <c r="P21" s="8">
        <f>+N21+O21</f>
        <v>3027.0299999999997</v>
      </c>
    </row>
    <row r="22" spans="1:16">
      <c r="B22" s="6"/>
      <c r="C22" s="24"/>
      <c r="D22" s="8"/>
      <c r="E22" s="8"/>
      <c r="F22" s="8"/>
      <c r="G22" s="8"/>
      <c r="H22" s="8"/>
      <c r="I22" s="6"/>
      <c r="K22" s="8"/>
      <c r="L22" s="6"/>
      <c r="M22" s="6"/>
      <c r="N22" s="8"/>
    </row>
    <row r="23" spans="1:16">
      <c r="A23" t="s">
        <v>13</v>
      </c>
      <c r="B23" s="74">
        <v>71.462000000000003</v>
      </c>
      <c r="C23" s="73">
        <v>276</v>
      </c>
      <c r="D23" s="8">
        <f>+B23*C23</f>
        <v>19723.512000000002</v>
      </c>
      <c r="E23" s="8">
        <f>D23</f>
        <v>19723.512000000002</v>
      </c>
      <c r="F23" s="8">
        <f>E23</f>
        <v>19723.512000000002</v>
      </c>
      <c r="G23" s="8">
        <f>+F23</f>
        <v>19723.512000000002</v>
      </c>
      <c r="H23" s="8">
        <f>+G23</f>
        <v>19723.512000000002</v>
      </c>
      <c r="I23" s="74">
        <v>2.65</v>
      </c>
      <c r="J23" s="6">
        <f>+B23+I23</f>
        <v>74.112000000000009</v>
      </c>
      <c r="K23" s="8">
        <f>+C23*J23</f>
        <v>20454.912000000004</v>
      </c>
      <c r="L23" s="6">
        <f>M23-J23</f>
        <v>-3.112000000000009</v>
      </c>
      <c r="M23" s="6">
        <f>ROUND(J23*M$25/J$25,0)</f>
        <v>71</v>
      </c>
      <c r="N23" s="8">
        <f>+M23*C23</f>
        <v>19596</v>
      </c>
      <c r="P23" s="8">
        <f>+N23+O23</f>
        <v>19596</v>
      </c>
    </row>
    <row r="24" spans="1:16">
      <c r="B24" s="6"/>
      <c r="D24" s="8"/>
      <c r="E24" s="8"/>
      <c r="F24" s="8"/>
      <c r="G24" s="8"/>
      <c r="H24" s="8"/>
      <c r="I24" s="6"/>
      <c r="K24" s="8"/>
      <c r="L24" s="6"/>
      <c r="M24" s="6"/>
      <c r="N24" s="8"/>
    </row>
    <row r="25" spans="1:16">
      <c r="A25" t="s">
        <v>14</v>
      </c>
      <c r="B25" s="6">
        <f>'Monthly # of Customers'!N72</f>
        <v>72</v>
      </c>
      <c r="D25" s="8"/>
      <c r="E25" s="8"/>
      <c r="F25" s="8"/>
      <c r="G25" s="8"/>
      <c r="H25" s="8"/>
      <c r="I25" s="74">
        <v>3</v>
      </c>
      <c r="J25" s="6">
        <f>+B25+I25</f>
        <v>75</v>
      </c>
      <c r="K25" s="8"/>
      <c r="L25" s="6">
        <f>M25-J25</f>
        <v>-3</v>
      </c>
      <c r="M25" s="6">
        <f>'Monthly # of Customers'!M72*12</f>
        <v>72</v>
      </c>
      <c r="N25" s="8"/>
    </row>
    <row r="26" spans="1:16">
      <c r="B26" s="6"/>
      <c r="D26" s="8"/>
      <c r="E26" s="8"/>
      <c r="F26" s="8"/>
      <c r="G26" s="8"/>
      <c r="H26" s="8"/>
      <c r="K26" s="8"/>
      <c r="L26" s="10"/>
      <c r="N26" s="8"/>
    </row>
    <row r="27" spans="1:16">
      <c r="A27" t="str">
        <f>+RS!A27</f>
        <v xml:space="preserve">Fuel </v>
      </c>
      <c r="D27" s="8">
        <f>+'B&amp;A Surcharges'!B49</f>
        <v>70823.649999999994</v>
      </c>
      <c r="E27" s="8">
        <f>D27</f>
        <v>70823.649999999994</v>
      </c>
      <c r="F27" s="8">
        <f>E27</f>
        <v>70823.649999999994</v>
      </c>
      <c r="G27" s="8">
        <f>+F27</f>
        <v>70823.649999999994</v>
      </c>
      <c r="H27" s="8">
        <f>ROUND(B15*H11,2)</f>
        <v>42923.92</v>
      </c>
      <c r="I27" s="8">
        <f>ROUND(I15*H11,2)</f>
        <v>4747.2</v>
      </c>
      <c r="J27" s="10"/>
      <c r="K27" s="8">
        <f>H27+I27</f>
        <v>47671.119999999995</v>
      </c>
      <c r="L27" s="8">
        <f>+N27-K27</f>
        <v>-1906.8399999999965</v>
      </c>
      <c r="N27" s="8">
        <f>ROUND(H11*M15,2)</f>
        <v>45764.28</v>
      </c>
      <c r="P27" s="8">
        <f>+N27+O27</f>
        <v>45764.28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tr">
        <f>+RS!A29</f>
        <v>System Sales Clause</v>
      </c>
      <c r="D29" s="8">
        <f>+'B&amp;A Surcharges'!D49</f>
        <v>5117.8600000000006</v>
      </c>
      <c r="E29" s="8">
        <v>0</v>
      </c>
      <c r="F29" s="8">
        <f>E29</f>
        <v>0</v>
      </c>
      <c r="G29" s="8">
        <f>+F29</f>
        <v>0</v>
      </c>
      <c r="H29" s="8">
        <f>+G29</f>
        <v>0</v>
      </c>
      <c r="I29" s="8"/>
      <c r="J29" s="10"/>
      <c r="K29" s="8">
        <f>H29+I29</f>
        <v>0</v>
      </c>
      <c r="L29" s="8"/>
      <c r="N29" s="8">
        <f>ROUND(K29*M$25/J$25,2)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8"/>
      <c r="J30" s="10"/>
      <c r="K30" s="8"/>
      <c r="L30" s="8"/>
      <c r="N30" s="8"/>
    </row>
    <row r="31" spans="1:16">
      <c r="A31" t="str">
        <f>+RS!A31</f>
        <v>Environmental Surcharge</v>
      </c>
      <c r="D31" s="8">
        <f>+'B&amp;A Surcharges'!J49</f>
        <v>-7521.45</v>
      </c>
      <c r="E31" s="8">
        <f>D31</f>
        <v>-7521.45</v>
      </c>
      <c r="F31" s="8">
        <f>E31</f>
        <v>-7521.45</v>
      </c>
      <c r="G31" s="8">
        <v>0</v>
      </c>
      <c r="H31" s="8">
        <f>+G31</f>
        <v>0</v>
      </c>
      <c r="I31" s="95">
        <v>0</v>
      </c>
      <c r="J31" s="10"/>
      <c r="K31" s="8">
        <f>H31+I31</f>
        <v>0</v>
      </c>
      <c r="L31" s="8">
        <f>+N31-K31</f>
        <v>0</v>
      </c>
      <c r="N31" s="8">
        <f>ROUND(K31*M$25/J$25,2)</f>
        <v>0</v>
      </c>
      <c r="P31" s="8">
        <f>+N31+O31</f>
        <v>0</v>
      </c>
    </row>
    <row r="32" spans="1:16">
      <c r="D32" s="8"/>
      <c r="E32" s="8"/>
      <c r="F32" s="8"/>
      <c r="G32" s="8"/>
      <c r="H32" s="8"/>
      <c r="I32" s="8"/>
      <c r="J32" s="10"/>
      <c r="K32" s="8"/>
      <c r="L32" s="8"/>
      <c r="N32" s="8"/>
    </row>
    <row r="33" spans="1:16">
      <c r="A33" t="str">
        <f>RS!A33</f>
        <v>Capacity Charge</v>
      </c>
      <c r="D33" s="8">
        <f>+'B&amp;A Surcharges'!F49</f>
        <v>20398.68</v>
      </c>
      <c r="E33" s="8">
        <f>D33</f>
        <v>20398.68</v>
      </c>
      <c r="F33" s="8">
        <v>0</v>
      </c>
      <c r="G33" s="8">
        <f>+F33</f>
        <v>0</v>
      </c>
      <c r="H33" s="8">
        <f>+G33</f>
        <v>0</v>
      </c>
      <c r="I33" s="10"/>
      <c r="J33" s="10"/>
      <c r="K33" s="8">
        <f>H33+I33</f>
        <v>0</v>
      </c>
      <c r="L33" s="10"/>
      <c r="N33" s="8">
        <f>ROUND(K33*M$25/J$25,2)</f>
        <v>0</v>
      </c>
      <c r="P33" s="8">
        <f>+N33+O33</f>
        <v>0</v>
      </c>
    </row>
    <row r="34" spans="1:16">
      <c r="D34" s="8"/>
      <c r="E34" s="8"/>
      <c r="F34" s="8"/>
      <c r="G34" s="8"/>
      <c r="H34" s="8"/>
      <c r="I34" s="10"/>
      <c r="J34" s="10"/>
      <c r="K34" s="8"/>
      <c r="L34" s="10"/>
      <c r="N34" s="8"/>
    </row>
    <row r="35" spans="1:16">
      <c r="A35" t="str">
        <f>RS!A35</f>
        <v>Asset Transfer Rider</v>
      </c>
      <c r="D35" s="8">
        <f>+'B&amp;A Surcharges'!N49</f>
        <v>119278.66000000002</v>
      </c>
      <c r="E35" s="8">
        <f>D35</f>
        <v>119278.66000000002</v>
      </c>
      <c r="F35" s="8">
        <f>E35</f>
        <v>119278.66000000002</v>
      </c>
      <c r="G35" s="8">
        <f>+F35</f>
        <v>119278.66000000002</v>
      </c>
      <c r="H35" s="8">
        <f>+G35</f>
        <v>119278.66000000002</v>
      </c>
      <c r="I35" s="95">
        <v>-39</v>
      </c>
      <c r="J35" s="10"/>
      <c r="K35" s="8">
        <f>H35+I35</f>
        <v>119239.66000000002</v>
      </c>
      <c r="L35" s="8">
        <f>+N35-K35</f>
        <v>-4769.5900000000111</v>
      </c>
      <c r="N35" s="8">
        <f>ROUND(K35*M$25/J$25,2)</f>
        <v>114470.07</v>
      </c>
      <c r="O35" s="8">
        <f>+'ATR Adjustment WP'!G49</f>
        <v>37744.266004894474</v>
      </c>
      <c r="P35" s="8">
        <f>+N35+O35</f>
        <v>152214.33600489449</v>
      </c>
    </row>
    <row r="36" spans="1:16">
      <c r="D36" s="8"/>
      <c r="E36" s="8"/>
      <c r="F36" s="8"/>
      <c r="G36" s="8"/>
      <c r="H36" s="8"/>
      <c r="I36" s="10"/>
      <c r="J36" s="10"/>
      <c r="K36" s="8"/>
      <c r="L36" s="10"/>
      <c r="N36" s="8"/>
    </row>
    <row r="37" spans="1:16">
      <c r="A37" t="str">
        <f>+RS!A39</f>
        <v>Total</v>
      </c>
      <c r="D37" s="8">
        <f t="shared" ref="D37:H37" si="2">SUM(D13:D36)</f>
        <v>1898831.0455</v>
      </c>
      <c r="E37" s="8">
        <f t="shared" si="2"/>
        <v>1893713.1854999999</v>
      </c>
      <c r="F37" s="8">
        <f t="shared" si="2"/>
        <v>1873314.5055</v>
      </c>
      <c r="G37" s="8">
        <f>SUM(G13:G36)</f>
        <v>1880835.9554999999</v>
      </c>
      <c r="H37" s="8">
        <f t="shared" si="2"/>
        <v>1852936.2254999999</v>
      </c>
      <c r="I37" s="10"/>
      <c r="J37" s="10"/>
      <c r="K37" s="8">
        <f>SUM(K13:K36)</f>
        <v>1972823.2841999999</v>
      </c>
      <c r="L37" s="10"/>
      <c r="N37" s="8">
        <f>SUM(N13:N36)</f>
        <v>1893876.0133000002</v>
      </c>
      <c r="P37" s="8">
        <f>SUM(P13:P36)</f>
        <v>1931620.2793048946</v>
      </c>
    </row>
    <row r="38" spans="1:16">
      <c r="D38" s="10"/>
      <c r="E38" s="10"/>
      <c r="F38" s="10"/>
      <c r="G38" s="10"/>
      <c r="H38" s="10"/>
    </row>
    <row r="39" spans="1:16">
      <c r="D39" s="10"/>
      <c r="E39" s="10"/>
      <c r="F39" s="10"/>
      <c r="G39" s="10"/>
      <c r="H39" s="10"/>
    </row>
    <row r="40" spans="1:16">
      <c r="D40" s="10"/>
      <c r="E40" s="10"/>
      <c r="F40" s="10"/>
      <c r="G40" s="10"/>
      <c r="H40" s="10"/>
    </row>
  </sheetData>
  <phoneticPr fontId="0" type="noConversion"/>
  <pageMargins left="0.75" right="0.75" top="1" bottom="1" header="0.5" footer="0.5"/>
  <pageSetup scale="7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E6" sqref="E6:H9"/>
    </sheetView>
  </sheetViews>
  <sheetFormatPr defaultRowHeight="12.75"/>
  <cols>
    <col min="1" max="1" width="25" customWidth="1"/>
    <col min="2" max="2" width="11.7109375" bestFit="1" customWidth="1"/>
    <col min="3" max="3" width="8.5703125" bestFit="1" customWidth="1"/>
    <col min="4" max="6" width="11.7109375" bestFit="1" customWidth="1"/>
    <col min="7" max="7" width="12.5703125" bestFit="1" customWidth="1"/>
    <col min="8" max="8" width="11.7109375" bestFit="1" customWidth="1"/>
    <col min="9" max="9" width="10.42578125" bestFit="1" customWidth="1"/>
    <col min="10" max="11" width="11.7109375" bestFit="1" customWidth="1"/>
    <col min="12" max="12" width="11.28515625" bestFit="1" customWidth="1"/>
    <col min="13" max="13" width="13.42578125" bestFit="1" customWidth="1"/>
    <col min="14" max="14" width="10.7109375" bestFit="1" customWidth="1"/>
    <col min="15" max="15" width="12.710937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118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5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52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5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H11" s="39">
        <f>RS!$I$10</f>
        <v>2.0411219651722302E-3</v>
      </c>
      <c r="I11" s="34"/>
    </row>
    <row r="12" spans="1:18">
      <c r="D12" s="10"/>
      <c r="E12" s="11"/>
      <c r="F12" s="11"/>
      <c r="G12" s="11"/>
      <c r="H12" s="11"/>
      <c r="I12" s="34"/>
    </row>
    <row r="13" spans="1:18">
      <c r="A13" s="5" t="s">
        <v>22</v>
      </c>
      <c r="B13" s="74">
        <v>330995596</v>
      </c>
      <c r="C13" s="71">
        <v>3.2329999999999998E-2</v>
      </c>
      <c r="D13" s="8">
        <f>+B13*C13</f>
        <v>10701087.618679998</v>
      </c>
      <c r="E13" s="8">
        <f>D13</f>
        <v>10701087.618679998</v>
      </c>
      <c r="F13" s="8">
        <f>E13</f>
        <v>10701087.618679998</v>
      </c>
      <c r="G13" s="8">
        <f>+F13</f>
        <v>10701087.618679998</v>
      </c>
      <c r="H13" s="8">
        <f t="shared" ref="H13" si="0">+G13</f>
        <v>10701087.618679998</v>
      </c>
      <c r="I13" s="106">
        <v>220100</v>
      </c>
      <c r="J13" s="6">
        <f>+B13+I13</f>
        <v>331215696</v>
      </c>
      <c r="K13" s="8">
        <f>+C13*J13</f>
        <v>10708203.451679999</v>
      </c>
      <c r="L13" s="6">
        <v>0</v>
      </c>
      <c r="M13" s="6">
        <f>J13+L13</f>
        <v>331215696</v>
      </c>
      <c r="N13" s="6">
        <f>O13-M13</f>
        <v>0</v>
      </c>
      <c r="O13" s="6">
        <f>ROUND(M13*O$27/M$27,0)</f>
        <v>331215696</v>
      </c>
      <c r="P13" s="8">
        <f>+O13*C13</f>
        <v>10708203.451679999</v>
      </c>
      <c r="R13" s="8">
        <f>+P13+Q13</f>
        <v>10708203.451679999</v>
      </c>
    </row>
    <row r="14" spans="1:18">
      <c r="A14" t="s">
        <v>285</v>
      </c>
      <c r="B14" s="74">
        <v>-44845</v>
      </c>
      <c r="C14" s="71"/>
      <c r="D14" s="8"/>
      <c r="E14" s="8"/>
      <c r="F14" s="8"/>
      <c r="G14" s="8"/>
      <c r="H14" s="8"/>
      <c r="I14" s="106">
        <v>0</v>
      </c>
      <c r="J14" s="6">
        <f>J15-J13</f>
        <v>-44845</v>
      </c>
      <c r="K14" s="8"/>
      <c r="L14" s="6">
        <v>0</v>
      </c>
      <c r="M14" s="6">
        <f>M15-M13</f>
        <v>-44845</v>
      </c>
      <c r="N14" s="6">
        <f>O14-M14</f>
        <v>0</v>
      </c>
      <c r="O14" s="6">
        <f>O15-O13</f>
        <v>-44845</v>
      </c>
      <c r="P14" s="8"/>
    </row>
    <row r="15" spans="1:18">
      <c r="A15" t="s">
        <v>12</v>
      </c>
      <c r="B15" s="6">
        <f>+'12 Months TS'!E95</f>
        <v>330950751</v>
      </c>
      <c r="D15" s="8"/>
      <c r="E15" s="8"/>
      <c r="F15" s="8"/>
      <c r="G15" s="8"/>
      <c r="H15" s="8"/>
      <c r="I15" s="106">
        <v>220100</v>
      </c>
      <c r="J15" s="6">
        <f>+B15+I15</f>
        <v>331170851</v>
      </c>
      <c r="K15" s="8"/>
      <c r="L15" s="6">
        <f>SUM(L13:L14)</f>
        <v>0</v>
      </c>
      <c r="M15" s="6">
        <f>J15+L15</f>
        <v>331170851</v>
      </c>
      <c r="N15" s="6">
        <f>O15-M15</f>
        <v>0</v>
      </c>
      <c r="O15" s="6">
        <f>ROUND(M15*O$27/M$27,0)</f>
        <v>331170851</v>
      </c>
      <c r="P15" s="8"/>
    </row>
    <row r="16" spans="1:18">
      <c r="B16" s="6"/>
      <c r="D16" s="8"/>
      <c r="E16" s="8"/>
      <c r="F16" s="8"/>
      <c r="G16" s="8"/>
      <c r="H16" s="8"/>
      <c r="I16" s="34"/>
      <c r="K16" s="8"/>
      <c r="L16" s="6"/>
      <c r="O16" s="6"/>
      <c r="P16" s="8"/>
    </row>
    <row r="17" spans="1:18">
      <c r="A17" s="4" t="s">
        <v>21</v>
      </c>
      <c r="B17" s="6"/>
      <c r="D17" s="8"/>
      <c r="E17" s="8"/>
      <c r="F17" s="8"/>
      <c r="G17" s="8"/>
      <c r="H17" s="8"/>
      <c r="I17" s="34"/>
      <c r="K17" s="8"/>
      <c r="L17" s="6"/>
      <c r="O17" s="6"/>
      <c r="P17" s="8"/>
    </row>
    <row r="18" spans="1:18">
      <c r="A18" t="s">
        <v>25</v>
      </c>
      <c r="B18" s="74">
        <v>759768.50000000012</v>
      </c>
      <c r="C18" s="73">
        <v>15</v>
      </c>
      <c r="D18" s="8">
        <f>+B18*C18</f>
        <v>11396527.500000002</v>
      </c>
      <c r="E18" s="8">
        <f t="shared" ref="E18:F19" si="1">D18</f>
        <v>11396527.500000002</v>
      </c>
      <c r="F18" s="8">
        <f t="shared" si="1"/>
        <v>11396527.500000002</v>
      </c>
      <c r="G18" s="8">
        <f>+F18</f>
        <v>11396527.500000002</v>
      </c>
      <c r="H18" s="8">
        <f t="shared" ref="H18:H19" si="2">+G18</f>
        <v>11396527.500000002</v>
      </c>
      <c r="I18" s="106">
        <v>-12421</v>
      </c>
      <c r="J18" s="6">
        <f>+B18+I18</f>
        <v>747347.50000000012</v>
      </c>
      <c r="K18" s="8">
        <f>+C18*J18</f>
        <v>11210212.500000002</v>
      </c>
      <c r="L18" s="6">
        <v>0</v>
      </c>
      <c r="M18" s="6">
        <f>J18+L18</f>
        <v>747347.50000000012</v>
      </c>
      <c r="N18" s="6">
        <f>O18-M18</f>
        <v>-0.50000000011641532</v>
      </c>
      <c r="O18" s="6">
        <f>ROUND(M18*O$27/M$27,0)-1</f>
        <v>747347</v>
      </c>
      <c r="P18" s="8">
        <f>+O18*C18</f>
        <v>11210205</v>
      </c>
      <c r="R18" s="8">
        <f t="shared" ref="R18:R19" si="3">+P18+Q18</f>
        <v>11210205</v>
      </c>
    </row>
    <row r="19" spans="1:18">
      <c r="A19" t="s">
        <v>26</v>
      </c>
      <c r="B19" s="74">
        <v>4272.5999999999995</v>
      </c>
      <c r="C19" s="73">
        <v>5.56</v>
      </c>
      <c r="D19" s="8">
        <f>+B19*C19</f>
        <v>23755.655999999995</v>
      </c>
      <c r="E19" s="8">
        <f t="shared" si="1"/>
        <v>23755.655999999995</v>
      </c>
      <c r="F19" s="8">
        <f t="shared" si="1"/>
        <v>23755.655999999995</v>
      </c>
      <c r="G19" s="8">
        <f>+F19</f>
        <v>23755.655999999995</v>
      </c>
      <c r="H19" s="8">
        <f t="shared" si="2"/>
        <v>23755.655999999995</v>
      </c>
      <c r="I19" s="106">
        <v>0</v>
      </c>
      <c r="J19" s="6">
        <f>+B19+I19</f>
        <v>4272.5999999999995</v>
      </c>
      <c r="K19" s="8">
        <f>+C19*J19</f>
        <v>23755.655999999995</v>
      </c>
      <c r="L19" s="6">
        <v>0</v>
      </c>
      <c r="M19" s="6">
        <f>J19+L19</f>
        <v>4272.5999999999995</v>
      </c>
      <c r="N19" s="6">
        <f>O19-M19</f>
        <v>0.4000000000005457</v>
      </c>
      <c r="O19" s="6">
        <f>ROUND(M19*O$27/M$27,0)</f>
        <v>4273</v>
      </c>
      <c r="P19" s="8">
        <f>+O19*C19</f>
        <v>23757.879999999997</v>
      </c>
      <c r="R19" s="8">
        <f t="shared" si="3"/>
        <v>23757.879999999997</v>
      </c>
    </row>
    <row r="20" spans="1:18">
      <c r="B20" s="6"/>
      <c r="C20" s="24"/>
      <c r="D20" s="8"/>
      <c r="E20" s="8"/>
      <c r="F20" s="8"/>
      <c r="G20" s="8"/>
      <c r="H20" s="8"/>
      <c r="I20" s="34"/>
      <c r="J20" s="10"/>
      <c r="K20" s="8"/>
      <c r="L20" s="6"/>
      <c r="O20" s="6"/>
      <c r="P20" s="8"/>
    </row>
    <row r="21" spans="1:18">
      <c r="A21" t="s">
        <v>27</v>
      </c>
      <c r="B21" s="74">
        <v>118066</v>
      </c>
      <c r="C21" s="73">
        <f>+'QP-SEC'!C21</f>
        <v>0.69</v>
      </c>
      <c r="D21" s="8">
        <f>+B21*C21</f>
        <v>81465.539999999994</v>
      </c>
      <c r="E21" s="8">
        <f>D21</f>
        <v>81465.539999999994</v>
      </c>
      <c r="F21" s="8">
        <f>E21</f>
        <v>81465.539999999994</v>
      </c>
      <c r="G21" s="8">
        <f>+F21</f>
        <v>81465.539999999994</v>
      </c>
      <c r="H21" s="8">
        <f t="shared" ref="H21" si="4">+G21</f>
        <v>81465.539999999994</v>
      </c>
      <c r="I21" s="106">
        <v>-3894</v>
      </c>
      <c r="J21" s="6">
        <f>+B21+I21</f>
        <v>114172</v>
      </c>
      <c r="K21" s="8">
        <f>+C21*J21</f>
        <v>78778.679999999993</v>
      </c>
      <c r="L21" s="6">
        <v>0</v>
      </c>
      <c r="M21" s="6">
        <f>J21+L21</f>
        <v>114172</v>
      </c>
      <c r="N21" s="6">
        <f>O21-M21</f>
        <v>0</v>
      </c>
      <c r="O21" s="6">
        <f>ROUND(M21*O$27/M$27,0)</f>
        <v>114172</v>
      </c>
      <c r="P21" s="8">
        <f>+O21*C21</f>
        <v>78778.679999999993</v>
      </c>
      <c r="R21" s="8">
        <f>+P21+Q21</f>
        <v>78778.679999999993</v>
      </c>
    </row>
    <row r="22" spans="1:18">
      <c r="B22" s="6"/>
      <c r="C22" s="24"/>
      <c r="D22" s="8"/>
      <c r="E22" s="8"/>
      <c r="F22" s="8"/>
      <c r="G22" s="8"/>
      <c r="H22" s="8"/>
      <c r="I22" s="34"/>
      <c r="K22" s="8"/>
      <c r="L22" s="6"/>
      <c r="O22" s="6"/>
      <c r="P22" s="8"/>
    </row>
    <row r="23" spans="1:18">
      <c r="A23" t="s">
        <v>13</v>
      </c>
      <c r="B23" s="82">
        <v>492</v>
      </c>
      <c r="C23" s="73">
        <v>276</v>
      </c>
      <c r="D23" s="8">
        <f>+B23*C23</f>
        <v>135792</v>
      </c>
      <c r="E23" s="8">
        <f>D23</f>
        <v>135792</v>
      </c>
      <c r="F23" s="8">
        <f>E23</f>
        <v>135792</v>
      </c>
      <c r="G23" s="8">
        <f>+F23</f>
        <v>135792</v>
      </c>
      <c r="H23" s="8">
        <f t="shared" ref="H23" si="5">+G23</f>
        <v>135792</v>
      </c>
      <c r="I23" s="106">
        <v>-12.9</v>
      </c>
      <c r="J23" s="6">
        <f>+B23+I23</f>
        <v>479.1</v>
      </c>
      <c r="K23" s="8">
        <f>+C23*J23</f>
        <v>132231.6</v>
      </c>
      <c r="L23" s="6">
        <v>0</v>
      </c>
      <c r="M23" s="6">
        <f>J23+L23</f>
        <v>479.1</v>
      </c>
      <c r="N23" s="6">
        <f>O23-M23</f>
        <v>-0.10000000000002274</v>
      </c>
      <c r="O23" s="6">
        <f>ROUND(M23*O$27/M$27,0)</f>
        <v>479</v>
      </c>
      <c r="P23" s="8">
        <f>+O23*C23</f>
        <v>132204</v>
      </c>
      <c r="R23" s="8">
        <f>+P23+Q23</f>
        <v>132204</v>
      </c>
    </row>
    <row r="24" spans="1:18">
      <c r="B24" s="82"/>
      <c r="C24" s="73"/>
      <c r="D24" s="8"/>
      <c r="E24" s="8"/>
      <c r="F24" s="8"/>
      <c r="G24" s="8"/>
      <c r="H24" s="8"/>
      <c r="I24" s="106"/>
      <c r="J24" s="6"/>
      <c r="K24" s="8"/>
      <c r="L24" s="6"/>
      <c r="M24" s="6"/>
      <c r="N24" s="6"/>
      <c r="O24" s="6"/>
      <c r="P24" s="8"/>
    </row>
    <row r="25" spans="1:18">
      <c r="A25" s="88" t="s">
        <v>35</v>
      </c>
      <c r="B25" s="82"/>
      <c r="C25" s="73"/>
      <c r="D25" s="80">
        <f>12500*12</f>
        <v>150000</v>
      </c>
      <c r="E25" s="8">
        <f>D25</f>
        <v>150000</v>
      </c>
      <c r="F25" s="8">
        <f>E25</f>
        <v>150000</v>
      </c>
      <c r="G25" s="8">
        <f>+F25</f>
        <v>150000</v>
      </c>
      <c r="H25" s="8">
        <f t="shared" ref="H25" si="6">+G25</f>
        <v>150000</v>
      </c>
      <c r="I25" s="106"/>
      <c r="J25" s="6"/>
      <c r="K25" s="8">
        <f>+H25</f>
        <v>150000</v>
      </c>
      <c r="L25" s="6"/>
      <c r="M25" s="6"/>
      <c r="N25" s="6"/>
      <c r="O25" s="6"/>
      <c r="P25" s="8">
        <f>+K25</f>
        <v>150000</v>
      </c>
      <c r="R25" s="8">
        <f>+P25+Q25</f>
        <v>150000</v>
      </c>
    </row>
    <row r="26" spans="1:18">
      <c r="B26" s="6"/>
      <c r="D26" s="8"/>
      <c r="E26" s="8"/>
      <c r="F26" s="8"/>
      <c r="G26" s="8"/>
      <c r="H26" s="8"/>
      <c r="I26" s="34"/>
      <c r="K26" s="8"/>
      <c r="L26" s="6"/>
      <c r="O26" s="6"/>
      <c r="P26" s="8"/>
    </row>
    <row r="27" spans="1:18">
      <c r="A27" t="s">
        <v>14</v>
      </c>
      <c r="B27" s="6">
        <f>'Monthly # of Customers'!N76</f>
        <v>492</v>
      </c>
      <c r="D27" s="8"/>
      <c r="E27" s="8"/>
      <c r="F27" s="8"/>
      <c r="G27" s="8"/>
      <c r="H27" s="8"/>
      <c r="I27" s="106">
        <v>-12</v>
      </c>
      <c r="J27" s="6">
        <f>+B27+I27</f>
        <v>480</v>
      </c>
      <c r="K27" s="8"/>
      <c r="L27" s="6">
        <v>0</v>
      </c>
      <c r="M27" s="6">
        <f>J27+L27</f>
        <v>480</v>
      </c>
      <c r="N27" s="6">
        <f>O27-M27</f>
        <v>0</v>
      </c>
      <c r="O27" s="6">
        <f>'Monthly # of Customers'!M76*12</f>
        <v>480</v>
      </c>
      <c r="P27" s="8"/>
    </row>
    <row r="28" spans="1:18">
      <c r="B28" s="6"/>
      <c r="D28" s="8"/>
      <c r="E28" s="8"/>
      <c r="F28" s="8"/>
      <c r="G28" s="8"/>
      <c r="H28" s="8"/>
      <c r="I28" s="34"/>
      <c r="K28" s="8"/>
      <c r="L28" s="8">
        <f>L13*C13+L18*C18+L19*C19+L21*C21+L23*C23</f>
        <v>0</v>
      </c>
      <c r="P28" s="8"/>
    </row>
    <row r="29" spans="1:18">
      <c r="A29" t="str">
        <f>+RS!A27</f>
        <v xml:space="preserve">Fuel </v>
      </c>
      <c r="D29" s="8">
        <f>+'B&amp;A Surcharges'!B51</f>
        <v>1092577.25</v>
      </c>
      <c r="E29" s="8">
        <f>D29</f>
        <v>1092577.25</v>
      </c>
      <c r="F29" s="8">
        <f>E29</f>
        <v>1092577.25</v>
      </c>
      <c r="G29" s="8">
        <f>+F29</f>
        <v>1092577.25</v>
      </c>
      <c r="H29" s="8">
        <f>ROUND(B15*H11,2)</f>
        <v>675510.85</v>
      </c>
      <c r="I29" s="36">
        <f>ROUND(I15*H11,2)</f>
        <v>449.25</v>
      </c>
      <c r="J29" s="10"/>
      <c r="K29" s="8">
        <f>H29+I29</f>
        <v>675960.1</v>
      </c>
      <c r="L29" s="8">
        <f>L15*H11</f>
        <v>0</v>
      </c>
      <c r="M29" s="10"/>
      <c r="N29" s="8">
        <f>P29-L29-K29</f>
        <v>0</v>
      </c>
      <c r="P29" s="8">
        <f>ROUND(O15*H11,2)</f>
        <v>675960.1</v>
      </c>
      <c r="R29" s="8">
        <f>+P29+Q29</f>
        <v>675960.1</v>
      </c>
    </row>
    <row r="30" spans="1:18">
      <c r="D30" s="8"/>
      <c r="E30" s="8"/>
      <c r="F30" s="8"/>
      <c r="G30" s="8"/>
      <c r="H30" s="8"/>
      <c r="I30" s="36"/>
      <c r="J30" s="10"/>
      <c r="K30" s="8"/>
      <c r="L30" s="8"/>
      <c r="N30" s="10"/>
      <c r="P30" s="8"/>
    </row>
    <row r="31" spans="1:18">
      <c r="A31" t="str">
        <f>+RS!A29</f>
        <v>System Sales Clause</v>
      </c>
      <c r="D31" s="8">
        <f>+'B&amp;A Surcharges'!D51</f>
        <v>115392.75</v>
      </c>
      <c r="E31" s="8">
        <v>0</v>
      </c>
      <c r="F31" s="8">
        <f>E31</f>
        <v>0</v>
      </c>
      <c r="G31" s="8">
        <f>+F31</f>
        <v>0</v>
      </c>
      <c r="H31" s="8">
        <f t="shared" ref="H31" si="7">+G31</f>
        <v>0</v>
      </c>
      <c r="I31" s="36"/>
      <c r="J31" s="10"/>
      <c r="K31" s="8">
        <f>H31+I31</f>
        <v>0</v>
      </c>
      <c r="L31" s="8"/>
      <c r="M31" s="10"/>
      <c r="N31" s="10"/>
      <c r="P31" s="8">
        <f>ROUND(K31*O$15/J$15,2)</f>
        <v>0</v>
      </c>
      <c r="R31" s="8">
        <f>+P31+Q31</f>
        <v>0</v>
      </c>
    </row>
    <row r="32" spans="1:18">
      <c r="D32" s="8"/>
      <c r="E32" s="8"/>
      <c r="F32" s="8"/>
      <c r="G32" s="8"/>
      <c r="H32" s="8"/>
      <c r="I32" s="36"/>
      <c r="J32" s="10"/>
      <c r="K32" s="8"/>
      <c r="L32" s="8"/>
      <c r="N32" s="10"/>
      <c r="P32" s="8"/>
    </row>
    <row r="33" spans="1:18">
      <c r="A33" t="str">
        <f>+RS!A31</f>
        <v>Environmental Surcharge</v>
      </c>
      <c r="D33" s="8">
        <f>+'B&amp;A Surcharges'!J51</f>
        <v>-125427.13</v>
      </c>
      <c r="E33" s="8">
        <f>D33</f>
        <v>-125427.13</v>
      </c>
      <c r="F33" s="8">
        <f>E33</f>
        <v>-125427.13</v>
      </c>
      <c r="G33" s="8">
        <v>0</v>
      </c>
      <c r="H33" s="8">
        <f t="shared" ref="H33" si="8">+G33</f>
        <v>0</v>
      </c>
      <c r="I33" s="99">
        <v>0</v>
      </c>
      <c r="J33" s="10"/>
      <c r="K33" s="8">
        <f>H33+I33</f>
        <v>0</v>
      </c>
      <c r="L33" s="8">
        <f>ROUND(K33*SUM(L28:L29)/SUM(K13:K29),2)</f>
        <v>0</v>
      </c>
      <c r="M33" s="8">
        <f>+K33+L33</f>
        <v>0</v>
      </c>
      <c r="N33" s="8">
        <f>P33-L33-K33</f>
        <v>0</v>
      </c>
      <c r="P33" s="8">
        <f>ROUND(K33*SUM(P13:P29)/SUM(K13:K29),2)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36"/>
      <c r="J34" s="10"/>
      <c r="K34" s="8"/>
      <c r="L34" s="8"/>
      <c r="M34" s="10"/>
      <c r="N34" s="8"/>
      <c r="P34" s="8"/>
    </row>
    <row r="35" spans="1:18">
      <c r="A35" t="str">
        <f>RS!A33</f>
        <v>Capacity Charge</v>
      </c>
      <c r="D35" s="8">
        <f>+'B&amp;A Surcharges'!F51</f>
        <v>321022.20999999996</v>
      </c>
      <c r="E35" s="8">
        <f>D35</f>
        <v>321022.20999999996</v>
      </c>
      <c r="F35" s="8">
        <v>0</v>
      </c>
      <c r="G35" s="8">
        <f>+F35</f>
        <v>0</v>
      </c>
      <c r="H35" s="8">
        <f t="shared" ref="H35" si="9">+G35</f>
        <v>0</v>
      </c>
      <c r="I35" s="107"/>
      <c r="J35" s="10"/>
      <c r="K35" s="8">
        <f>H35+I35</f>
        <v>0</v>
      </c>
      <c r="L35" s="8"/>
      <c r="M35" s="10"/>
      <c r="N35" s="10"/>
      <c r="P35" s="8">
        <f>ROUND(K35*O$15/J$15,2)</f>
        <v>0</v>
      </c>
      <c r="R35" s="8">
        <f>+P35+Q35</f>
        <v>0</v>
      </c>
    </row>
    <row r="36" spans="1:18">
      <c r="D36" s="8"/>
      <c r="E36" s="8"/>
      <c r="F36" s="8"/>
      <c r="G36" s="8"/>
      <c r="H36" s="8"/>
      <c r="I36" s="107"/>
      <c r="J36" s="10"/>
      <c r="K36" s="8"/>
      <c r="L36" s="8"/>
      <c r="M36" s="10"/>
      <c r="N36" s="10"/>
      <c r="P36" s="8"/>
    </row>
    <row r="37" spans="1:18">
      <c r="A37" t="str">
        <f>RS!A35</f>
        <v>Asset Transfer Rider</v>
      </c>
      <c r="D37" s="8">
        <f>+'B&amp;A Surcharges'!N51</f>
        <v>1338868.45</v>
      </c>
      <c r="E37" s="8">
        <f>D37</f>
        <v>1338868.45</v>
      </c>
      <c r="F37" s="8">
        <f>E37</f>
        <v>1338868.45</v>
      </c>
      <c r="G37" s="8">
        <f>+F37</f>
        <v>1338868.45</v>
      </c>
      <c r="H37" s="8">
        <f t="shared" ref="H37" si="10">+G37</f>
        <v>1338868.45</v>
      </c>
      <c r="I37" s="99">
        <v>-22905</v>
      </c>
      <c r="J37" s="10"/>
      <c r="K37" s="8">
        <f>H37+I37</f>
        <v>1315963.45</v>
      </c>
      <c r="L37" s="8">
        <f>ROUND(K37*SUM(L34:L34)/SUM(K19:K34),2)</f>
        <v>0</v>
      </c>
      <c r="M37" s="8">
        <f>+K37+L37</f>
        <v>1315963.45</v>
      </c>
      <c r="N37" s="8">
        <f>P37-L37-K37</f>
        <v>-1.9399999999441206</v>
      </c>
      <c r="P37" s="8">
        <f>ROUND(K37*SUM(P13:P28)/SUM(K13:K28),2)</f>
        <v>1315961.51</v>
      </c>
      <c r="Q37" s="8">
        <f>+'ATR Adjustment WP'!G51</f>
        <v>433912.56147255434</v>
      </c>
      <c r="R37" s="8">
        <f>+P37+Q37</f>
        <v>1749874.0714725545</v>
      </c>
    </row>
    <row r="38" spans="1:18">
      <c r="D38" s="8"/>
      <c r="E38" s="8"/>
      <c r="F38" s="8"/>
      <c r="G38" s="8"/>
      <c r="H38" s="8"/>
      <c r="I38" s="10"/>
      <c r="J38" s="10"/>
      <c r="K38" s="8"/>
      <c r="L38" s="8"/>
      <c r="N38" s="10"/>
      <c r="P38" s="8"/>
    </row>
    <row r="39" spans="1:18">
      <c r="A39" t="str">
        <f>+RS!A39</f>
        <v>Total</v>
      </c>
      <c r="D39" s="8">
        <f t="shared" ref="D39:H39" si="11">SUM(D13:D38)</f>
        <v>25231061.84468</v>
      </c>
      <c r="E39" s="8">
        <f t="shared" si="11"/>
        <v>25115669.09468</v>
      </c>
      <c r="F39" s="8">
        <f t="shared" si="11"/>
        <v>24794646.884679999</v>
      </c>
      <c r="G39" s="8">
        <f t="shared" si="11"/>
        <v>24920074.014679998</v>
      </c>
      <c r="H39" s="8">
        <f t="shared" si="11"/>
        <v>24503007.61468</v>
      </c>
      <c r="I39" s="10"/>
      <c r="J39" s="10"/>
      <c r="K39" s="8">
        <f>SUM(K13:K38)</f>
        <v>24295105.437680002</v>
      </c>
      <c r="L39" s="8">
        <f>SUMPRODUCT(C13:C23,L13:L23)+L29+L33</f>
        <v>0</v>
      </c>
      <c r="M39" s="10"/>
      <c r="N39" s="10"/>
      <c r="P39" s="8">
        <f>SUM(P13:P38)</f>
        <v>24295070.621679999</v>
      </c>
      <c r="R39" s="8">
        <f>SUM(R13:R38)</f>
        <v>24728983.183152553</v>
      </c>
    </row>
    <row r="41" spans="1:18">
      <c r="L41" s="8"/>
    </row>
  </sheetData>
  <phoneticPr fontId="0" type="noConversion"/>
  <printOptions horizontalCentered="1"/>
  <pageMargins left="0.25" right="0.25" top="0.75" bottom="0.75" header="0.3" footer="0.3"/>
  <pageSetup scale="67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workbookViewId="0">
      <selection activeCell="E6" sqref="E6:H9"/>
    </sheetView>
  </sheetViews>
  <sheetFormatPr defaultRowHeight="12.75"/>
  <cols>
    <col min="1" max="1" width="25" customWidth="1"/>
    <col min="2" max="2" width="11.7109375" bestFit="1" customWidth="1"/>
    <col min="3" max="3" width="8.5703125" bestFit="1" customWidth="1"/>
    <col min="4" max="6" width="11.7109375" bestFit="1" customWidth="1"/>
    <col min="7" max="7" width="12.5703125" bestFit="1" customWidth="1"/>
    <col min="8" max="8" width="11.7109375" bestFit="1" customWidth="1"/>
    <col min="9" max="9" width="10.7109375" bestFit="1" customWidth="1"/>
    <col min="10" max="11" width="11.710937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117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332898373</v>
      </c>
      <c r="C13" s="71">
        <v>3.2009999999999997E-2</v>
      </c>
      <c r="D13" s="8">
        <f>+B13*C13</f>
        <v>10656076.919729998</v>
      </c>
      <c r="E13" s="8">
        <f>D13</f>
        <v>10656076.919729998</v>
      </c>
      <c r="F13" s="8">
        <f>E13</f>
        <v>10656076.919729998</v>
      </c>
      <c r="G13" s="8">
        <f>+F13</f>
        <v>10656076.919729998</v>
      </c>
      <c r="H13" s="8">
        <f t="shared" ref="H13" si="0">+G13</f>
        <v>10656076.919729998</v>
      </c>
      <c r="I13" s="74">
        <v>12177250</v>
      </c>
      <c r="J13" s="6">
        <f>+B13+I13</f>
        <v>345075623</v>
      </c>
      <c r="K13" s="8">
        <f>+C13*J13</f>
        <v>11045870.692229999</v>
      </c>
      <c r="L13" s="6">
        <v>0</v>
      </c>
      <c r="M13" s="6">
        <f>J13+L13</f>
        <v>345075623</v>
      </c>
      <c r="N13" s="6">
        <f>O13-M13</f>
        <v>-2197934</v>
      </c>
      <c r="O13" s="6">
        <f>ROUND(M13*O$25/M$25,0)</f>
        <v>342877689</v>
      </c>
      <c r="P13" s="8">
        <f>+O13*C13</f>
        <v>10975514.824889999</v>
      </c>
      <c r="R13" s="8">
        <f>+P13+Q13</f>
        <v>10975514.824889999</v>
      </c>
    </row>
    <row r="14" spans="1:18">
      <c r="A14" t="s">
        <v>285</v>
      </c>
      <c r="B14" s="74">
        <v>-469807</v>
      </c>
      <c r="C14" s="71"/>
      <c r="D14" s="8"/>
      <c r="E14" s="8"/>
      <c r="F14" s="8"/>
      <c r="G14" s="8"/>
      <c r="H14" s="8"/>
      <c r="I14" s="74">
        <v>0</v>
      </c>
      <c r="J14" s="6">
        <f>J15-J13</f>
        <v>-469807</v>
      </c>
      <c r="K14" s="8"/>
      <c r="L14" s="6">
        <v>0</v>
      </c>
      <c r="M14" s="6">
        <f>M15-M13</f>
        <v>-469807</v>
      </c>
      <c r="N14" s="6">
        <f>O14-M14</f>
        <v>2992</v>
      </c>
      <c r="O14" s="6">
        <f>O15-O13</f>
        <v>-466815</v>
      </c>
      <c r="P14" s="8"/>
    </row>
    <row r="15" spans="1:18">
      <c r="A15" t="s">
        <v>12</v>
      </c>
      <c r="B15" s="6">
        <f>+'12 Months TS'!E97</f>
        <v>332428566</v>
      </c>
      <c r="D15" s="8"/>
      <c r="E15" s="8"/>
      <c r="F15" s="8"/>
      <c r="G15" s="8"/>
      <c r="H15" s="8"/>
      <c r="I15" s="74">
        <v>12177250</v>
      </c>
      <c r="J15" s="6">
        <f>+B15+I15</f>
        <v>344605816</v>
      </c>
      <c r="K15" s="8"/>
      <c r="L15" s="6">
        <f>SUM(L13:L14)</f>
        <v>0</v>
      </c>
      <c r="M15" s="6">
        <f>J15+L15</f>
        <v>344605816</v>
      </c>
      <c r="N15" s="6">
        <f>O15-M15</f>
        <v>-2194942</v>
      </c>
      <c r="O15" s="6">
        <f>ROUND(M15*O$25/M$25,0)</f>
        <v>342410874</v>
      </c>
      <c r="P15" s="8"/>
    </row>
    <row r="16" spans="1:18">
      <c r="D16" s="8"/>
      <c r="E16" s="8"/>
      <c r="F16" s="8"/>
      <c r="G16" s="8"/>
      <c r="H16" s="8"/>
      <c r="I16" s="6"/>
      <c r="K16" s="8"/>
      <c r="L16" s="6"/>
      <c r="O16" s="6"/>
      <c r="P16" s="8"/>
    </row>
    <row r="17" spans="1:18">
      <c r="A17" s="4" t="s">
        <v>21</v>
      </c>
      <c r="D17" s="8"/>
      <c r="E17" s="8"/>
      <c r="F17" s="8"/>
      <c r="G17" s="8"/>
      <c r="H17" s="8"/>
      <c r="I17" s="6"/>
      <c r="K17" s="8"/>
      <c r="L17" s="6"/>
      <c r="O17" s="6"/>
      <c r="P17" s="8"/>
    </row>
    <row r="18" spans="1:18">
      <c r="A18" t="s">
        <v>25</v>
      </c>
      <c r="B18" s="74">
        <v>927092.2</v>
      </c>
      <c r="C18" s="73">
        <v>10.130000000000001</v>
      </c>
      <c r="D18" s="8">
        <f>+B18*C18</f>
        <v>9391443.9859999996</v>
      </c>
      <c r="E18" s="8">
        <f>D18</f>
        <v>9391443.9859999996</v>
      </c>
      <c r="F18" s="8">
        <f>E18</f>
        <v>9391443.9859999996</v>
      </c>
      <c r="G18" s="8">
        <f>+F18</f>
        <v>9391443.9859999996</v>
      </c>
      <c r="H18" s="8">
        <f t="shared" ref="H18" si="1">+G18</f>
        <v>9391443.9859999996</v>
      </c>
      <c r="I18" s="74">
        <v>6099</v>
      </c>
      <c r="J18" s="6">
        <f>+B18+I18</f>
        <v>933191.2</v>
      </c>
      <c r="K18" s="8">
        <f>+C18*J18</f>
        <v>9453226.8560000006</v>
      </c>
      <c r="L18" s="6">
        <v>0</v>
      </c>
      <c r="M18" s="6">
        <f>J18+L18</f>
        <v>933191.2</v>
      </c>
      <c r="N18" s="6">
        <f>O18-M18</f>
        <v>-5944.1999999999534</v>
      </c>
      <c r="O18" s="6">
        <f>ROUND(M18*O$25/M$25,0)</f>
        <v>927247</v>
      </c>
      <c r="P18" s="8">
        <f>+O18*C18</f>
        <v>9393012.1100000013</v>
      </c>
      <c r="R18" s="8">
        <f t="shared" ref="R18:R19" si="2">+P18+Q18</f>
        <v>9393012.1100000013</v>
      </c>
    </row>
    <row r="19" spans="1:18">
      <c r="A19" t="s">
        <v>26</v>
      </c>
      <c r="B19" s="74">
        <v>12100.2</v>
      </c>
      <c r="C19" s="73">
        <v>1.2</v>
      </c>
      <c r="D19" s="8">
        <f>+B19*C19</f>
        <v>14520.24</v>
      </c>
      <c r="E19" s="8">
        <f>D19</f>
        <v>14520.24</v>
      </c>
      <c r="F19" s="8">
        <f>E19</f>
        <v>14520.24</v>
      </c>
      <c r="G19" s="8">
        <f>+F19</f>
        <v>14520.24</v>
      </c>
      <c r="H19" s="8">
        <f t="shared" ref="H19" si="3">+G19</f>
        <v>14520.24</v>
      </c>
      <c r="I19" s="74">
        <v>28</v>
      </c>
      <c r="J19" s="6">
        <f>+B19+I19</f>
        <v>12128.2</v>
      </c>
      <c r="K19" s="8">
        <f>+C19*J19</f>
        <v>14553.84</v>
      </c>
      <c r="L19" s="6">
        <v>0</v>
      </c>
      <c r="M19" s="6">
        <f>J19+L19</f>
        <v>12128.2</v>
      </c>
      <c r="N19" s="6">
        <f>O19-M19</f>
        <v>-77.200000000000728</v>
      </c>
      <c r="O19" s="6">
        <f>ROUND(M19*O$25/M$25,0)</f>
        <v>12051</v>
      </c>
      <c r="P19" s="8">
        <f>+O19*C19</f>
        <v>14461.199999999999</v>
      </c>
      <c r="R19" s="8">
        <f t="shared" si="2"/>
        <v>14461.199999999999</v>
      </c>
    </row>
    <row r="20" spans="1:18">
      <c r="B20" s="7"/>
      <c r="C20" s="24"/>
      <c r="D20" s="8"/>
      <c r="E20" s="8"/>
      <c r="F20" s="8"/>
      <c r="G20" s="8"/>
      <c r="H20" s="8"/>
      <c r="I20" s="6"/>
      <c r="K20" s="8"/>
      <c r="L20" s="6"/>
      <c r="O20" s="6"/>
      <c r="P20" s="8"/>
    </row>
    <row r="21" spans="1:18">
      <c r="A21" t="s">
        <v>27</v>
      </c>
      <c r="B21" s="74">
        <v>248396</v>
      </c>
      <c r="C21" s="73">
        <f>+'QP-SEC'!C21</f>
        <v>0.69</v>
      </c>
      <c r="D21" s="8">
        <f>+B21*C21</f>
        <v>171393.24</v>
      </c>
      <c r="E21" s="8">
        <f>D21</f>
        <v>171393.24</v>
      </c>
      <c r="F21" s="8">
        <f>E21</f>
        <v>171393.24</v>
      </c>
      <c r="G21" s="8">
        <f>+F21</f>
        <v>171393.24</v>
      </c>
      <c r="H21" s="8">
        <f t="shared" ref="H21" si="4">+G21</f>
        <v>171393.24</v>
      </c>
      <c r="I21" s="74">
        <v>19177</v>
      </c>
      <c r="J21" s="6">
        <f>+B21+I21</f>
        <v>267573</v>
      </c>
      <c r="K21" s="8">
        <f>+C21*J21</f>
        <v>184625.37</v>
      </c>
      <c r="L21" s="6">
        <v>0</v>
      </c>
      <c r="M21" s="6">
        <f>J21+L21</f>
        <v>267573</v>
      </c>
      <c r="N21" s="6">
        <f>O21-M21</f>
        <v>-1704</v>
      </c>
      <c r="O21" s="6">
        <f>ROUND(M21*O$25/M$25,0)</f>
        <v>265869</v>
      </c>
      <c r="P21" s="8">
        <f>+O21*C21</f>
        <v>183449.61</v>
      </c>
      <c r="R21" s="8">
        <f>+P21+Q21</f>
        <v>183449.61</v>
      </c>
    </row>
    <row r="22" spans="1:18">
      <c r="B22" s="7"/>
      <c r="C22" s="24"/>
      <c r="D22" s="8"/>
      <c r="E22" s="8"/>
      <c r="F22" s="8"/>
      <c r="G22" s="8"/>
      <c r="H22" s="8"/>
      <c r="I22" s="6"/>
      <c r="J22" s="6"/>
      <c r="K22" s="8"/>
      <c r="L22" s="6"/>
      <c r="O22" s="6"/>
      <c r="P22" s="8"/>
    </row>
    <row r="23" spans="1:18">
      <c r="A23" t="s">
        <v>13</v>
      </c>
      <c r="B23" s="74">
        <v>310.053</v>
      </c>
      <c r="C23" s="73">
        <v>662</v>
      </c>
      <c r="D23" s="8">
        <f>+B23*C23</f>
        <v>205255.08600000001</v>
      </c>
      <c r="E23" s="8">
        <f>D23</f>
        <v>205255.08600000001</v>
      </c>
      <c r="F23" s="8">
        <f>E23</f>
        <v>205255.08600000001</v>
      </c>
      <c r="G23" s="8">
        <f>+F23</f>
        <v>205255.08600000001</v>
      </c>
      <c r="H23" s="8">
        <f t="shared" ref="H23" si="5">+G23</f>
        <v>205255.08600000001</v>
      </c>
      <c r="I23" s="74">
        <v>-0.98299999999999832</v>
      </c>
      <c r="J23" s="6">
        <f>+B23+I23</f>
        <v>309.07</v>
      </c>
      <c r="K23" s="8">
        <f>+C23*J23</f>
        <v>204604.34</v>
      </c>
      <c r="L23" s="6">
        <v>0</v>
      </c>
      <c r="M23" s="6">
        <f>J23+L23</f>
        <v>309.07</v>
      </c>
      <c r="N23" s="6">
        <f>O23-M23</f>
        <v>-2.0699999999999932</v>
      </c>
      <c r="O23" s="6">
        <f>ROUND(M23*O$25/M$25,0)</f>
        <v>307</v>
      </c>
      <c r="P23" s="8">
        <f>+O23*C23</f>
        <v>203234</v>
      </c>
      <c r="R23" s="8">
        <f>+P23+Q23</f>
        <v>203234</v>
      </c>
    </row>
    <row r="24" spans="1:18">
      <c r="D24" s="8"/>
      <c r="E24" s="8"/>
      <c r="F24" s="8"/>
      <c r="G24" s="8"/>
      <c r="H24" s="8"/>
      <c r="I24" s="6"/>
      <c r="K24" s="8"/>
      <c r="L24" s="6"/>
      <c r="O24" s="6"/>
      <c r="P24" s="8"/>
    </row>
    <row r="25" spans="1:18">
      <c r="A25" t="s">
        <v>14</v>
      </c>
      <c r="B25" s="6">
        <f>'Monthly # of Customers'!N78</f>
        <v>315</v>
      </c>
      <c r="D25" s="8"/>
      <c r="E25" s="8"/>
      <c r="F25" s="8"/>
      <c r="G25" s="8"/>
      <c r="H25" s="8"/>
      <c r="I25" s="74">
        <v>-1</v>
      </c>
      <c r="J25" s="6">
        <f>+B25+I25</f>
        <v>314</v>
      </c>
      <c r="K25" s="8"/>
      <c r="L25" s="6">
        <v>0</v>
      </c>
      <c r="M25" s="6">
        <f>J25+L25</f>
        <v>314</v>
      </c>
      <c r="N25" s="6">
        <f>O25-M25</f>
        <v>-2</v>
      </c>
      <c r="O25" s="6">
        <f>'Monthly # of Customers'!M78*12</f>
        <v>312</v>
      </c>
      <c r="P25" s="8"/>
    </row>
    <row r="26" spans="1:18">
      <c r="D26" s="8"/>
      <c r="E26" s="8"/>
      <c r="F26" s="8"/>
      <c r="G26" s="8"/>
      <c r="H26" s="8"/>
      <c r="K26" s="8"/>
      <c r="L26" s="8">
        <f>L13*C13+L18*C18+L19*C19+L21*C21+L23*C23</f>
        <v>0</v>
      </c>
      <c r="P26" s="8"/>
    </row>
    <row r="27" spans="1:18">
      <c r="A27" t="str">
        <f>+RS!A27</f>
        <v xml:space="preserve">Fuel </v>
      </c>
      <c r="D27" s="8">
        <f>+'B&amp;A Surcharges'!B53</f>
        <v>1040067</v>
      </c>
      <c r="E27" s="8">
        <f>D27</f>
        <v>1040067</v>
      </c>
      <c r="F27" s="8">
        <f>E27</f>
        <v>1040067</v>
      </c>
      <c r="G27" s="8">
        <f>+F27</f>
        <v>1040067</v>
      </c>
      <c r="H27" s="8">
        <f>ROUND(B15*H11,2)</f>
        <v>678527.25</v>
      </c>
      <c r="I27" s="8">
        <f>ROUND(H11*I15,2)</f>
        <v>24855.25</v>
      </c>
      <c r="J27" s="10"/>
      <c r="K27" s="8">
        <f>H27+I27</f>
        <v>703382.5</v>
      </c>
      <c r="L27" s="8">
        <f>L15*H11</f>
        <v>0</v>
      </c>
      <c r="M27" s="10"/>
      <c r="N27" s="8">
        <f>P27-K27-L27</f>
        <v>-4480.140000000014</v>
      </c>
      <c r="P27" s="8">
        <f>ROUND(O15*H11,2)</f>
        <v>698902.36</v>
      </c>
      <c r="R27" s="8">
        <f>+P27+Q27</f>
        <v>698902.36</v>
      </c>
    </row>
    <row r="28" spans="1:18">
      <c r="D28" s="8"/>
      <c r="E28" s="8"/>
      <c r="F28" s="8"/>
      <c r="G28" s="8"/>
      <c r="H28" s="8"/>
      <c r="I28" s="24"/>
      <c r="J28" s="10"/>
      <c r="K28" s="8"/>
      <c r="L28" s="8"/>
      <c r="N28" s="8"/>
      <c r="P28" s="8"/>
    </row>
    <row r="29" spans="1:18">
      <c r="A29" t="str">
        <f>+RS!A29</f>
        <v>System Sales Clause</v>
      </c>
      <c r="D29" s="8">
        <f>+'B&amp;A Surcharges'!D53</f>
        <v>121888.07999999999</v>
      </c>
      <c r="E29" s="8">
        <v>0</v>
      </c>
      <c r="F29" s="8">
        <f>E29</f>
        <v>0</v>
      </c>
      <c r="G29" s="8">
        <f>+F29</f>
        <v>0</v>
      </c>
      <c r="H29" s="8">
        <f>+G29</f>
        <v>0</v>
      </c>
      <c r="I29" s="24"/>
      <c r="J29" s="10"/>
      <c r="K29" s="8">
        <f>H29+I29</f>
        <v>0</v>
      </c>
      <c r="L29" s="8"/>
      <c r="M29" s="10"/>
      <c r="N29" s="8"/>
      <c r="P29" s="8">
        <f>ROUND(K29*O$15/J$15,2)</f>
        <v>0</v>
      </c>
      <c r="R29" s="8">
        <f>+P29+Q29</f>
        <v>0</v>
      </c>
    </row>
    <row r="30" spans="1:18">
      <c r="D30" s="8"/>
      <c r="E30" s="8"/>
      <c r="F30" s="8"/>
      <c r="G30" s="8"/>
      <c r="H30" s="8"/>
      <c r="I30" s="24"/>
      <c r="J30" s="10"/>
      <c r="K30" s="8"/>
      <c r="L30" s="8"/>
      <c r="N30" s="8"/>
      <c r="P30" s="8"/>
    </row>
    <row r="31" spans="1:18">
      <c r="A31" t="str">
        <f>+RS!A31</f>
        <v>Environmental Surcharge</v>
      </c>
      <c r="D31" s="8">
        <f>+'B&amp;A Surcharges'!J53</f>
        <v>-114309.78</v>
      </c>
      <c r="E31" s="8">
        <f>D31</f>
        <v>-114309.78</v>
      </c>
      <c r="F31" s="8">
        <f>E31</f>
        <v>-114309.78</v>
      </c>
      <c r="G31" s="8">
        <v>0</v>
      </c>
      <c r="H31" s="8">
        <f>+G31</f>
        <v>0</v>
      </c>
      <c r="I31" s="95">
        <v>0</v>
      </c>
      <c r="J31" s="10"/>
      <c r="K31" s="8">
        <f>H31+I31</f>
        <v>0</v>
      </c>
      <c r="L31" s="8">
        <f>ROUND(K31*SUM(L26:L27)/SUM(K13:K27),2)</f>
        <v>0</v>
      </c>
      <c r="M31" s="8">
        <f>+K31+L31</f>
        <v>0</v>
      </c>
      <c r="N31" s="8">
        <f>P31-K31-L31</f>
        <v>0</v>
      </c>
      <c r="P31" s="8">
        <f>ROUND(K31*SUM(P13:P27)/SUM(K13:K27),2)</f>
        <v>0</v>
      </c>
      <c r="R31" s="8">
        <f>+P31+Q31</f>
        <v>0</v>
      </c>
    </row>
    <row r="32" spans="1:18">
      <c r="D32" s="8"/>
      <c r="E32" s="8"/>
      <c r="F32" s="8"/>
      <c r="G32" s="8"/>
      <c r="H32" s="8"/>
      <c r="I32" s="8"/>
      <c r="J32" s="10"/>
      <c r="K32" s="8"/>
      <c r="L32" s="8"/>
      <c r="M32" s="10"/>
      <c r="N32" s="8"/>
      <c r="P32" s="8"/>
    </row>
    <row r="33" spans="1:18">
      <c r="A33" t="str">
        <f>RS!A33</f>
        <v>Capacity Charge</v>
      </c>
      <c r="D33" s="8">
        <f>+'B&amp;A Surcharges'!F53</f>
        <v>322455.73000000004</v>
      </c>
      <c r="E33" s="8">
        <f>D33</f>
        <v>322455.73000000004</v>
      </c>
      <c r="F33" s="8">
        <v>0</v>
      </c>
      <c r="G33" s="8">
        <f>+F33</f>
        <v>0</v>
      </c>
      <c r="H33" s="8">
        <f>+G33</f>
        <v>0</v>
      </c>
      <c r="I33" s="24"/>
      <c r="J33" s="10"/>
      <c r="K33" s="8">
        <f>H33+I33</f>
        <v>0</v>
      </c>
      <c r="L33" s="8"/>
      <c r="M33" s="10"/>
      <c r="N33" s="10"/>
      <c r="P33" s="8">
        <f>ROUND(K33*O$15/J$15,2)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24"/>
      <c r="J34" s="10"/>
      <c r="K34" s="8"/>
      <c r="L34" s="8"/>
      <c r="M34" s="10"/>
      <c r="N34" s="10"/>
      <c r="P34" s="8"/>
    </row>
    <row r="35" spans="1:18">
      <c r="A35" t="str">
        <f>RS!A35</f>
        <v>Asset Transfer Rider</v>
      </c>
      <c r="D35" s="8">
        <f>+'B&amp;A Surcharges'!N53</f>
        <v>1117480.25</v>
      </c>
      <c r="E35" s="8">
        <f>D35</f>
        <v>1117480.25</v>
      </c>
      <c r="F35" s="8">
        <f>E35</f>
        <v>1117480.25</v>
      </c>
      <c r="G35" s="8">
        <f>+F35</f>
        <v>1117480.25</v>
      </c>
      <c r="H35" s="8">
        <f>+G35</f>
        <v>1117480.25</v>
      </c>
      <c r="I35" s="95">
        <v>110564</v>
      </c>
      <c r="J35" s="10"/>
      <c r="K35" s="8">
        <f>H35+I35</f>
        <v>1228044.25</v>
      </c>
      <c r="L35" s="8">
        <f>ROUND(K35*SUM(L32:L32)/SUM(K19:K32),2)</f>
        <v>0</v>
      </c>
      <c r="M35" s="8">
        <f>+K35+L35</f>
        <v>1228044.25</v>
      </c>
      <c r="N35" s="8">
        <f>P35-K35-L35</f>
        <v>-7826.0500000000466</v>
      </c>
      <c r="P35" s="8">
        <f>ROUND(K35*SUM(P13:P26)/SUM(K13:K26),2)</f>
        <v>1220218.2</v>
      </c>
      <c r="Q35" s="8">
        <f>+'ATR Adjustment WP'!G53</f>
        <v>402343.07819339604</v>
      </c>
      <c r="R35" s="8">
        <f>+P35+Q35</f>
        <v>1622561.2781933961</v>
      </c>
    </row>
    <row r="36" spans="1:18">
      <c r="D36" s="8"/>
      <c r="E36" s="8"/>
      <c r="F36" s="8"/>
      <c r="G36" s="8"/>
      <c r="H36" s="8"/>
      <c r="I36" s="24"/>
      <c r="J36" s="10"/>
      <c r="K36" s="8"/>
      <c r="L36" s="8"/>
      <c r="N36" s="10"/>
      <c r="P36" s="8"/>
    </row>
    <row r="37" spans="1:18">
      <c r="A37" t="str">
        <f>+RS!A39</f>
        <v>Total</v>
      </c>
      <c r="D37" s="8">
        <f t="shared" ref="D37:H37" si="6">SUM(D13:D36)</f>
        <v>22926270.751729991</v>
      </c>
      <c r="E37" s="8">
        <f t="shared" si="6"/>
        <v>22804382.671729993</v>
      </c>
      <c r="F37" s="8">
        <f t="shared" si="6"/>
        <v>22481926.941729993</v>
      </c>
      <c r="G37" s="8">
        <f t="shared" si="6"/>
        <v>22596236.721729994</v>
      </c>
      <c r="H37" s="8">
        <f t="shared" si="6"/>
        <v>22234696.971729994</v>
      </c>
      <c r="I37" s="10"/>
      <c r="J37" s="10"/>
      <c r="K37" s="8">
        <f>SUM(K13:K36)</f>
        <v>22834307.848230001</v>
      </c>
      <c r="L37" s="8">
        <f>SUM(L26:L36)</f>
        <v>0</v>
      </c>
      <c r="M37" s="10"/>
      <c r="N37" s="10"/>
      <c r="P37" s="8">
        <f>SUM(P13:P36)</f>
        <v>22688792.304889999</v>
      </c>
      <c r="R37" s="8">
        <f>SUM(R13:R36)</f>
        <v>23091135.383083396</v>
      </c>
    </row>
  </sheetData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E1" workbookViewId="0">
      <selection activeCell="E6" sqref="E6:H9"/>
    </sheetView>
  </sheetViews>
  <sheetFormatPr defaultRowHeight="12.75"/>
  <cols>
    <col min="1" max="1" width="25" customWidth="1"/>
    <col min="2" max="2" width="10.7109375" bestFit="1" customWidth="1"/>
    <col min="3" max="3" width="8.5703125" bestFit="1" customWidth="1"/>
    <col min="4" max="6" width="10.7109375" bestFit="1" customWidth="1"/>
    <col min="7" max="7" width="12.5703125" bestFit="1" customWidth="1"/>
    <col min="8" max="8" width="11.140625" bestFit="1" customWidth="1"/>
    <col min="9" max="10" width="12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0.42578125" bestFit="1" customWidth="1"/>
    <col min="15" max="15" width="12.7109375" bestFit="1" customWidth="1"/>
    <col min="16" max="16" width="11.570312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119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  <c r="M6" s="1"/>
      <c r="R6" s="1"/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35881319</v>
      </c>
      <c r="C13" s="71">
        <v>3.1759999999999997E-2</v>
      </c>
      <c r="D13" s="8">
        <f>+B13*C13</f>
        <v>1139590.69144</v>
      </c>
      <c r="E13" s="8">
        <f>D13</f>
        <v>1139590.69144</v>
      </c>
      <c r="F13" s="8">
        <f>E13</f>
        <v>1139590.69144</v>
      </c>
      <c r="G13" s="8">
        <f>+F13</f>
        <v>1139590.69144</v>
      </c>
      <c r="H13" s="8">
        <f t="shared" ref="H13" si="0">+G13</f>
        <v>1139590.69144</v>
      </c>
      <c r="I13" s="74">
        <v>24902244</v>
      </c>
      <c r="J13" s="6">
        <f>+B13+I13</f>
        <v>60783563</v>
      </c>
      <c r="K13" s="8">
        <f>+C13*J13</f>
        <v>1930485.9608799997</v>
      </c>
      <c r="L13" s="74"/>
      <c r="M13" s="6">
        <f>J13+L13</f>
        <v>60783563</v>
      </c>
      <c r="N13" s="6">
        <f>O13-M13</f>
        <v>5525778</v>
      </c>
      <c r="O13" s="6">
        <f>ROUND(M13*O$25/M$25,0)</f>
        <v>66309341</v>
      </c>
      <c r="P13" s="8">
        <f>+O13*C13</f>
        <v>2105984.6701599997</v>
      </c>
      <c r="R13" s="8">
        <f>+P13+Q13</f>
        <v>2105984.6701599997</v>
      </c>
    </row>
    <row r="14" spans="1:18">
      <c r="A14" t="s">
        <v>285</v>
      </c>
      <c r="B14" s="74">
        <v>-19502</v>
      </c>
      <c r="C14" s="71"/>
      <c r="D14" s="8"/>
      <c r="E14" s="8"/>
      <c r="F14" s="8"/>
      <c r="G14" s="8"/>
      <c r="H14" s="8"/>
      <c r="I14" s="74">
        <v>-14070</v>
      </c>
      <c r="J14" s="6">
        <f>J15-J13</f>
        <v>-33572</v>
      </c>
      <c r="K14" s="8"/>
      <c r="L14" s="74"/>
      <c r="M14" s="6">
        <f>M15-M13</f>
        <v>-33572</v>
      </c>
      <c r="N14" s="6"/>
      <c r="O14" s="6">
        <f>O15-O13</f>
        <v>-36624</v>
      </c>
      <c r="P14" s="8"/>
    </row>
    <row r="15" spans="1:18">
      <c r="A15" t="s">
        <v>12</v>
      </c>
      <c r="B15" s="6">
        <f>+'12 Months TS'!E99</f>
        <v>35861817</v>
      </c>
      <c r="D15" s="8"/>
      <c r="E15" s="8"/>
      <c r="F15" s="8"/>
      <c r="G15" s="8"/>
      <c r="H15" s="8"/>
      <c r="I15" s="6">
        <f>+I13+I14</f>
        <v>24888174</v>
      </c>
      <c r="J15" s="6">
        <f>+B15+I15</f>
        <v>60749991</v>
      </c>
      <c r="K15" s="8"/>
      <c r="L15" s="74"/>
      <c r="M15" s="6">
        <f>J15+L15</f>
        <v>60749991</v>
      </c>
      <c r="N15" s="6">
        <f>O15-M15</f>
        <v>5522726</v>
      </c>
      <c r="O15" s="6">
        <f>ROUND(M15*O$25/M$25,0)</f>
        <v>66272717</v>
      </c>
      <c r="P15" s="8"/>
    </row>
    <row r="16" spans="1:18">
      <c r="B16" s="7"/>
      <c r="D16" s="8"/>
      <c r="E16" s="8"/>
      <c r="F16" s="8"/>
      <c r="G16" s="8"/>
      <c r="H16" s="8"/>
      <c r="I16" s="6"/>
      <c r="K16" s="8"/>
      <c r="L16" s="74"/>
      <c r="O16" s="6"/>
      <c r="P16" s="8"/>
    </row>
    <row r="17" spans="1:18">
      <c r="A17" s="4" t="s">
        <v>21</v>
      </c>
      <c r="B17" s="7"/>
      <c r="D17" s="8"/>
      <c r="E17" s="8"/>
      <c r="F17" s="8"/>
      <c r="G17" s="8"/>
      <c r="H17" s="8"/>
      <c r="I17" s="6"/>
      <c r="K17" s="8"/>
      <c r="L17" s="74"/>
      <c r="O17" s="6"/>
      <c r="P17" s="8"/>
    </row>
    <row r="18" spans="1:18">
      <c r="A18" t="s">
        <v>25</v>
      </c>
      <c r="B18" s="74">
        <v>106959.79999999999</v>
      </c>
      <c r="C18" s="73">
        <v>9</v>
      </c>
      <c r="D18" s="8">
        <f>+B18*C18</f>
        <v>962638.2</v>
      </c>
      <c r="E18" s="8">
        <f>D18</f>
        <v>962638.2</v>
      </c>
      <c r="F18" s="8">
        <f>E18</f>
        <v>962638.2</v>
      </c>
      <c r="G18" s="8">
        <f>+F18</f>
        <v>962638.2</v>
      </c>
      <c r="H18" s="8">
        <f t="shared" ref="H18" si="1">+G18</f>
        <v>962638.2</v>
      </c>
      <c r="I18" s="74">
        <v>26718</v>
      </c>
      <c r="J18" s="6">
        <f>+B18+I18</f>
        <v>133677.79999999999</v>
      </c>
      <c r="K18" s="8">
        <f>+C18*J18</f>
        <v>1203100.2</v>
      </c>
      <c r="L18" s="74"/>
      <c r="M18" s="6">
        <f>J18+L18</f>
        <v>133677.79999999999</v>
      </c>
      <c r="N18" s="6">
        <f>O18-M18</f>
        <v>12152.200000000012</v>
      </c>
      <c r="O18" s="6">
        <f>ROUND(M18*O$25/M$25,0)</f>
        <v>145830</v>
      </c>
      <c r="P18" s="8">
        <f>+O18*C18</f>
        <v>1312470</v>
      </c>
      <c r="R18" s="8">
        <f t="shared" ref="R18:R19" si="2">+P18+Q18</f>
        <v>1312470</v>
      </c>
    </row>
    <row r="19" spans="1:18">
      <c r="A19" t="s">
        <v>26</v>
      </c>
      <c r="B19" s="74">
        <v>2062.4</v>
      </c>
      <c r="C19" s="73">
        <v>1.1000000000000001</v>
      </c>
      <c r="D19" s="8">
        <f>+B19*C19</f>
        <v>2268.6400000000003</v>
      </c>
      <c r="E19" s="8">
        <f>D19</f>
        <v>2268.6400000000003</v>
      </c>
      <c r="F19" s="8">
        <f>E19</f>
        <v>2268.6400000000003</v>
      </c>
      <c r="G19" s="8">
        <f>+F19</f>
        <v>2268.6400000000003</v>
      </c>
      <c r="H19" s="8">
        <f t="shared" ref="H19" si="3">+G19</f>
        <v>2268.6400000000003</v>
      </c>
      <c r="I19" s="74">
        <v>0</v>
      </c>
      <c r="J19" s="6">
        <f>+B19+I19</f>
        <v>2062.4</v>
      </c>
      <c r="K19" s="8">
        <f>+C19*J19</f>
        <v>2268.6400000000003</v>
      </c>
      <c r="L19" s="74"/>
      <c r="M19" s="6">
        <f>J19+L19</f>
        <v>2062.4</v>
      </c>
      <c r="N19" s="6">
        <f>O19-M19</f>
        <v>187.59999999999991</v>
      </c>
      <c r="O19" s="6">
        <f>ROUND(M19*O$25/M$25,0)</f>
        <v>2250</v>
      </c>
      <c r="P19" s="8">
        <f>+O19*C19</f>
        <v>2475</v>
      </c>
      <c r="R19" s="8">
        <f t="shared" si="2"/>
        <v>2475</v>
      </c>
    </row>
    <row r="20" spans="1:18">
      <c r="B20" s="7"/>
      <c r="C20" s="24"/>
      <c r="D20" s="8"/>
      <c r="E20" s="8"/>
      <c r="F20" s="8"/>
      <c r="G20" s="8"/>
      <c r="H20" s="8"/>
      <c r="I20" s="6"/>
      <c r="K20" s="8"/>
      <c r="L20" s="74"/>
      <c r="O20" s="6"/>
      <c r="P20" s="8"/>
    </row>
    <row r="21" spans="1:18">
      <c r="A21" t="s">
        <v>27</v>
      </c>
      <c r="B21" s="74">
        <v>45159</v>
      </c>
      <c r="C21" s="73">
        <f>+'QP-SEC'!C21</f>
        <v>0.69</v>
      </c>
      <c r="D21" s="8">
        <f>+B21*C21</f>
        <v>31159.71</v>
      </c>
      <c r="E21" s="8">
        <f>D21</f>
        <v>31159.71</v>
      </c>
      <c r="F21" s="8">
        <f>E21</f>
        <v>31159.71</v>
      </c>
      <c r="G21" s="8">
        <f>+F21</f>
        <v>31159.71</v>
      </c>
      <c r="H21" s="8">
        <f t="shared" ref="H21" si="4">+G21</f>
        <v>31159.71</v>
      </c>
      <c r="I21" s="74">
        <v>25126.010786613406</v>
      </c>
      <c r="J21" s="6">
        <f>+B21+I21</f>
        <v>70285.010786613406</v>
      </c>
      <c r="K21" s="8">
        <f>+C21*J21</f>
        <v>48496.657442763244</v>
      </c>
      <c r="L21" s="74"/>
      <c r="M21" s="6">
        <f>J21+L21</f>
        <v>70285.010786613406</v>
      </c>
      <c r="N21" s="6">
        <f>O21-M21</f>
        <v>6389.9892133865942</v>
      </c>
      <c r="O21" s="6">
        <f>ROUND(M21*O$25/M$25,0)</f>
        <v>76675</v>
      </c>
      <c r="P21" s="8">
        <f>+O21*C21</f>
        <v>52905.749999999993</v>
      </c>
      <c r="R21" s="8">
        <f>+P21+Q21</f>
        <v>52905.749999999993</v>
      </c>
    </row>
    <row r="22" spans="1:18">
      <c r="B22" s="7"/>
      <c r="C22" s="24"/>
      <c r="D22" s="8"/>
      <c r="E22" s="8"/>
      <c r="F22" s="8"/>
      <c r="G22" s="8"/>
      <c r="H22" s="8"/>
      <c r="I22" s="6"/>
      <c r="K22" s="8"/>
      <c r="L22" s="74"/>
      <c r="O22" s="6"/>
      <c r="P22" s="8"/>
    </row>
    <row r="23" spans="1:18">
      <c r="A23" t="s">
        <v>13</v>
      </c>
      <c r="B23" s="74">
        <v>35.700000000000003</v>
      </c>
      <c r="C23" s="80">
        <v>1353</v>
      </c>
      <c r="D23" s="8">
        <f>+B23*C23</f>
        <v>48302.100000000006</v>
      </c>
      <c r="E23" s="8">
        <f>D23</f>
        <v>48302.100000000006</v>
      </c>
      <c r="F23" s="8">
        <f>E23</f>
        <v>48302.100000000006</v>
      </c>
      <c r="G23" s="8">
        <f>+F23</f>
        <v>48302.100000000006</v>
      </c>
      <c r="H23" s="8">
        <f t="shared" ref="H23" si="5">+G23</f>
        <v>48302.100000000006</v>
      </c>
      <c r="I23" s="74">
        <v>19.367000000000001</v>
      </c>
      <c r="J23" s="6">
        <f>+B23+I23</f>
        <v>55.067000000000007</v>
      </c>
      <c r="K23" s="8">
        <f>+C23*J23</f>
        <v>74505.651000000013</v>
      </c>
      <c r="L23" s="74"/>
      <c r="M23" s="6">
        <f>J23+L23</f>
        <v>55.067000000000007</v>
      </c>
      <c r="N23" s="6">
        <f>O23-M23</f>
        <v>4.9329999999999927</v>
      </c>
      <c r="O23" s="6">
        <f>ROUND(M23*O$25/M$25,0)</f>
        <v>60</v>
      </c>
      <c r="P23" s="8">
        <f>+O23*C23</f>
        <v>81180</v>
      </c>
      <c r="R23" s="8">
        <f>+P23+Q23</f>
        <v>81180</v>
      </c>
    </row>
    <row r="24" spans="1:18">
      <c r="B24" s="7"/>
      <c r="D24" s="8"/>
      <c r="E24" s="8"/>
      <c r="F24" s="8"/>
      <c r="G24" s="8"/>
      <c r="H24" s="8"/>
      <c r="I24" s="6"/>
      <c r="K24" s="8"/>
      <c r="L24" s="74"/>
      <c r="O24" s="6"/>
      <c r="P24" s="8"/>
    </row>
    <row r="25" spans="1:18">
      <c r="A25" t="s">
        <v>14</v>
      </c>
      <c r="B25" s="6">
        <f>'Monthly # of Customers'!N80</f>
        <v>36</v>
      </c>
      <c r="D25" s="8"/>
      <c r="E25" s="8"/>
      <c r="F25" s="8"/>
      <c r="G25" s="8"/>
      <c r="H25" s="8"/>
      <c r="I25" s="74">
        <v>19</v>
      </c>
      <c r="J25" s="6">
        <f>+B25+I25</f>
        <v>55</v>
      </c>
      <c r="K25" s="8"/>
      <c r="L25" s="74"/>
      <c r="M25" s="6">
        <f>J25+L25</f>
        <v>55</v>
      </c>
      <c r="N25" s="6">
        <f>O25-M25</f>
        <v>5</v>
      </c>
      <c r="O25" s="6">
        <f>'Monthly # of Customers'!M80*12</f>
        <v>60</v>
      </c>
      <c r="P25" s="8"/>
    </row>
    <row r="26" spans="1:18">
      <c r="D26" s="8"/>
      <c r="E26" s="8"/>
      <c r="F26" s="8"/>
      <c r="G26" s="8"/>
      <c r="H26" s="8"/>
      <c r="K26" s="8"/>
      <c r="L26" s="8">
        <f>SUMPRODUCT(L13:L25,C13:C25)</f>
        <v>0</v>
      </c>
      <c r="P26" s="8"/>
    </row>
    <row r="27" spans="1:18">
      <c r="A27" t="str">
        <f>+RS!A27</f>
        <v xml:space="preserve">Fuel </v>
      </c>
      <c r="D27" s="8">
        <f>+'B&amp;A Surcharges'!B55</f>
        <v>170717.62</v>
      </c>
      <c r="E27" s="8">
        <f>D27</f>
        <v>170717.62</v>
      </c>
      <c r="F27" s="8">
        <f>E27</f>
        <v>170717.62</v>
      </c>
      <c r="G27" s="8">
        <f>+F27</f>
        <v>170717.62</v>
      </c>
      <c r="H27" s="8">
        <f>ROUND(B15*H11,2)</f>
        <v>73198.34</v>
      </c>
      <c r="I27" s="55">
        <f>ROUND(H11*I15,2)</f>
        <v>50799.8</v>
      </c>
      <c r="J27" s="10"/>
      <c r="K27" s="8">
        <f>+H27+I27</f>
        <v>123998.14</v>
      </c>
      <c r="L27" s="8">
        <f>+H11*L13</f>
        <v>0</v>
      </c>
      <c r="M27" s="10"/>
      <c r="N27" s="8">
        <v>0</v>
      </c>
      <c r="P27" s="8">
        <f>ROUND(O15*H11,2)</f>
        <v>135270.70000000001</v>
      </c>
      <c r="R27" s="8">
        <f>+P27+Q27</f>
        <v>135270.70000000001</v>
      </c>
    </row>
    <row r="28" spans="1:18">
      <c r="D28" s="8"/>
      <c r="E28" s="8"/>
      <c r="F28" s="8"/>
      <c r="G28" s="8"/>
      <c r="H28" s="8"/>
      <c r="I28" s="55"/>
      <c r="K28" s="8"/>
      <c r="L28" s="8"/>
      <c r="N28" s="8"/>
      <c r="P28" s="8"/>
    </row>
    <row r="29" spans="1:18">
      <c r="A29" t="str">
        <f>+RS!A29</f>
        <v>System Sales Clause</v>
      </c>
      <c r="D29" s="8">
        <f>+'B&amp;A Surcharges'!D55</f>
        <v>3963.7799999999997</v>
      </c>
      <c r="E29" s="8">
        <v>0</v>
      </c>
      <c r="F29" s="8">
        <f>E29</f>
        <v>0</v>
      </c>
      <c r="G29" s="8">
        <f>+F29</f>
        <v>0</v>
      </c>
      <c r="H29" s="8">
        <f t="shared" ref="H29" si="6">+G29</f>
        <v>0</v>
      </c>
      <c r="I29" s="55"/>
      <c r="J29" s="10"/>
      <c r="K29" s="8">
        <f>+H29+I29</f>
        <v>0</v>
      </c>
      <c r="L29" s="8"/>
      <c r="M29" s="10"/>
      <c r="N29" s="8"/>
      <c r="P29" s="8">
        <f>ROUND(K29*O$15/J$15,2)</f>
        <v>0</v>
      </c>
      <c r="R29" s="8">
        <f>+P29+Q29</f>
        <v>0</v>
      </c>
    </row>
    <row r="30" spans="1:18">
      <c r="D30" s="8"/>
      <c r="E30" s="8"/>
      <c r="F30" s="8"/>
      <c r="G30" s="8"/>
      <c r="H30" s="8"/>
      <c r="I30" s="55"/>
      <c r="K30" s="8"/>
      <c r="L30" s="8"/>
      <c r="N30" s="8"/>
      <c r="P30" s="8"/>
    </row>
    <row r="31" spans="1:18">
      <c r="A31" t="str">
        <f>+RS!A31</f>
        <v>Environmental Surcharge</v>
      </c>
      <c r="D31" s="8">
        <f>+'B&amp;A Surcharges'!J55</f>
        <v>-3760.25</v>
      </c>
      <c r="E31" s="8">
        <f>D31</f>
        <v>-3760.25</v>
      </c>
      <c r="F31" s="8">
        <f>E31</f>
        <v>-3760.25</v>
      </c>
      <c r="G31" s="8">
        <v>0</v>
      </c>
      <c r="H31" s="8">
        <f t="shared" ref="H31" si="7">+G31</f>
        <v>0</v>
      </c>
      <c r="I31" s="80">
        <v>0</v>
      </c>
      <c r="J31" s="10"/>
      <c r="K31" s="8">
        <f>+H31+I31</f>
        <v>0</v>
      </c>
      <c r="L31" s="8">
        <f>ROUND(K31*SUM(L26:L27)/SUM(K13:K27),2)</f>
        <v>0</v>
      </c>
      <c r="M31" s="8">
        <f>+K31+L31</f>
        <v>0</v>
      </c>
      <c r="N31" s="8">
        <v>0</v>
      </c>
      <c r="P31" s="8">
        <f>ROUND(K31*SUM(P13:P27)/SUM(K13:K27),2)</f>
        <v>0</v>
      </c>
      <c r="R31" s="8">
        <f>+P31+Q31</f>
        <v>0</v>
      </c>
    </row>
    <row r="32" spans="1:18">
      <c r="D32" s="8"/>
      <c r="E32" s="8"/>
      <c r="F32" s="8"/>
      <c r="G32" s="8"/>
      <c r="H32" s="8"/>
      <c r="I32" s="55"/>
      <c r="J32" s="10"/>
      <c r="K32" s="8"/>
      <c r="L32" s="8"/>
      <c r="M32" s="10"/>
      <c r="N32" s="8"/>
      <c r="P32" s="8"/>
    </row>
    <row r="33" spans="1:18">
      <c r="A33" t="str">
        <f>RS!A33</f>
        <v>Capacity Charge</v>
      </c>
      <c r="D33" s="8">
        <f>+'B&amp;A Surcharges'!F55</f>
        <v>34785.97</v>
      </c>
      <c r="E33" s="8">
        <f>D33</f>
        <v>34785.97</v>
      </c>
      <c r="F33" s="8">
        <v>0</v>
      </c>
      <c r="G33" s="8">
        <f>+F33</f>
        <v>0</v>
      </c>
      <c r="H33" s="8">
        <f>+G33</f>
        <v>0</v>
      </c>
      <c r="I33" s="24"/>
      <c r="J33" s="10"/>
      <c r="K33" s="8">
        <f>+H33+I33</f>
        <v>0</v>
      </c>
      <c r="L33" s="8"/>
      <c r="M33" s="10"/>
      <c r="N33" s="10"/>
      <c r="P33" s="8">
        <f>ROUND(K33*O$15/J$15,2)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24"/>
      <c r="J34" s="10"/>
      <c r="K34" s="8"/>
      <c r="L34" s="8"/>
      <c r="M34" s="10"/>
      <c r="N34" s="10"/>
      <c r="P34" s="8"/>
    </row>
    <row r="35" spans="1:18">
      <c r="A35" t="str">
        <f>RS!A35</f>
        <v>Asset Transfer Rider</v>
      </c>
      <c r="D35" s="8">
        <f>+'B&amp;A Surcharges'!N55</f>
        <v>153618.85999999999</v>
      </c>
      <c r="E35" s="8">
        <f>D35</f>
        <v>153618.85999999999</v>
      </c>
      <c r="F35" s="8">
        <f>E35</f>
        <v>153618.85999999999</v>
      </c>
      <c r="G35" s="8">
        <f>+F35</f>
        <v>153618.85999999999</v>
      </c>
      <c r="H35" s="8">
        <f t="shared" ref="H35" si="8">+G35</f>
        <v>153618.85999999999</v>
      </c>
      <c r="I35" s="80">
        <v>80048</v>
      </c>
      <c r="J35" s="10"/>
      <c r="K35" s="8">
        <f>+H35+I35</f>
        <v>233666.86</v>
      </c>
      <c r="L35" s="8">
        <f>ROUND(K35*SUM(L32:L32)/SUM(K19:K32),2)</f>
        <v>0</v>
      </c>
      <c r="M35" s="8">
        <f>+K35+L35</f>
        <v>233666.86</v>
      </c>
      <c r="N35" s="8">
        <f>+P35-M35</f>
        <v>21235.170000000013</v>
      </c>
      <c r="P35" s="8">
        <f>ROUND(K35*SUM(P13:P26)/SUM(K13:K26),2)</f>
        <v>254902.03</v>
      </c>
      <c r="Q35" s="8">
        <f>+'ATR Adjustment WP'!G55</f>
        <v>84048.957299559537</v>
      </c>
      <c r="R35" s="8">
        <f>+P35+Q35</f>
        <v>338950.98729955952</v>
      </c>
    </row>
    <row r="36" spans="1:18">
      <c r="D36" s="8"/>
      <c r="E36" s="8"/>
      <c r="F36" s="8"/>
      <c r="G36" s="8"/>
      <c r="H36" s="8"/>
      <c r="I36" s="24"/>
      <c r="J36" s="10"/>
      <c r="K36" s="8"/>
      <c r="L36" s="8"/>
      <c r="N36" s="10"/>
      <c r="P36" s="8"/>
    </row>
    <row r="37" spans="1:18">
      <c r="A37" t="str">
        <f>+RS!A39</f>
        <v>Total</v>
      </c>
      <c r="D37" s="8">
        <f t="shared" ref="D37:H37" si="9">SUM(D13:D36)</f>
        <v>2543285.3214400001</v>
      </c>
      <c r="E37" s="8">
        <f t="shared" si="9"/>
        <v>2539321.5414400003</v>
      </c>
      <c r="F37" s="8">
        <f t="shared" si="9"/>
        <v>2504535.5714400001</v>
      </c>
      <c r="G37" s="8">
        <f t="shared" si="9"/>
        <v>2508295.8214400001</v>
      </c>
      <c r="H37" s="8">
        <f t="shared" si="9"/>
        <v>2410776.5414399998</v>
      </c>
      <c r="I37" s="10"/>
      <c r="J37" s="10"/>
      <c r="K37" s="8">
        <f>SUM(K13:K36)</f>
        <v>3616522.109322763</v>
      </c>
      <c r="L37" s="8">
        <f>SUM(L26:L31)</f>
        <v>0</v>
      </c>
      <c r="M37" s="10"/>
      <c r="N37" s="10"/>
      <c r="P37" s="8">
        <f>SUM(P13:P36)</f>
        <v>3945188.1501599997</v>
      </c>
      <c r="R37" s="8">
        <f>SUM(R13:R36)</f>
        <v>4029237.1074595596</v>
      </c>
    </row>
    <row r="40" spans="1:18">
      <c r="H40" s="6">
        <f>+B15/B25</f>
        <v>996161.58333333337</v>
      </c>
      <c r="I40" s="6">
        <f>+I15/I23</f>
        <v>1285081.5304383745</v>
      </c>
      <c r="J40" s="6">
        <f>+J15/J23</f>
        <v>1103201.3910327419</v>
      </c>
    </row>
    <row r="41" spans="1:18">
      <c r="I41">
        <f>+I40/H40-1</f>
        <v>0.29003321543304628</v>
      </c>
      <c r="J41">
        <f>+J40/H40-1</f>
        <v>0.10745225422288862</v>
      </c>
    </row>
  </sheetData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>
      <selection activeCell="E6" sqref="E6:H9"/>
    </sheetView>
  </sheetViews>
  <sheetFormatPr defaultRowHeight="12.75"/>
  <cols>
    <col min="1" max="1" width="22.85546875" customWidth="1"/>
    <col min="2" max="2" width="13.42578125" bestFit="1" customWidth="1"/>
    <col min="3" max="3" width="8.5703125" bestFit="1" customWidth="1"/>
    <col min="4" max="7" width="12.7109375" bestFit="1" customWidth="1"/>
    <col min="8" max="8" width="11.7109375" bestFit="1" customWidth="1"/>
    <col min="9" max="9" width="11.28515625" bestFit="1" customWidth="1"/>
    <col min="10" max="10" width="13.42578125" bestFit="1" customWidth="1"/>
    <col min="11" max="11" width="11.7109375" bestFit="1" customWidth="1"/>
    <col min="12" max="12" width="10.42578125" bestFit="1" customWidth="1"/>
    <col min="13" max="13" width="13.42578125" bestFit="1" customWidth="1"/>
    <col min="14" max="14" width="10.7109375" bestFit="1" customWidth="1"/>
    <col min="15" max="15" width="13.4257812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122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D11" s="10"/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1763163341</v>
      </c>
      <c r="C13" s="71">
        <v>2.9059999999999999E-2</v>
      </c>
      <c r="D13" s="8">
        <f>+B13*C13</f>
        <v>51237526.689460002</v>
      </c>
      <c r="E13" s="8">
        <f>D13</f>
        <v>51237526.689460002</v>
      </c>
      <c r="F13" s="8">
        <f>E13</f>
        <v>51237526.689460002</v>
      </c>
      <c r="G13" s="8">
        <f>+F13</f>
        <v>51237526.689460002</v>
      </c>
      <c r="H13" s="8">
        <f t="shared" ref="H13" si="0">+G13</f>
        <v>51237526.689460002</v>
      </c>
      <c r="I13" s="74">
        <v>-18203500</v>
      </c>
      <c r="J13" s="6">
        <f>+B13+I13</f>
        <v>1744959841</v>
      </c>
      <c r="K13" s="8">
        <f>+C13*J13</f>
        <v>50708532.979460001</v>
      </c>
      <c r="L13" s="74">
        <v>2760000</v>
      </c>
      <c r="M13" s="6">
        <f>J13+L13</f>
        <v>1747719841</v>
      </c>
      <c r="N13" s="6">
        <f>O13-M13</f>
        <v>16333830</v>
      </c>
      <c r="O13" s="6">
        <f>ROUND(M13*O$28/M$28,0)</f>
        <v>1764053671</v>
      </c>
      <c r="P13" s="8">
        <f>+O13*C13</f>
        <v>51263399.679260001</v>
      </c>
      <c r="R13" s="8">
        <f>+P13+Q13</f>
        <v>51263399.679260001</v>
      </c>
    </row>
    <row r="14" spans="1:18">
      <c r="A14" t="s">
        <v>291</v>
      </c>
      <c r="B14" s="74">
        <v>0</v>
      </c>
      <c r="C14" s="71"/>
      <c r="D14" s="8"/>
      <c r="E14" s="8"/>
      <c r="F14" s="8"/>
      <c r="G14" s="8"/>
      <c r="H14" s="8"/>
      <c r="I14" s="74">
        <f>-B14</f>
        <v>0</v>
      </c>
      <c r="J14" s="6"/>
      <c r="K14" s="8"/>
      <c r="L14" s="74"/>
      <c r="M14" s="6"/>
      <c r="N14" s="6"/>
      <c r="O14" s="6"/>
      <c r="P14" s="8"/>
    </row>
    <row r="15" spans="1:18">
      <c r="B15" s="6"/>
      <c r="D15" s="8"/>
      <c r="E15" s="8"/>
      <c r="F15" s="8"/>
      <c r="G15" s="8"/>
      <c r="H15" s="8"/>
      <c r="I15" s="6"/>
      <c r="K15" s="8"/>
      <c r="L15" s="6"/>
      <c r="O15" s="6"/>
      <c r="P15" s="8"/>
    </row>
    <row r="16" spans="1:18">
      <c r="A16" t="s">
        <v>12</v>
      </c>
      <c r="B16" s="6">
        <f>+'12 Months TS'!E101</f>
        <v>1763163341</v>
      </c>
      <c r="D16" s="8"/>
      <c r="E16" s="8"/>
      <c r="F16" s="8"/>
      <c r="G16" s="8"/>
      <c r="H16" s="8"/>
      <c r="I16" s="6">
        <f>SUM(I13:I15)</f>
        <v>-18203500</v>
      </c>
      <c r="J16" s="6">
        <f>+B16+I16</f>
        <v>1744959841</v>
      </c>
      <c r="K16" s="8"/>
      <c r="L16" s="6">
        <f>SUM(L13:L15)</f>
        <v>2760000</v>
      </c>
      <c r="M16" s="6">
        <f>J16+L16</f>
        <v>1747719841</v>
      </c>
      <c r="N16" s="6">
        <f>O16-M16</f>
        <v>16333830</v>
      </c>
      <c r="O16" s="6">
        <f>ROUND(M16*O$28/M$28,0)</f>
        <v>1764053671</v>
      </c>
      <c r="P16" s="8"/>
    </row>
    <row r="17" spans="1:18">
      <c r="B17" s="6"/>
      <c r="D17" s="8"/>
      <c r="E17" s="8"/>
      <c r="F17" s="8"/>
      <c r="G17" s="8"/>
      <c r="H17" s="8"/>
      <c r="I17" s="6"/>
      <c r="K17" s="8"/>
      <c r="L17" s="6"/>
      <c r="O17" s="6"/>
      <c r="P17" s="8"/>
    </row>
    <row r="18" spans="1:18">
      <c r="A18" s="4" t="s">
        <v>21</v>
      </c>
      <c r="B18" s="6"/>
      <c r="D18" s="8"/>
      <c r="E18" s="8"/>
      <c r="F18" s="8"/>
      <c r="G18" s="8"/>
      <c r="H18" s="8"/>
      <c r="I18" s="6"/>
      <c r="K18" s="8"/>
      <c r="L18" s="6"/>
      <c r="O18" s="6"/>
      <c r="P18" s="8"/>
    </row>
    <row r="19" spans="1:18">
      <c r="A19" t="s">
        <v>25</v>
      </c>
      <c r="B19" s="74">
        <v>2909217.3000000003</v>
      </c>
      <c r="C19" s="73">
        <v>12.06</v>
      </c>
      <c r="D19" s="8">
        <f>+B19*C19</f>
        <v>35085160.638000004</v>
      </c>
      <c r="E19" s="8">
        <f t="shared" ref="E19:F21" si="1">D19</f>
        <v>35085160.638000004</v>
      </c>
      <c r="F19" s="8">
        <f t="shared" si="1"/>
        <v>35085160.638000004</v>
      </c>
      <c r="G19" s="8">
        <f t="shared" ref="G19:G21" si="2">+F19</f>
        <v>35085160.638000004</v>
      </c>
      <c r="H19" s="8">
        <f t="shared" ref="H19:H21" si="3">+G19</f>
        <v>35085160.638000004</v>
      </c>
      <c r="I19" s="74">
        <v>-25540</v>
      </c>
      <c r="J19" s="6">
        <f>+B19+I19</f>
        <v>2883677.3000000003</v>
      </c>
      <c r="K19" s="8">
        <f>+C19*J19</f>
        <v>34777148.238000005</v>
      </c>
      <c r="L19" s="74">
        <v>4800</v>
      </c>
      <c r="M19" s="6">
        <f>J19+L19</f>
        <v>2888477.3000000003</v>
      </c>
      <c r="N19" s="6">
        <f>O19-M19</f>
        <v>26994.699999999721</v>
      </c>
      <c r="O19" s="6">
        <f>ROUND(M19*O$28/M$28,0)</f>
        <v>2915472</v>
      </c>
      <c r="P19" s="8">
        <f>+O19*C19</f>
        <v>35160592.32</v>
      </c>
      <c r="R19" s="8">
        <f t="shared" ref="R19:R21" si="4">+P19+Q19</f>
        <v>35160592.32</v>
      </c>
    </row>
    <row r="20" spans="1:18">
      <c r="A20" t="s">
        <v>120</v>
      </c>
      <c r="B20" s="74">
        <v>3019523.7999999993</v>
      </c>
      <c r="C20" s="73">
        <v>1.2</v>
      </c>
      <c r="D20" s="8">
        <f>+B20*C20</f>
        <v>3623428.5599999991</v>
      </c>
      <c r="E20" s="8">
        <f t="shared" si="1"/>
        <v>3623428.5599999991</v>
      </c>
      <c r="F20" s="8">
        <f t="shared" si="1"/>
        <v>3623428.5599999991</v>
      </c>
      <c r="G20" s="8">
        <f t="shared" si="2"/>
        <v>3623428.5599999991</v>
      </c>
      <c r="H20" s="8">
        <f t="shared" si="3"/>
        <v>3623428.5599999991</v>
      </c>
      <c r="I20" s="74">
        <v>-23432</v>
      </c>
      <c r="J20" s="6">
        <f>+B20+I20</f>
        <v>2996091.7999999993</v>
      </c>
      <c r="K20" s="8">
        <f>+C20*J20</f>
        <v>3595310.1599999992</v>
      </c>
      <c r="L20" s="74">
        <v>4774</v>
      </c>
      <c r="M20" s="6">
        <f>J20+L20</f>
        <v>3000865.7999999993</v>
      </c>
      <c r="N20" s="6">
        <f>O20-M20</f>
        <v>28045.200000000652</v>
      </c>
      <c r="O20" s="6">
        <f>ROUND(M20*O$28/M$28,0)</f>
        <v>3028911</v>
      </c>
      <c r="P20" s="8">
        <f>+O20*C20</f>
        <v>3634693.1999999997</v>
      </c>
      <c r="R20" s="8">
        <f t="shared" si="4"/>
        <v>3634693.1999999997</v>
      </c>
    </row>
    <row r="21" spans="1:18">
      <c r="A21" t="s">
        <v>121</v>
      </c>
      <c r="B21" s="74">
        <v>87134.099999999991</v>
      </c>
      <c r="C21" s="73">
        <v>12.17</v>
      </c>
      <c r="D21" s="8">
        <f>+B21*C21</f>
        <v>1060421.997</v>
      </c>
      <c r="E21" s="8">
        <f t="shared" si="1"/>
        <v>1060421.997</v>
      </c>
      <c r="F21" s="8">
        <f t="shared" si="1"/>
        <v>1060421.997</v>
      </c>
      <c r="G21" s="8">
        <f t="shared" si="2"/>
        <v>1060421.997</v>
      </c>
      <c r="H21" s="8">
        <f t="shared" si="3"/>
        <v>1060421.997</v>
      </c>
      <c r="I21" s="74">
        <v>0</v>
      </c>
      <c r="J21" s="6">
        <f>+B21+I21</f>
        <v>87134.099999999991</v>
      </c>
      <c r="K21" s="8">
        <f>+C21*J21</f>
        <v>1060421.997</v>
      </c>
      <c r="L21" s="74">
        <v>0</v>
      </c>
      <c r="M21" s="6">
        <f>J21+L21</f>
        <v>87134.099999999991</v>
      </c>
      <c r="N21" s="6">
        <f>O21-M21</f>
        <v>813.90000000000873</v>
      </c>
      <c r="O21" s="6">
        <f>ROUND(M21*O$28/M$28,0)</f>
        <v>87948</v>
      </c>
      <c r="P21" s="8">
        <f>+O21*C21</f>
        <v>1070327.1599999999</v>
      </c>
      <c r="R21" s="8">
        <f t="shared" si="4"/>
        <v>1070327.1599999999</v>
      </c>
    </row>
    <row r="22" spans="1:18">
      <c r="A22" t="s">
        <v>292</v>
      </c>
      <c r="B22" s="74">
        <v>0</v>
      </c>
      <c r="C22" s="24"/>
      <c r="D22" s="8"/>
      <c r="E22" s="8"/>
      <c r="F22" s="8"/>
      <c r="G22" s="8"/>
      <c r="H22" s="8"/>
      <c r="I22" s="74">
        <v>0</v>
      </c>
      <c r="J22" s="6">
        <f>+B22+I22</f>
        <v>0</v>
      </c>
      <c r="K22" s="8"/>
      <c r="L22" s="74">
        <v>0</v>
      </c>
      <c r="M22" s="6">
        <f>J22+L22</f>
        <v>0</v>
      </c>
      <c r="N22" s="6">
        <f>O22-M22</f>
        <v>0</v>
      </c>
      <c r="O22" s="6">
        <f>ROUND(M22*O$28/M$28,0)</f>
        <v>0</v>
      </c>
      <c r="P22" s="8"/>
    </row>
    <row r="23" spans="1:18">
      <c r="B23" s="6"/>
      <c r="C23" s="24"/>
      <c r="D23" s="8"/>
      <c r="E23" s="8"/>
      <c r="F23" s="8"/>
      <c r="G23" s="8"/>
      <c r="H23" s="8"/>
      <c r="I23" s="6"/>
      <c r="K23" s="8"/>
      <c r="L23" s="6"/>
      <c r="O23" s="6"/>
      <c r="P23" s="8"/>
    </row>
    <row r="24" spans="1:18">
      <c r="A24" t="s">
        <v>27</v>
      </c>
      <c r="B24" s="74">
        <v>226553</v>
      </c>
      <c r="C24" s="73">
        <v>0.69</v>
      </c>
      <c r="D24" s="8">
        <f>+B24*C24</f>
        <v>156321.56999999998</v>
      </c>
      <c r="E24" s="8">
        <f>D24</f>
        <v>156321.56999999998</v>
      </c>
      <c r="F24" s="8">
        <f>E24</f>
        <v>156321.56999999998</v>
      </c>
      <c r="G24" s="8">
        <f>+F24</f>
        <v>156321.56999999998</v>
      </c>
      <c r="H24" s="8">
        <f t="shared" ref="H24" si="5">+G24</f>
        <v>156321.56999999998</v>
      </c>
      <c r="I24" s="74">
        <v>-25478</v>
      </c>
      <c r="J24" s="6">
        <f>+B24+I24</f>
        <v>201075</v>
      </c>
      <c r="K24" s="8">
        <f>+C24*J24</f>
        <v>138741.75</v>
      </c>
      <c r="L24" s="74">
        <v>0</v>
      </c>
      <c r="M24" s="6">
        <f>J24+L24</f>
        <v>201075</v>
      </c>
      <c r="N24" s="6">
        <f>O24-M24</f>
        <v>1879</v>
      </c>
      <c r="O24" s="6">
        <f>ROUND(M24*O$28/M$28,0)</f>
        <v>202954</v>
      </c>
      <c r="P24" s="8">
        <f>+O24*C24</f>
        <v>140038.25999999998</v>
      </c>
      <c r="R24" s="8">
        <f>+P24+Q24</f>
        <v>140038.25999999998</v>
      </c>
    </row>
    <row r="25" spans="1:18">
      <c r="B25" s="6"/>
      <c r="C25" s="24"/>
      <c r="D25" s="8"/>
      <c r="E25" s="8"/>
      <c r="F25" s="8"/>
      <c r="G25" s="8"/>
      <c r="H25" s="8"/>
      <c r="I25" s="6"/>
      <c r="K25" s="8"/>
      <c r="L25" s="6"/>
      <c r="O25" s="6"/>
      <c r="P25" s="8"/>
    </row>
    <row r="26" spans="1:18">
      <c r="A26" t="s">
        <v>13</v>
      </c>
      <c r="B26" s="74">
        <v>124.92</v>
      </c>
      <c r="C26" s="80">
        <v>794</v>
      </c>
      <c r="D26" s="8">
        <f>+B26*C26</f>
        <v>99186.48</v>
      </c>
      <c r="E26" s="8">
        <f>D26</f>
        <v>99186.48</v>
      </c>
      <c r="F26" s="8">
        <f>E26</f>
        <v>99186.48</v>
      </c>
      <c r="G26" s="8">
        <f>+F26</f>
        <v>99186.48</v>
      </c>
      <c r="H26" s="8">
        <f t="shared" ref="H26" si="6">+G26</f>
        <v>99186.48</v>
      </c>
      <c r="I26" s="74">
        <v>-19.067</v>
      </c>
      <c r="J26" s="6">
        <f>+B26+I26</f>
        <v>105.85300000000001</v>
      </c>
      <c r="K26" s="8">
        <f>+C26*J26</f>
        <v>84047.282000000007</v>
      </c>
      <c r="L26" s="74">
        <v>0</v>
      </c>
      <c r="M26" s="6">
        <f>J26+L26</f>
        <v>105.85300000000001</v>
      </c>
      <c r="N26" s="6">
        <f>O26-M26</f>
        <v>1.1469999999999914</v>
      </c>
      <c r="O26" s="6">
        <f>ROUND(M26*O$28/M$28,0)</f>
        <v>107</v>
      </c>
      <c r="P26" s="8">
        <f>+O26*C26</f>
        <v>84958</v>
      </c>
      <c r="R26" s="8">
        <f>+P26+Q26</f>
        <v>84958</v>
      </c>
    </row>
    <row r="27" spans="1:18">
      <c r="D27" s="8"/>
      <c r="E27" s="8"/>
      <c r="F27" s="8"/>
      <c r="G27" s="8"/>
      <c r="H27" s="8"/>
      <c r="I27" s="6"/>
      <c r="K27" s="8"/>
      <c r="L27" s="6"/>
      <c r="O27" s="6"/>
      <c r="P27" s="8"/>
    </row>
    <row r="28" spans="1:18">
      <c r="A28" t="s">
        <v>14</v>
      </c>
      <c r="B28" s="6">
        <f>'Monthly # of Customers'!N82</f>
        <v>127</v>
      </c>
      <c r="D28" s="8"/>
      <c r="E28" s="8"/>
      <c r="F28" s="8"/>
      <c r="G28" s="8"/>
      <c r="H28" s="8"/>
      <c r="I28" s="74">
        <v>-20</v>
      </c>
      <c r="J28" s="6">
        <f>+B28+I28</f>
        <v>107</v>
      </c>
      <c r="K28" s="8"/>
      <c r="L28" s="74">
        <v>0</v>
      </c>
      <c r="M28" s="6">
        <f>J28+L28</f>
        <v>107</v>
      </c>
      <c r="N28" s="6">
        <f>O28-M28</f>
        <v>1</v>
      </c>
      <c r="O28" s="6">
        <f>'Monthly # of Customers'!M82*12</f>
        <v>108</v>
      </c>
      <c r="P28" s="8"/>
    </row>
    <row r="29" spans="1:18">
      <c r="D29" s="8"/>
      <c r="E29" s="8"/>
      <c r="F29" s="8"/>
      <c r="G29" s="8"/>
      <c r="H29" s="8"/>
      <c r="K29" s="8"/>
      <c r="L29" s="8">
        <f>L13*C13+L19*C19+L20*C20+L21*C21+L24*C24+L26*C26</f>
        <v>143822.39999999997</v>
      </c>
      <c r="P29" s="8"/>
    </row>
    <row r="30" spans="1:18">
      <c r="A30" t="str">
        <f>+RS!A27</f>
        <v xml:space="preserve">Fuel </v>
      </c>
      <c r="D30" s="8">
        <f>+'B&amp;A Surcharges'!B57</f>
        <v>5646070.4100000001</v>
      </c>
      <c r="E30" s="8">
        <f>D30</f>
        <v>5646070.4100000001</v>
      </c>
      <c r="F30" s="8">
        <f>E30</f>
        <v>5646070.4100000001</v>
      </c>
      <c r="G30" s="8">
        <f>+F30</f>
        <v>5646070.4100000001</v>
      </c>
      <c r="H30" s="8">
        <f>ROUND(B16*H11,2)</f>
        <v>3598831.42</v>
      </c>
      <c r="I30" s="8">
        <f>ROUND(I16*H11,0)</f>
        <v>-37156</v>
      </c>
      <c r="J30" s="10"/>
      <c r="K30" s="8">
        <f>+H30+I30</f>
        <v>3561675.42</v>
      </c>
      <c r="L30" s="8">
        <f>L16*H11</f>
        <v>5633.4966238753559</v>
      </c>
      <c r="M30" s="10"/>
      <c r="N30" s="8">
        <v>0</v>
      </c>
      <c r="P30" s="8">
        <f>ROUND(O16*H11,2)</f>
        <v>3600648.7</v>
      </c>
      <c r="R30" s="8">
        <f>+P30+Q30</f>
        <v>3600648.7</v>
      </c>
    </row>
    <row r="31" spans="1:18">
      <c r="D31" s="8"/>
      <c r="E31" s="8"/>
      <c r="F31" s="8"/>
      <c r="G31" s="8"/>
      <c r="H31" s="8"/>
      <c r="I31" s="8"/>
      <c r="K31" s="8"/>
      <c r="L31" s="8"/>
      <c r="N31" s="8"/>
      <c r="P31" s="8"/>
    </row>
    <row r="32" spans="1:18">
      <c r="A32" t="str">
        <f>+RS!A29</f>
        <v>System Sales Clause</v>
      </c>
      <c r="B32" s="8"/>
      <c r="D32" s="8">
        <f>+'B&amp;A Surcharges'!D57</f>
        <v>653673.78</v>
      </c>
      <c r="E32" s="8">
        <v>0</v>
      </c>
      <c r="F32" s="8">
        <f>E32</f>
        <v>0</v>
      </c>
      <c r="G32" s="8">
        <f>+F32</f>
        <v>0</v>
      </c>
      <c r="H32" s="8">
        <f>+G32</f>
        <v>0</v>
      </c>
      <c r="I32" s="8"/>
      <c r="J32" s="10"/>
      <c r="K32" s="8">
        <f>+H32+I32</f>
        <v>0</v>
      </c>
      <c r="L32" s="8"/>
      <c r="M32" s="10"/>
      <c r="N32" s="8"/>
      <c r="P32" s="8">
        <f>ROUND(K32*O$16/J$16,2)</f>
        <v>0</v>
      </c>
      <c r="R32" s="8">
        <f>+P32+Q32</f>
        <v>0</v>
      </c>
    </row>
    <row r="33" spans="1:18">
      <c r="C33" s="10"/>
      <c r="D33" s="8"/>
      <c r="E33" s="8"/>
      <c r="F33" s="8"/>
      <c r="G33" s="8"/>
      <c r="H33" s="8"/>
      <c r="I33" s="8"/>
      <c r="K33" s="8"/>
      <c r="L33" s="8"/>
      <c r="N33" s="8"/>
      <c r="P33" s="8"/>
    </row>
    <row r="34" spans="1:18">
      <c r="A34" t="str">
        <f>+RS!A31</f>
        <v>Environmental Surcharge</v>
      </c>
      <c r="D34" s="8">
        <f>+'B&amp;A Surcharges'!J57</f>
        <v>-494389.29</v>
      </c>
      <c r="E34" s="8">
        <f>D34</f>
        <v>-494389.29</v>
      </c>
      <c r="F34" s="8">
        <f>E34</f>
        <v>-494389.29</v>
      </c>
      <c r="G34" s="8">
        <v>0</v>
      </c>
      <c r="H34" s="8">
        <f>+G34</f>
        <v>0</v>
      </c>
      <c r="I34" s="95">
        <v>0</v>
      </c>
      <c r="J34" s="10"/>
      <c r="K34" s="8">
        <f>+H34+I34</f>
        <v>0</v>
      </c>
      <c r="L34" s="95">
        <v>0</v>
      </c>
      <c r="M34" s="8">
        <f>+L34+K34</f>
        <v>0</v>
      </c>
      <c r="N34" s="8">
        <f>+P34-M34</f>
        <v>0</v>
      </c>
      <c r="P34" s="8">
        <f>ROUND(K34*SUM(P13:P30)/SUM(K13:K30),2)</f>
        <v>0</v>
      </c>
      <c r="R34" s="8">
        <f>+P34+Q34</f>
        <v>0</v>
      </c>
    </row>
    <row r="35" spans="1:18">
      <c r="D35" s="8"/>
      <c r="E35" s="8"/>
      <c r="F35" s="8"/>
      <c r="G35" s="8"/>
      <c r="H35" s="8"/>
      <c r="I35" s="8"/>
      <c r="J35" s="10"/>
      <c r="K35" s="8"/>
      <c r="L35" s="8"/>
      <c r="M35" s="10"/>
      <c r="N35" s="8"/>
      <c r="P35" s="8"/>
    </row>
    <row r="36" spans="1:18">
      <c r="A36" t="str">
        <f>RS!A33</f>
        <v>Capacity Charge</v>
      </c>
      <c r="D36" s="8">
        <f>+'B&amp;A Surcharges'!F57</f>
        <v>1176029.94</v>
      </c>
      <c r="E36" s="8">
        <f>D36</f>
        <v>1176029.94</v>
      </c>
      <c r="F36" s="8">
        <v>0</v>
      </c>
      <c r="G36" s="8">
        <f>+F36</f>
        <v>0</v>
      </c>
      <c r="H36" s="8">
        <f>+G36</f>
        <v>0</v>
      </c>
      <c r="I36" s="10"/>
      <c r="J36" s="10"/>
      <c r="K36" s="8">
        <f>+H36+I36</f>
        <v>0</v>
      </c>
      <c r="L36" s="10"/>
      <c r="M36" s="10"/>
      <c r="N36" s="10"/>
      <c r="P36" s="8">
        <f>ROUND(K36*O$16/J$16,2)</f>
        <v>0</v>
      </c>
      <c r="R36" s="8">
        <f>+P36+Q36</f>
        <v>0</v>
      </c>
    </row>
    <row r="37" spans="1:18">
      <c r="D37" s="8"/>
      <c r="E37" s="8"/>
      <c r="F37" s="8"/>
      <c r="G37" s="8"/>
      <c r="H37" s="8"/>
      <c r="I37" s="10"/>
      <c r="J37" s="10"/>
      <c r="K37" s="8"/>
      <c r="L37" s="10"/>
      <c r="M37" s="10"/>
      <c r="N37" s="10"/>
      <c r="P37" s="8"/>
    </row>
    <row r="38" spans="1:18">
      <c r="A38" t="str">
        <f>RS!A35</f>
        <v>Asset Transfer Rider</v>
      </c>
      <c r="D38" s="8">
        <f>+'B&amp;A Surcharges'!N57</f>
        <v>4261827.3600000003</v>
      </c>
      <c r="E38" s="8">
        <f>D38</f>
        <v>4261827.3600000003</v>
      </c>
      <c r="F38" s="8">
        <f>E38</f>
        <v>4261827.3600000003</v>
      </c>
      <c r="G38" s="8">
        <f>+F38</f>
        <v>4261827.3600000003</v>
      </c>
      <c r="H38" s="8">
        <f>+G38</f>
        <v>4261827.3600000003</v>
      </c>
      <c r="I38" s="95">
        <v>-124032</v>
      </c>
      <c r="J38" s="10"/>
      <c r="K38" s="8">
        <f>+H38+I38</f>
        <v>4137795.3600000003</v>
      </c>
      <c r="L38" s="95">
        <v>0</v>
      </c>
      <c r="M38" s="8">
        <f>+L38+K38</f>
        <v>4137795.3600000003</v>
      </c>
      <c r="N38" s="8">
        <f>+P38-M38</f>
        <v>45323.429999999702</v>
      </c>
      <c r="P38" s="8">
        <f>ROUND(K38*SUM(P13:P29)/SUM(K13:K29),2)</f>
        <v>4183118.79</v>
      </c>
      <c r="Q38" s="8">
        <f>+'ATR Adjustment WP'!G57</f>
        <v>1379301.5793546059</v>
      </c>
      <c r="R38" s="8">
        <f>+P38+Q38</f>
        <v>5562420.3693546057</v>
      </c>
    </row>
    <row r="39" spans="1:18">
      <c r="D39" s="8"/>
      <c r="E39" s="8"/>
      <c r="F39" s="8"/>
      <c r="G39" s="8"/>
      <c r="H39" s="8"/>
      <c r="I39" s="10"/>
      <c r="K39" s="8"/>
      <c r="L39" s="8"/>
      <c r="N39" s="10"/>
      <c r="P39" s="8"/>
    </row>
    <row r="40" spans="1:18">
      <c r="A40" t="str">
        <f>+RS!A39</f>
        <v>Total</v>
      </c>
      <c r="D40" s="8">
        <f t="shared" ref="D40:H40" si="7">SUM(D13:D39)</f>
        <v>102505258.13445999</v>
      </c>
      <c r="E40" s="8">
        <f t="shared" si="7"/>
        <v>101851584.35445999</v>
      </c>
      <c r="F40" s="8">
        <f t="shared" si="7"/>
        <v>100675554.41445999</v>
      </c>
      <c r="G40" s="8">
        <f t="shared" si="7"/>
        <v>101169943.70446</v>
      </c>
      <c r="H40" s="8">
        <f t="shared" si="7"/>
        <v>99122704.71446</v>
      </c>
      <c r="I40" s="10"/>
      <c r="J40" s="10"/>
      <c r="K40" s="8">
        <f>SUM(K13:K39)</f>
        <v>98063673.186460003</v>
      </c>
      <c r="L40" s="8">
        <f>SUM(L29:L39)</f>
        <v>149455.89662387533</v>
      </c>
      <c r="M40" s="10"/>
      <c r="N40" s="10"/>
      <c r="P40" s="8">
        <f>SUM(P13:P39)</f>
        <v>99137776.109260023</v>
      </c>
      <c r="R40" s="8">
        <f>SUM(R13:R39)</f>
        <v>100517077.68861462</v>
      </c>
    </row>
    <row r="42" spans="1:18">
      <c r="P42" s="8"/>
    </row>
    <row r="43" spans="1:18">
      <c r="P43" s="8"/>
    </row>
  </sheetData>
  <phoneticPr fontId="0" type="noConversion"/>
  <printOptions horizontalCentered="1"/>
  <pageMargins left="0.25" right="0.25" top="0.75" bottom="0.75" header="0.3" footer="0.3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>
      <selection activeCell="C60" sqref="C59:C60"/>
    </sheetView>
  </sheetViews>
  <sheetFormatPr defaultRowHeight="12.75"/>
  <cols>
    <col min="1" max="1" width="18" customWidth="1"/>
    <col min="2" max="4" width="12.7109375" bestFit="1" customWidth="1"/>
    <col min="5" max="5" width="14.85546875" bestFit="1" customWidth="1"/>
    <col min="6" max="6" width="13.7109375" bestFit="1" customWidth="1"/>
    <col min="7" max="7" width="14.42578125" bestFit="1" customWidth="1"/>
    <col min="8" max="8" width="12.7109375" bestFit="1" customWidth="1"/>
    <col min="9" max="9" width="12.7109375" customWidth="1"/>
    <col min="10" max="10" width="12.7109375" bestFit="1" customWidth="1"/>
    <col min="11" max="12" width="13.140625" bestFit="1" customWidth="1"/>
    <col min="13" max="13" width="12.7109375" customWidth="1"/>
    <col min="14" max="14" width="11.28515625" bestFit="1" customWidth="1"/>
    <col min="15" max="15" width="12.7109375" bestFit="1" customWidth="1"/>
    <col min="16" max="16" width="10.7109375" bestFit="1" customWidth="1"/>
    <col min="17" max="17" width="12.7109375" bestFit="1" customWidth="1"/>
    <col min="18" max="18" width="12" bestFit="1" customWidth="1"/>
    <col min="19" max="19" width="12.7109375" bestFit="1" customWidth="1"/>
    <col min="20" max="20" width="11.28515625" hidden="1" customWidth="1"/>
  </cols>
  <sheetData>
    <row r="1" spans="1:20">
      <c r="A1" t="str">
        <f>+RS!A1</f>
        <v>KENTUCKY POWER BILLING ANALYSIS</v>
      </c>
    </row>
    <row r="2" spans="1:20">
      <c r="A2" t="str">
        <f>+RS!A3</f>
        <v>TEST YEAR ENDED SEPTEMBER 30, 2014</v>
      </c>
    </row>
    <row r="3" spans="1:20">
      <c r="A3" t="s">
        <v>293</v>
      </c>
    </row>
    <row r="5" spans="1:20">
      <c r="S5" s="1" t="s">
        <v>294</v>
      </c>
    </row>
    <row r="6" spans="1:20">
      <c r="B6" s="1" t="s">
        <v>155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197</v>
      </c>
      <c r="I6" s="96" t="s">
        <v>389</v>
      </c>
      <c r="J6" s="1" t="s">
        <v>239</v>
      </c>
      <c r="K6" s="96" t="s">
        <v>407</v>
      </c>
      <c r="L6" s="96" t="s">
        <v>407</v>
      </c>
      <c r="M6" s="1"/>
      <c r="N6" s="1" t="s">
        <v>294</v>
      </c>
      <c r="Q6" s="1" t="s">
        <v>295</v>
      </c>
      <c r="R6" s="1" t="s">
        <v>294</v>
      </c>
      <c r="S6" s="1" t="s">
        <v>319</v>
      </c>
    </row>
    <row r="7" spans="1:20">
      <c r="B7" s="1" t="s">
        <v>203</v>
      </c>
      <c r="C7" s="1" t="s">
        <v>248</v>
      </c>
      <c r="D7" s="1" t="s">
        <v>248</v>
      </c>
      <c r="E7" s="1" t="s">
        <v>248</v>
      </c>
      <c r="F7" s="1" t="s">
        <v>248</v>
      </c>
      <c r="G7" s="1" t="s">
        <v>249</v>
      </c>
      <c r="H7" s="1" t="s">
        <v>202</v>
      </c>
      <c r="I7" s="96" t="s">
        <v>390</v>
      </c>
      <c r="J7" s="1" t="s">
        <v>231</v>
      </c>
      <c r="K7" s="96" t="s">
        <v>387</v>
      </c>
      <c r="L7" s="96" t="s">
        <v>387</v>
      </c>
      <c r="M7" s="1" t="s">
        <v>4</v>
      </c>
      <c r="N7" s="1" t="s">
        <v>6</v>
      </c>
      <c r="O7" s="1" t="s">
        <v>294</v>
      </c>
      <c r="P7" s="1" t="s">
        <v>296</v>
      </c>
      <c r="Q7" s="1" t="s">
        <v>297</v>
      </c>
      <c r="R7" s="1" t="s">
        <v>318</v>
      </c>
      <c r="S7" s="1" t="s">
        <v>318</v>
      </c>
    </row>
    <row r="8" spans="1:20">
      <c r="A8" s="3" t="s">
        <v>2</v>
      </c>
      <c r="B8" s="3" t="s">
        <v>6</v>
      </c>
      <c r="C8" s="3" t="s">
        <v>303</v>
      </c>
      <c r="D8" s="3" t="s">
        <v>205</v>
      </c>
      <c r="E8" s="3" t="s">
        <v>271</v>
      </c>
      <c r="F8" s="3" t="s">
        <v>404</v>
      </c>
      <c r="G8" s="3" t="s">
        <v>246</v>
      </c>
      <c r="H8" s="3" t="s">
        <v>6</v>
      </c>
      <c r="I8" s="3" t="s">
        <v>6</v>
      </c>
      <c r="J8" s="3" t="s">
        <v>6</v>
      </c>
      <c r="K8" s="3" t="s">
        <v>198</v>
      </c>
      <c r="L8" s="3" t="s">
        <v>421</v>
      </c>
      <c r="M8" s="3" t="s">
        <v>376</v>
      </c>
      <c r="N8" s="3" t="s">
        <v>298</v>
      </c>
      <c r="O8" s="3" t="s">
        <v>6</v>
      </c>
      <c r="P8" s="3" t="s">
        <v>158</v>
      </c>
      <c r="Q8" s="3" t="s">
        <v>6</v>
      </c>
      <c r="R8" s="3" t="s">
        <v>198</v>
      </c>
      <c r="S8" s="3" t="s">
        <v>198</v>
      </c>
    </row>
    <row r="9" spans="1:20">
      <c r="A9" s="3"/>
    </row>
    <row r="10" spans="1:20">
      <c r="A10" t="s">
        <v>163</v>
      </c>
      <c r="B10" s="8">
        <f>+'PB Sum'!C10</f>
        <v>234174671.02451357</v>
      </c>
      <c r="C10" s="8">
        <f>+'PB - Green'!C10</f>
        <v>234174671.02451357</v>
      </c>
      <c r="D10" s="8">
        <f>+'PB - SS'!C10</f>
        <v>233237560.75451356</v>
      </c>
      <c r="E10" s="8">
        <f>+'PB - CC'!C10</f>
        <v>230972115.69451356</v>
      </c>
      <c r="F10" s="8">
        <f>+'PB - ES'!C10</f>
        <v>232147682.66451356</v>
      </c>
      <c r="G10" s="8">
        <f>+'PB - AF'!C10</f>
        <v>231456854.54451355</v>
      </c>
      <c r="H10" s="8">
        <f>+YEM!C10</f>
        <v>231803909.82851359</v>
      </c>
      <c r="I10" s="8">
        <f>+WNLA!C10</f>
        <v>225886314.62350363</v>
      </c>
      <c r="J10" s="8">
        <f>+YEC!C10</f>
        <v>224199303.25470003</v>
      </c>
      <c r="K10" s="8">
        <f>+'ATR Adjustment WP'!G11</f>
        <v>4075207.5970995273</v>
      </c>
      <c r="L10" s="8">
        <v>1471306</v>
      </c>
      <c r="M10" s="8">
        <f>SUM(J10:L10)</f>
        <v>229745816.85179955</v>
      </c>
      <c r="N10" s="8"/>
      <c r="Q10" s="36">
        <f>+S10-R10</f>
        <v>227243078.2756778</v>
      </c>
      <c r="R10" s="8">
        <f>ROUND(+R$13*(S10/S$13),0)+1</f>
        <v>7890598</v>
      </c>
      <c r="S10" s="36">
        <v>235133676.2756778</v>
      </c>
    </row>
    <row r="11" spans="1:20">
      <c r="A11" s="19" t="s">
        <v>164</v>
      </c>
      <c r="B11" s="57">
        <f>+'PB Sum'!C12</f>
        <v>398122.93822999997</v>
      </c>
      <c r="C11" s="57">
        <f>+'PB - Green'!C12</f>
        <v>398122.93822999997</v>
      </c>
      <c r="D11" s="57">
        <f>+'PB - SS'!C12</f>
        <v>396347.75822999998</v>
      </c>
      <c r="E11" s="57">
        <f>+'PB - CC'!C12</f>
        <v>392094.23822999996</v>
      </c>
      <c r="F11" s="57">
        <f>+'PB - ES'!C12</f>
        <v>393973.15822999994</v>
      </c>
      <c r="G11" s="57">
        <f>+'PB - AF'!C12</f>
        <v>393847.38822999992</v>
      </c>
      <c r="H11" s="57">
        <f>+YEM!C12</f>
        <v>396224.79485000001</v>
      </c>
      <c r="I11" s="57">
        <f>+WNLA!C12</f>
        <v>384689.0575076252</v>
      </c>
      <c r="J11" s="57">
        <f>+YEC!C12</f>
        <v>380811.05482999998</v>
      </c>
      <c r="K11" s="57">
        <f>+'ATR Adjustment WP'!G13</f>
        <v>7014.3885222462131</v>
      </c>
      <c r="L11" s="57">
        <v>2532</v>
      </c>
      <c r="M11" s="57">
        <f t="shared" ref="M11:M12" si="0">SUM(J11:L11)</f>
        <v>390357.44335224619</v>
      </c>
      <c r="N11" s="57"/>
      <c r="O11" s="19"/>
      <c r="P11" s="19"/>
      <c r="Q11" s="103">
        <f t="shared" ref="Q11:Q12" si="1">+S11-R11</f>
        <v>379586.01342105836</v>
      </c>
      <c r="R11" s="57">
        <f t="shared" ref="R11:R12" si="2">ROUND(+R$13*(S11/S$13),0)</f>
        <v>13180</v>
      </c>
      <c r="S11" s="103">
        <v>392766.01342105836</v>
      </c>
    </row>
    <row r="12" spans="1:20">
      <c r="A12" s="13" t="s">
        <v>270</v>
      </c>
      <c r="B12" s="56">
        <f>+'PB Sum'!C14</f>
        <v>4355.557350000001</v>
      </c>
      <c r="C12" s="56">
        <f>+'PB - Green'!C14</f>
        <v>4355.557350000001</v>
      </c>
      <c r="D12" s="56">
        <f>+'PB - SS'!C14</f>
        <v>4336.6273500000007</v>
      </c>
      <c r="E12" s="56">
        <f>+'PB - CC'!C14</f>
        <v>4291.5473500000007</v>
      </c>
      <c r="F12" s="56">
        <f>+'PB - ES'!C14</f>
        <v>4314.7373500000003</v>
      </c>
      <c r="G12" s="56">
        <f>+'PB - AF'!C14</f>
        <v>4288.8773500000007</v>
      </c>
      <c r="H12" s="56">
        <f>+YEM!C14</f>
        <v>4288.8773500000007</v>
      </c>
      <c r="I12" s="56">
        <f>+WNLA!C14</f>
        <v>4288.8773500000007</v>
      </c>
      <c r="J12" s="56">
        <f>+YEC!C14</f>
        <v>4288.8773500000007</v>
      </c>
      <c r="K12" s="56">
        <f>+'ATR Adjustment WP'!G15</f>
        <v>75.471999325765196</v>
      </c>
      <c r="L12" s="56">
        <v>27</v>
      </c>
      <c r="M12" s="56">
        <f t="shared" si="0"/>
        <v>4391.3493493257656</v>
      </c>
      <c r="N12" s="56"/>
      <c r="O12" s="13"/>
      <c r="P12" s="13"/>
      <c r="Q12" s="63">
        <f t="shared" si="1"/>
        <v>4387.9299112828212</v>
      </c>
      <c r="R12" s="56">
        <f t="shared" si="2"/>
        <v>152</v>
      </c>
      <c r="S12" s="63">
        <v>4539.9299112828212</v>
      </c>
    </row>
    <row r="13" spans="1:20">
      <c r="A13" t="s">
        <v>299</v>
      </c>
      <c r="B13" s="8">
        <f t="shared" ref="B13:M13" si="3">SUM(B10:B12)</f>
        <v>234577149.52009359</v>
      </c>
      <c r="C13" s="8">
        <f t="shared" si="3"/>
        <v>234577149.52009359</v>
      </c>
      <c r="D13" s="8">
        <f t="shared" si="3"/>
        <v>233638245.14009356</v>
      </c>
      <c r="E13" s="8">
        <f t="shared" si="3"/>
        <v>231368501.48009354</v>
      </c>
      <c r="F13" s="8">
        <f t="shared" si="3"/>
        <v>232545970.56009355</v>
      </c>
      <c r="G13" s="8">
        <f t="shared" si="3"/>
        <v>231854990.81009355</v>
      </c>
      <c r="H13" s="8">
        <f t="shared" si="3"/>
        <v>232204423.50071359</v>
      </c>
      <c r="I13" s="8">
        <f t="shared" si="3"/>
        <v>226275292.55836126</v>
      </c>
      <c r="J13" s="8">
        <f t="shared" si="3"/>
        <v>224584403.18688005</v>
      </c>
      <c r="K13" s="8">
        <f t="shared" si="3"/>
        <v>4082297.4576210994</v>
      </c>
      <c r="L13" s="8">
        <f t="shared" si="3"/>
        <v>1473865</v>
      </c>
      <c r="M13" s="8">
        <f t="shared" si="3"/>
        <v>230140565.64450112</v>
      </c>
      <c r="N13" s="8">
        <v>-2501105</v>
      </c>
      <c r="O13" s="8">
        <v>227639469</v>
      </c>
      <c r="P13" s="8">
        <f>+O13-Q13</f>
        <v>12416.780989855528</v>
      </c>
      <c r="Q13" s="36">
        <f>SUM(Q10:Q12)</f>
        <v>227627052.21901014</v>
      </c>
      <c r="R13" s="57">
        <v>7903930</v>
      </c>
      <c r="S13" s="36">
        <f>SUM(S10:S12)</f>
        <v>235530982.21901014</v>
      </c>
      <c r="T13" s="8">
        <f>+R13-SUM(R10:R12)</f>
        <v>0</v>
      </c>
    </row>
    <row r="14" spans="1:20">
      <c r="Q14" s="36"/>
      <c r="R14" s="8"/>
      <c r="S14" s="36"/>
    </row>
    <row r="15" spans="1:20">
      <c r="A15" t="s">
        <v>165</v>
      </c>
      <c r="B15" s="8">
        <f>+'PB Sum'!C16</f>
        <v>7991784.5985000022</v>
      </c>
      <c r="C15" s="8">
        <f>+'PB - Green'!C16</f>
        <v>7991784.5985000022</v>
      </c>
      <c r="D15" s="8">
        <f>+'PB - SS'!C16</f>
        <v>7972484.7685000021</v>
      </c>
      <c r="E15" s="8">
        <f>+'PB - CC'!C16</f>
        <v>7931108.5385000017</v>
      </c>
      <c r="F15" s="8">
        <f>+'PB - ES'!C16</f>
        <v>7973685.2185000014</v>
      </c>
      <c r="G15" s="8">
        <f>+'PB - AF'!C16</f>
        <v>7956803.1685000006</v>
      </c>
      <c r="H15" s="8">
        <f>+YEM!C16</f>
        <v>7956803.1685000006</v>
      </c>
      <c r="I15" s="8">
        <f>+WNLA!C16</f>
        <v>7956803.1685000006</v>
      </c>
      <c r="J15" s="8">
        <f>+YEC!C16</f>
        <v>7018555.7853661273</v>
      </c>
      <c r="K15" s="8">
        <f>+'ATR Adjustment WP'!G17</f>
        <v>174693.34676186164</v>
      </c>
      <c r="L15" s="8">
        <v>63071</v>
      </c>
      <c r="M15" s="8">
        <f>SUM(J15:L15)</f>
        <v>7256320.1321279891</v>
      </c>
      <c r="N15" s="8">
        <v>-86520</v>
      </c>
      <c r="O15" s="8">
        <v>7169805</v>
      </c>
      <c r="P15" s="8">
        <f>+O15-Q15</f>
        <v>21.126639982685447</v>
      </c>
      <c r="Q15" s="36">
        <f>+S15-R15</f>
        <v>7169783.8733600173</v>
      </c>
      <c r="R15" s="8">
        <v>-7305</v>
      </c>
      <c r="S15" s="36">
        <v>7162478.8733600173</v>
      </c>
    </row>
    <row r="16" spans="1:20">
      <c r="O16" s="8"/>
      <c r="P16" s="8"/>
      <c r="Q16" s="34"/>
      <c r="S16" s="34"/>
    </row>
    <row r="17" spans="1:22">
      <c r="A17" t="s">
        <v>166</v>
      </c>
      <c r="B17" s="8">
        <f>+'PB Sum'!C18</f>
        <v>18612752.237580001</v>
      </c>
      <c r="C17" s="8">
        <f>+'PB - Green'!C18</f>
        <v>18612752.237580001</v>
      </c>
      <c r="D17" s="8">
        <f>+'PB - SS'!C18</f>
        <v>18559651.877580002</v>
      </c>
      <c r="E17" s="8">
        <f>+'PB - CC'!C18</f>
        <v>18423857.787579998</v>
      </c>
      <c r="F17" s="8">
        <f>++'PB - ES'!C18</f>
        <v>18516620.88758</v>
      </c>
      <c r="G17" s="8">
        <f>+'PB - AF'!C18</f>
        <v>18425840.587580003</v>
      </c>
      <c r="H17" s="8">
        <f>+YEM!C18</f>
        <v>18239353.204099998</v>
      </c>
      <c r="I17" s="8">
        <f>+WNLA!C18</f>
        <v>18239353.204099998</v>
      </c>
      <c r="J17" s="8">
        <f>+YEC!C18</f>
        <v>18312337.26644</v>
      </c>
      <c r="K17" s="8">
        <f>+'ATR Adjustment WP'!G19</f>
        <v>433239.33765367459</v>
      </c>
      <c r="L17" s="8">
        <v>156416</v>
      </c>
      <c r="M17" s="8">
        <f t="shared" ref="M17:M20" si="4">SUM(J17:L17)</f>
        <v>18901992.604093675</v>
      </c>
      <c r="N17" s="8"/>
      <c r="O17" s="8"/>
      <c r="P17" s="8"/>
      <c r="Q17" s="36">
        <f>+S17-R17</f>
        <v>18712337.741025407</v>
      </c>
      <c r="R17" s="8">
        <f>+ROUND(R$21*S17/S$21,0)+1</f>
        <v>-618501</v>
      </c>
      <c r="S17" s="36">
        <v>18093836.741025407</v>
      </c>
    </row>
    <row r="18" spans="1:22">
      <c r="A18" t="s">
        <v>331</v>
      </c>
      <c r="B18" s="8">
        <f>+'PB Sum'!C20</f>
        <v>535.31295999999998</v>
      </c>
      <c r="C18" s="8">
        <f>+'PB - Green'!C20</f>
        <v>535.31295999999998</v>
      </c>
      <c r="D18" s="8">
        <f>+'PB - SS'!C20</f>
        <v>534.42295999999999</v>
      </c>
      <c r="E18" s="8">
        <f>+'PB - CC'!C20</f>
        <v>531.51296000000002</v>
      </c>
      <c r="F18" s="8">
        <f>++'PB - ES'!C20</f>
        <v>534.13296000000003</v>
      </c>
      <c r="G18" s="8">
        <f>+'PB - AF'!C20</f>
        <v>528.21295999999995</v>
      </c>
      <c r="H18" s="8">
        <f>+YEM!C20</f>
        <v>528.21295999999995</v>
      </c>
      <c r="I18" s="8">
        <f>+WNLA!C20</f>
        <v>528.21295999999995</v>
      </c>
      <c r="J18" s="8">
        <f>+YEC!C20</f>
        <v>528.21295999999995</v>
      </c>
      <c r="K18" s="8">
        <f>+'ATR Adjustment WP'!G21</f>
        <v>13.469488280211056</v>
      </c>
      <c r="L18" s="8">
        <v>5</v>
      </c>
      <c r="M18" s="8">
        <f t="shared" si="4"/>
        <v>546.68244828021102</v>
      </c>
      <c r="N18" s="8"/>
      <c r="O18" s="8"/>
      <c r="P18" s="8"/>
      <c r="Q18" s="36">
        <f t="shared" ref="Q18:Q20" si="5">+S18-R18</f>
        <v>539.5816193590988</v>
      </c>
      <c r="R18" s="8">
        <f t="shared" ref="R18:R20" si="6">+ROUND(R$21*S18/S$21,0)</f>
        <v>-18</v>
      </c>
      <c r="S18" s="36">
        <v>521.5816193590988</v>
      </c>
    </row>
    <row r="19" spans="1:22">
      <c r="A19" t="s">
        <v>167</v>
      </c>
      <c r="B19" s="8">
        <f>+'PB Sum'!C22</f>
        <v>636368.30420000013</v>
      </c>
      <c r="C19" s="8">
        <f>+'PB - Green'!C22</f>
        <v>636368.30420000013</v>
      </c>
      <c r="D19" s="8">
        <f>+'PB - SS'!C22</f>
        <v>634926.54420000012</v>
      </c>
      <c r="E19" s="8">
        <f>+'PB - CC'!C22</f>
        <v>631084.12420000008</v>
      </c>
      <c r="F19" s="8">
        <f>++'PB - ES'!C22</f>
        <v>634347.95420000004</v>
      </c>
      <c r="G19" s="8">
        <f>+'PB - AF'!C22</f>
        <v>629847.5242000001</v>
      </c>
      <c r="H19" s="8">
        <f>+YEM!C22</f>
        <v>629847.5242000001</v>
      </c>
      <c r="I19" s="8">
        <f>+WNLA!C22</f>
        <v>629847.5242000001</v>
      </c>
      <c r="J19" s="8">
        <f>+YEC!C22</f>
        <v>633460.30035999999</v>
      </c>
      <c r="K19" s="8">
        <f>+'ATR Adjustment WP'!G23</f>
        <v>15189.536987637477</v>
      </c>
      <c r="L19" s="8">
        <v>5484</v>
      </c>
      <c r="M19" s="8">
        <f t="shared" si="4"/>
        <v>654133.83734763751</v>
      </c>
      <c r="N19" s="8"/>
      <c r="O19" s="8"/>
      <c r="P19" s="8"/>
      <c r="Q19" s="36">
        <f t="shared" si="5"/>
        <v>705731.78780822188</v>
      </c>
      <c r="R19" s="8">
        <f t="shared" si="6"/>
        <v>-23327</v>
      </c>
      <c r="S19" s="36">
        <v>682404.78780822188</v>
      </c>
    </row>
    <row r="20" spans="1:22">
      <c r="A20" s="13" t="s">
        <v>344</v>
      </c>
      <c r="B20" s="56">
        <f>+'PB Sum'!C24</f>
        <v>54712.121209999998</v>
      </c>
      <c r="C20" s="56">
        <f>+'PB - Green'!C24</f>
        <v>54712.121209999998</v>
      </c>
      <c r="D20" s="56">
        <f>+'PB - SS'!C24</f>
        <v>54575.721209999996</v>
      </c>
      <c r="E20" s="56">
        <f>+'PB - CC'!C24</f>
        <v>54217.061209999993</v>
      </c>
      <c r="F20" s="56">
        <f>++'PB - ES'!C24</f>
        <v>54500.301209999991</v>
      </c>
      <c r="G20" s="56">
        <f>+'PB - AF'!C24</f>
        <v>54075.931209999988</v>
      </c>
      <c r="H20" s="56">
        <f>+YEM!C24</f>
        <v>54075.931209999988</v>
      </c>
      <c r="I20" s="56">
        <f>+WNLA!C24</f>
        <v>54075.931209999988</v>
      </c>
      <c r="J20" s="56">
        <f>+YEC!C24</f>
        <v>53431.521559999994</v>
      </c>
      <c r="K20" s="56">
        <f>+'ATR Adjustment WP'!G25</f>
        <v>1279.017763749647</v>
      </c>
      <c r="L20" s="56">
        <v>462</v>
      </c>
      <c r="M20" s="56">
        <f t="shared" si="4"/>
        <v>55172.539323749639</v>
      </c>
      <c r="N20" s="56"/>
      <c r="O20" s="56"/>
      <c r="P20" s="56"/>
      <c r="Q20" s="63">
        <f t="shared" si="5"/>
        <v>53035.675903243886</v>
      </c>
      <c r="R20" s="56">
        <f t="shared" si="6"/>
        <v>-1753</v>
      </c>
      <c r="S20" s="63">
        <v>51282.675903243886</v>
      </c>
    </row>
    <row r="21" spans="1:22">
      <c r="A21" t="s">
        <v>300</v>
      </c>
      <c r="B21" s="8">
        <f>SUM(B17:B20)</f>
        <v>19304367.975950003</v>
      </c>
      <c r="C21" s="8">
        <f t="shared" ref="C21:M21" si="7">SUM(C17:C20)</f>
        <v>19304367.975950003</v>
      </c>
      <c r="D21" s="8">
        <f t="shared" si="7"/>
        <v>19249688.565949999</v>
      </c>
      <c r="E21" s="8">
        <f t="shared" si="7"/>
        <v>19109690.485950001</v>
      </c>
      <c r="F21" s="8">
        <f t="shared" si="7"/>
        <v>19206003.27595</v>
      </c>
      <c r="G21" s="8">
        <f t="shared" si="7"/>
        <v>19110292.255950004</v>
      </c>
      <c r="H21" s="8">
        <f t="shared" si="7"/>
        <v>18923804.872469999</v>
      </c>
      <c r="I21" s="8">
        <f t="shared" si="7"/>
        <v>18923804.872469999</v>
      </c>
      <c r="J21" s="8">
        <f t="shared" si="7"/>
        <v>18999757.301320001</v>
      </c>
      <c r="K21" s="8">
        <f t="shared" si="7"/>
        <v>449721.36189334188</v>
      </c>
      <c r="L21" s="8">
        <f t="shared" si="7"/>
        <v>162367</v>
      </c>
      <c r="M21" s="8">
        <f t="shared" si="7"/>
        <v>19611845.663213342</v>
      </c>
      <c r="N21" s="8">
        <v>-139867</v>
      </c>
      <c r="O21" s="8">
        <v>19471977</v>
      </c>
      <c r="P21" s="8">
        <f>+O21-Q21</f>
        <v>332.21364377066493</v>
      </c>
      <c r="Q21" s="36">
        <f>SUM(Q17:Q20)</f>
        <v>19471644.786356229</v>
      </c>
      <c r="R21" s="57">
        <v>-643599</v>
      </c>
      <c r="S21" s="36">
        <f>SUM(S17:S20)</f>
        <v>18828045.786356229</v>
      </c>
      <c r="T21" s="8">
        <f>+R21-SUM(R17:R20)</f>
        <v>0</v>
      </c>
    </row>
    <row r="22" spans="1:22">
      <c r="O22" s="8"/>
      <c r="P22" s="8"/>
      <c r="Q22" s="36"/>
      <c r="R22" s="36"/>
      <c r="S22" s="36"/>
    </row>
    <row r="23" spans="1:22">
      <c r="A23" t="s">
        <v>168</v>
      </c>
      <c r="B23" s="8">
        <f>+'PB Sum'!C26</f>
        <v>176304.35623999999</v>
      </c>
      <c r="C23" s="8">
        <f>+'PB - Green'!C26</f>
        <v>176304.35623999999</v>
      </c>
      <c r="D23" s="8">
        <f>+'PB - SS'!C26</f>
        <v>175716.92624</v>
      </c>
      <c r="E23" s="8">
        <f>+'PB - CC'!C26</f>
        <v>174143.11624</v>
      </c>
      <c r="F23" s="8">
        <f>++'PB - ES'!C26</f>
        <v>175036.72623999999</v>
      </c>
      <c r="G23" s="8">
        <f>+'PB - AF'!C26</f>
        <v>173116.65624000001</v>
      </c>
      <c r="H23" s="8">
        <f>+YEM!C26</f>
        <v>164224.68596</v>
      </c>
      <c r="I23" s="8">
        <f>+WNLA!C26</f>
        <v>164224.68596</v>
      </c>
      <c r="J23" s="8">
        <f>+YEC!C26</f>
        <v>167123.44563999999</v>
      </c>
      <c r="K23" s="8">
        <f>+'ATR Adjustment WP'!G27</f>
        <v>3532.6230722900559</v>
      </c>
      <c r="L23" s="8">
        <v>1275</v>
      </c>
      <c r="M23" s="8">
        <f t="shared" ref="M23:M28" si="8">SUM(J23:L23)</f>
        <v>171931.06871229006</v>
      </c>
      <c r="N23" s="8"/>
      <c r="O23" s="8"/>
      <c r="P23" s="8"/>
      <c r="Q23" s="36">
        <f t="shared" ref="Q23:Q28" si="9">+S23-R23</f>
        <v>186559.6614297613</v>
      </c>
      <c r="R23" s="8">
        <f>+ROUND(R$29*S23/S$29,0)</f>
        <v>-9037</v>
      </c>
      <c r="S23" s="36">
        <v>177522.6614297613</v>
      </c>
      <c r="V23" s="112"/>
    </row>
    <row r="24" spans="1:22">
      <c r="A24" t="s">
        <v>304</v>
      </c>
      <c r="B24" s="8">
        <f>+'PB Sum'!C28</f>
        <v>56778688.522719994</v>
      </c>
      <c r="C24" s="8">
        <f>+'PB - Green'!C28</f>
        <v>56778688.522719994</v>
      </c>
      <c r="D24" s="8">
        <f>+'PB - SS'!C28</f>
        <v>56601476.102719992</v>
      </c>
      <c r="E24" s="8">
        <f>+'PB - CC'!C28</f>
        <v>56121038.122719996</v>
      </c>
      <c r="F24" s="8">
        <f>++'PB - ES'!C28</f>
        <v>56397272.462719999</v>
      </c>
      <c r="G24" s="8">
        <f>+'PB - AF'!C28</f>
        <v>55932535.702720001</v>
      </c>
      <c r="H24" s="8">
        <f>+YEM!C28</f>
        <v>55909224.137270257</v>
      </c>
      <c r="I24" s="8">
        <f>+WNLA!C28</f>
        <v>55909224.137270257</v>
      </c>
      <c r="J24" s="8">
        <f>+YEC!C28</f>
        <v>56124436.05156</v>
      </c>
      <c r="K24" s="8">
        <f>+'ATR Adjustment WP'!G29</f>
        <v>1273061.3746803983</v>
      </c>
      <c r="L24" s="8">
        <v>459623</v>
      </c>
      <c r="M24" s="8">
        <f t="shared" si="8"/>
        <v>57857120.426240399</v>
      </c>
      <c r="N24" s="8"/>
      <c r="O24" s="8"/>
      <c r="P24" s="8"/>
      <c r="Q24" s="36">
        <f t="shared" si="9"/>
        <v>57391533.952732891</v>
      </c>
      <c r="R24" s="8">
        <f>+ROUND(R$29*S24/S$29,0)</f>
        <v>-2779954</v>
      </c>
      <c r="S24" s="36">
        <v>54611579.952732891</v>
      </c>
      <c r="V24" s="112"/>
    </row>
    <row r="25" spans="1:22">
      <c r="A25" t="s">
        <v>170</v>
      </c>
      <c r="B25" s="8">
        <f>+'PB Sum'!C30</f>
        <v>107867.79608999999</v>
      </c>
      <c r="C25" s="8">
        <f>+'PB - Green'!C30</f>
        <v>107867.79608999999</v>
      </c>
      <c r="D25" s="8">
        <f>+'PB - SS'!C30</f>
        <v>107442.11609</v>
      </c>
      <c r="E25" s="8">
        <f>+'PB - CC'!C30</f>
        <v>106413.20608999999</v>
      </c>
      <c r="F25" s="8">
        <f>++'PB - ES'!C30</f>
        <v>106893.25608999998</v>
      </c>
      <c r="G25" s="8">
        <f>+'PB - AF'!C30</f>
        <v>107154.24609</v>
      </c>
      <c r="H25" s="8">
        <f>+YEM!C30</f>
        <v>107154.24609</v>
      </c>
      <c r="I25" s="8">
        <f>+WNLA!C30</f>
        <v>107154.24609</v>
      </c>
      <c r="J25" s="8">
        <f>+YEC!C30</f>
        <v>106575.01179</v>
      </c>
      <c r="K25" s="8">
        <f>+'ATR Adjustment WP'!G31</f>
        <v>2486.1509953091149</v>
      </c>
      <c r="L25" s="8">
        <v>898</v>
      </c>
      <c r="M25" s="8">
        <f t="shared" si="8"/>
        <v>109959.16278530912</v>
      </c>
      <c r="N25" s="8"/>
      <c r="O25" s="8"/>
      <c r="P25" s="8"/>
      <c r="Q25" s="36">
        <f t="shared" si="9"/>
        <v>111229.71067559831</v>
      </c>
      <c r="R25" s="8">
        <f t="shared" ref="R25:R28" si="10">+ROUND(R$29*S25/S$29,0)</f>
        <v>-5388</v>
      </c>
      <c r="S25" s="36">
        <v>105841.71067559831</v>
      </c>
      <c r="V25" s="112"/>
    </row>
    <row r="26" spans="1:22">
      <c r="A26" t="s">
        <v>171</v>
      </c>
      <c r="B26" s="8">
        <f>+'PB Sum'!C32</f>
        <v>383288.60401999997</v>
      </c>
      <c r="C26" s="8">
        <f>+'PB - Green'!C32</f>
        <v>383288.60401999997</v>
      </c>
      <c r="D26" s="8">
        <f>+'PB - SS'!C32</f>
        <v>381887.90401999996</v>
      </c>
      <c r="E26" s="8">
        <f>+'PB - CC'!C32</f>
        <v>378176.52401999995</v>
      </c>
      <c r="F26" s="8">
        <f>++'PB - ES'!C32</f>
        <v>380025.91401999997</v>
      </c>
      <c r="G26" s="8">
        <f>+'PB - AF'!C32</f>
        <v>377221.90401999996</v>
      </c>
      <c r="H26" s="8">
        <f>+YEM!C32</f>
        <v>378348.02895999997</v>
      </c>
      <c r="I26" s="8">
        <f>+WNLA!C32</f>
        <v>378348.02895999997</v>
      </c>
      <c r="J26" s="8">
        <f>+YEC!C32</f>
        <v>381274.39919999999</v>
      </c>
      <c r="K26" s="8">
        <f>+'ATR Adjustment WP'!G33</f>
        <v>8399.206890756479</v>
      </c>
      <c r="L26" s="8">
        <v>3032</v>
      </c>
      <c r="M26" s="8">
        <f t="shared" si="8"/>
        <v>392705.60609075648</v>
      </c>
      <c r="N26" s="8"/>
      <c r="O26" s="8"/>
      <c r="P26" s="8"/>
      <c r="Q26" s="36">
        <f t="shared" si="9"/>
        <v>402391.99110126612</v>
      </c>
      <c r="R26" s="8">
        <f t="shared" si="10"/>
        <v>-19491</v>
      </c>
      <c r="S26" s="36">
        <v>382900.99110126612</v>
      </c>
      <c r="V26" s="112"/>
    </row>
    <row r="27" spans="1:22">
      <c r="A27" t="s">
        <v>172</v>
      </c>
      <c r="B27" s="8">
        <f>+'PB Sum'!C34</f>
        <v>841956.3957199998</v>
      </c>
      <c r="C27" s="8">
        <f>+'PB - Green'!C34</f>
        <v>841956.3957199998</v>
      </c>
      <c r="D27" s="8">
        <f>+'PB - SS'!C34</f>
        <v>839254.13571999979</v>
      </c>
      <c r="E27" s="8">
        <f>+'PB - CC'!C34</f>
        <v>831672.01571999979</v>
      </c>
      <c r="F27" s="8">
        <f>++'PB - ES'!C34</f>
        <v>835522.82571999985</v>
      </c>
      <c r="G27" s="8">
        <f>+'PB - AF'!C34</f>
        <v>828130.54571999982</v>
      </c>
      <c r="H27" s="8">
        <f>+YEM!C34</f>
        <v>1035270.29504</v>
      </c>
      <c r="I27" s="8">
        <f>+WNLA!C34</f>
        <v>1035270.29504</v>
      </c>
      <c r="J27" s="8">
        <f>+YEC!C34</f>
        <v>995526.69704</v>
      </c>
      <c r="K27" s="8">
        <f>+'ATR Adjustment WP'!G35</f>
        <v>21054.992997451274</v>
      </c>
      <c r="L27" s="8">
        <v>7602</v>
      </c>
      <c r="M27" s="8">
        <f t="shared" si="8"/>
        <v>1024183.6900374512</v>
      </c>
      <c r="N27" s="8"/>
      <c r="O27" s="8"/>
      <c r="P27" s="8"/>
      <c r="Q27" s="36">
        <f t="shared" si="9"/>
        <v>1043983.2739491911</v>
      </c>
      <c r="R27" s="8">
        <f t="shared" si="10"/>
        <v>-50569</v>
      </c>
      <c r="S27" s="36">
        <v>993414.27394919109</v>
      </c>
      <c r="V27" s="112"/>
    </row>
    <row r="28" spans="1:22">
      <c r="A28" s="13" t="s">
        <v>173</v>
      </c>
      <c r="B28" s="56">
        <f>+'PB Sum'!C36</f>
        <v>174767.71650000001</v>
      </c>
      <c r="C28" s="56">
        <f>+'PB - Green'!C36</f>
        <v>174767.71650000001</v>
      </c>
      <c r="D28" s="56">
        <f>+'PB - SS'!C36</f>
        <v>174336.02650000001</v>
      </c>
      <c r="E28" s="56">
        <f>+'PB - CC'!C36</f>
        <v>172868.94650000002</v>
      </c>
      <c r="F28" s="56">
        <f>++'PB - ES'!C36</f>
        <v>173727.60650000002</v>
      </c>
      <c r="G28" s="56">
        <f>+'PB - AF'!C36</f>
        <v>172405.30650000001</v>
      </c>
      <c r="H28" s="56">
        <f>+YEM!C36</f>
        <v>122263.58750000001</v>
      </c>
      <c r="I28" s="56">
        <f>+WNLA!C36</f>
        <v>122263.58750000001</v>
      </c>
      <c r="J28" s="56">
        <f>+YEC!C36</f>
        <v>118249.89454999998</v>
      </c>
      <c r="K28" s="56">
        <f>+'ATR Adjustment WP'!G37</f>
        <v>2528.9895734575853</v>
      </c>
      <c r="L28" s="56">
        <v>913</v>
      </c>
      <c r="M28" s="56">
        <f t="shared" si="8"/>
        <v>121691.88412345757</v>
      </c>
      <c r="N28" s="56"/>
      <c r="O28" s="56"/>
      <c r="P28" s="56"/>
      <c r="Q28" s="63">
        <f t="shared" si="9"/>
        <v>142417.3221005977</v>
      </c>
      <c r="R28" s="56">
        <f t="shared" si="10"/>
        <v>-6898</v>
      </c>
      <c r="S28" s="63">
        <v>135519.3221005977</v>
      </c>
      <c r="V28" s="112"/>
    </row>
    <row r="29" spans="1:22">
      <c r="A29" t="s">
        <v>301</v>
      </c>
      <c r="B29" s="8">
        <f t="shared" ref="B29:M29" si="11">SUM(B23:B28)</f>
        <v>58462873.391289987</v>
      </c>
      <c r="C29" s="8">
        <f t="shared" si="11"/>
        <v>58462873.391289987</v>
      </c>
      <c r="D29" s="8">
        <f t="shared" si="11"/>
        <v>58280113.211289987</v>
      </c>
      <c r="E29" s="8">
        <f t="shared" si="11"/>
        <v>57784311.931290008</v>
      </c>
      <c r="F29" s="8">
        <f t="shared" si="11"/>
        <v>58068478.79129</v>
      </c>
      <c r="G29" s="8">
        <f t="shared" si="11"/>
        <v>57590564.361290008</v>
      </c>
      <c r="H29" s="8">
        <f t="shared" si="11"/>
        <v>57716484.980820253</v>
      </c>
      <c r="I29" s="8">
        <f t="shared" si="11"/>
        <v>57716484.980820253</v>
      </c>
      <c r="J29" s="8">
        <f t="shared" si="11"/>
        <v>57893185.499779999</v>
      </c>
      <c r="K29" s="8">
        <f t="shared" si="11"/>
        <v>1311063.3382096626</v>
      </c>
      <c r="L29" s="8">
        <f t="shared" si="11"/>
        <v>473343</v>
      </c>
      <c r="M29" s="8">
        <f t="shared" si="11"/>
        <v>59677591.837989658</v>
      </c>
      <c r="N29" s="8">
        <v>-399476</v>
      </c>
      <c r="O29" s="8">
        <v>59278115</v>
      </c>
      <c r="P29" s="8">
        <f>+O29-Q29</f>
        <v>-0.91198930144309998</v>
      </c>
      <c r="Q29" s="36">
        <f>SUM(Q23:Q28)</f>
        <v>59278115.911989301</v>
      </c>
      <c r="R29" s="57">
        <v>-2871337</v>
      </c>
      <c r="S29" s="36">
        <f>SUM(S23:S28)</f>
        <v>56406778.911989301</v>
      </c>
      <c r="T29" s="8">
        <f>+R29-SUM(R23:R28)</f>
        <v>0</v>
      </c>
      <c r="V29" s="112"/>
    </row>
    <row r="30" spans="1:22">
      <c r="O30" s="8"/>
      <c r="P30" s="8"/>
      <c r="Q30" s="36"/>
      <c r="R30" s="36"/>
      <c r="S30" s="36"/>
      <c r="V30" s="112"/>
    </row>
    <row r="31" spans="1:22">
      <c r="A31" t="s">
        <v>174</v>
      </c>
      <c r="B31" s="8">
        <f>+'PB Sum'!C38</f>
        <v>56129059.339750007</v>
      </c>
      <c r="C31" s="8">
        <f>+'PB - Green'!C38</f>
        <v>56129059.339750007</v>
      </c>
      <c r="D31" s="8">
        <f>+'PB - SS'!C38</f>
        <v>55930143.979750007</v>
      </c>
      <c r="E31" s="8">
        <f>+'PB - CC'!C38</f>
        <v>55396857.069750011</v>
      </c>
      <c r="F31" s="8">
        <f>++'PB - ES'!C38</f>
        <v>55680138.979750007</v>
      </c>
      <c r="G31" s="8">
        <f>+'PB - AF'!C38</f>
        <v>55078752.179750003</v>
      </c>
      <c r="H31" s="8">
        <f>+YEM!C38</f>
        <v>55324874.500799999</v>
      </c>
      <c r="I31" s="8">
        <f>+WNLA!C38</f>
        <v>55324874.500799999</v>
      </c>
      <c r="J31" s="8">
        <f>+YEC!C38</f>
        <v>55924423.2302</v>
      </c>
      <c r="K31" s="8">
        <f>+'ATR Adjustment WP'!G39</f>
        <v>1186144.8342180254</v>
      </c>
      <c r="L31" s="8">
        <v>428243</v>
      </c>
      <c r="M31" s="8">
        <f t="shared" ref="M31:M35" si="12">SUM(J31:L31)</f>
        <v>57538811.064418025</v>
      </c>
      <c r="N31" s="8"/>
      <c r="O31" s="8"/>
      <c r="P31" s="8"/>
      <c r="Q31" s="36">
        <f>+S31-R31</f>
        <v>56955265.812106602</v>
      </c>
      <c r="R31" s="8">
        <f>+ROUND(R$36*S31/S$36,0)</f>
        <v>-1486850</v>
      </c>
      <c r="S31" s="36">
        <v>55468415.812106602</v>
      </c>
      <c r="V31" s="112"/>
    </row>
    <row r="32" spans="1:22">
      <c r="A32" t="s">
        <v>175</v>
      </c>
      <c r="B32" s="8">
        <f>+'PB Sum'!C40</f>
        <v>196457.29399000003</v>
      </c>
      <c r="C32" s="8">
        <f>+'PB - Green'!C40</f>
        <v>196457.29399000003</v>
      </c>
      <c r="D32" s="8">
        <f>+'PB - SS'!C40</f>
        <v>195692.34399000002</v>
      </c>
      <c r="E32" s="8">
        <f>+'PB - CC'!C40</f>
        <v>193791.20399000001</v>
      </c>
      <c r="F32" s="8">
        <f>++'PB - ES'!C40</f>
        <v>194869.07399</v>
      </c>
      <c r="G32" s="8">
        <f>+'PB - AF'!C40</f>
        <v>193120.69399</v>
      </c>
      <c r="H32" s="8">
        <f>+YEM!C40</f>
        <v>193120.69399</v>
      </c>
      <c r="I32" s="8">
        <f>+WNLA!C40</f>
        <v>193120.69399</v>
      </c>
      <c r="J32" s="8">
        <f>+YEC!C40</f>
        <v>193128.87399000002</v>
      </c>
      <c r="K32" s="8">
        <f>+'ATR Adjustment WP'!G41</f>
        <v>4021.6133077748295</v>
      </c>
      <c r="L32" s="8">
        <v>1452</v>
      </c>
      <c r="M32" s="8">
        <f t="shared" si="12"/>
        <v>198602.48729777485</v>
      </c>
      <c r="N32" s="8"/>
      <c r="O32" s="8"/>
      <c r="P32" s="8"/>
      <c r="Q32" s="36">
        <f t="shared" ref="Q32:Q35" si="13">+S32-R32</f>
        <v>194114.13979329768</v>
      </c>
      <c r="R32" s="8">
        <f t="shared" ref="R32:R35" si="14">+ROUND(R$36*S32/S$36,0)</f>
        <v>-5067</v>
      </c>
      <c r="S32" s="36">
        <v>189047.13979329768</v>
      </c>
      <c r="V32" s="112"/>
    </row>
    <row r="33" spans="1:22">
      <c r="A33" t="s">
        <v>183</v>
      </c>
      <c r="B33" s="8">
        <f>+'PB Sum'!C42</f>
        <v>8598356.9705200009</v>
      </c>
      <c r="C33" s="8">
        <f>+'PB - Green'!C42</f>
        <v>8598356.9705200009</v>
      </c>
      <c r="D33" s="8">
        <f>+'PB - SS'!C42</f>
        <v>8563057.2905200012</v>
      </c>
      <c r="E33" s="8">
        <f>+'PB - CC'!C42</f>
        <v>8473360.5205200016</v>
      </c>
      <c r="F33" s="8">
        <f>++'PB - ES'!C42</f>
        <v>8518689.7805200014</v>
      </c>
      <c r="G33" s="8">
        <f>+'PB - AF'!C42</f>
        <v>8439084.9305199999</v>
      </c>
      <c r="H33" s="8">
        <f>+YEM!C42</f>
        <v>8186301.2365200007</v>
      </c>
      <c r="I33" s="8">
        <f>+WNLA!C42</f>
        <v>8186301.2365200007</v>
      </c>
      <c r="J33" s="8">
        <f>+YEC!C42</f>
        <v>9997621.9594000001</v>
      </c>
      <c r="K33" s="8">
        <f>+'ATR Adjustment WP'!G43</f>
        <v>203959.65063000596</v>
      </c>
      <c r="L33" s="8">
        <v>73637</v>
      </c>
      <c r="M33" s="8">
        <f t="shared" si="12"/>
        <v>10275218.610030007</v>
      </c>
      <c r="N33" s="8"/>
      <c r="O33" s="8"/>
      <c r="P33" s="8"/>
      <c r="Q33" s="36">
        <f t="shared" si="13"/>
        <v>10415926.927931393</v>
      </c>
      <c r="R33" s="8">
        <f t="shared" si="14"/>
        <v>-271914</v>
      </c>
      <c r="S33" s="36">
        <v>10144012.927931393</v>
      </c>
      <c r="V33" s="113"/>
    </row>
    <row r="34" spans="1:22" s="19" customFormat="1">
      <c r="A34" s="19" t="s">
        <v>176</v>
      </c>
      <c r="B34" s="57">
        <f>+'PB Sum'!C44</f>
        <v>2377008.6157200001</v>
      </c>
      <c r="C34" s="57">
        <f>+'PB - Green'!C44</f>
        <v>2377008.6157200001</v>
      </c>
      <c r="D34" s="57">
        <f>+'PB - SS'!C44</f>
        <v>2364771.51572</v>
      </c>
      <c r="E34" s="57">
        <f>+'PB - CC'!C44</f>
        <v>2333466.1657199999</v>
      </c>
      <c r="F34" s="57">
        <f>++'PB - ES'!C44</f>
        <v>2345440.01572</v>
      </c>
      <c r="G34" s="57">
        <f>+'PB - AF'!C44</f>
        <v>2311880.7957199998</v>
      </c>
      <c r="H34" s="57">
        <f>+YEM!C44</f>
        <v>2646442.3807199998</v>
      </c>
      <c r="I34" s="57">
        <f>+WNLA!C44</f>
        <v>2646442.3807199998</v>
      </c>
      <c r="J34" s="57">
        <f>+YEC!C44</f>
        <v>2433637.9613999999</v>
      </c>
      <c r="K34" s="57">
        <f>+'ATR Adjustment WP'!G45</f>
        <v>41508.096058386094</v>
      </c>
      <c r="L34" s="57">
        <v>14986</v>
      </c>
      <c r="M34" s="57">
        <f t="shared" si="12"/>
        <v>2490132.0574583858</v>
      </c>
      <c r="N34" s="57"/>
      <c r="O34" s="57"/>
      <c r="P34" s="57"/>
      <c r="Q34" s="36">
        <f t="shared" si="13"/>
        <v>2422547.7632530942</v>
      </c>
      <c r="R34" s="8">
        <f t="shared" si="14"/>
        <v>-63242</v>
      </c>
      <c r="S34" s="36">
        <v>2359305.7632530942</v>
      </c>
      <c r="V34" s="113"/>
    </row>
    <row r="35" spans="1:22">
      <c r="A35" s="13" t="s">
        <v>335</v>
      </c>
      <c r="B35" s="56">
        <f>+'PB Sum'!C46</f>
        <v>164354.23875999995</v>
      </c>
      <c r="C35" s="56">
        <f>+'PB - Green'!C46</f>
        <v>164354.23875999995</v>
      </c>
      <c r="D35" s="56">
        <f>+'PB - SS'!C46</f>
        <v>163124.82875999995</v>
      </c>
      <c r="E35" s="56">
        <f>+'PB - CC'!C46</f>
        <v>161107.78875999994</v>
      </c>
      <c r="F35" s="56">
        <f>++'PB - ES'!C46</f>
        <v>162115.92875999995</v>
      </c>
      <c r="G35" s="56">
        <f>+'PB - AF'!C46</f>
        <v>164872.98875999995</v>
      </c>
      <c r="H35" s="56">
        <f>+YEM!C46</f>
        <v>67112.57796000001</v>
      </c>
      <c r="I35" s="56">
        <f>+WNLA!C46</f>
        <v>67112.57796000001</v>
      </c>
      <c r="J35" s="56">
        <f>+YEC!C46</f>
        <v>67112.111960000009</v>
      </c>
      <c r="K35" s="56">
        <f>+'ATR Adjustment WP'!G47</f>
        <v>-167.92841337157131</v>
      </c>
      <c r="L35" s="56">
        <v>-61</v>
      </c>
      <c r="M35" s="56">
        <f t="shared" si="12"/>
        <v>66883.183546628439</v>
      </c>
      <c r="N35" s="56"/>
      <c r="O35" s="56"/>
      <c r="P35" s="56"/>
      <c r="Q35" s="63">
        <f t="shared" si="13"/>
        <v>75904.889588552905</v>
      </c>
      <c r="R35" s="63">
        <f t="shared" si="14"/>
        <v>-1982</v>
      </c>
      <c r="S35" s="63">
        <v>73922.889588552905</v>
      </c>
      <c r="V35" s="113"/>
    </row>
    <row r="36" spans="1:22">
      <c r="A36" t="s">
        <v>302</v>
      </c>
      <c r="B36" s="8">
        <f>SUM(B31:B35)</f>
        <v>67465236.458740011</v>
      </c>
      <c r="C36" s="8">
        <f t="shared" ref="C36:M36" si="15">SUM(C31:C35)</f>
        <v>67465236.458740011</v>
      </c>
      <c r="D36" s="8">
        <f t="shared" si="15"/>
        <v>67216789.958740011</v>
      </c>
      <c r="E36" s="8">
        <f t="shared" si="15"/>
        <v>66558582.74874001</v>
      </c>
      <c r="F36" s="8">
        <f t="shared" si="15"/>
        <v>66901253.778740011</v>
      </c>
      <c r="G36" s="8">
        <f t="shared" si="15"/>
        <v>66187711.588739999</v>
      </c>
      <c r="H36" s="8">
        <f t="shared" si="15"/>
        <v>66417851.389989994</v>
      </c>
      <c r="I36" s="8">
        <f t="shared" si="15"/>
        <v>66417851.389989994</v>
      </c>
      <c r="J36" s="8">
        <f t="shared" si="15"/>
        <v>68615924.136949986</v>
      </c>
      <c r="K36" s="8">
        <f t="shared" si="15"/>
        <v>1435466.2658008207</v>
      </c>
      <c r="L36" s="8">
        <f t="shared" si="15"/>
        <v>518257</v>
      </c>
      <c r="M36" s="8">
        <f t="shared" si="15"/>
        <v>70569647.40275082</v>
      </c>
      <c r="N36" s="8">
        <v>-505892</v>
      </c>
      <c r="O36" s="8">
        <v>70063746</v>
      </c>
      <c r="P36" s="8">
        <f>+O36-Q36</f>
        <v>-13.532672941684723</v>
      </c>
      <c r="Q36" s="36">
        <f>SUM(Q31:Q35)</f>
        <v>70063759.532672942</v>
      </c>
      <c r="R36" s="57">
        <v>-1829055</v>
      </c>
      <c r="S36" s="36">
        <f>SUM(S31:S35)</f>
        <v>68234704.532672942</v>
      </c>
      <c r="T36" s="8">
        <f>+R36-SUM(R31:R35)</f>
        <v>0</v>
      </c>
      <c r="V36" s="113"/>
    </row>
    <row r="37" spans="1:22">
      <c r="O37" s="8"/>
      <c r="P37" s="8"/>
      <c r="Q37" s="36"/>
      <c r="R37" s="8"/>
      <c r="S37" s="36"/>
      <c r="V37" s="113"/>
    </row>
    <row r="38" spans="1:22">
      <c r="A38" t="s">
        <v>269</v>
      </c>
      <c r="B38" s="8">
        <f>+'PB Sum'!C48</f>
        <v>1898831.0455</v>
      </c>
      <c r="C38" s="8">
        <f>+'PB - Green'!C48</f>
        <v>1898831.0455</v>
      </c>
      <c r="D38" s="8">
        <f>+'PB - SS'!C48</f>
        <v>1893713.1854999999</v>
      </c>
      <c r="E38" s="8">
        <f>+'PB - CC'!C48</f>
        <v>1873314.5055</v>
      </c>
      <c r="F38" s="8">
        <f>++'PB - ES'!C48</f>
        <v>1880835.9554999999</v>
      </c>
      <c r="G38" s="8">
        <f>+'PB - AF'!C48</f>
        <v>1852936.2254999999</v>
      </c>
      <c r="H38" s="8">
        <f>+YEM!C48</f>
        <v>1972823.2841999999</v>
      </c>
      <c r="I38" s="8">
        <f>+WNLA!C48</f>
        <v>1972823.2841999999</v>
      </c>
      <c r="J38" s="8">
        <f>+YEC!C48</f>
        <v>1893876.0133000002</v>
      </c>
      <c r="K38" s="8">
        <f>+'ATR Adjustment WP'!G49</f>
        <v>37744.266004894474</v>
      </c>
      <c r="L38" s="8">
        <v>13627</v>
      </c>
      <c r="M38" s="8">
        <f t="shared" ref="M38:M41" si="16">SUM(J38:L38)</f>
        <v>1945247.2793048946</v>
      </c>
      <c r="O38" s="8"/>
      <c r="P38" s="8"/>
      <c r="Q38" s="36">
        <f>+S38-R38</f>
        <v>2010538.9864959577</v>
      </c>
      <c r="R38" s="8">
        <f>+ROUND(-1348509*S38/SUM($S$38:$S$41),0)</f>
        <v>-48308</v>
      </c>
      <c r="S38" s="36">
        <v>1962230.9864959577</v>
      </c>
      <c r="V38" s="113"/>
    </row>
    <row r="39" spans="1:22">
      <c r="A39" t="s">
        <v>305</v>
      </c>
      <c r="B39" s="8">
        <f>+'PB Sum'!C50</f>
        <v>25231061.84468</v>
      </c>
      <c r="C39" s="8">
        <f>+'PB - Green'!C50</f>
        <v>25231061.84468</v>
      </c>
      <c r="D39" s="8">
        <f>+'PB - SS'!C50</f>
        <v>25115669.09468</v>
      </c>
      <c r="E39" s="8">
        <f>+'PB - CC'!C50</f>
        <v>24794646.884679999</v>
      </c>
      <c r="F39" s="8">
        <f>++'PB - ES'!C50</f>
        <v>24920074.014679998</v>
      </c>
      <c r="G39" s="8">
        <f>+'PB - AF'!C50</f>
        <v>24503007.61468</v>
      </c>
      <c r="H39" s="8">
        <f>+YEM!C50</f>
        <v>24295105.437680002</v>
      </c>
      <c r="I39" s="8">
        <f>+WNLA!C50</f>
        <v>24295105.437680002</v>
      </c>
      <c r="J39" s="8">
        <f>+YEC!C50</f>
        <v>24295070.621679999</v>
      </c>
      <c r="K39" s="8">
        <f>+'ATR Adjustment WP'!G51</f>
        <v>433912.56147255434</v>
      </c>
      <c r="L39" s="8">
        <v>156659</v>
      </c>
      <c r="M39" s="8">
        <f t="shared" si="16"/>
        <v>24885642.183152553</v>
      </c>
      <c r="N39" s="8"/>
      <c r="O39" s="8"/>
      <c r="P39" s="8"/>
      <c r="Q39" s="36">
        <f t="shared" ref="Q39:Q41" si="17">+S39-R39</f>
        <v>26292641.47004088</v>
      </c>
      <c r="R39" s="8">
        <f t="shared" ref="R39:R41" si="18">+ROUND(-1348509*S39/SUM($S$38:$S$41),0)</f>
        <v>-631739</v>
      </c>
      <c r="S39" s="36">
        <v>25660902.47004088</v>
      </c>
      <c r="V39" s="113"/>
    </row>
    <row r="40" spans="1:22">
      <c r="A40" t="s">
        <v>177</v>
      </c>
      <c r="B40" s="8">
        <f>+'PB Sum'!C52</f>
        <v>22926270.751729991</v>
      </c>
      <c r="C40" s="8">
        <f>+'PB - Green'!C52</f>
        <v>22926270.751729991</v>
      </c>
      <c r="D40" s="8">
        <f>+'PB - SS'!C52</f>
        <v>22804382.671729993</v>
      </c>
      <c r="E40" s="8">
        <f>+'PB - CC'!C52</f>
        <v>22481926.941729993</v>
      </c>
      <c r="F40" s="8">
        <f>++'PB - ES'!C52</f>
        <v>22596236.721729994</v>
      </c>
      <c r="G40" s="8">
        <f>+'PB - AF'!C52</f>
        <v>22234696.971729994</v>
      </c>
      <c r="H40" s="8">
        <f>+YEM!C52</f>
        <v>22834307.848230001</v>
      </c>
      <c r="I40" s="8">
        <f>+WNLA!C52</f>
        <v>22834307.848230001</v>
      </c>
      <c r="J40" s="8">
        <f>+YEC!C52</f>
        <v>22688792.304889999</v>
      </c>
      <c r="K40" s="8">
        <f>+'ATR Adjustment WP'!G53</f>
        <v>402343.07819339604</v>
      </c>
      <c r="L40" s="8">
        <v>145261</v>
      </c>
      <c r="M40" s="8">
        <f t="shared" si="16"/>
        <v>23236396.383083396</v>
      </c>
      <c r="N40" s="8"/>
      <c r="O40" s="8"/>
      <c r="P40" s="8"/>
      <c r="Q40" s="36">
        <f t="shared" si="17"/>
        <v>23650662.543415219</v>
      </c>
      <c r="R40" s="8">
        <f t="shared" si="18"/>
        <v>-568260</v>
      </c>
      <c r="S40" s="36">
        <v>23082402.543415219</v>
      </c>
      <c r="V40" s="113"/>
    </row>
    <row r="41" spans="1:22" s="19" customFormat="1">
      <c r="A41" s="19" t="s">
        <v>178</v>
      </c>
      <c r="B41" s="57">
        <f>+'PB Sum'!C54</f>
        <v>2543285.3214400001</v>
      </c>
      <c r="C41" s="57">
        <f>+'PB - Green'!C54</f>
        <v>2543285.3214400001</v>
      </c>
      <c r="D41" s="57">
        <f>+'PB - SS'!C54</f>
        <v>2539321.5414400003</v>
      </c>
      <c r="E41" s="57">
        <f>+'PB - CC'!C54</f>
        <v>2504535.5714400001</v>
      </c>
      <c r="F41" s="57">
        <f>++'PB - ES'!C54</f>
        <v>2508295.8214400001</v>
      </c>
      <c r="G41" s="57">
        <f>+'PB - AF'!C54</f>
        <v>2410776.5414399998</v>
      </c>
      <c r="H41" s="57">
        <f>+YEM!C54</f>
        <v>3616522.109322763</v>
      </c>
      <c r="I41" s="57">
        <f>+WNLA!C54</f>
        <v>3616522.109322763</v>
      </c>
      <c r="J41" s="57">
        <f>+YEC!C54</f>
        <v>3945188.1501599997</v>
      </c>
      <c r="K41" s="57">
        <f>+'ATR Adjustment WP'!G55</f>
        <v>84048.957299559537</v>
      </c>
      <c r="L41" s="57">
        <v>30345</v>
      </c>
      <c r="M41" s="57">
        <f t="shared" si="16"/>
        <v>4059582.1074595591</v>
      </c>
      <c r="N41" s="57"/>
      <c r="O41" s="57"/>
      <c r="P41" s="57"/>
      <c r="Q41" s="103">
        <f t="shared" si="17"/>
        <v>4170363.7840003427</v>
      </c>
      <c r="R41" s="8">
        <f t="shared" si="18"/>
        <v>-100202</v>
      </c>
      <c r="S41" s="103">
        <v>4070161.7840003427</v>
      </c>
    </row>
    <row r="42" spans="1:22">
      <c r="A42" t="s">
        <v>179</v>
      </c>
      <c r="B42" s="8">
        <f>+'PB Sum'!C56</f>
        <v>102505258.13445999</v>
      </c>
      <c r="C42" s="8">
        <f>+'PB - Green'!C56</f>
        <v>102505258.13445999</v>
      </c>
      <c r="D42" s="8">
        <f>+'PB - SS'!C56</f>
        <v>101851584.35445999</v>
      </c>
      <c r="E42" s="8">
        <f>+'PB - CC'!C56</f>
        <v>100675554.41445999</v>
      </c>
      <c r="F42" s="8">
        <f>++'PB - ES'!C56</f>
        <v>101169943.70446</v>
      </c>
      <c r="G42" s="8">
        <f>+'PB - AF'!C56</f>
        <v>99122704.71446</v>
      </c>
      <c r="H42" s="8">
        <f>+YEM!C56</f>
        <v>98063673.186460003</v>
      </c>
      <c r="I42" s="8">
        <f>+WNLA!C56</f>
        <v>98063673.186460003</v>
      </c>
      <c r="J42" s="8">
        <f>+YEC!C56</f>
        <v>99137776.109260023</v>
      </c>
      <c r="K42" s="8">
        <f>+'ATR Adjustment WP'!G57</f>
        <v>1379301.5793546059</v>
      </c>
      <c r="L42" s="8">
        <v>497980</v>
      </c>
      <c r="M42" s="8">
        <f t="shared" ref="M42:M43" si="19">SUM(J42:L42)</f>
        <v>101015057.68861462</v>
      </c>
      <c r="N42" s="8"/>
      <c r="O42" s="8"/>
      <c r="P42" s="8"/>
      <c r="Q42" s="36">
        <f t="shared" ref="Q42:Q43" si="20">+S42-R42</f>
        <v>97784131.489440799</v>
      </c>
      <c r="R42" s="8">
        <f>+ROUND(-1313469*S42/SUM($S$42:$S$43),0)</f>
        <v>-1122941</v>
      </c>
      <c r="S42" s="36">
        <v>96661190.489440799</v>
      </c>
    </row>
    <row r="43" spans="1:22">
      <c r="A43" s="13" t="s">
        <v>180</v>
      </c>
      <c r="B43" s="56">
        <f>+'PB Sum'!C58</f>
        <v>19189779.524799995</v>
      </c>
      <c r="C43" s="56">
        <f>+'PB - Green'!C58</f>
        <v>19189779.524799995</v>
      </c>
      <c r="D43" s="56">
        <f>+'PB - SS'!C58</f>
        <v>19053619.914799996</v>
      </c>
      <c r="E43" s="56">
        <f>+'PB - CC'!C58</f>
        <v>18826711.944799997</v>
      </c>
      <c r="F43" s="56">
        <f>++'PB - ES'!C58</f>
        <v>18943564.274799995</v>
      </c>
      <c r="G43" s="56">
        <f>+'PB - AF'!C58</f>
        <v>18593466.054799996</v>
      </c>
      <c r="H43" s="56">
        <f>+YEM!C58</f>
        <v>17507511.282599997</v>
      </c>
      <c r="I43" s="56">
        <f>+WNLA!C58</f>
        <v>17507511.282599997</v>
      </c>
      <c r="J43" s="56">
        <f>+YEC!C58</f>
        <v>16160780.971999999</v>
      </c>
      <c r="K43" s="56">
        <f>+'ATR Adjustment WP'!G59</f>
        <v>181774.58899832328</v>
      </c>
      <c r="L43" s="56">
        <v>65628</v>
      </c>
      <c r="M43" s="56">
        <f t="shared" si="19"/>
        <v>16408183.560998322</v>
      </c>
      <c r="N43" s="56"/>
      <c r="O43" s="56"/>
      <c r="P43" s="56"/>
      <c r="Q43" s="63">
        <f t="shared" si="20"/>
        <v>16590944.881855641</v>
      </c>
      <c r="R43" s="63">
        <f>+ROUND(-1313469*S43/SUM($S$42:$S$43),0)</f>
        <v>-190528</v>
      </c>
      <c r="S43" s="63">
        <v>16400416.881855641</v>
      </c>
    </row>
    <row r="44" spans="1:22">
      <c r="A44" s="88" t="s">
        <v>422</v>
      </c>
      <c r="B44" s="8">
        <f t="shared" ref="B44:M44" si="21">SUM(B38:B43)</f>
        <v>174294486.62260997</v>
      </c>
      <c r="C44" s="8">
        <f t="shared" si="21"/>
        <v>174294486.62260997</v>
      </c>
      <c r="D44" s="8">
        <f t="shared" si="21"/>
        <v>173258290.76260996</v>
      </c>
      <c r="E44" s="8">
        <f t="shared" si="21"/>
        <v>171156690.26260999</v>
      </c>
      <c r="F44" s="8">
        <f t="shared" si="21"/>
        <v>172018950.49260998</v>
      </c>
      <c r="G44" s="8">
        <f t="shared" si="21"/>
        <v>168717588.12261</v>
      </c>
      <c r="H44" s="8">
        <f t="shared" si="21"/>
        <v>168289943.14849275</v>
      </c>
      <c r="I44" s="8">
        <f t="shared" si="21"/>
        <v>168289943.14849275</v>
      </c>
      <c r="J44" s="8">
        <f t="shared" si="21"/>
        <v>168121484.17129004</v>
      </c>
      <c r="K44" s="8">
        <f t="shared" si="21"/>
        <v>2519125.0313233333</v>
      </c>
      <c r="L44" s="8">
        <f t="shared" si="21"/>
        <v>909500</v>
      </c>
      <c r="M44" s="8">
        <f t="shared" si="21"/>
        <v>171550109.20261335</v>
      </c>
      <c r="N44" s="8">
        <f>-350458-700312</f>
        <v>-1050770</v>
      </c>
      <c r="O44" s="8">
        <f>53776409+116722932</f>
        <v>170499341</v>
      </c>
      <c r="P44" s="8">
        <f>+O44-Q44</f>
        <v>57.84475114941597</v>
      </c>
      <c r="Q44" s="8">
        <f>SUM(Q38:Q43)</f>
        <v>170499283.15524885</v>
      </c>
      <c r="R44" s="57">
        <f>SUM(R38:R43)</f>
        <v>-2661978</v>
      </c>
      <c r="S44" s="8">
        <f>SUM(S38:S43)</f>
        <v>167837305.15524885</v>
      </c>
      <c r="T44" s="8">
        <f>+R44-SUM(R38:R43)</f>
        <v>0</v>
      </c>
    </row>
    <row r="45" spans="1:2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6"/>
      <c r="R45" s="36"/>
      <c r="S45" s="36"/>
    </row>
    <row r="46" spans="1:22">
      <c r="A46" t="s">
        <v>181</v>
      </c>
      <c r="B46" s="8">
        <f>+'PB Sum'!C60</f>
        <v>1437808.0145</v>
      </c>
      <c r="C46" s="8">
        <f>+'PB - Green'!C60</f>
        <v>1437808.0145</v>
      </c>
      <c r="D46" s="8">
        <f>+'PB - SS'!C60</f>
        <v>1434027.3145000001</v>
      </c>
      <c r="E46" s="8">
        <f>+'PB - CC'!C60</f>
        <v>1425745.7545</v>
      </c>
      <c r="F46" s="8">
        <f>++'PB - ES'!C60</f>
        <v>1432731.7545</v>
      </c>
      <c r="G46" s="8">
        <f>+'PB - AF'!C60</f>
        <v>1428283.0345000001</v>
      </c>
      <c r="H46" s="8">
        <f>+YEM!C60</f>
        <v>1428283.0345000001</v>
      </c>
      <c r="I46" s="8">
        <f>+WNLA!C60</f>
        <v>1428283.0345000001</v>
      </c>
      <c r="J46" s="8">
        <f>+YEC!C60</f>
        <v>1375747.9323941716</v>
      </c>
      <c r="K46" s="8">
        <f>+'ATR Adjustment WP'!G61</f>
        <v>34503.57610236085</v>
      </c>
      <c r="L46" s="8">
        <v>12457</v>
      </c>
      <c r="M46" s="8">
        <f>SUM(J46:L46)</f>
        <v>1422708.5084965324</v>
      </c>
      <c r="N46" s="8">
        <v>-10348</v>
      </c>
      <c r="O46" s="8">
        <v>1412362</v>
      </c>
      <c r="P46" s="8">
        <f>+O46-Q46</f>
        <v>3.7031332380138338</v>
      </c>
      <c r="Q46" s="36">
        <f>+S46-R46</f>
        <v>1412358.296866762</v>
      </c>
      <c r="R46" s="8">
        <v>-2769</v>
      </c>
      <c r="S46" s="36">
        <v>1409589.296866762</v>
      </c>
      <c r="T46" s="8"/>
    </row>
    <row r="47" spans="1:22">
      <c r="O47" s="8"/>
      <c r="P47" s="8"/>
      <c r="Q47" s="34"/>
      <c r="R47" s="34"/>
      <c r="S47" s="34"/>
    </row>
    <row r="48" spans="1:22">
      <c r="A48" t="s">
        <v>182</v>
      </c>
      <c r="B48" s="8">
        <f>+'PB Sum'!C62</f>
        <v>361824.73699999996</v>
      </c>
      <c r="C48" s="8">
        <f>+'PB - Green'!C62</f>
        <v>361824.73699999996</v>
      </c>
      <c r="D48" s="8">
        <f>+'PB - SS'!C62</f>
        <v>360423.32699999999</v>
      </c>
      <c r="E48" s="8">
        <f>+'PB - CC'!C62</f>
        <v>356675.217</v>
      </c>
      <c r="F48" s="8">
        <f>++'PB - ES'!C62</f>
        <v>358545.28700000001</v>
      </c>
      <c r="G48" s="8">
        <f>+'PB - AF'!C62</f>
        <v>354484.31699999998</v>
      </c>
      <c r="H48" s="8">
        <f>+YEM!C62</f>
        <v>354484.31699999998</v>
      </c>
      <c r="I48" s="8">
        <f>+WNLA!C62</f>
        <v>354484.31699999998</v>
      </c>
      <c r="J48" s="8">
        <f>+YEC!C62</f>
        <v>354485.95699999999</v>
      </c>
      <c r="K48" s="8">
        <f>+'ATR Adjustment WP'!G63</f>
        <v>7198.5957272063761</v>
      </c>
      <c r="L48" s="8">
        <v>2599</v>
      </c>
      <c r="M48" s="8">
        <f>SUM(J48:L48)</f>
        <v>364283.55272720638</v>
      </c>
      <c r="N48" s="8">
        <v>-2332</v>
      </c>
      <c r="O48" s="8">
        <v>361952</v>
      </c>
      <c r="P48" s="8">
        <f>+O48-Q48</f>
        <v>13.479432817839552</v>
      </c>
      <c r="Q48" s="36">
        <f>+S48-R48</f>
        <v>361938.52056718216</v>
      </c>
      <c r="R48" s="8">
        <v>-14795</v>
      </c>
      <c r="S48" s="36">
        <v>347143.52056718216</v>
      </c>
      <c r="T48" s="8"/>
    </row>
    <row r="49" spans="1:20" ht="13.5" thickBo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58"/>
      <c r="P49" s="58"/>
      <c r="Q49" s="104"/>
      <c r="R49" s="45"/>
      <c r="S49" s="104"/>
    </row>
    <row r="50" spans="1:20">
      <c r="A50" t="s">
        <v>18</v>
      </c>
      <c r="B50" s="8">
        <f t="shared" ref="B50:M50" si="22">SUM(B10:B12,B15:B20,B23:B28,B31:B35,B38:B41,B42:B43,B46:B48)</f>
        <v>563895531.31868351</v>
      </c>
      <c r="C50" s="8">
        <f t="shared" si="22"/>
        <v>563895531.31868351</v>
      </c>
      <c r="D50" s="8">
        <f t="shared" si="22"/>
        <v>561410063.04868376</v>
      </c>
      <c r="E50" s="8">
        <f t="shared" si="22"/>
        <v>555691306.41868341</v>
      </c>
      <c r="F50" s="8">
        <f t="shared" si="22"/>
        <v>558505619.15868354</v>
      </c>
      <c r="G50" s="8">
        <f t="shared" si="22"/>
        <v>553200717.65868354</v>
      </c>
      <c r="H50" s="8">
        <f t="shared" si="22"/>
        <v>553292078.41248679</v>
      </c>
      <c r="I50" s="8">
        <f t="shared" si="22"/>
        <v>547362947.47013438</v>
      </c>
      <c r="J50" s="8">
        <f t="shared" si="22"/>
        <v>546963543.97098041</v>
      </c>
      <c r="K50" s="8">
        <f t="shared" si="22"/>
        <v>10014068.97343969</v>
      </c>
      <c r="L50" s="8">
        <f t="shared" si="22"/>
        <v>3615459</v>
      </c>
      <c r="M50" s="8">
        <f t="shared" si="22"/>
        <v>560593071.94441998</v>
      </c>
      <c r="N50" s="8">
        <f>SUM(N13,N15,N21,N29,N36,N44,N46,N48)</f>
        <v>-4696310</v>
      </c>
      <c r="O50" s="8">
        <f>SUM(O13,O15,O21,O29,O36,O44,O46,O48)</f>
        <v>555896767</v>
      </c>
      <c r="P50" s="36">
        <f>+O50-Q50</f>
        <v>12830.70392870903</v>
      </c>
      <c r="Q50" s="36">
        <f>SUM(Q10:Q12,Q15:Q20,Q23:Q28,Q31:Q35,Q38:Q41,Q42:Q43,Q46:Q48)</f>
        <v>555883936.29607129</v>
      </c>
      <c r="R50" s="8">
        <f>SUM(R13,R15,R21,R29,R36,R44,R46:R48)</f>
        <v>-126908</v>
      </c>
      <c r="S50" s="36">
        <f>SUM(S10:S12,S15:S20,S23:S28,S31:S35,S38:S41,S42:S43,S46:S48)</f>
        <v>555757028.29607129</v>
      </c>
      <c r="T50" s="8"/>
    </row>
    <row r="52" spans="1:20">
      <c r="B52" s="8"/>
      <c r="D52" s="8"/>
      <c r="E52" s="8"/>
      <c r="F52" s="8"/>
      <c r="G52" s="8"/>
      <c r="H52" s="8"/>
      <c r="O52" s="8"/>
      <c r="Q52" s="36"/>
      <c r="R52" s="8"/>
    </row>
    <row r="53" spans="1:20">
      <c r="O53" s="8"/>
      <c r="Q53" s="8"/>
      <c r="R53" s="8"/>
    </row>
    <row r="54" spans="1:20">
      <c r="B54" s="8"/>
      <c r="C54" s="8"/>
      <c r="D54" s="8"/>
      <c r="G54" s="8"/>
      <c r="H54" s="8"/>
    </row>
    <row r="55" spans="1:20">
      <c r="H55" s="8"/>
    </row>
    <row r="56" spans="1:20">
      <c r="G56" s="8"/>
      <c r="H56" s="8"/>
    </row>
    <row r="57" spans="1:20">
      <c r="H57" s="8"/>
    </row>
    <row r="61" spans="1:20">
      <c r="H61" s="8">
        <f>+H50-G50</f>
        <v>91360.753803253174</v>
      </c>
    </row>
  </sheetData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activeCell="J11" sqref="J11"/>
    </sheetView>
  </sheetViews>
  <sheetFormatPr defaultRowHeight="12.75"/>
  <cols>
    <col min="1" max="1" width="20.140625" customWidth="1"/>
    <col min="2" max="2" width="11.7109375" bestFit="1" customWidth="1"/>
    <col min="3" max="3" width="8.5703125" bestFit="1" customWidth="1"/>
    <col min="4" max="6" width="11.7109375" bestFit="1" customWidth="1"/>
    <col min="7" max="7" width="12.5703125" bestFit="1" customWidth="1"/>
    <col min="8" max="8" width="11.7109375" bestFit="1" customWidth="1"/>
    <col min="9" max="9" width="11.28515625" bestFit="1" customWidth="1"/>
    <col min="10" max="11" width="11.7109375" bestFit="1" customWidth="1"/>
    <col min="12" max="12" width="10.42578125" bestFit="1" customWidth="1"/>
    <col min="13" max="13" width="12.7109375" bestFit="1" customWidth="1"/>
    <col min="14" max="14" width="11.28515625" bestFit="1" customWidth="1"/>
    <col min="15" max="15" width="12.7109375" bestFit="1" customWidth="1"/>
    <col min="16" max="16" width="11.7109375" bestFit="1" customWidth="1"/>
    <col min="17" max="17" width="13.140625" bestFit="1" customWidth="1"/>
    <col min="18" max="18" width="12.7109375" bestFit="1" customWidth="1"/>
  </cols>
  <sheetData>
    <row r="1" spans="1:18">
      <c r="A1" t="str">
        <f>+RS!A1</f>
        <v>KENTUCKY POWER BILLING ANALYSIS</v>
      </c>
    </row>
    <row r="2" spans="1:18">
      <c r="A2" t="str">
        <f>+RS!A2</f>
        <v>PER BOOKS</v>
      </c>
    </row>
    <row r="3" spans="1:18">
      <c r="A3" t="str">
        <f>+RS!A3</f>
        <v>TEST YEAR ENDED SEPTEMBER 30, 2014</v>
      </c>
    </row>
    <row r="5" spans="1:18">
      <c r="A5" t="s">
        <v>123</v>
      </c>
    </row>
    <row r="6" spans="1:18">
      <c r="E6" s="37" t="s">
        <v>6</v>
      </c>
      <c r="F6" s="37" t="s">
        <v>6</v>
      </c>
      <c r="G6" s="37" t="str">
        <f>+RS!H6</f>
        <v>Revenue</v>
      </c>
      <c r="H6" s="37" t="s">
        <v>6</v>
      </c>
    </row>
    <row r="7" spans="1:18">
      <c r="E7" s="1" t="s">
        <v>244</v>
      </c>
      <c r="F7" s="1" t="s">
        <v>244</v>
      </c>
      <c r="G7" s="1" t="s">
        <v>244</v>
      </c>
      <c r="H7" s="96" t="s">
        <v>245</v>
      </c>
      <c r="L7" s="1" t="s">
        <v>282</v>
      </c>
      <c r="M7" s="1"/>
      <c r="Q7" s="1" t="str">
        <f>+RS!S6</f>
        <v>Asset Transfer</v>
      </c>
      <c r="R7" s="1"/>
    </row>
    <row r="8" spans="1:18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231</v>
      </c>
      <c r="M8" s="1" t="s">
        <v>219</v>
      </c>
      <c r="N8" s="1" t="s">
        <v>231</v>
      </c>
      <c r="O8" s="1" t="s">
        <v>232</v>
      </c>
      <c r="P8" s="1" t="s">
        <v>233</v>
      </c>
      <c r="Q8" s="1" t="str">
        <f>+RS!S7</f>
        <v>Rider</v>
      </c>
      <c r="R8" s="1" t="str">
        <f>+RS!T7</f>
        <v>Revised</v>
      </c>
    </row>
    <row r="9" spans="1:18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tr">
        <f>+RS!Q8</f>
        <v>Total</v>
      </c>
      <c r="N9" s="3" t="s">
        <v>198</v>
      </c>
      <c r="O9" s="3" t="s">
        <v>18</v>
      </c>
      <c r="P9" s="3" t="s">
        <v>6</v>
      </c>
      <c r="Q9" s="3" t="str">
        <f>+RS!S8</f>
        <v>Adjustment</v>
      </c>
      <c r="R9" s="3" t="str">
        <f>+RS!T8</f>
        <v>Revenue</v>
      </c>
    </row>
    <row r="10" spans="1:18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314</v>
      </c>
      <c r="O10" s="98" t="s">
        <v>384</v>
      </c>
      <c r="P10" s="98" t="s">
        <v>315</v>
      </c>
      <c r="Q10" s="98" t="s">
        <v>413</v>
      </c>
      <c r="R10" s="98" t="s">
        <v>414</v>
      </c>
    </row>
    <row r="11" spans="1:18">
      <c r="H11" s="39">
        <f>RS!$I$10</f>
        <v>2.0411219651722302E-3</v>
      </c>
    </row>
    <row r="12" spans="1:18">
      <c r="D12" s="10"/>
      <c r="E12" s="11"/>
      <c r="F12" s="11"/>
      <c r="G12" s="11"/>
      <c r="H12" s="11"/>
    </row>
    <row r="13" spans="1:18">
      <c r="A13" s="5" t="s">
        <v>22</v>
      </c>
      <c r="B13" s="74">
        <v>340191876</v>
      </c>
      <c r="C13" s="71">
        <v>2.8799999999999999E-2</v>
      </c>
      <c r="D13" s="8">
        <f>+B13*C13</f>
        <v>9797526.0287999995</v>
      </c>
      <c r="E13" s="8">
        <f>D13</f>
        <v>9797526.0287999995</v>
      </c>
      <c r="F13" s="8">
        <f>E13</f>
        <v>9797526.0287999995</v>
      </c>
      <c r="G13" s="8">
        <f>+F13</f>
        <v>9797526.0287999995</v>
      </c>
      <c r="H13" s="8">
        <f t="shared" ref="H13" si="0">+G13</f>
        <v>9797526.0287999995</v>
      </c>
      <c r="I13" s="74">
        <v>-23481174</v>
      </c>
      <c r="J13" s="6">
        <f>+B13+I13</f>
        <v>316710702</v>
      </c>
      <c r="K13" s="8">
        <f>+C13*J13</f>
        <v>9121268.2175999992</v>
      </c>
      <c r="L13" s="74">
        <v>0</v>
      </c>
      <c r="M13" s="6">
        <f>J13+L13</f>
        <v>316710702</v>
      </c>
      <c r="N13" s="6">
        <f>O13-M13</f>
        <v>-24362362</v>
      </c>
      <c r="O13" s="6">
        <f>ROUND(M13*O$27/M$27,0)</f>
        <v>292348340</v>
      </c>
      <c r="P13" s="8">
        <f>+O13*C13</f>
        <v>8419632.1919999998</v>
      </c>
      <c r="R13" s="8">
        <f>+P13+Q13</f>
        <v>8419632.1919999998</v>
      </c>
    </row>
    <row r="14" spans="1:18">
      <c r="D14" s="8"/>
      <c r="E14" s="8"/>
      <c r="F14" s="8"/>
      <c r="G14" s="8"/>
      <c r="H14" s="8"/>
      <c r="I14" s="6"/>
      <c r="K14" s="8"/>
      <c r="L14" s="74"/>
      <c r="O14" s="6"/>
      <c r="P14" s="8"/>
    </row>
    <row r="15" spans="1:18">
      <c r="A15" t="s">
        <v>12</v>
      </c>
      <c r="B15" s="6">
        <f>+'12 Months TS'!E103</f>
        <v>340191876</v>
      </c>
      <c r="D15" s="8"/>
      <c r="E15" s="8"/>
      <c r="F15" s="8"/>
      <c r="G15" s="8"/>
      <c r="H15" s="8"/>
      <c r="I15" s="6">
        <f>SUM(I13:I14)</f>
        <v>-23481174</v>
      </c>
      <c r="J15" s="6">
        <f>+B15+I15</f>
        <v>316710702</v>
      </c>
      <c r="K15" s="8"/>
      <c r="L15" s="74">
        <v>0</v>
      </c>
      <c r="M15" s="6">
        <f>J15+L15</f>
        <v>316710702</v>
      </c>
      <c r="N15" s="6">
        <f>O15-M15</f>
        <v>-24362362</v>
      </c>
      <c r="O15" s="6">
        <f>ROUND(M15*O$27/M$27,0)</f>
        <v>292348340</v>
      </c>
      <c r="P15" s="8"/>
    </row>
    <row r="16" spans="1:18">
      <c r="D16" s="8"/>
      <c r="E16" s="8"/>
      <c r="F16" s="8"/>
      <c r="G16" s="8"/>
      <c r="H16" s="8"/>
      <c r="I16" s="6"/>
      <c r="K16" s="8"/>
      <c r="L16" s="74">
        <v>0</v>
      </c>
      <c r="O16" s="6"/>
      <c r="P16" s="8"/>
    </row>
    <row r="17" spans="1:18">
      <c r="A17" s="4" t="s">
        <v>21</v>
      </c>
      <c r="D17" s="8"/>
      <c r="E17" s="8"/>
      <c r="F17" s="8"/>
      <c r="G17" s="8"/>
      <c r="H17" s="8"/>
      <c r="I17" s="6"/>
      <c r="K17" s="8"/>
      <c r="L17" s="74">
        <v>0</v>
      </c>
      <c r="O17" s="6"/>
      <c r="P17" s="8"/>
    </row>
    <row r="18" spans="1:18">
      <c r="A18" t="s">
        <v>25</v>
      </c>
      <c r="B18" s="74">
        <v>486080.8</v>
      </c>
      <c r="C18" s="73">
        <v>10.98</v>
      </c>
      <c r="D18" s="8">
        <f>+B18*C18</f>
        <v>5337167.1840000004</v>
      </c>
      <c r="E18" s="8">
        <f t="shared" ref="E18:F20" si="1">D18</f>
        <v>5337167.1840000004</v>
      </c>
      <c r="F18" s="8">
        <f t="shared" si="1"/>
        <v>5337167.1840000004</v>
      </c>
      <c r="G18" s="8">
        <f t="shared" ref="G18:G20" si="2">+F18</f>
        <v>5337167.1840000004</v>
      </c>
      <c r="H18" s="8">
        <f t="shared" ref="H18" si="3">+G18</f>
        <v>5337167.1840000004</v>
      </c>
      <c r="I18" s="74">
        <v>-21462</v>
      </c>
      <c r="J18" s="6">
        <f>+B18+I18</f>
        <v>464618.8</v>
      </c>
      <c r="K18" s="8">
        <f>+C18*J18</f>
        <v>5101514.4239999996</v>
      </c>
      <c r="L18" s="74">
        <v>0</v>
      </c>
      <c r="M18" s="6">
        <f>J18+L18</f>
        <v>464618.8</v>
      </c>
      <c r="N18" s="6">
        <f>O18-M18</f>
        <v>-35739.799999999988</v>
      </c>
      <c r="O18" s="6">
        <f>ROUND(M18*O$27/M$27,0)</f>
        <v>428879</v>
      </c>
      <c r="P18" s="8">
        <f>+O18*C18</f>
        <v>4709091.42</v>
      </c>
      <c r="R18" s="8">
        <f t="shared" ref="R18:R20" si="4">+P18+Q18</f>
        <v>4709091.42</v>
      </c>
    </row>
    <row r="19" spans="1:18">
      <c r="A19" t="s">
        <v>120</v>
      </c>
      <c r="B19" s="74">
        <v>465075.10000000003</v>
      </c>
      <c r="C19" s="73">
        <v>1.1000000000000001</v>
      </c>
      <c r="D19" s="8">
        <f>+B19*C19</f>
        <v>511582.6100000001</v>
      </c>
      <c r="E19" s="8">
        <f t="shared" si="1"/>
        <v>511582.6100000001</v>
      </c>
      <c r="F19" s="8">
        <f t="shared" si="1"/>
        <v>511582.6100000001</v>
      </c>
      <c r="G19" s="8">
        <f t="shared" si="2"/>
        <v>511582.6100000001</v>
      </c>
      <c r="H19" s="8">
        <f t="shared" ref="H19" si="5">+G19</f>
        <v>511582.6100000001</v>
      </c>
      <c r="I19" s="74">
        <v>-15890</v>
      </c>
      <c r="J19" s="6">
        <f>+B19+I19</f>
        <v>449185.10000000003</v>
      </c>
      <c r="K19" s="8">
        <f>+C19*J19</f>
        <v>494103.6100000001</v>
      </c>
      <c r="L19" s="74">
        <v>0</v>
      </c>
      <c r="M19" s="6">
        <f>J19+L19</f>
        <v>449185.10000000003</v>
      </c>
      <c r="N19" s="6">
        <f>O19-M19</f>
        <v>-34553.100000000035</v>
      </c>
      <c r="O19" s="6">
        <f>ROUND(M19*O$27/M$27,0)</f>
        <v>414632</v>
      </c>
      <c r="P19" s="8">
        <f>+O19*C19</f>
        <v>456095.2</v>
      </c>
      <c r="R19" s="8">
        <f t="shared" si="4"/>
        <v>456095.2</v>
      </c>
    </row>
    <row r="20" spans="1:18">
      <c r="A20" t="s">
        <v>121</v>
      </c>
      <c r="B20" s="74">
        <v>134938.90000000002</v>
      </c>
      <c r="C20" s="73">
        <v>11.09</v>
      </c>
      <c r="D20" s="8">
        <f>+B20*C20</f>
        <v>1496472.4010000003</v>
      </c>
      <c r="E20" s="8">
        <f t="shared" si="1"/>
        <v>1496472.4010000003</v>
      </c>
      <c r="F20" s="8">
        <f t="shared" si="1"/>
        <v>1496472.4010000003</v>
      </c>
      <c r="G20" s="8">
        <f t="shared" si="2"/>
        <v>1496472.4010000003</v>
      </c>
      <c r="H20" s="8">
        <f t="shared" ref="H20" si="6">+G20</f>
        <v>1496472.4010000003</v>
      </c>
      <c r="I20" s="74">
        <v>0</v>
      </c>
      <c r="J20" s="6">
        <f>+B20+I20</f>
        <v>134938.90000000002</v>
      </c>
      <c r="K20" s="8">
        <f>+C20*J20</f>
        <v>1496472.4010000003</v>
      </c>
      <c r="L20" s="74"/>
      <c r="M20" s="6">
        <f>J20+L20</f>
        <v>134938.90000000002</v>
      </c>
      <c r="N20" s="6">
        <f>O20-M20</f>
        <v>-10379.900000000023</v>
      </c>
      <c r="O20" s="6">
        <f>ROUND(M20*O$27/M$27,0)</f>
        <v>124559</v>
      </c>
      <c r="P20" s="8">
        <f>+O20*C20</f>
        <v>1381359.31</v>
      </c>
      <c r="R20" s="8">
        <f t="shared" si="4"/>
        <v>1381359.31</v>
      </c>
    </row>
    <row r="21" spans="1:18">
      <c r="A21" t="s">
        <v>292</v>
      </c>
      <c r="B21" s="74">
        <v>0</v>
      </c>
      <c r="C21" s="73"/>
      <c r="D21" s="8"/>
      <c r="E21" s="8"/>
      <c r="F21" s="8"/>
      <c r="G21" s="8"/>
      <c r="H21" s="8"/>
      <c r="I21" s="74">
        <v>0</v>
      </c>
      <c r="J21" s="6">
        <f>+B21+I21</f>
        <v>0</v>
      </c>
      <c r="K21" s="8"/>
      <c r="L21" s="74">
        <v>0</v>
      </c>
      <c r="M21" s="6">
        <f>J21+L21</f>
        <v>0</v>
      </c>
      <c r="N21" s="6">
        <f>O21-M21</f>
        <v>0</v>
      </c>
      <c r="O21" s="6">
        <f>ROUND(M21*O$27/M$27,0)</f>
        <v>0</v>
      </c>
      <c r="P21" s="8"/>
    </row>
    <row r="22" spans="1:18">
      <c r="B22" s="6"/>
      <c r="C22" s="24"/>
      <c r="D22" s="8"/>
      <c r="E22" s="8"/>
      <c r="F22" s="8"/>
      <c r="G22" s="8"/>
      <c r="H22" s="8"/>
      <c r="I22" s="6"/>
      <c r="K22" s="8"/>
      <c r="L22" s="74"/>
      <c r="O22" s="6"/>
      <c r="P22" s="8"/>
    </row>
    <row r="23" spans="1:18">
      <c r="A23" t="s">
        <v>27</v>
      </c>
      <c r="B23" s="74">
        <v>47169</v>
      </c>
      <c r="C23" s="73">
        <f>+'CIPTOD-SUB'!C24</f>
        <v>0.69</v>
      </c>
      <c r="D23" s="8">
        <f>+B23*C23</f>
        <v>32546.609999999997</v>
      </c>
      <c r="E23" s="8">
        <f>D23</f>
        <v>32546.609999999997</v>
      </c>
      <c r="F23" s="8">
        <f>E23</f>
        <v>32546.609999999997</v>
      </c>
      <c r="G23" s="8">
        <f>+F23</f>
        <v>32546.609999999997</v>
      </c>
      <c r="H23" s="8">
        <f t="shared" ref="H23" si="7">+G23</f>
        <v>32546.609999999997</v>
      </c>
      <c r="I23" s="74">
        <v>-24985</v>
      </c>
      <c r="J23" s="6">
        <f>+B23+I23</f>
        <v>22184</v>
      </c>
      <c r="K23" s="8">
        <f>+C23*J23</f>
        <v>15306.96</v>
      </c>
      <c r="L23" s="74">
        <v>0</v>
      </c>
      <c r="M23" s="6">
        <f>J23+L23</f>
        <v>22184</v>
      </c>
      <c r="N23" s="6">
        <f>O23-M23</f>
        <v>-1706</v>
      </c>
      <c r="O23" s="6">
        <f>ROUND(M23*O$27/M$27,0)</f>
        <v>20478</v>
      </c>
      <c r="P23" s="8">
        <f>+O23*C23</f>
        <v>14129.82</v>
      </c>
      <c r="R23" s="8">
        <f>+P23+Q23</f>
        <v>14129.82</v>
      </c>
    </row>
    <row r="24" spans="1:18">
      <c r="B24" s="6"/>
      <c r="C24" s="24"/>
      <c r="D24" s="8"/>
      <c r="E24" s="8"/>
      <c r="F24" s="8"/>
      <c r="G24" s="8"/>
      <c r="H24" s="8"/>
      <c r="I24" s="6"/>
      <c r="K24" s="8"/>
      <c r="L24" s="74"/>
      <c r="O24" s="6"/>
      <c r="P24" s="8"/>
    </row>
    <row r="25" spans="1:18">
      <c r="A25" t="s">
        <v>13</v>
      </c>
      <c r="B25" s="74">
        <v>38.367000000000004</v>
      </c>
      <c r="C25" s="80">
        <v>1353</v>
      </c>
      <c r="D25" s="8">
        <f>+B25*C25</f>
        <v>51910.551000000007</v>
      </c>
      <c r="E25" s="8">
        <f>D25</f>
        <v>51910.551000000007</v>
      </c>
      <c r="F25" s="8">
        <f>E25</f>
        <v>51910.551000000007</v>
      </c>
      <c r="G25" s="8">
        <f>+F25</f>
        <v>51910.551000000007</v>
      </c>
      <c r="H25" s="8">
        <f t="shared" ref="H25" si="8">+G25</f>
        <v>51910.551000000007</v>
      </c>
      <c r="I25" s="74">
        <v>-12.367000000000001</v>
      </c>
      <c r="J25" s="6">
        <f>+B25+I25</f>
        <v>26.000000000000004</v>
      </c>
      <c r="K25" s="8">
        <f>+C25*J25</f>
        <v>35178.000000000007</v>
      </c>
      <c r="L25" s="74">
        <v>0</v>
      </c>
      <c r="M25" s="6">
        <f>J25+L25</f>
        <v>26.000000000000004</v>
      </c>
      <c r="N25" s="6">
        <f>O25-M25</f>
        <v>-2.0000000000000036</v>
      </c>
      <c r="O25" s="6">
        <f>ROUND(M25*O$27/M$27,0)</f>
        <v>24</v>
      </c>
      <c r="P25" s="8">
        <f>+O25*C25</f>
        <v>32472</v>
      </c>
      <c r="R25" s="8">
        <f>+P25+Q25</f>
        <v>32472</v>
      </c>
    </row>
    <row r="26" spans="1:18">
      <c r="D26" s="8"/>
      <c r="E26" s="8"/>
      <c r="F26" s="8"/>
      <c r="G26" s="8"/>
      <c r="H26" s="8"/>
      <c r="I26" s="6"/>
      <c r="K26" s="8"/>
      <c r="L26" s="6"/>
      <c r="O26" s="6"/>
      <c r="P26" s="8"/>
    </row>
    <row r="27" spans="1:18">
      <c r="A27" t="s">
        <v>14</v>
      </c>
      <c r="B27" s="6">
        <f>'Monthly # of Customers'!N84</f>
        <v>38</v>
      </c>
      <c r="D27" s="8"/>
      <c r="E27" s="8"/>
      <c r="F27" s="8"/>
      <c r="G27" s="8"/>
      <c r="H27" s="8"/>
      <c r="I27" s="6">
        <v>-12</v>
      </c>
      <c r="J27" s="6">
        <f>+B27+I27</f>
        <v>26</v>
      </c>
      <c r="K27" s="8"/>
      <c r="L27" s="6">
        <v>0</v>
      </c>
      <c r="M27" s="6">
        <f>J27+L27</f>
        <v>26</v>
      </c>
      <c r="N27" s="6">
        <f>O27-M27</f>
        <v>-2</v>
      </c>
      <c r="O27" s="6">
        <f>+'Monthly # of Customers'!M84*12</f>
        <v>24</v>
      </c>
      <c r="P27" s="8"/>
    </row>
    <row r="28" spans="1:18">
      <c r="D28" s="8"/>
      <c r="E28" s="8"/>
      <c r="F28" s="8"/>
      <c r="G28" s="8"/>
      <c r="H28" s="8"/>
      <c r="K28" s="8"/>
      <c r="L28" s="8">
        <f>L13*C13+L18*C18+L19*C19+L20*C20+L23*C23+L25*C25</f>
        <v>0</v>
      </c>
      <c r="P28" s="8"/>
    </row>
    <row r="29" spans="1:18">
      <c r="A29" t="str">
        <f>+RS!A27</f>
        <v xml:space="preserve">Fuel </v>
      </c>
      <c r="D29" s="8">
        <f>+'B&amp;A Surcharges'!B59</f>
        <v>1044471.33</v>
      </c>
      <c r="E29" s="8">
        <f>D29</f>
        <v>1044471.33</v>
      </c>
      <c r="F29" s="8">
        <f>E29</f>
        <v>1044471.33</v>
      </c>
      <c r="G29" s="8">
        <f>+F29</f>
        <v>1044471.33</v>
      </c>
      <c r="H29" s="8">
        <f>ROUND(B15*H11,2)</f>
        <v>694373.11</v>
      </c>
      <c r="I29" s="8">
        <f>ROUND(I15*H11,0)</f>
        <v>-47928</v>
      </c>
      <c r="J29" s="10"/>
      <c r="K29" s="8">
        <f>+H29+I29</f>
        <v>646445.11</v>
      </c>
      <c r="L29" s="8">
        <f>L13*H11</f>
        <v>0</v>
      </c>
      <c r="N29" s="8">
        <v>0</v>
      </c>
      <c r="P29" s="8">
        <f>ROUND(O15*H11,2)</f>
        <v>596718.62</v>
      </c>
      <c r="R29" s="8">
        <f>+P29+Q29</f>
        <v>596718.62</v>
      </c>
    </row>
    <row r="30" spans="1:18">
      <c r="D30" s="8"/>
      <c r="E30" s="8"/>
      <c r="F30" s="8"/>
      <c r="G30" s="8"/>
      <c r="H30" s="8"/>
      <c r="I30" s="8"/>
      <c r="K30" s="8"/>
      <c r="L30" s="8"/>
      <c r="N30" s="8"/>
      <c r="P30" s="8"/>
    </row>
    <row r="31" spans="1:18">
      <c r="A31" t="str">
        <f>+RS!A29</f>
        <v>System Sales Clause</v>
      </c>
      <c r="D31" s="8">
        <f>+'B&amp;A Surcharges'!D59</f>
        <v>136159.60999999999</v>
      </c>
      <c r="E31" s="8">
        <v>0</v>
      </c>
      <c r="F31" s="8">
        <f>E31</f>
        <v>0</v>
      </c>
      <c r="G31" s="8">
        <f>+F31</f>
        <v>0</v>
      </c>
      <c r="H31" s="8">
        <f t="shared" ref="H31" si="9">+G31</f>
        <v>0</v>
      </c>
      <c r="I31" s="8"/>
      <c r="J31" s="10"/>
      <c r="K31" s="8">
        <f>+H31+I31</f>
        <v>0</v>
      </c>
      <c r="L31" s="8"/>
      <c r="N31" s="8"/>
      <c r="P31" s="8">
        <f>ROUND(K31*O$15/J$15,2)</f>
        <v>0</v>
      </c>
      <c r="R31" s="8">
        <f>+P31+Q31</f>
        <v>0</v>
      </c>
    </row>
    <row r="32" spans="1:18">
      <c r="D32" s="8"/>
      <c r="E32" s="8"/>
      <c r="F32" s="8"/>
      <c r="G32" s="8"/>
      <c r="H32" s="8"/>
      <c r="I32" s="8"/>
      <c r="K32" s="8"/>
      <c r="L32" s="8"/>
      <c r="N32" s="8"/>
      <c r="P32" s="8"/>
    </row>
    <row r="33" spans="1:18">
      <c r="A33" t="str">
        <f>+RS!A31</f>
        <v>Environmental Surcharge</v>
      </c>
      <c r="D33" s="8">
        <f>+'B&amp;A Surcharges'!J59</f>
        <v>-116852.33</v>
      </c>
      <c r="E33" s="8">
        <f>D33</f>
        <v>-116852.33</v>
      </c>
      <c r="F33" s="8">
        <f>E33</f>
        <v>-116852.33</v>
      </c>
      <c r="G33" s="8">
        <v>0</v>
      </c>
      <c r="H33" s="8">
        <f t="shared" ref="H33" si="10">+G33</f>
        <v>0</v>
      </c>
      <c r="I33" s="95">
        <v>0</v>
      </c>
      <c r="J33" s="10"/>
      <c r="K33" s="8">
        <f>+H33+I33</f>
        <v>0</v>
      </c>
      <c r="L33" s="95"/>
      <c r="N33" s="8">
        <v>0</v>
      </c>
      <c r="P33" s="8">
        <f>ROUND(K33*SUM(P13:P29)/SUM(K13:K29),2)</f>
        <v>0</v>
      </c>
      <c r="R33" s="8">
        <f>+P33+Q33</f>
        <v>0</v>
      </c>
    </row>
    <row r="34" spans="1:18">
      <c r="D34" s="8"/>
      <c r="E34" s="8"/>
      <c r="F34" s="8"/>
      <c r="G34" s="8"/>
      <c r="H34" s="8"/>
      <c r="I34" s="8"/>
      <c r="J34" s="10"/>
      <c r="K34" s="8"/>
      <c r="L34" s="8"/>
      <c r="N34" s="8"/>
      <c r="P34" s="8"/>
    </row>
    <row r="35" spans="1:18">
      <c r="A35" t="str">
        <f>RS!A33</f>
        <v>Capacity Charge</v>
      </c>
      <c r="D35" s="8">
        <f>+'B&amp;A Surcharges'!F59</f>
        <v>226907.97</v>
      </c>
      <c r="E35" s="8">
        <f>D35</f>
        <v>226907.97</v>
      </c>
      <c r="F35" s="8">
        <v>0</v>
      </c>
      <c r="G35" s="8">
        <f>+F35</f>
        <v>0</v>
      </c>
      <c r="H35" s="8">
        <f t="shared" ref="H35" si="11">+G35</f>
        <v>0</v>
      </c>
      <c r="I35" s="10"/>
      <c r="J35" s="10"/>
      <c r="K35" s="8">
        <f>+H35+I35</f>
        <v>0</v>
      </c>
      <c r="L35" s="8"/>
      <c r="M35" s="10"/>
      <c r="N35" s="10"/>
      <c r="P35" s="8">
        <f>ROUND(K35*O$15/J$15,2)</f>
        <v>0</v>
      </c>
      <c r="R35" s="8">
        <f>+P35+Q35</f>
        <v>0</v>
      </c>
    </row>
    <row r="36" spans="1:18">
      <c r="D36" s="8"/>
      <c r="E36" s="8"/>
      <c r="F36" s="8"/>
      <c r="G36" s="8"/>
      <c r="H36" s="8"/>
      <c r="I36" s="10"/>
      <c r="J36" s="10"/>
      <c r="K36" s="8"/>
      <c r="L36" s="8"/>
      <c r="M36" s="10"/>
      <c r="N36" s="10"/>
      <c r="P36" s="8"/>
    </row>
    <row r="37" spans="1:18">
      <c r="A37" t="str">
        <f>RS!A35</f>
        <v>Asset Transfer Rider</v>
      </c>
      <c r="D37" s="8">
        <f>+'B&amp;A Surcharges'!N59</f>
        <v>671887.56</v>
      </c>
      <c r="E37" s="8">
        <f>D37</f>
        <v>671887.56</v>
      </c>
      <c r="F37" s="8">
        <f>E37</f>
        <v>671887.56</v>
      </c>
      <c r="G37" s="8">
        <f>+F37</f>
        <v>671887.56</v>
      </c>
      <c r="H37" s="8">
        <f t="shared" ref="H37" si="12">+G37</f>
        <v>671887.56</v>
      </c>
      <c r="I37" s="95">
        <v>-74665</v>
      </c>
      <c r="J37" s="10"/>
      <c r="K37" s="8">
        <f>+H37+I37</f>
        <v>597222.56000000006</v>
      </c>
      <c r="L37" s="8"/>
      <c r="M37" s="10"/>
      <c r="N37" s="8">
        <f>+P37-K37</f>
        <v>-45940.150000000023</v>
      </c>
      <c r="P37" s="8">
        <f>ROUND(K37*SUM(P13:P28)/SUM(K13:K28),2)</f>
        <v>551282.41</v>
      </c>
      <c r="Q37" s="8">
        <f>+'ATR Adjustment WP'!G59</f>
        <v>181774.58899832328</v>
      </c>
      <c r="R37" s="8">
        <f>+P37+Q37</f>
        <v>733056.99899832334</v>
      </c>
    </row>
    <row r="38" spans="1:18">
      <c r="D38" s="8"/>
      <c r="E38" s="8"/>
      <c r="F38" s="8"/>
      <c r="G38" s="8"/>
      <c r="H38" s="8"/>
      <c r="I38" s="10"/>
      <c r="K38" s="8"/>
      <c r="L38" s="8"/>
      <c r="N38" s="10"/>
      <c r="P38" s="8"/>
    </row>
    <row r="39" spans="1:18">
      <c r="A39" t="str">
        <f>+RS!A39</f>
        <v>Total</v>
      </c>
      <c r="D39" s="8">
        <f t="shared" ref="D39:H39" si="13">SUM(D13:D38)</f>
        <v>19189779.524799995</v>
      </c>
      <c r="E39" s="8">
        <f t="shared" si="13"/>
        <v>19053619.914799996</v>
      </c>
      <c r="F39" s="8">
        <f t="shared" si="13"/>
        <v>18826711.944799997</v>
      </c>
      <c r="G39" s="8">
        <f t="shared" si="13"/>
        <v>18943564.274799995</v>
      </c>
      <c r="H39" s="8">
        <f t="shared" si="13"/>
        <v>18593466.054799996</v>
      </c>
      <c r="I39" s="10"/>
      <c r="J39" s="10"/>
      <c r="K39" s="8">
        <f>SUM(K13:K38)</f>
        <v>17507511.282599997</v>
      </c>
      <c r="L39" s="8">
        <f>SUM(L28:L38)</f>
        <v>0</v>
      </c>
      <c r="M39" s="10"/>
      <c r="N39" s="10"/>
      <c r="P39" s="8">
        <f>SUM(P13:P38)</f>
        <v>16160780.971999999</v>
      </c>
      <c r="R39" s="8">
        <f>SUM(R13:R38)</f>
        <v>16342555.560998322</v>
      </c>
    </row>
  </sheetData>
  <phoneticPr fontId="0" type="noConversion"/>
  <printOptions horizontalCentered="1"/>
  <pageMargins left="0.25" right="0.25" top="0.75" bottom="0.75" header="0.3" footer="0.3"/>
  <pageSetup scale="6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A29" sqref="A29:XFD30"/>
    </sheetView>
  </sheetViews>
  <sheetFormatPr defaultRowHeight="12.75"/>
  <cols>
    <col min="1" max="1" width="22.85546875" customWidth="1"/>
    <col min="2" max="2" width="9.7109375" bestFit="1" customWidth="1"/>
    <col min="3" max="3" width="8.5703125" bestFit="1" customWidth="1"/>
    <col min="4" max="4" width="9.5703125" bestFit="1" customWidth="1"/>
    <col min="5" max="5" width="12.7109375" bestFit="1" customWidth="1"/>
    <col min="6" max="6" width="14.85546875" bestFit="1" customWidth="1"/>
    <col min="7" max="7" width="9.42578125" bestFit="1" customWidth="1"/>
    <col min="8" max="8" width="14.42578125" bestFit="1" customWidth="1"/>
    <col min="9" max="9" width="10.42578125" bestFit="1" customWidth="1"/>
    <col min="10" max="10" width="10.7109375" bestFit="1" customWidth="1"/>
    <col min="11" max="11" width="11.5703125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255</v>
      </c>
    </row>
    <row r="6" spans="1:16">
      <c r="E6" s="37" t="s">
        <v>6</v>
      </c>
      <c r="F6" s="37" t="s">
        <v>6</v>
      </c>
      <c r="G6" s="37" t="str">
        <f>RS!H6</f>
        <v>Revenue</v>
      </c>
      <c r="H6" s="37" t="s">
        <v>6</v>
      </c>
      <c r="O6" s="37" t="str">
        <f>+RS!S6</f>
        <v>Asset Transfer</v>
      </c>
      <c r="P6" s="37"/>
    </row>
    <row r="7" spans="1:16">
      <c r="A7" s="1"/>
      <c r="B7" s="1" t="s">
        <v>203</v>
      </c>
      <c r="C7" s="1" t="s">
        <v>4</v>
      </c>
      <c r="D7" s="1"/>
      <c r="E7" s="1" t="s">
        <v>244</v>
      </c>
      <c r="F7" s="1" t="s">
        <v>244</v>
      </c>
      <c r="G7" s="37" t="str">
        <f>RS!H7</f>
        <v>Excl. Env.</v>
      </c>
      <c r="H7" s="1" t="s">
        <v>245</v>
      </c>
      <c r="I7" s="1" t="s">
        <v>197</v>
      </c>
      <c r="J7" s="1" t="s">
        <v>197</v>
      </c>
      <c r="K7" s="1" t="s">
        <v>201</v>
      </c>
      <c r="L7" s="1" t="s">
        <v>231</v>
      </c>
      <c r="M7" s="1" t="s">
        <v>232</v>
      </c>
      <c r="N7" s="1" t="s">
        <v>233</v>
      </c>
      <c r="O7" s="1" t="str">
        <f>+RS!S7</f>
        <v>Rider</v>
      </c>
      <c r="P7" s="1" t="str">
        <f>+RS!T7</f>
        <v>Revised</v>
      </c>
    </row>
    <row r="8" spans="1:16">
      <c r="A8" s="3" t="s">
        <v>1</v>
      </c>
      <c r="B8" s="3" t="s">
        <v>18</v>
      </c>
      <c r="C8" s="3" t="s">
        <v>5</v>
      </c>
      <c r="D8" s="3" t="s">
        <v>6</v>
      </c>
      <c r="E8" s="3" t="s">
        <v>205</v>
      </c>
      <c r="F8" s="3" t="s">
        <v>271</v>
      </c>
      <c r="G8" s="3" t="str">
        <f>RS!H8</f>
        <v>Surcharge</v>
      </c>
      <c r="H8" s="3" t="s">
        <v>246</v>
      </c>
      <c r="I8" s="3" t="s">
        <v>198</v>
      </c>
      <c r="J8" s="3" t="s">
        <v>18</v>
      </c>
      <c r="K8" s="3" t="s">
        <v>6</v>
      </c>
      <c r="L8" s="3" t="s">
        <v>198</v>
      </c>
      <c r="M8" s="3" t="s">
        <v>18</v>
      </c>
      <c r="N8" s="3" t="s">
        <v>6</v>
      </c>
      <c r="O8" s="3" t="str">
        <f>+RS!S8</f>
        <v>Adjustment</v>
      </c>
      <c r="P8" s="3" t="str">
        <f>+RS!T8</f>
        <v>Revenue</v>
      </c>
    </row>
    <row r="9" spans="1:16">
      <c r="A9" s="2" t="s">
        <v>7</v>
      </c>
      <c r="B9" s="2" t="s">
        <v>8</v>
      </c>
      <c r="C9" s="2" t="s">
        <v>9</v>
      </c>
      <c r="D9" s="2" t="s">
        <v>307</v>
      </c>
      <c r="E9" s="2" t="s">
        <v>308</v>
      </c>
      <c r="F9" s="2" t="s">
        <v>10</v>
      </c>
      <c r="G9" s="2" t="s">
        <v>309</v>
      </c>
      <c r="H9" s="2" t="s">
        <v>199</v>
      </c>
      <c r="I9" s="97" t="s">
        <v>226</v>
      </c>
      <c r="J9" s="98" t="s">
        <v>379</v>
      </c>
      <c r="K9" s="98" t="s">
        <v>380</v>
      </c>
      <c r="L9" s="98" t="s">
        <v>381</v>
      </c>
      <c r="M9" s="98" t="s">
        <v>382</v>
      </c>
      <c r="N9" s="98" t="s">
        <v>383</v>
      </c>
      <c r="O9" s="98" t="s">
        <v>371</v>
      </c>
      <c r="P9" s="96" t="s">
        <v>412</v>
      </c>
    </row>
    <row r="10" spans="1:16">
      <c r="H10" s="39">
        <f>RS!$I$10</f>
        <v>2.0411219651722302E-3</v>
      </c>
    </row>
    <row r="11" spans="1:16">
      <c r="D11" s="10"/>
      <c r="E11" s="11"/>
      <c r="F11" s="11"/>
      <c r="G11" s="11"/>
      <c r="H11" s="11"/>
    </row>
    <row r="12" spans="1:16">
      <c r="A12" t="s">
        <v>20</v>
      </c>
      <c r="B12" s="75">
        <v>3841169</v>
      </c>
      <c r="C12" s="71">
        <v>8.3000000000000004E-2</v>
      </c>
      <c r="D12" s="8">
        <f>+B12*C12</f>
        <v>318817.027</v>
      </c>
      <c r="E12" s="8">
        <f>D12</f>
        <v>318817.027</v>
      </c>
      <c r="F12" s="8">
        <f>E12</f>
        <v>318817.027</v>
      </c>
      <c r="G12" s="8">
        <f>+F12</f>
        <v>318817.027</v>
      </c>
      <c r="H12" s="8">
        <f>+G12</f>
        <v>318817.027</v>
      </c>
      <c r="I12" s="74">
        <v>0</v>
      </c>
      <c r="J12" s="6">
        <f>+B12+I12</f>
        <v>3841169</v>
      </c>
      <c r="K12" s="8">
        <f>+C12*J12</f>
        <v>318817.027</v>
      </c>
      <c r="L12" s="6">
        <f>M12-J12</f>
        <v>0</v>
      </c>
      <c r="M12" s="6">
        <f>ROUND(J12*M$21/J$21,0)</f>
        <v>3841169</v>
      </c>
      <c r="N12" s="8">
        <f>+M12*C12</f>
        <v>318817.027</v>
      </c>
      <c r="P12" s="8">
        <f>+N12+O12</f>
        <v>318817.027</v>
      </c>
    </row>
    <row r="13" spans="1:16">
      <c r="A13" t="s">
        <v>253</v>
      </c>
      <c r="B13" s="75">
        <v>22870</v>
      </c>
      <c r="C13" s="71"/>
      <c r="D13" s="8"/>
      <c r="E13" s="8"/>
      <c r="F13" s="8"/>
      <c r="G13" s="8"/>
      <c r="H13" s="8"/>
      <c r="I13" s="74">
        <v>0</v>
      </c>
      <c r="J13" s="6">
        <f>+B13+I13</f>
        <v>22870</v>
      </c>
      <c r="K13" s="8"/>
      <c r="L13" s="6">
        <f>M13-J13</f>
        <v>0</v>
      </c>
      <c r="M13" s="6">
        <f>ROUND(J13*M$21/J$21,0)</f>
        <v>22870</v>
      </c>
      <c r="N13" s="8"/>
    </row>
    <row r="14" spans="1:16">
      <c r="B14" s="7"/>
      <c r="D14" s="8"/>
      <c r="E14" s="8"/>
      <c r="F14" s="8"/>
      <c r="G14" s="8"/>
      <c r="H14" s="8"/>
      <c r="I14" s="6"/>
      <c r="K14" s="8"/>
      <c r="L14" s="6"/>
      <c r="N14" s="8"/>
    </row>
    <row r="15" spans="1:16">
      <c r="A15" t="s">
        <v>12</v>
      </c>
      <c r="B15" s="7">
        <f>+'12 Months TS'!E113</f>
        <v>3864039</v>
      </c>
      <c r="D15" s="8"/>
      <c r="E15" s="8"/>
      <c r="F15" s="8"/>
      <c r="G15" s="8"/>
      <c r="H15" s="8"/>
      <c r="I15" s="6">
        <f>SUM(I12:I14)</f>
        <v>0</v>
      </c>
      <c r="J15" s="6">
        <f>+B15+I15</f>
        <v>3864039</v>
      </c>
      <c r="K15" s="8"/>
      <c r="L15" s="6">
        <f>M15-J15</f>
        <v>0</v>
      </c>
      <c r="M15" s="6">
        <f>ROUND(J15*M$21/J$21,0)</f>
        <v>3864039</v>
      </c>
      <c r="N15" s="8"/>
    </row>
    <row r="16" spans="1:16">
      <c r="B16" s="7"/>
      <c r="D16" s="8"/>
      <c r="E16" s="8"/>
      <c r="F16" s="8"/>
      <c r="G16" s="8"/>
      <c r="H16" s="8"/>
      <c r="I16" s="6"/>
      <c r="K16" s="8"/>
      <c r="L16" s="6"/>
      <c r="N16" s="8"/>
    </row>
    <row r="17" spans="1:16">
      <c r="A17" t="s">
        <v>194</v>
      </c>
      <c r="B17" s="75">
        <v>713.6</v>
      </c>
      <c r="C17" s="73">
        <v>4.0999999999999996</v>
      </c>
      <c r="D17" s="8">
        <f>+B17*C17</f>
        <v>2925.7599999999998</v>
      </c>
      <c r="E17" s="8">
        <f>D17</f>
        <v>2925.7599999999998</v>
      </c>
      <c r="F17" s="8">
        <f>E17</f>
        <v>2925.7599999999998</v>
      </c>
      <c r="G17" s="8">
        <f>+F17</f>
        <v>2925.7599999999998</v>
      </c>
      <c r="H17" s="8">
        <f>+G17</f>
        <v>2925.7599999999998</v>
      </c>
      <c r="I17" s="74">
        <v>0</v>
      </c>
      <c r="J17" s="6">
        <f>+B17+I17</f>
        <v>713.6</v>
      </c>
      <c r="K17" s="8">
        <f>+C17*J17</f>
        <v>2925.7599999999998</v>
      </c>
      <c r="L17" s="6">
        <f>M17-J17</f>
        <v>0.39999999999997726</v>
      </c>
      <c r="M17" s="6">
        <f>ROUND(J17*M$21/J$21,0)</f>
        <v>714</v>
      </c>
      <c r="N17" s="8">
        <f>+M17*C17</f>
        <v>2927.3999999999996</v>
      </c>
      <c r="P17" s="8">
        <f>+N17+O17</f>
        <v>2927.3999999999996</v>
      </c>
    </row>
    <row r="18" spans="1:16">
      <c r="B18" s="7"/>
      <c r="C18" s="24"/>
      <c r="D18" s="8"/>
      <c r="E18" s="8"/>
      <c r="F18" s="8"/>
      <c r="G18" s="8"/>
      <c r="H18" s="8"/>
      <c r="I18" s="11"/>
      <c r="K18" s="8"/>
      <c r="L18" s="6"/>
      <c r="N18" s="8"/>
    </row>
    <row r="19" spans="1:16">
      <c r="A19" t="s">
        <v>13</v>
      </c>
      <c r="B19" s="85">
        <v>132</v>
      </c>
      <c r="C19" s="73">
        <v>22.9</v>
      </c>
      <c r="D19" s="8">
        <f>+B19*C19</f>
        <v>3022.7999999999997</v>
      </c>
      <c r="E19" s="8">
        <f>D19</f>
        <v>3022.7999999999997</v>
      </c>
      <c r="F19" s="8">
        <f>E19</f>
        <v>3022.7999999999997</v>
      </c>
      <c r="G19" s="8">
        <f>+F19</f>
        <v>3022.7999999999997</v>
      </c>
      <c r="H19" s="8">
        <f>+G19</f>
        <v>3022.7999999999997</v>
      </c>
      <c r="I19" s="74">
        <v>0</v>
      </c>
      <c r="J19" s="6">
        <f>+B19+I19</f>
        <v>132</v>
      </c>
      <c r="K19" s="8">
        <f>+C19*J19</f>
        <v>3022.7999999999997</v>
      </c>
      <c r="L19" s="6">
        <f>M19-J19</f>
        <v>0</v>
      </c>
      <c r="M19" s="6">
        <f>ROUND(J19*M$21/J$21,0)</f>
        <v>132</v>
      </c>
      <c r="N19" s="8">
        <f>+M19*C19</f>
        <v>3022.7999999999997</v>
      </c>
      <c r="P19" s="8">
        <f>+N19+O19</f>
        <v>3022.7999999999997</v>
      </c>
    </row>
    <row r="20" spans="1:16">
      <c r="B20" s="7"/>
      <c r="D20" s="8"/>
      <c r="E20" s="8"/>
      <c r="F20" s="8"/>
      <c r="G20" s="8"/>
      <c r="H20" s="8"/>
      <c r="I20" s="6"/>
      <c r="K20" s="8"/>
      <c r="L20" s="6"/>
      <c r="N20" s="8"/>
    </row>
    <row r="21" spans="1:16">
      <c r="A21" t="s">
        <v>14</v>
      </c>
      <c r="B21" s="7">
        <f>'Monthly # of Customers'!N92</f>
        <v>132</v>
      </c>
      <c r="D21" s="8"/>
      <c r="E21" s="8"/>
      <c r="F21" s="8"/>
      <c r="G21" s="8"/>
      <c r="H21" s="8"/>
      <c r="I21" s="74">
        <v>0</v>
      </c>
      <c r="J21" s="6">
        <f>+B21+I21</f>
        <v>132</v>
      </c>
      <c r="K21" s="8"/>
      <c r="L21" s="6">
        <f>M21-J21</f>
        <v>0</v>
      </c>
      <c r="M21" s="6">
        <f>'Monthly # of Customers'!M92*12</f>
        <v>132</v>
      </c>
      <c r="N21" s="8"/>
    </row>
    <row r="22" spans="1:16">
      <c r="B22" s="7"/>
      <c r="D22" s="8"/>
      <c r="E22" s="8"/>
      <c r="F22" s="8"/>
      <c r="G22" s="8"/>
      <c r="H22" s="8"/>
      <c r="K22" s="8"/>
      <c r="N22" s="8"/>
    </row>
    <row r="23" spans="1:16">
      <c r="A23" t="str">
        <f>+RS!A27</f>
        <v xml:space="preserve">Fuel </v>
      </c>
      <c r="B23" s="7"/>
      <c r="D23" s="8">
        <f>+'B&amp;A Surcharges'!B69</f>
        <v>11947.94</v>
      </c>
      <c r="E23" s="8">
        <f>D23</f>
        <v>11947.94</v>
      </c>
      <c r="F23" s="8">
        <f>E23</f>
        <v>11947.94</v>
      </c>
      <c r="G23" s="8">
        <f>+F23</f>
        <v>11947.94</v>
      </c>
      <c r="H23" s="8">
        <f>ROUND(B15*H10,2)</f>
        <v>7886.97</v>
      </c>
      <c r="I23" s="8">
        <f>ROUND(I15*H10,0)</f>
        <v>0</v>
      </c>
      <c r="J23" s="10"/>
      <c r="K23" s="8">
        <f>+H23+I23</f>
        <v>7886.97</v>
      </c>
      <c r="L23" s="8">
        <v>0</v>
      </c>
      <c r="N23" s="8">
        <f>ROUND(H10*M15,2)</f>
        <v>7886.97</v>
      </c>
      <c r="P23" s="8">
        <f>+N23+O23</f>
        <v>7886.97</v>
      </c>
    </row>
    <row r="24" spans="1:16">
      <c r="B24" s="7"/>
      <c r="D24" s="8"/>
      <c r="E24" s="8"/>
      <c r="F24" s="8"/>
      <c r="G24" s="8"/>
      <c r="H24" s="8"/>
      <c r="I24" s="8"/>
      <c r="J24" s="10"/>
      <c r="K24" s="8"/>
      <c r="L24" s="8"/>
      <c r="N24" s="8"/>
    </row>
    <row r="25" spans="1:16">
      <c r="A25" t="str">
        <f>+RS!A29</f>
        <v>System Sales Clause</v>
      </c>
      <c r="D25" s="8">
        <f>+'B&amp;A Surcharges'!D69</f>
        <v>1401.41</v>
      </c>
      <c r="E25" s="8">
        <v>0</v>
      </c>
      <c r="F25" s="8">
        <f>E25</f>
        <v>0</v>
      </c>
      <c r="G25" s="8">
        <f>+F25</f>
        <v>0</v>
      </c>
      <c r="H25" s="8">
        <f t="shared" ref="H25" si="0">+G25</f>
        <v>0</v>
      </c>
      <c r="I25" s="8"/>
      <c r="J25" s="10"/>
      <c r="K25" s="8">
        <f>+H25+I25</f>
        <v>0</v>
      </c>
      <c r="L25" s="8"/>
      <c r="N25" s="8">
        <f>ROUND(K25*M$21/J$21,2)</f>
        <v>0</v>
      </c>
      <c r="P25" s="8">
        <f>+N25+O25</f>
        <v>0</v>
      </c>
    </row>
    <row r="26" spans="1:16">
      <c r="D26" s="8"/>
      <c r="E26" s="8"/>
      <c r="F26" s="8"/>
      <c r="G26" s="8"/>
      <c r="H26" s="8"/>
      <c r="I26" s="8"/>
      <c r="J26" s="10"/>
      <c r="K26" s="8"/>
      <c r="L26" s="8"/>
      <c r="N26" s="8"/>
    </row>
    <row r="27" spans="1:16">
      <c r="A27" t="str">
        <f>+RS!A31</f>
        <v>Environmental Surcharge</v>
      </c>
      <c r="D27" s="8">
        <f>+'B&amp;A Surcharges'!J69</f>
        <v>-1870.07</v>
      </c>
      <c r="E27" s="8">
        <f>D27</f>
        <v>-1870.07</v>
      </c>
      <c r="F27" s="8">
        <f>E27</f>
        <v>-1870.07</v>
      </c>
      <c r="G27" s="8">
        <v>0</v>
      </c>
      <c r="H27" s="8">
        <f t="shared" ref="H27" si="1">+G27</f>
        <v>0</v>
      </c>
      <c r="I27" s="95">
        <v>0</v>
      </c>
      <c r="J27" s="10"/>
      <c r="K27" s="8">
        <f>+H27+I27</f>
        <v>0</v>
      </c>
      <c r="L27" s="8">
        <v>0</v>
      </c>
      <c r="N27" s="8">
        <f>ROUND(K27*M$21/J$21,2)</f>
        <v>0</v>
      </c>
      <c r="P27" s="8">
        <f>+N27+O27</f>
        <v>0</v>
      </c>
    </row>
    <row r="28" spans="1:16">
      <c r="D28" s="8"/>
      <c r="E28" s="8"/>
      <c r="F28" s="8"/>
      <c r="G28" s="8"/>
      <c r="H28" s="8"/>
      <c r="I28" s="8"/>
      <c r="J28" s="10"/>
      <c r="K28" s="8"/>
      <c r="L28" s="8"/>
      <c r="N28" s="8"/>
    </row>
    <row r="29" spans="1:16">
      <c r="A29" t="str">
        <f>RS!A33</f>
        <v>Capacity Charge</v>
      </c>
      <c r="D29" s="8">
        <f>+'B&amp;A Surcharges'!F69</f>
        <v>3748.1099999999997</v>
      </c>
      <c r="E29" s="8">
        <f>D29</f>
        <v>3748.1099999999997</v>
      </c>
      <c r="F29" s="8">
        <v>0</v>
      </c>
      <c r="G29" s="8">
        <f>+F29</f>
        <v>0</v>
      </c>
      <c r="H29" s="8">
        <f t="shared" ref="H29" si="2">+G29</f>
        <v>0</v>
      </c>
      <c r="I29" s="10"/>
      <c r="J29" s="10"/>
      <c r="K29" s="8">
        <f>+H29+I29</f>
        <v>0</v>
      </c>
      <c r="L29" s="10"/>
      <c r="N29" s="8">
        <f>ROUND(K29*M$21/J$21,2)</f>
        <v>0</v>
      </c>
      <c r="P29" s="8">
        <f>+N29+O29</f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t="str">
        <f>RS!A35</f>
        <v>Asset Transfer Rider</v>
      </c>
      <c r="D31" s="8">
        <f>+'B&amp;A Surcharges'!N69</f>
        <v>21831.759999999995</v>
      </c>
      <c r="E31" s="8">
        <f>+D31</f>
        <v>21831.759999999995</v>
      </c>
      <c r="F31" s="8">
        <f>+E31</f>
        <v>21831.759999999995</v>
      </c>
      <c r="G31" s="8">
        <f>+F31</f>
        <v>21831.759999999995</v>
      </c>
      <c r="H31" s="8">
        <f>+G31</f>
        <v>21831.759999999995</v>
      </c>
      <c r="I31" s="10"/>
      <c r="J31" s="10"/>
      <c r="K31" s="8">
        <f>+H31+I31</f>
        <v>21831.759999999995</v>
      </c>
      <c r="L31" s="10"/>
      <c r="N31" s="8">
        <f>ROUND(K31*M$21/J$21,2)</f>
        <v>21831.759999999998</v>
      </c>
      <c r="O31" s="8">
        <f>+'ATR Adjustment WP'!G63</f>
        <v>7198.5957272063761</v>
      </c>
      <c r="P31" s="8">
        <f>+N31+O31</f>
        <v>29030.355727206374</v>
      </c>
    </row>
    <row r="32" spans="1:16">
      <c r="D32" s="8"/>
      <c r="E32" s="8"/>
      <c r="F32" s="8"/>
      <c r="G32" s="8"/>
      <c r="H32" s="8"/>
      <c r="I32" s="10"/>
      <c r="J32" s="10"/>
      <c r="K32" s="8"/>
      <c r="L32" s="10"/>
      <c r="N32" s="8"/>
    </row>
    <row r="33" spans="1:16">
      <c r="A33" t="str">
        <f>+RS!A39</f>
        <v>Total</v>
      </c>
      <c r="D33" s="8">
        <f t="shared" ref="D33:H33" si="3">SUM(D12:D32)</f>
        <v>361824.73699999996</v>
      </c>
      <c r="E33" s="8">
        <f t="shared" si="3"/>
        <v>360423.32699999999</v>
      </c>
      <c r="F33" s="8">
        <f t="shared" si="3"/>
        <v>356675.217</v>
      </c>
      <c r="G33" s="8">
        <f t="shared" si="3"/>
        <v>358545.28700000001</v>
      </c>
      <c r="H33" s="8">
        <f t="shared" si="3"/>
        <v>354484.31699999998</v>
      </c>
      <c r="I33" s="10"/>
      <c r="J33" s="10"/>
      <c r="K33" s="8">
        <f>SUM(K12:K32)</f>
        <v>354484.31699999998</v>
      </c>
      <c r="L33" s="10"/>
      <c r="M33" s="10"/>
      <c r="N33" s="8">
        <f>SUM(N12:N32)</f>
        <v>354485.95699999999</v>
      </c>
      <c r="P33" s="8">
        <f>SUM(P12:P32)</f>
        <v>361684.55272720638</v>
      </c>
    </row>
    <row r="35" spans="1:16">
      <c r="D35" s="8"/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43"/>
  <sheetViews>
    <sheetView workbookViewId="0">
      <selection activeCell="A3" sqref="A3"/>
    </sheetView>
  </sheetViews>
  <sheetFormatPr defaultRowHeight="12.75"/>
  <cols>
    <col min="1" max="1" width="31.140625" customWidth="1"/>
    <col min="2" max="2" width="9.7109375" bestFit="1" customWidth="1"/>
    <col min="3" max="3" width="7" bestFit="1" customWidth="1"/>
    <col min="4" max="6" width="10.7109375" bestFit="1" customWidth="1"/>
    <col min="7" max="7" width="12.5703125" bestFit="1" customWidth="1"/>
    <col min="8" max="8" width="11.140625" bestFit="1" customWidth="1"/>
    <col min="9" max="9" width="10.42578125" bestFit="1" customWidth="1"/>
    <col min="10" max="10" width="10.7109375" bestFit="1" customWidth="1"/>
    <col min="11" max="11" width="11.5703125" bestFit="1" customWidth="1"/>
    <col min="12" max="12" width="10.42578125" bestFit="1" customWidth="1"/>
    <col min="13" max="13" width="12.7109375" bestFit="1" customWidth="1"/>
    <col min="14" max="14" width="11.5703125" bestFit="1" customWidth="1"/>
    <col min="15" max="15" width="13.140625" bestFit="1" customWidth="1"/>
    <col min="16" max="16" width="12.7109375" bestFit="1" customWidth="1"/>
  </cols>
  <sheetData>
    <row r="1" spans="1:16">
      <c r="A1" t="str">
        <f>+RS!A1</f>
        <v>KENTUCKY POWER BILLING ANALYSIS</v>
      </c>
    </row>
    <row r="2" spans="1:16">
      <c r="A2" t="str">
        <f>+RS!A2</f>
        <v>PER BOOKS</v>
      </c>
    </row>
    <row r="3" spans="1:16">
      <c r="A3" t="str">
        <f>+RS!A3</f>
        <v>TEST YEAR ENDED SEPTEMBER 30, 2014</v>
      </c>
    </row>
    <row r="5" spans="1:16">
      <c r="A5" t="s">
        <v>142</v>
      </c>
    </row>
    <row r="6" spans="1:16">
      <c r="E6" s="37" t="s">
        <v>6</v>
      </c>
      <c r="F6" s="37" t="s">
        <v>6</v>
      </c>
      <c r="G6" s="37" t="str">
        <f>+RS!H6</f>
        <v>Revenue</v>
      </c>
      <c r="H6" s="37" t="s">
        <v>6</v>
      </c>
    </row>
    <row r="7" spans="1:16">
      <c r="E7" s="1" t="s">
        <v>244</v>
      </c>
      <c r="F7" s="1" t="s">
        <v>244</v>
      </c>
      <c r="G7" s="1" t="s">
        <v>244</v>
      </c>
      <c r="H7" s="96" t="s">
        <v>245</v>
      </c>
      <c r="O7" s="37" t="str">
        <f>+RS!S6</f>
        <v>Asset Transfer</v>
      </c>
      <c r="P7" s="37"/>
    </row>
    <row r="8" spans="1:16">
      <c r="A8" s="1"/>
      <c r="B8" s="1" t="s">
        <v>203</v>
      </c>
      <c r="C8" s="1" t="s">
        <v>4</v>
      </c>
      <c r="D8" s="1"/>
      <c r="E8" s="1" t="s">
        <v>241</v>
      </c>
      <c r="F8" s="1" t="s">
        <v>266</v>
      </c>
      <c r="G8" s="96" t="s">
        <v>204</v>
      </c>
      <c r="H8" s="1" t="s">
        <v>232</v>
      </c>
      <c r="I8" s="1" t="s">
        <v>197</v>
      </c>
      <c r="J8" s="1" t="s">
        <v>197</v>
      </c>
      <c r="K8" s="1" t="s">
        <v>201</v>
      </c>
      <c r="L8" s="1" t="s">
        <v>234</v>
      </c>
      <c r="M8" s="1" t="s">
        <v>232</v>
      </c>
      <c r="N8" s="1" t="s">
        <v>233</v>
      </c>
      <c r="O8" s="1" t="str">
        <f>+RS!S7</f>
        <v>Rider</v>
      </c>
      <c r="P8" s="1" t="str">
        <f>+RS!T7</f>
        <v>Revised</v>
      </c>
    </row>
    <row r="9" spans="1:16">
      <c r="A9" s="3" t="s">
        <v>1</v>
      </c>
      <c r="B9" s="3" t="s">
        <v>18</v>
      </c>
      <c r="C9" s="3" t="s">
        <v>5</v>
      </c>
      <c r="D9" s="3" t="s">
        <v>6</v>
      </c>
      <c r="E9" s="3" t="s">
        <v>242</v>
      </c>
      <c r="F9" s="3" t="s">
        <v>254</v>
      </c>
      <c r="G9" s="3" t="str">
        <f>+RS!H8</f>
        <v>Surcharge</v>
      </c>
      <c r="H9" s="3" t="s">
        <v>154</v>
      </c>
      <c r="I9" s="3" t="s">
        <v>198</v>
      </c>
      <c r="J9" s="3" t="s">
        <v>18</v>
      </c>
      <c r="K9" s="3" t="s">
        <v>6</v>
      </c>
      <c r="L9" s="3" t="s">
        <v>198</v>
      </c>
      <c r="M9" s="3" t="s">
        <v>18</v>
      </c>
      <c r="N9" s="3" t="s">
        <v>6</v>
      </c>
      <c r="O9" s="3" t="str">
        <f>+RS!S8</f>
        <v>Adjustment</v>
      </c>
      <c r="P9" s="3" t="str">
        <f>+RS!T8</f>
        <v>Revenue</v>
      </c>
    </row>
    <row r="10" spans="1:16">
      <c r="A10" s="2" t="s">
        <v>7</v>
      </c>
      <c r="B10" s="2" t="s">
        <v>8</v>
      </c>
      <c r="C10" s="2" t="s">
        <v>9</v>
      </c>
      <c r="D10" s="2" t="s">
        <v>307</v>
      </c>
      <c r="E10" s="2" t="s">
        <v>308</v>
      </c>
      <c r="F10" s="2" t="s">
        <v>10</v>
      </c>
      <c r="G10" s="2" t="s">
        <v>309</v>
      </c>
      <c r="H10" s="1" t="s">
        <v>199</v>
      </c>
      <c r="I10" s="1" t="s">
        <v>226</v>
      </c>
      <c r="J10" s="96" t="s">
        <v>379</v>
      </c>
      <c r="K10" s="96" t="s">
        <v>380</v>
      </c>
      <c r="L10" s="98" t="s">
        <v>381</v>
      </c>
      <c r="M10" s="98" t="s">
        <v>382</v>
      </c>
      <c r="N10" s="98" t="s">
        <v>383</v>
      </c>
      <c r="O10" s="98" t="s">
        <v>371</v>
      </c>
      <c r="P10" s="96" t="s">
        <v>412</v>
      </c>
    </row>
    <row r="11" spans="1:16">
      <c r="H11" s="39">
        <f>RS!$I$10</f>
        <v>2.0411219651722302E-3</v>
      </c>
    </row>
    <row r="12" spans="1:16">
      <c r="D12" s="10"/>
      <c r="E12" s="11"/>
      <c r="F12" s="11"/>
      <c r="G12" s="11"/>
      <c r="H12" s="11"/>
    </row>
    <row r="13" spans="1:16">
      <c r="A13" t="s">
        <v>31</v>
      </c>
      <c r="D13" s="10"/>
      <c r="E13" s="11"/>
      <c r="F13" s="11"/>
      <c r="G13" s="11"/>
      <c r="H13" s="11"/>
      <c r="I13" s="6"/>
      <c r="J13" s="6"/>
      <c r="K13" s="10"/>
      <c r="M13" s="25"/>
    </row>
    <row r="14" spans="1:16">
      <c r="A14" t="s">
        <v>143</v>
      </c>
      <c r="B14" s="77">
        <v>93105.571999999986</v>
      </c>
      <c r="C14" s="73">
        <v>7.25</v>
      </c>
      <c r="D14" s="8">
        <f>+B14*C14</f>
        <v>675015.39699999988</v>
      </c>
      <c r="E14" s="8">
        <f t="shared" ref="E14:F17" si="0">D14</f>
        <v>675015.39699999988</v>
      </c>
      <c r="F14" s="8">
        <f t="shared" si="0"/>
        <v>675015.39699999988</v>
      </c>
      <c r="G14" s="8">
        <f>+F14</f>
        <v>675015.39699999988</v>
      </c>
      <c r="H14" s="8">
        <f>+G14</f>
        <v>675015.39699999988</v>
      </c>
      <c r="I14" s="74">
        <v>0</v>
      </c>
      <c r="J14" s="6">
        <f>+B14+I14</f>
        <v>93105.571999999986</v>
      </c>
      <c r="K14" s="8">
        <f>+C14*J14</f>
        <v>675015.39699999988</v>
      </c>
      <c r="L14" s="26">
        <f>+M14-B14</f>
        <v>2834.6320000000123</v>
      </c>
      <c r="M14" s="25">
        <f>+'Annual Adj SL'!D15*12</f>
        <v>95940.203999999998</v>
      </c>
      <c r="N14" s="8">
        <f>+M14*C14</f>
        <v>695566.47899999993</v>
      </c>
      <c r="P14" s="8">
        <f>+N14+O14</f>
        <v>695566.47899999993</v>
      </c>
    </row>
    <row r="15" spans="1:16">
      <c r="A15" t="s">
        <v>144</v>
      </c>
      <c r="B15" s="77">
        <v>1376.712</v>
      </c>
      <c r="C15" s="73">
        <v>8.3000000000000007</v>
      </c>
      <c r="D15" s="8">
        <f>+B15*C15</f>
        <v>11426.7096</v>
      </c>
      <c r="E15" s="8">
        <f t="shared" si="0"/>
        <v>11426.7096</v>
      </c>
      <c r="F15" s="8">
        <f t="shared" si="0"/>
        <v>11426.7096</v>
      </c>
      <c r="G15" s="8">
        <f t="shared" ref="G15:G17" si="1">+F15</f>
        <v>11426.7096</v>
      </c>
      <c r="H15" s="8">
        <f t="shared" ref="H15:H17" si="2">+G15</f>
        <v>11426.7096</v>
      </c>
      <c r="I15" s="74">
        <v>0</v>
      </c>
      <c r="J15" s="6">
        <f>+B15+I15</f>
        <v>1376.712</v>
      </c>
      <c r="K15" s="8">
        <f>+C15*J15</f>
        <v>11426.7096</v>
      </c>
      <c r="L15" s="26">
        <f>+M15-B15</f>
        <v>-339.15599999999995</v>
      </c>
      <c r="M15" s="25">
        <f>+'Annual Adj SL'!D16*12</f>
        <v>1037.556</v>
      </c>
      <c r="N15" s="8">
        <f>+M15*C15</f>
        <v>8611.7148000000016</v>
      </c>
      <c r="P15" s="8">
        <f t="shared" ref="P15:P17" si="3">+N15+O15</f>
        <v>8611.7148000000016</v>
      </c>
    </row>
    <row r="16" spans="1:16">
      <c r="A16" t="s">
        <v>145</v>
      </c>
      <c r="B16" s="77">
        <v>28539.814000000002</v>
      </c>
      <c r="C16" s="73">
        <v>10.3</v>
      </c>
      <c r="D16" s="8">
        <f>+B16*C16</f>
        <v>293960.08420000004</v>
      </c>
      <c r="E16" s="8">
        <f t="shared" si="0"/>
        <v>293960.08420000004</v>
      </c>
      <c r="F16" s="8">
        <f t="shared" si="0"/>
        <v>293960.08420000004</v>
      </c>
      <c r="G16" s="8">
        <f t="shared" si="1"/>
        <v>293960.08420000004</v>
      </c>
      <c r="H16" s="8">
        <f t="shared" si="2"/>
        <v>293960.08420000004</v>
      </c>
      <c r="I16" s="74">
        <v>0</v>
      </c>
      <c r="J16" s="6">
        <f>+B16+I16</f>
        <v>28539.814000000002</v>
      </c>
      <c r="K16" s="8">
        <f>+C16*J16</f>
        <v>293960.08420000004</v>
      </c>
      <c r="L16" s="26">
        <f>+M16-B16</f>
        <v>328.59799999999814</v>
      </c>
      <c r="M16" s="25">
        <f>+'Annual Adj SL'!D17*12</f>
        <v>28868.412</v>
      </c>
      <c r="N16" s="8">
        <f>+M16*C16</f>
        <v>297344.64360000001</v>
      </c>
      <c r="P16" s="8">
        <f t="shared" si="3"/>
        <v>297344.64360000001</v>
      </c>
    </row>
    <row r="17" spans="1:16">
      <c r="A17" t="s">
        <v>146</v>
      </c>
      <c r="B17" s="77">
        <v>6332.7509999999993</v>
      </c>
      <c r="C17" s="73">
        <v>16.05</v>
      </c>
      <c r="D17" s="8">
        <f>+B17*C17</f>
        <v>101640.65354999999</v>
      </c>
      <c r="E17" s="8">
        <f t="shared" si="0"/>
        <v>101640.65354999999</v>
      </c>
      <c r="F17" s="8">
        <f t="shared" si="0"/>
        <v>101640.65354999999</v>
      </c>
      <c r="G17" s="8">
        <f t="shared" si="1"/>
        <v>101640.65354999999</v>
      </c>
      <c r="H17" s="8">
        <f t="shared" si="2"/>
        <v>101640.65354999999</v>
      </c>
      <c r="I17" s="74">
        <v>0</v>
      </c>
      <c r="J17" s="6">
        <f>+B17+I17</f>
        <v>6332.7509999999993</v>
      </c>
      <c r="K17" s="8">
        <f>+C17*J17</f>
        <v>101640.65354999999</v>
      </c>
      <c r="L17" s="26">
        <f>+M17-B17</f>
        <v>-630.60300000000007</v>
      </c>
      <c r="M17" s="25">
        <f>+'Annual Adj SL'!D18*12</f>
        <v>5702.1479999999992</v>
      </c>
      <c r="N17" s="8">
        <f>+M17*C17</f>
        <v>91519.475399999996</v>
      </c>
      <c r="P17" s="8">
        <f t="shared" si="3"/>
        <v>91519.475399999996</v>
      </c>
    </row>
    <row r="18" spans="1:16">
      <c r="B18" s="25"/>
      <c r="C18" s="24"/>
      <c r="D18" s="8"/>
      <c r="E18" s="8"/>
      <c r="F18" s="8"/>
      <c r="G18" s="8"/>
      <c r="H18" s="8"/>
      <c r="I18" s="10"/>
      <c r="J18" s="10"/>
      <c r="K18" s="8"/>
      <c r="N18" s="8"/>
    </row>
    <row r="19" spans="1:16">
      <c r="A19" t="s">
        <v>229</v>
      </c>
      <c r="B19" s="25"/>
      <c r="C19" s="24"/>
      <c r="D19" s="8"/>
      <c r="E19" s="8"/>
      <c r="F19" s="8"/>
      <c r="G19" s="8"/>
      <c r="H19" s="8"/>
      <c r="I19" s="10"/>
      <c r="J19" s="10"/>
      <c r="K19" s="8"/>
      <c r="N19" s="8"/>
    </row>
    <row r="20" spans="1:16">
      <c r="A20" t="s">
        <v>143</v>
      </c>
      <c r="B20" s="77">
        <v>5508.5389999999998</v>
      </c>
      <c r="C20" s="73">
        <v>10.25</v>
      </c>
      <c r="D20" s="8">
        <f>+B20*C20</f>
        <v>56462.524749999997</v>
      </c>
      <c r="E20" s="8">
        <f t="shared" ref="E20:F23" si="4">D20</f>
        <v>56462.524749999997</v>
      </c>
      <c r="F20" s="8">
        <f t="shared" si="4"/>
        <v>56462.524749999997</v>
      </c>
      <c r="G20" s="8">
        <f t="shared" ref="G20:G23" si="5">+F20</f>
        <v>56462.524749999997</v>
      </c>
      <c r="H20" s="8">
        <f t="shared" ref="H20:H23" si="6">+G20</f>
        <v>56462.524749999997</v>
      </c>
      <c r="I20" s="74">
        <v>0</v>
      </c>
      <c r="J20" s="6">
        <f>+B20+I20</f>
        <v>5508.5389999999998</v>
      </c>
      <c r="K20" s="8">
        <f>+C20*J20</f>
        <v>56462.524749999997</v>
      </c>
      <c r="L20" s="26">
        <f>+M20-B20</f>
        <v>-889.25900000000001</v>
      </c>
      <c r="M20" s="25">
        <f>+'Annual Adj SL'!D21*12</f>
        <v>4619.28</v>
      </c>
      <c r="N20" s="8">
        <f>+M20*C20</f>
        <v>47347.619999999995</v>
      </c>
      <c r="P20" s="8">
        <f t="shared" ref="P20:P23" si="7">+N20+O20</f>
        <v>47347.619999999995</v>
      </c>
    </row>
    <row r="21" spans="1:16">
      <c r="A21" t="s">
        <v>144</v>
      </c>
      <c r="B21" s="77">
        <v>340.73899999999998</v>
      </c>
      <c r="C21" s="73">
        <v>11.4</v>
      </c>
      <c r="D21" s="8">
        <f>+B21*C21</f>
        <v>3884.4245999999998</v>
      </c>
      <c r="E21" s="8">
        <f t="shared" si="4"/>
        <v>3884.4245999999998</v>
      </c>
      <c r="F21" s="8">
        <f t="shared" si="4"/>
        <v>3884.4245999999998</v>
      </c>
      <c r="G21" s="8">
        <f t="shared" si="5"/>
        <v>3884.4245999999998</v>
      </c>
      <c r="H21" s="8">
        <f t="shared" si="6"/>
        <v>3884.4245999999998</v>
      </c>
      <c r="I21" s="74">
        <v>0</v>
      </c>
      <c r="J21" s="6">
        <f>+B21+I21</f>
        <v>340.73899999999998</v>
      </c>
      <c r="K21" s="8">
        <f>+C21*J21</f>
        <v>3884.4245999999998</v>
      </c>
      <c r="L21" s="26">
        <f>+M21-B21</f>
        <v>-99.118999999999971</v>
      </c>
      <c r="M21" s="25">
        <f>+'Annual Adj SL'!D22*12</f>
        <v>241.62</v>
      </c>
      <c r="N21" s="8">
        <f>+M21*C21</f>
        <v>2754.4680000000003</v>
      </c>
      <c r="P21" s="8">
        <f t="shared" si="7"/>
        <v>2754.4680000000003</v>
      </c>
    </row>
    <row r="22" spans="1:16">
      <c r="A22" t="s">
        <v>145</v>
      </c>
      <c r="B22" s="77">
        <v>6379.4470000000001</v>
      </c>
      <c r="C22" s="73">
        <v>13.15</v>
      </c>
      <c r="D22" s="8">
        <f>+B22*C22</f>
        <v>83889.728050000005</v>
      </c>
      <c r="E22" s="8">
        <f t="shared" si="4"/>
        <v>83889.728050000005</v>
      </c>
      <c r="F22" s="8">
        <f t="shared" si="4"/>
        <v>83889.728050000005</v>
      </c>
      <c r="G22" s="8">
        <f t="shared" si="5"/>
        <v>83889.728050000005</v>
      </c>
      <c r="H22" s="8">
        <f t="shared" si="6"/>
        <v>83889.728050000005</v>
      </c>
      <c r="I22" s="74">
        <v>0</v>
      </c>
      <c r="J22" s="6">
        <f>+B22+I22</f>
        <v>6379.4470000000001</v>
      </c>
      <c r="K22" s="8">
        <f>+C22*J22</f>
        <v>83889.728050000005</v>
      </c>
      <c r="L22" s="26">
        <f>+M22-B22</f>
        <v>-1333.7709999999997</v>
      </c>
      <c r="M22" s="25">
        <f>+'Annual Adj SL'!D23*12</f>
        <v>5045.6760000000004</v>
      </c>
      <c r="N22" s="8">
        <f>+M22*C22</f>
        <v>66350.6394</v>
      </c>
      <c r="P22" s="8">
        <f t="shared" si="7"/>
        <v>66350.6394</v>
      </c>
    </row>
    <row r="23" spans="1:16">
      <c r="A23" t="s">
        <v>146</v>
      </c>
      <c r="B23" s="77">
        <v>1412.181</v>
      </c>
      <c r="C23" s="73">
        <v>18.45</v>
      </c>
      <c r="D23" s="8">
        <f>+B23*C23</f>
        <v>26054.739450000001</v>
      </c>
      <c r="E23" s="8">
        <f t="shared" si="4"/>
        <v>26054.739450000001</v>
      </c>
      <c r="F23" s="8">
        <f t="shared" si="4"/>
        <v>26054.739450000001</v>
      </c>
      <c r="G23" s="8">
        <f t="shared" si="5"/>
        <v>26054.739450000001</v>
      </c>
      <c r="H23" s="8">
        <f t="shared" si="6"/>
        <v>26054.739450000001</v>
      </c>
      <c r="I23" s="74">
        <v>0</v>
      </c>
      <c r="J23" s="6">
        <f>+B23+I23</f>
        <v>1412.181</v>
      </c>
      <c r="K23" s="8">
        <f>+C23*J23</f>
        <v>26054.739450000001</v>
      </c>
      <c r="L23" s="26">
        <f>+M23-B23</f>
        <v>-457.221</v>
      </c>
      <c r="M23" s="25">
        <f>+'Annual Adj SL'!D24*12</f>
        <v>954.96</v>
      </c>
      <c r="N23" s="8">
        <f>+M23*C23</f>
        <v>17619.011999999999</v>
      </c>
      <c r="P23" s="8">
        <f t="shared" si="7"/>
        <v>17619.011999999999</v>
      </c>
    </row>
    <row r="24" spans="1:16">
      <c r="B24" s="25"/>
      <c r="C24" s="24"/>
      <c r="D24" s="8"/>
      <c r="E24" s="8"/>
      <c r="F24" s="8"/>
      <c r="G24" s="8"/>
      <c r="H24" s="8"/>
      <c r="I24" s="10"/>
      <c r="J24" s="10"/>
      <c r="K24" s="8"/>
      <c r="L24" s="10"/>
      <c r="N24" s="8"/>
    </row>
    <row r="25" spans="1:16">
      <c r="A25" t="s">
        <v>147</v>
      </c>
      <c r="B25" s="25"/>
      <c r="C25" s="24"/>
      <c r="D25" s="8"/>
      <c r="E25" s="8"/>
      <c r="F25" s="8"/>
      <c r="G25" s="8"/>
      <c r="H25" s="8"/>
      <c r="I25" s="10"/>
      <c r="J25" s="10"/>
      <c r="K25" s="8"/>
      <c r="N25" s="8"/>
    </row>
    <row r="26" spans="1:16">
      <c r="A26" s="5" t="s">
        <v>143</v>
      </c>
      <c r="B26" s="77">
        <v>0</v>
      </c>
      <c r="C26" s="73">
        <v>18.899999999999999</v>
      </c>
      <c r="D26" s="8">
        <f>+B26*C26</f>
        <v>0</v>
      </c>
      <c r="E26" s="8">
        <f t="shared" ref="E26:F29" si="8">D26</f>
        <v>0</v>
      </c>
      <c r="F26" s="8">
        <f t="shared" si="8"/>
        <v>0</v>
      </c>
      <c r="G26" s="8">
        <f t="shared" ref="G26:G29" si="9">+F26</f>
        <v>0</v>
      </c>
      <c r="H26" s="8">
        <f t="shared" ref="H26:H29" si="10">+G26</f>
        <v>0</v>
      </c>
      <c r="I26" s="74">
        <v>0</v>
      </c>
      <c r="J26" s="6">
        <f>+B26+I26</f>
        <v>0</v>
      </c>
      <c r="K26" s="8">
        <f>+C26*J26</f>
        <v>0</v>
      </c>
      <c r="L26" s="26">
        <f>+M26-B26</f>
        <v>0</v>
      </c>
      <c r="M26" s="25">
        <f>+'Annual Adj SL'!D27*12</f>
        <v>0</v>
      </c>
      <c r="N26" s="8">
        <f>+M26*C26</f>
        <v>0</v>
      </c>
      <c r="P26" s="8">
        <f t="shared" ref="P26:P29" si="11">+N26+O26</f>
        <v>0</v>
      </c>
    </row>
    <row r="27" spans="1:16">
      <c r="A27" s="5" t="s">
        <v>144</v>
      </c>
      <c r="B27" s="77">
        <v>0</v>
      </c>
      <c r="C27" s="73">
        <v>19.850000000000001</v>
      </c>
      <c r="D27" s="8">
        <f>+B27*C27</f>
        <v>0</v>
      </c>
      <c r="E27" s="8">
        <f t="shared" si="8"/>
        <v>0</v>
      </c>
      <c r="F27" s="8">
        <f t="shared" si="8"/>
        <v>0</v>
      </c>
      <c r="G27" s="8">
        <f t="shared" si="9"/>
        <v>0</v>
      </c>
      <c r="H27" s="8">
        <f t="shared" si="10"/>
        <v>0</v>
      </c>
      <c r="I27" s="74">
        <v>0</v>
      </c>
      <c r="J27" s="6">
        <f>+B27+I27</f>
        <v>0</v>
      </c>
      <c r="K27" s="8">
        <f>+C27*J27</f>
        <v>0</v>
      </c>
      <c r="L27" s="26">
        <f>+M27-B27</f>
        <v>0</v>
      </c>
      <c r="M27" s="25">
        <f>+'Annual Adj SL'!D28*12</f>
        <v>0</v>
      </c>
      <c r="N27" s="8">
        <f>+M27*C27</f>
        <v>0</v>
      </c>
      <c r="P27" s="8">
        <f t="shared" si="11"/>
        <v>0</v>
      </c>
    </row>
    <row r="28" spans="1:16">
      <c r="A28" s="5" t="s">
        <v>145</v>
      </c>
      <c r="B28" s="77">
        <v>1123.5930000000001</v>
      </c>
      <c r="C28" s="73">
        <v>25.25</v>
      </c>
      <c r="D28" s="8">
        <f>+B28*C28</f>
        <v>28370.723250000003</v>
      </c>
      <c r="E28" s="8">
        <f t="shared" si="8"/>
        <v>28370.723250000003</v>
      </c>
      <c r="F28" s="8">
        <f t="shared" si="8"/>
        <v>28370.723250000003</v>
      </c>
      <c r="G28" s="8">
        <f t="shared" si="9"/>
        <v>28370.723250000003</v>
      </c>
      <c r="H28" s="8">
        <f t="shared" si="10"/>
        <v>28370.723250000003</v>
      </c>
      <c r="I28" s="74">
        <v>0</v>
      </c>
      <c r="J28" s="6">
        <f>+B28+I28</f>
        <v>1123.5930000000001</v>
      </c>
      <c r="K28" s="8">
        <f>+C28*J28</f>
        <v>28370.723250000003</v>
      </c>
      <c r="L28" s="26">
        <f>+M28-B28</f>
        <v>-43.389000000000124</v>
      </c>
      <c r="M28" s="25">
        <f>+'Annual Adj SL'!D29*12</f>
        <v>1080.204</v>
      </c>
      <c r="N28" s="8">
        <f>+M28*C28</f>
        <v>27275.150999999998</v>
      </c>
      <c r="P28" s="8">
        <f t="shared" si="11"/>
        <v>27275.150999999998</v>
      </c>
    </row>
    <row r="29" spans="1:16">
      <c r="A29" s="5" t="s">
        <v>146</v>
      </c>
      <c r="B29" s="77">
        <v>783.74900000000014</v>
      </c>
      <c r="C29" s="73">
        <v>27.45</v>
      </c>
      <c r="D29" s="8">
        <f>+B29*C29</f>
        <v>21513.910050000002</v>
      </c>
      <c r="E29" s="8">
        <f t="shared" si="8"/>
        <v>21513.910050000002</v>
      </c>
      <c r="F29" s="8">
        <f t="shared" si="8"/>
        <v>21513.910050000002</v>
      </c>
      <c r="G29" s="8">
        <f t="shared" si="9"/>
        <v>21513.910050000002</v>
      </c>
      <c r="H29" s="8">
        <f t="shared" si="10"/>
        <v>21513.910050000002</v>
      </c>
      <c r="I29" s="74">
        <v>0</v>
      </c>
      <c r="J29" s="6">
        <f>+B29+I29</f>
        <v>783.74900000000014</v>
      </c>
      <c r="K29" s="8">
        <f>+C29*J29</f>
        <v>21513.910050000002</v>
      </c>
      <c r="L29" s="26">
        <f>+M29-B29</f>
        <v>-783.74900000000014</v>
      </c>
      <c r="M29" s="25">
        <f>+'Annual Adj SL'!D30*12</f>
        <v>0</v>
      </c>
      <c r="N29" s="8">
        <f>+M29*C29</f>
        <v>0</v>
      </c>
      <c r="P29" s="8">
        <f t="shared" si="11"/>
        <v>0</v>
      </c>
    </row>
    <row r="30" spans="1:16">
      <c r="D30" s="8"/>
      <c r="E30" s="8"/>
      <c r="F30" s="8"/>
      <c r="G30" s="8"/>
      <c r="H30" s="8"/>
      <c r="I30" s="10"/>
      <c r="J30" s="10"/>
      <c r="K30" s="8"/>
      <c r="L30" s="10"/>
      <c r="N30" s="8"/>
    </row>
    <row r="31" spans="1:16">
      <c r="A31" t="s">
        <v>12</v>
      </c>
      <c r="B31" s="6">
        <f>+'12 Months TS'!E111</f>
        <v>8537689</v>
      </c>
      <c r="D31" s="8"/>
      <c r="E31" s="8"/>
      <c r="F31" s="8"/>
      <c r="G31" s="8"/>
      <c r="H31" s="8"/>
      <c r="I31" s="10"/>
      <c r="J31" s="10"/>
      <c r="K31" s="8"/>
      <c r="L31" s="26">
        <f>'Annual Adj SL'!G32</f>
        <v>-347607</v>
      </c>
      <c r="M31" s="6">
        <f>+B31+L31</f>
        <v>8190082</v>
      </c>
      <c r="N31" s="8"/>
    </row>
    <row r="32" spans="1:16">
      <c r="B32" s="26"/>
      <c r="D32" s="8"/>
      <c r="E32" s="8"/>
      <c r="F32" s="8"/>
      <c r="G32" s="8"/>
      <c r="H32" s="8"/>
      <c r="I32" s="10"/>
      <c r="J32" s="10"/>
      <c r="K32" s="8"/>
      <c r="N32" s="8"/>
    </row>
    <row r="33" spans="1:16">
      <c r="A33" t="str">
        <f>+RS!A27</f>
        <v xml:space="preserve">Fuel </v>
      </c>
      <c r="B33" s="29"/>
      <c r="D33" s="8">
        <f>+'B&amp;A Surcharges'!B67</f>
        <v>21875.18</v>
      </c>
      <c r="E33" s="8">
        <f>D33</f>
        <v>21875.18</v>
      </c>
      <c r="F33" s="8">
        <f>E33</f>
        <v>21875.18</v>
      </c>
      <c r="G33" s="8">
        <f>+F33</f>
        <v>21875.18</v>
      </c>
      <c r="H33" s="8">
        <f>ROUND(B31*H11,2)</f>
        <v>17426.46</v>
      </c>
      <c r="I33" s="8">
        <v>0</v>
      </c>
      <c r="J33" s="8"/>
      <c r="K33" s="8">
        <f>+H33+I33</f>
        <v>17426.46</v>
      </c>
      <c r="L33" s="8">
        <f>N33-K33</f>
        <v>-709.5</v>
      </c>
      <c r="M33" s="8"/>
      <c r="N33" s="8">
        <f>ROUND(M31*H11,2)</f>
        <v>16716.96</v>
      </c>
      <c r="P33" s="8">
        <f>+N33+O33</f>
        <v>16716.96</v>
      </c>
    </row>
    <row r="34" spans="1:16">
      <c r="D34" s="8"/>
      <c r="E34" s="8"/>
      <c r="F34" s="8"/>
      <c r="G34" s="8"/>
      <c r="H34" s="8"/>
      <c r="I34" s="8"/>
      <c r="J34" s="8"/>
      <c r="K34" s="8"/>
      <c r="N34" s="8"/>
    </row>
    <row r="35" spans="1:16">
      <c r="A35" t="str">
        <f>+RS!A29</f>
        <v>System Sales Clause</v>
      </c>
      <c r="D35" s="8">
        <f>+'B&amp;A Surcharges'!D67</f>
        <v>3780.7</v>
      </c>
      <c r="E35" s="8">
        <v>0</v>
      </c>
      <c r="F35" s="8">
        <f>E35</f>
        <v>0</v>
      </c>
      <c r="G35" s="8">
        <f>+F35</f>
        <v>0</v>
      </c>
      <c r="H35" s="8">
        <f t="shared" ref="H35" si="12">+G35</f>
        <v>0</v>
      </c>
      <c r="I35" s="8"/>
      <c r="J35" s="8"/>
      <c r="K35" s="8">
        <f>+H35+I35</f>
        <v>0</v>
      </c>
      <c r="L35" s="8"/>
      <c r="N35" s="8">
        <f>ROUND(M$31*K35/B$31,2)</f>
        <v>0</v>
      </c>
      <c r="P35" s="8">
        <f>+N35+O35</f>
        <v>0</v>
      </c>
    </row>
    <row r="36" spans="1:16">
      <c r="D36" s="8"/>
      <c r="E36" s="8"/>
      <c r="F36" s="8"/>
      <c r="G36" s="8"/>
      <c r="H36" s="8"/>
      <c r="I36" s="8"/>
      <c r="J36" s="8"/>
      <c r="K36" s="8"/>
      <c r="N36" s="8"/>
    </row>
    <row r="37" spans="1:16">
      <c r="A37" t="str">
        <f>+RS!A31</f>
        <v>Environmental Surcharge</v>
      </c>
      <c r="D37" s="8">
        <f>+'B&amp;A Surcharges'!J67</f>
        <v>-6986</v>
      </c>
      <c r="E37" s="8">
        <f>D37</f>
        <v>-6986</v>
      </c>
      <c r="F37" s="8">
        <f>E37</f>
        <v>-6986</v>
      </c>
      <c r="G37" s="8">
        <v>0</v>
      </c>
      <c r="H37" s="8">
        <f t="shared" ref="H37" si="13">+G37</f>
        <v>0</v>
      </c>
      <c r="I37" s="95">
        <v>0</v>
      </c>
      <c r="J37" s="8"/>
      <c r="K37" s="8">
        <f>+H37+I37</f>
        <v>0</v>
      </c>
      <c r="L37" s="8">
        <f>N37-K37</f>
        <v>0</v>
      </c>
      <c r="M37" s="8"/>
      <c r="N37" s="8">
        <f>SUM(N14:N35,N39:N42)/(K43-K37)*K37</f>
        <v>0</v>
      </c>
      <c r="P37" s="8">
        <f>+N37+O37</f>
        <v>0</v>
      </c>
    </row>
    <row r="38" spans="1:16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6">
      <c r="A39" t="str">
        <f>RS!A33</f>
        <v>Capacity Charge</v>
      </c>
      <c r="D39" s="8">
        <f>+'B&amp;A Surcharges'!F67</f>
        <v>8281.56</v>
      </c>
      <c r="E39" s="8">
        <f>D39</f>
        <v>8281.56</v>
      </c>
      <c r="F39" s="8">
        <v>0</v>
      </c>
      <c r="G39" s="8">
        <f>+F39</f>
        <v>0</v>
      </c>
      <c r="H39" s="8">
        <f t="shared" ref="H39" si="14">+G39</f>
        <v>0</v>
      </c>
      <c r="I39" s="8"/>
      <c r="J39" s="8"/>
      <c r="K39" s="8">
        <f>+H39+I39</f>
        <v>0</v>
      </c>
      <c r="L39" s="8"/>
      <c r="N39" s="8">
        <f>ROUND(M$31*K39/B$31,2)</f>
        <v>0</v>
      </c>
      <c r="P39" s="8">
        <f>+N39+O39</f>
        <v>0</v>
      </c>
    </row>
    <row r="40" spans="1:16">
      <c r="D40" s="8"/>
      <c r="E40" s="8"/>
      <c r="F40" s="8"/>
      <c r="G40" s="8"/>
      <c r="H40" s="8"/>
      <c r="I40" s="8"/>
      <c r="J40" s="8"/>
      <c r="K40" s="8"/>
      <c r="L40" s="8"/>
      <c r="N40" s="8"/>
    </row>
    <row r="41" spans="1:16">
      <c r="A41" t="str">
        <f>RS!A35</f>
        <v>Asset Transfer Rider</v>
      </c>
      <c r="D41" s="8">
        <f>+'B&amp;A Surcharges'!N67</f>
        <v>108637.68</v>
      </c>
      <c r="E41" s="8">
        <f>D41</f>
        <v>108637.68</v>
      </c>
      <c r="F41" s="8">
        <f>E41</f>
        <v>108637.68</v>
      </c>
      <c r="G41" s="8">
        <f>+F41</f>
        <v>108637.68</v>
      </c>
      <c r="H41" s="8">
        <f t="shared" ref="H41" si="15">+G41</f>
        <v>108637.68</v>
      </c>
      <c r="I41" s="95">
        <v>0</v>
      </c>
      <c r="J41" s="8"/>
      <c r="K41" s="8">
        <f>+H41+I41</f>
        <v>108637.68</v>
      </c>
      <c r="L41" s="8">
        <f>N41-K41</f>
        <v>-3995.9108058286802</v>
      </c>
      <c r="N41" s="8">
        <f>SUM(N14:N35,N39:N40)/(K43-K41)*K41</f>
        <v>104641.76919417131</v>
      </c>
      <c r="O41" s="8">
        <f>+'ATR Adjustment WP'!G61</f>
        <v>34503.57610236085</v>
      </c>
      <c r="P41" s="8">
        <f>+N41+O41</f>
        <v>139145.34529653215</v>
      </c>
    </row>
    <row r="42" spans="1:16">
      <c r="D42" s="8"/>
      <c r="E42" s="8"/>
      <c r="F42" s="8"/>
      <c r="G42" s="8"/>
      <c r="H42" s="8"/>
      <c r="I42" s="8"/>
      <c r="J42" s="8"/>
      <c r="K42" s="8"/>
      <c r="N42" s="8"/>
    </row>
    <row r="43" spans="1:16">
      <c r="A43" t="str">
        <f>+RS!A39</f>
        <v>Total</v>
      </c>
      <c r="D43" s="8">
        <f t="shared" ref="D43:H43" si="16">SUM(D14:D42)</f>
        <v>1437808.0145</v>
      </c>
      <c r="E43" s="8">
        <f t="shared" si="16"/>
        <v>1434027.3145000001</v>
      </c>
      <c r="F43" s="8">
        <f t="shared" si="16"/>
        <v>1425745.7545</v>
      </c>
      <c r="G43" s="8">
        <f t="shared" si="16"/>
        <v>1432731.7545</v>
      </c>
      <c r="H43" s="8">
        <f t="shared" si="16"/>
        <v>1428283.0345000001</v>
      </c>
      <c r="I43" s="10"/>
      <c r="J43" s="10"/>
      <c r="K43" s="8">
        <f>SUM(K14:K42)</f>
        <v>1428283.0345000001</v>
      </c>
      <c r="M43" s="8"/>
      <c r="N43" s="8">
        <f>SUM(N14:N42)</f>
        <v>1375747.9323941716</v>
      </c>
      <c r="P43" s="8">
        <f>SUM(P14:P42)</f>
        <v>1410251.5084965324</v>
      </c>
    </row>
  </sheetData>
  <phoneticPr fontId="0" type="noConversion"/>
  <printOptions horizontalCentered="1"/>
  <pageMargins left="0.25" right="0.25" top="0.75" bottom="0.75" header="0.3" footer="0.3"/>
  <pageSetup scale="6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8"/>
  <sheetViews>
    <sheetView workbookViewId="0">
      <selection activeCell="K15" sqref="K15"/>
    </sheetView>
  </sheetViews>
  <sheetFormatPr defaultRowHeight="12.75"/>
  <cols>
    <col min="1" max="1" width="35.140625" customWidth="1"/>
    <col min="2" max="2" width="9.42578125" bestFit="1" customWidth="1"/>
    <col min="3" max="4" width="14.7109375" bestFit="1" customWidth="1"/>
    <col min="5" max="5" width="9.140625" bestFit="1" customWidth="1"/>
    <col min="6" max="6" width="12.5703125" bestFit="1" customWidth="1"/>
    <col min="7" max="7" width="12.140625" bestFit="1" customWidth="1"/>
    <col min="8" max="8" width="11.140625" bestFit="1" customWidth="1"/>
    <col min="9" max="9" width="12.140625" bestFit="1" customWidth="1"/>
  </cols>
  <sheetData>
    <row r="1" spans="1:9">
      <c r="A1" t="s">
        <v>206</v>
      </c>
    </row>
    <row r="2" spans="1:9">
      <c r="A2" t="s">
        <v>207</v>
      </c>
    </row>
    <row r="3" spans="1:9">
      <c r="A3" t="str">
        <f>+RS!A3</f>
        <v>TEST YEAR ENDED SEPTEMBER 30, 2014</v>
      </c>
    </row>
    <row r="4" spans="1:9">
      <c r="A4" t="s">
        <v>142</v>
      </c>
    </row>
    <row r="6" spans="1:9">
      <c r="A6" s="1"/>
      <c r="B6" s="1"/>
      <c r="C6" s="27" t="s">
        <v>423</v>
      </c>
      <c r="D6" s="1"/>
      <c r="E6" s="1"/>
      <c r="F6" s="1"/>
      <c r="G6" s="1"/>
      <c r="H6" s="1"/>
      <c r="I6" s="1"/>
    </row>
    <row r="7" spans="1:9">
      <c r="A7" s="1"/>
      <c r="B7" s="1" t="s">
        <v>197</v>
      </c>
      <c r="C7" s="1" t="s">
        <v>208</v>
      </c>
      <c r="D7" s="1"/>
      <c r="E7" s="1"/>
      <c r="F7" s="1"/>
      <c r="G7" s="1"/>
      <c r="H7" s="1"/>
      <c r="I7" s="1"/>
    </row>
    <row r="8" spans="1:9">
      <c r="A8" s="1"/>
      <c r="B8" s="1" t="s">
        <v>219</v>
      </c>
      <c r="C8" s="1" t="s">
        <v>209</v>
      </c>
      <c r="D8" s="27" t="s">
        <v>423</v>
      </c>
      <c r="E8" s="1"/>
      <c r="F8" s="1"/>
      <c r="G8" s="1" t="s">
        <v>210</v>
      </c>
      <c r="H8" s="1"/>
      <c r="I8" s="1" t="s">
        <v>6</v>
      </c>
    </row>
    <row r="9" spans="1:9">
      <c r="A9" s="1"/>
      <c r="B9" s="1" t="s">
        <v>211</v>
      </c>
      <c r="C9" s="1" t="s">
        <v>211</v>
      </c>
      <c r="D9" s="1" t="s">
        <v>211</v>
      </c>
      <c r="E9" s="1" t="s">
        <v>234</v>
      </c>
      <c r="F9" s="1" t="s">
        <v>213</v>
      </c>
      <c r="G9" s="1" t="s">
        <v>214</v>
      </c>
      <c r="H9" s="1" t="s">
        <v>234</v>
      </c>
      <c r="I9" s="1" t="s">
        <v>214</v>
      </c>
    </row>
    <row r="10" spans="1:9">
      <c r="A10" s="3" t="s">
        <v>2</v>
      </c>
      <c r="B10" s="3" t="s">
        <v>230</v>
      </c>
      <c r="C10" s="3" t="s">
        <v>230</v>
      </c>
      <c r="D10" s="3" t="s">
        <v>230</v>
      </c>
      <c r="E10" s="3" t="s">
        <v>216</v>
      </c>
      <c r="F10" s="3" t="s">
        <v>317</v>
      </c>
      <c r="G10" s="3" t="s">
        <v>198</v>
      </c>
      <c r="H10" s="3" t="s">
        <v>5</v>
      </c>
      <c r="I10" s="3" t="s">
        <v>198</v>
      </c>
    </row>
    <row r="11" spans="1:9">
      <c r="A11" s="21" t="s">
        <v>7</v>
      </c>
      <c r="B11" s="21" t="s">
        <v>8</v>
      </c>
      <c r="C11" s="21" t="s">
        <v>9</v>
      </c>
      <c r="D11" s="21" t="s">
        <v>220</v>
      </c>
      <c r="E11" s="21" t="s">
        <v>221</v>
      </c>
      <c r="F11" s="21" t="s">
        <v>10</v>
      </c>
      <c r="G11" s="21" t="s">
        <v>11</v>
      </c>
      <c r="H11" s="21" t="s">
        <v>199</v>
      </c>
      <c r="I11" s="21" t="s">
        <v>236</v>
      </c>
    </row>
    <row r="13" spans="1:9">
      <c r="A13" s="4"/>
      <c r="C13">
        <v>12</v>
      </c>
    </row>
    <row r="14" spans="1:9">
      <c r="A14" t="s">
        <v>31</v>
      </c>
    </row>
    <row r="15" spans="1:9">
      <c r="A15" t="s">
        <v>143</v>
      </c>
      <c r="B15" s="6">
        <f>+SL!B14</f>
        <v>93105.571999999986</v>
      </c>
      <c r="C15" s="20">
        <f>+B15/C$13</f>
        <v>7758.7976666666655</v>
      </c>
      <c r="D15" s="77">
        <v>7995.0169999999998</v>
      </c>
      <c r="E15" s="20">
        <f>+D15-C15</f>
        <v>236.21933333333436</v>
      </c>
      <c r="F15" s="41">
        <v>484</v>
      </c>
      <c r="G15" s="6">
        <f>ROUND(E15*F15,0)</f>
        <v>114330</v>
      </c>
      <c r="H15" s="24">
        <f>SL!C14</f>
        <v>7.25</v>
      </c>
      <c r="I15" s="8">
        <f>+E15*H15*12</f>
        <v>20551.082000000089</v>
      </c>
    </row>
    <row r="16" spans="1:9">
      <c r="A16" t="s">
        <v>144</v>
      </c>
      <c r="B16" s="6">
        <f>+SL!B15</f>
        <v>1376.712</v>
      </c>
      <c r="C16" s="20">
        <f>+B16/C$13</f>
        <v>114.726</v>
      </c>
      <c r="D16" s="77">
        <v>86.462999999999994</v>
      </c>
      <c r="E16" s="20">
        <f>+D16-C16</f>
        <v>-28.263000000000005</v>
      </c>
      <c r="F16" s="41">
        <v>704</v>
      </c>
      <c r="G16" s="6">
        <f>ROUND(E16*F16,0)</f>
        <v>-19897</v>
      </c>
      <c r="H16" s="24">
        <f>SL!C15</f>
        <v>8.3000000000000007</v>
      </c>
      <c r="I16" s="8">
        <f>+E16*H16*12</f>
        <v>-2814.9948000000004</v>
      </c>
    </row>
    <row r="17" spans="1:9">
      <c r="A17" t="s">
        <v>145</v>
      </c>
      <c r="B17" s="6">
        <f>+SL!B16</f>
        <v>28539.814000000002</v>
      </c>
      <c r="C17" s="20">
        <f>+B17/C$13</f>
        <v>2378.3178333333335</v>
      </c>
      <c r="D17" s="77">
        <v>2405.701</v>
      </c>
      <c r="E17" s="20">
        <f>+D17-C17</f>
        <v>27.383166666666511</v>
      </c>
      <c r="F17" s="41">
        <v>1012</v>
      </c>
      <c r="G17" s="6">
        <f>ROUND(E17*F17,0)</f>
        <v>27712</v>
      </c>
      <c r="H17" s="24">
        <f>SL!C16</f>
        <v>10.3</v>
      </c>
      <c r="I17" s="8">
        <f>+E17*H17*12</f>
        <v>3384.559399999981</v>
      </c>
    </row>
    <row r="18" spans="1:9">
      <c r="A18" t="s">
        <v>146</v>
      </c>
      <c r="B18" s="6">
        <f>+SL!B17</f>
        <v>6332.7509999999993</v>
      </c>
      <c r="C18" s="20">
        <f>+B18/C$13</f>
        <v>527.72924999999998</v>
      </c>
      <c r="D18" s="77">
        <v>475.17899999999997</v>
      </c>
      <c r="E18" s="20">
        <f>+D18-C18</f>
        <v>-52.550250000000005</v>
      </c>
      <c r="F18" s="41">
        <v>2000</v>
      </c>
      <c r="G18" s="6">
        <f>ROUND(E18*F18,0)</f>
        <v>-105101</v>
      </c>
      <c r="H18" s="24">
        <f>SL!C17</f>
        <v>16.05</v>
      </c>
      <c r="I18" s="8">
        <f>+E18*H18*12</f>
        <v>-10121.178150000002</v>
      </c>
    </row>
    <row r="19" spans="1:9">
      <c r="C19" s="20"/>
      <c r="D19" s="77"/>
      <c r="E19" s="20"/>
      <c r="F19" s="41"/>
      <c r="H19" s="24"/>
      <c r="I19" s="8"/>
    </row>
    <row r="20" spans="1:9">
      <c r="A20" t="s">
        <v>229</v>
      </c>
      <c r="C20" s="20"/>
      <c r="D20" s="77"/>
      <c r="E20" s="20"/>
      <c r="F20" s="41"/>
      <c r="H20" s="24"/>
      <c r="I20" s="8"/>
    </row>
    <row r="21" spans="1:9">
      <c r="A21" t="s">
        <v>143</v>
      </c>
      <c r="B21" s="6">
        <f>+SL!B20</f>
        <v>5508.5389999999998</v>
      </c>
      <c r="C21" s="20">
        <f>+B21/C$13</f>
        <v>459.04491666666667</v>
      </c>
      <c r="D21" s="77">
        <v>384.94</v>
      </c>
      <c r="E21" s="20">
        <f>+D21-C21</f>
        <v>-74.104916666666668</v>
      </c>
      <c r="F21" s="41">
        <f>F15</f>
        <v>484</v>
      </c>
      <c r="G21" s="6">
        <f>ROUND(E21*F21,0)</f>
        <v>-35867</v>
      </c>
      <c r="H21" s="24">
        <f>SL!C20</f>
        <v>10.25</v>
      </c>
      <c r="I21" s="8">
        <f>+E21*H21*12</f>
        <v>-9114.9047499999997</v>
      </c>
    </row>
    <row r="22" spans="1:9">
      <c r="A22" t="s">
        <v>144</v>
      </c>
      <c r="B22" s="6">
        <f>+SL!B21</f>
        <v>340.73899999999998</v>
      </c>
      <c r="C22" s="20">
        <f>+B22/C$13</f>
        <v>28.394916666666663</v>
      </c>
      <c r="D22" s="77">
        <v>20.135000000000002</v>
      </c>
      <c r="E22" s="20">
        <f>+D22-C22</f>
        <v>-8.2599166666666619</v>
      </c>
      <c r="F22" s="41">
        <f t="shared" ref="F22:F30" si="0">F16</f>
        <v>704</v>
      </c>
      <c r="G22" s="6">
        <f>ROUND(E22*F22,0)</f>
        <v>-5815</v>
      </c>
      <c r="H22" s="24">
        <f>SL!C21</f>
        <v>11.4</v>
      </c>
      <c r="I22" s="8">
        <f>+E22*H22*12</f>
        <v>-1129.9565999999995</v>
      </c>
    </row>
    <row r="23" spans="1:9">
      <c r="A23" t="s">
        <v>145</v>
      </c>
      <c r="B23" s="6">
        <f>+SL!B22</f>
        <v>6379.4470000000001</v>
      </c>
      <c r="C23" s="20">
        <f>+B23/C$13</f>
        <v>531.62058333333334</v>
      </c>
      <c r="D23" s="77">
        <v>420.47300000000001</v>
      </c>
      <c r="E23" s="20">
        <f>+D23-C23</f>
        <v>-111.14758333333333</v>
      </c>
      <c r="F23" s="41">
        <f t="shared" si="0"/>
        <v>1012</v>
      </c>
      <c r="G23" s="6">
        <f>ROUND(E23*F23,0)</f>
        <v>-112481</v>
      </c>
      <c r="H23" s="24">
        <f>SL!C22</f>
        <v>13.15</v>
      </c>
      <c r="I23" s="8">
        <f>+E23*H23*12</f>
        <v>-17539.088649999998</v>
      </c>
    </row>
    <row r="24" spans="1:9">
      <c r="A24" t="s">
        <v>146</v>
      </c>
      <c r="B24" s="6">
        <f>+SL!B23</f>
        <v>1412.181</v>
      </c>
      <c r="C24" s="20">
        <f>+B24/C$13</f>
        <v>117.68175000000001</v>
      </c>
      <c r="D24" s="77">
        <v>79.58</v>
      </c>
      <c r="E24" s="20">
        <f>+D24-C24</f>
        <v>-38.10175000000001</v>
      </c>
      <c r="F24" s="41">
        <f t="shared" si="0"/>
        <v>2000</v>
      </c>
      <c r="G24" s="6">
        <f>ROUND(E24*F24,0)</f>
        <v>-76204</v>
      </c>
      <c r="H24" s="24">
        <f>SL!C23</f>
        <v>18.45</v>
      </c>
      <c r="I24" s="8">
        <f>+E24*H24*12</f>
        <v>-8435.7274500000021</v>
      </c>
    </row>
    <row r="25" spans="1:9">
      <c r="C25" s="20"/>
      <c r="D25" s="77"/>
      <c r="E25" s="20"/>
      <c r="F25" s="41"/>
      <c r="H25" s="24"/>
      <c r="I25" s="8"/>
    </row>
    <row r="26" spans="1:9">
      <c r="A26" t="s">
        <v>147</v>
      </c>
      <c r="B26" s="6"/>
      <c r="C26" s="20"/>
      <c r="D26" s="77"/>
      <c r="E26" s="20"/>
      <c r="F26" s="41"/>
      <c r="G26" s="6"/>
      <c r="H26" s="24"/>
      <c r="I26" s="8"/>
    </row>
    <row r="27" spans="1:9">
      <c r="A27" s="5" t="s">
        <v>143</v>
      </c>
      <c r="B27" s="6">
        <f>+SL!B26</f>
        <v>0</v>
      </c>
      <c r="C27" s="20">
        <f>+B27/C$13</f>
        <v>0</v>
      </c>
      <c r="D27" s="77">
        <v>0</v>
      </c>
      <c r="E27" s="20">
        <f>+D27-C27</f>
        <v>0</v>
      </c>
      <c r="F27" s="41">
        <f t="shared" si="0"/>
        <v>484</v>
      </c>
      <c r="G27" s="6">
        <f>ROUND(E27*F27,0)</f>
        <v>0</v>
      </c>
      <c r="H27" s="24">
        <f>SL!C26</f>
        <v>18.899999999999999</v>
      </c>
      <c r="I27" s="8">
        <f>+E27*H27*12</f>
        <v>0</v>
      </c>
    </row>
    <row r="28" spans="1:9">
      <c r="A28" s="5" t="s">
        <v>144</v>
      </c>
      <c r="B28" s="6">
        <f>+SL!B27</f>
        <v>0</v>
      </c>
      <c r="C28" s="20">
        <f>+B28/C$13</f>
        <v>0</v>
      </c>
      <c r="D28" s="77">
        <v>0</v>
      </c>
      <c r="E28" s="20">
        <f>+D28-C28</f>
        <v>0</v>
      </c>
      <c r="F28" s="41">
        <f t="shared" si="0"/>
        <v>704</v>
      </c>
      <c r="G28" s="6">
        <f>ROUND(E28*F28,0)</f>
        <v>0</v>
      </c>
      <c r="H28" s="24">
        <f>SL!C27</f>
        <v>19.850000000000001</v>
      </c>
      <c r="I28" s="8">
        <f>+E28*H28*12</f>
        <v>0</v>
      </c>
    </row>
    <row r="29" spans="1:9">
      <c r="A29" s="5" t="s">
        <v>145</v>
      </c>
      <c r="B29" s="6">
        <f>+SL!B28</f>
        <v>1123.5930000000001</v>
      </c>
      <c r="C29" s="20">
        <f>+B29/C$13</f>
        <v>93.632750000000001</v>
      </c>
      <c r="D29" s="77">
        <v>90.016999999999996</v>
      </c>
      <c r="E29" s="20">
        <f>+D29-C29</f>
        <v>-3.6157500000000056</v>
      </c>
      <c r="F29" s="41">
        <f t="shared" si="0"/>
        <v>1012</v>
      </c>
      <c r="G29" s="6">
        <f>ROUND(E29*F29,0)</f>
        <v>-3659</v>
      </c>
      <c r="H29" s="24">
        <f>SL!C28</f>
        <v>25.25</v>
      </c>
      <c r="I29" s="8">
        <f>+E29*H29*12</f>
        <v>-1095.5722500000015</v>
      </c>
    </row>
    <row r="30" spans="1:9">
      <c r="A30" s="5" t="s">
        <v>146</v>
      </c>
      <c r="B30" s="6">
        <f>+SL!B29</f>
        <v>783.74900000000014</v>
      </c>
      <c r="C30" s="20">
        <f>+B30/C$13</f>
        <v>65.312416666666678</v>
      </c>
      <c r="D30" s="77">
        <v>0</v>
      </c>
      <c r="E30" s="20">
        <f>+D30-C30</f>
        <v>-65.312416666666678</v>
      </c>
      <c r="F30" s="41">
        <f t="shared" si="0"/>
        <v>2000</v>
      </c>
      <c r="G30" s="6">
        <f>ROUND(E30*F30,0)</f>
        <v>-130625</v>
      </c>
      <c r="H30" s="24">
        <f>SL!C29</f>
        <v>27.45</v>
      </c>
      <c r="I30" s="8">
        <f>+E30*H30*12</f>
        <v>-21513.910050000002</v>
      </c>
    </row>
    <row r="31" spans="1:9">
      <c r="F31" s="33"/>
      <c r="H31" s="10"/>
      <c r="I31" s="8"/>
    </row>
    <row r="32" spans="1:9">
      <c r="A32" s="5" t="s">
        <v>154</v>
      </c>
      <c r="F32" s="33"/>
      <c r="G32" s="6">
        <f>SUM(G15:G30)</f>
        <v>-347607</v>
      </c>
      <c r="H32" s="43">
        <f>+SL!H11</f>
        <v>2.0411219651722302E-3</v>
      </c>
      <c r="I32" s="8">
        <f>+G32*H32</f>
        <v>-709.50828294762346</v>
      </c>
    </row>
    <row r="33" spans="1:9">
      <c r="F33" s="33"/>
      <c r="H33" s="10"/>
      <c r="I33" s="8"/>
    </row>
    <row r="34" spans="1:9">
      <c r="A34" t="s">
        <v>257</v>
      </c>
      <c r="F34" s="6"/>
      <c r="G34" s="6"/>
      <c r="H34" s="6"/>
      <c r="I34" s="8">
        <f>SUM(I15:I32)</f>
        <v>-48539.199582947556</v>
      </c>
    </row>
    <row r="35" spans="1:9">
      <c r="B35" s="6"/>
      <c r="C35" s="6"/>
      <c r="D35" s="6"/>
      <c r="E35" s="6"/>
      <c r="F35" s="32"/>
      <c r="G35" s="6"/>
      <c r="H35" s="10"/>
      <c r="I35" s="8"/>
    </row>
    <row r="36" spans="1:9">
      <c r="A36" t="s">
        <v>16</v>
      </c>
      <c r="D36" s="6"/>
      <c r="F36" s="33"/>
      <c r="H36" s="10"/>
      <c r="I36" s="8">
        <f>+SL!K37/(SL!K43-SL!K37)*'Annual Adj SL'!I34</f>
        <v>0</v>
      </c>
    </row>
    <row r="37" spans="1:9">
      <c r="D37" s="6"/>
      <c r="F37" s="33"/>
      <c r="H37" s="10"/>
      <c r="I37" s="8"/>
    </row>
    <row r="38" spans="1:9">
      <c r="A38" t="s">
        <v>18</v>
      </c>
      <c r="B38" s="6">
        <f>SUM(B15:B32)</f>
        <v>144903.09699999998</v>
      </c>
      <c r="C38" s="6">
        <f>SUM(C15:C32)</f>
        <v>12075.258083333332</v>
      </c>
      <c r="D38" s="6">
        <f>SUM(D15:D32)</f>
        <v>11957.505000000001</v>
      </c>
      <c r="E38" s="6">
        <f>SUM(E15:E32)</f>
        <v>-117.7530833333325</v>
      </c>
      <c r="F38" s="32"/>
      <c r="G38" s="6"/>
      <c r="H38" s="10"/>
      <c r="I38" s="8">
        <f>+I34+I36</f>
        <v>-48539.199582947556</v>
      </c>
    </row>
  </sheetData>
  <phoneticPr fontId="0" type="noConversion"/>
  <printOptions horizontalCentered="1"/>
  <pageMargins left="0.25" right="0.25" top="0.75" bottom="0.75" header="0.3" footer="0.3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5"/>
  <sheetViews>
    <sheetView workbookViewId="0">
      <selection activeCell="G15" sqref="G15"/>
    </sheetView>
  </sheetViews>
  <sheetFormatPr defaultRowHeight="12.75"/>
  <cols>
    <col min="1" max="1" width="17.5703125" customWidth="1"/>
    <col min="2" max="2" width="16.42578125" bestFit="1" customWidth="1"/>
    <col min="3" max="3" width="10" bestFit="1" customWidth="1"/>
    <col min="4" max="4" width="10" style="34" bestFit="1" customWidth="1"/>
    <col min="5" max="5" width="15" bestFit="1" customWidth="1"/>
    <col min="6" max="6" width="12.28515625" bestFit="1" customWidth="1"/>
    <col min="7" max="7" width="16.28515625" customWidth="1"/>
    <col min="8" max="8" width="12.28515625" bestFit="1" customWidth="1"/>
    <col min="9" max="9" width="15.42578125" bestFit="1" customWidth="1"/>
    <col min="10" max="10" width="15" customWidth="1"/>
  </cols>
  <sheetData>
    <row r="1" spans="1:9">
      <c r="A1" s="6" t="str">
        <f>+RS!A1</f>
        <v>KENTUCKY POWER BILLING ANALYSIS</v>
      </c>
    </row>
    <row r="2" spans="1:9">
      <c r="A2" s="6" t="str">
        <f>+RS!A2</f>
        <v>PER BOOKS</v>
      </c>
    </row>
    <row r="3" spans="1:9">
      <c r="A3" s="6" t="str">
        <f>+RS!A3</f>
        <v>TEST YEAR ENDED SEPTEMBER 30, 2014</v>
      </c>
    </row>
    <row r="4" spans="1:9">
      <c r="A4" s="6"/>
    </row>
    <row r="5" spans="1:9">
      <c r="A5" s="6" t="s">
        <v>193</v>
      </c>
    </row>
    <row r="7" spans="1:9">
      <c r="D7" s="51" t="s">
        <v>195</v>
      </c>
      <c r="G7" s="1" t="s">
        <v>3</v>
      </c>
      <c r="I7" s="1" t="s">
        <v>219</v>
      </c>
    </row>
    <row r="8" spans="1:9">
      <c r="B8" s="1" t="s">
        <v>267</v>
      </c>
      <c r="C8" s="1" t="s">
        <v>103</v>
      </c>
      <c r="D8" s="51" t="s">
        <v>196</v>
      </c>
      <c r="E8" s="1" t="s">
        <v>152</v>
      </c>
      <c r="F8" s="1" t="s">
        <v>153</v>
      </c>
      <c r="G8" s="1" t="s">
        <v>152</v>
      </c>
      <c r="H8" s="1"/>
      <c r="I8" s="1" t="s">
        <v>152</v>
      </c>
    </row>
    <row r="9" spans="1:9">
      <c r="A9" s="3" t="s">
        <v>2</v>
      </c>
      <c r="B9" s="3" t="s">
        <v>102</v>
      </c>
      <c r="C9" s="3" t="s">
        <v>104</v>
      </c>
      <c r="D9" s="52" t="s">
        <v>104</v>
      </c>
      <c r="E9" s="3" t="s">
        <v>148</v>
      </c>
      <c r="F9" s="3" t="s">
        <v>148</v>
      </c>
      <c r="G9" s="3" t="s">
        <v>6</v>
      </c>
      <c r="H9" s="3" t="s">
        <v>275</v>
      </c>
      <c r="I9" s="3" t="s">
        <v>6</v>
      </c>
    </row>
    <row r="10" spans="1:9">
      <c r="A10" s="9">
        <v>11</v>
      </c>
      <c r="B10" s="6">
        <v>1664259</v>
      </c>
      <c r="C10" s="7">
        <v>77</v>
      </c>
      <c r="D10" s="7">
        <v>917</v>
      </c>
      <c r="E10" s="7">
        <v>1651125</v>
      </c>
      <c r="F10" s="7">
        <v>-42685</v>
      </c>
      <c r="G10" s="10">
        <v>155697.99999999997</v>
      </c>
      <c r="H10" s="10"/>
      <c r="I10" s="10"/>
    </row>
    <row r="11" spans="1:9">
      <c r="A11" s="9">
        <v>12</v>
      </c>
      <c r="B11" s="6">
        <v>255924</v>
      </c>
      <c r="C11" s="48">
        <v>10</v>
      </c>
      <c r="D11" s="48">
        <v>120</v>
      </c>
      <c r="E11" s="7">
        <v>253525</v>
      </c>
      <c r="F11" s="6">
        <v>-6877</v>
      </c>
      <c r="G11" s="10">
        <v>23617.769999999997</v>
      </c>
      <c r="H11" s="10"/>
      <c r="I11" s="10"/>
    </row>
    <row r="12" spans="1:9">
      <c r="A12" s="9">
        <v>13</v>
      </c>
      <c r="B12" s="6">
        <v>58714</v>
      </c>
      <c r="C12" s="48">
        <v>2</v>
      </c>
      <c r="D12" s="48">
        <v>24</v>
      </c>
      <c r="E12" s="7">
        <v>58418</v>
      </c>
      <c r="F12" s="6">
        <v>-1712</v>
      </c>
      <c r="G12" s="10">
        <v>5435.1899999999987</v>
      </c>
      <c r="H12" s="10"/>
      <c r="I12" s="10"/>
    </row>
    <row r="13" spans="1:9">
      <c r="A13" s="9">
        <v>14</v>
      </c>
      <c r="B13" s="6">
        <v>0</v>
      </c>
      <c r="C13" s="48">
        <v>0</v>
      </c>
      <c r="D13" s="48">
        <v>0</v>
      </c>
      <c r="E13" s="7">
        <v>0</v>
      </c>
      <c r="F13" s="6">
        <v>0</v>
      </c>
      <c r="G13" s="10">
        <v>0</v>
      </c>
      <c r="H13" s="10"/>
      <c r="I13" s="10"/>
    </row>
    <row r="14" spans="1:9">
      <c r="A14" s="9">
        <v>15</v>
      </c>
      <c r="B14" s="6">
        <v>977934195</v>
      </c>
      <c r="C14" s="48">
        <v>64336</v>
      </c>
      <c r="D14" s="48">
        <v>773384</v>
      </c>
      <c r="E14" s="7">
        <v>969361608</v>
      </c>
      <c r="F14" s="6">
        <v>-24292882</v>
      </c>
      <c r="G14" s="10">
        <v>98180510.559999987</v>
      </c>
      <c r="H14" s="10"/>
      <c r="I14" s="10"/>
    </row>
    <row r="15" spans="1:9">
      <c r="A15" s="9">
        <v>17</v>
      </c>
      <c r="B15" s="6">
        <v>10970816</v>
      </c>
      <c r="C15" s="48">
        <v>507</v>
      </c>
      <c r="D15" s="48">
        <v>6099</v>
      </c>
      <c r="E15" s="7">
        <v>10889001</v>
      </c>
      <c r="F15" s="6">
        <v>-216769</v>
      </c>
      <c r="G15" s="10">
        <v>1032743.3099999998</v>
      </c>
      <c r="H15" s="10"/>
      <c r="I15" s="10"/>
    </row>
    <row r="16" spans="1:9">
      <c r="A16" s="9">
        <v>22</v>
      </c>
      <c r="B16" s="6">
        <v>1363934474</v>
      </c>
      <c r="C16" s="48">
        <v>73193</v>
      </c>
      <c r="D16" s="48">
        <v>888983</v>
      </c>
      <c r="E16" s="7">
        <v>1353296676</v>
      </c>
      <c r="F16" s="6">
        <v>-28894990</v>
      </c>
      <c r="G16" s="10">
        <v>134776666.19</v>
      </c>
      <c r="H16" s="10"/>
      <c r="I16" s="10"/>
    </row>
    <row r="17" spans="1:9">
      <c r="A17" s="16">
        <v>62</v>
      </c>
      <c r="B17" s="17">
        <v>0</v>
      </c>
      <c r="C17" s="49">
        <v>0</v>
      </c>
      <c r="D17" s="49">
        <v>0</v>
      </c>
      <c r="E17" s="18">
        <v>0</v>
      </c>
      <c r="F17" s="17">
        <v>0</v>
      </c>
      <c r="G17" s="14">
        <v>0</v>
      </c>
      <c r="H17" s="14"/>
      <c r="I17" s="14"/>
    </row>
    <row r="18" spans="1:9">
      <c r="A18" t="s">
        <v>163</v>
      </c>
      <c r="B18" s="6">
        <f t="shared" ref="B18:G18" si="0">SUM(B10:B17)</f>
        <v>2354818382</v>
      </c>
      <c r="C18" s="6">
        <f t="shared" si="0"/>
        <v>138125</v>
      </c>
      <c r="D18" s="48">
        <f t="shared" si="0"/>
        <v>1669527</v>
      </c>
      <c r="E18" s="6">
        <f t="shared" si="0"/>
        <v>2335510353</v>
      </c>
      <c r="F18" s="6">
        <f t="shared" si="0"/>
        <v>-53455915</v>
      </c>
      <c r="G18" s="10">
        <f t="shared" si="0"/>
        <v>234174671.01999998</v>
      </c>
      <c r="H18" s="76">
        <v>0</v>
      </c>
      <c r="I18" s="10">
        <f>SUM(G18:H18)</f>
        <v>234174671.01999998</v>
      </c>
    </row>
    <row r="19" spans="1:9">
      <c r="B19" s="6"/>
      <c r="C19" s="6"/>
      <c r="D19" s="48"/>
      <c r="E19" s="6"/>
      <c r="G19" s="10"/>
      <c r="H19" s="10"/>
      <c r="I19" s="10"/>
    </row>
    <row r="20" spans="1:9">
      <c r="A20" s="9">
        <v>28</v>
      </c>
      <c r="B20" s="6">
        <v>124076</v>
      </c>
      <c r="C20" s="48">
        <v>7</v>
      </c>
      <c r="D20" s="48">
        <v>84</v>
      </c>
      <c r="E20" s="7">
        <v>123420</v>
      </c>
      <c r="F20" s="6">
        <v>-2215</v>
      </c>
      <c r="G20" s="10">
        <v>10683.81</v>
      </c>
      <c r="H20" s="10"/>
      <c r="I20" s="10"/>
    </row>
    <row r="21" spans="1:9">
      <c r="A21" s="9">
        <v>30</v>
      </c>
      <c r="B21" s="6">
        <v>1710292</v>
      </c>
      <c r="C21" s="48">
        <v>69</v>
      </c>
      <c r="D21" s="48">
        <v>840</v>
      </c>
      <c r="E21" s="7">
        <v>1695135</v>
      </c>
      <c r="F21" s="6">
        <v>-43704</v>
      </c>
      <c r="G21" s="10">
        <v>160682.85</v>
      </c>
      <c r="H21" s="10"/>
      <c r="I21" s="10"/>
    </row>
    <row r="22" spans="1:9">
      <c r="A22" s="9">
        <v>32</v>
      </c>
      <c r="B22" s="6">
        <v>2566166</v>
      </c>
      <c r="C22" s="48">
        <v>94</v>
      </c>
      <c r="D22" s="48">
        <v>1130</v>
      </c>
      <c r="E22" s="7">
        <v>2546299</v>
      </c>
      <c r="F22" s="6">
        <v>-49393</v>
      </c>
      <c r="G22" s="10">
        <v>224968.47999999998</v>
      </c>
      <c r="H22" s="10"/>
      <c r="I22" s="10"/>
    </row>
    <row r="23" spans="1:9">
      <c r="A23" s="16">
        <v>34</v>
      </c>
      <c r="B23" s="17">
        <v>20247</v>
      </c>
      <c r="C23" s="49">
        <v>2</v>
      </c>
      <c r="D23" s="49">
        <v>24</v>
      </c>
      <c r="E23" s="18">
        <v>20225</v>
      </c>
      <c r="F23" s="17">
        <v>-50</v>
      </c>
      <c r="G23" s="14">
        <v>1787.56</v>
      </c>
      <c r="H23" s="14"/>
      <c r="I23" s="14"/>
    </row>
    <row r="24" spans="1:9">
      <c r="A24" s="9" t="s">
        <v>164</v>
      </c>
      <c r="B24" s="6">
        <f t="shared" ref="B24:G24" si="1">SUM(B20:B23)</f>
        <v>4420781</v>
      </c>
      <c r="C24" s="6">
        <f t="shared" si="1"/>
        <v>172</v>
      </c>
      <c r="D24" s="48">
        <f t="shared" si="1"/>
        <v>2078</v>
      </c>
      <c r="E24" s="6">
        <f t="shared" si="1"/>
        <v>4385079</v>
      </c>
      <c r="F24" s="6">
        <f t="shared" si="1"/>
        <v>-95362</v>
      </c>
      <c r="G24" s="10">
        <f t="shared" si="1"/>
        <v>398122.7</v>
      </c>
      <c r="H24" s="76">
        <v>0</v>
      </c>
      <c r="I24" s="10">
        <f>SUM(G24:H24)</f>
        <v>398122.7</v>
      </c>
    </row>
    <row r="25" spans="1:9">
      <c r="A25" s="9"/>
      <c r="B25" s="6"/>
      <c r="C25" s="6"/>
      <c r="D25" s="48"/>
      <c r="E25" s="6"/>
      <c r="G25" s="10"/>
      <c r="H25" s="10"/>
      <c r="I25" s="10"/>
    </row>
    <row r="26" spans="1:9">
      <c r="A26" s="9" t="s">
        <v>268</v>
      </c>
      <c r="B26" s="6">
        <v>46758</v>
      </c>
      <c r="C26" s="48">
        <v>3</v>
      </c>
      <c r="D26" s="48">
        <v>36</v>
      </c>
      <c r="E26" s="6">
        <v>46491</v>
      </c>
      <c r="F26" s="6">
        <v>-932</v>
      </c>
      <c r="G26" s="10">
        <v>4355.5499999999993</v>
      </c>
      <c r="H26" s="76">
        <v>0</v>
      </c>
      <c r="I26" s="10">
        <f>SUM(G26:H26)</f>
        <v>4355.5499999999993</v>
      </c>
    </row>
    <row r="27" spans="1:9">
      <c r="A27" s="9"/>
      <c r="B27" s="6"/>
      <c r="C27" s="6"/>
      <c r="D27" s="48"/>
      <c r="E27" s="6"/>
      <c r="F27" s="6"/>
      <c r="G27" s="10"/>
      <c r="H27" s="10"/>
      <c r="I27" s="10"/>
    </row>
    <row r="28" spans="1:9">
      <c r="A28" s="9" t="s">
        <v>351</v>
      </c>
      <c r="B28" s="6">
        <v>0</v>
      </c>
      <c r="C28" s="48">
        <v>0</v>
      </c>
      <c r="D28" s="48">
        <v>0</v>
      </c>
      <c r="E28" s="6">
        <v>0</v>
      </c>
      <c r="F28" s="6">
        <v>0</v>
      </c>
      <c r="G28" s="10">
        <v>0</v>
      </c>
      <c r="H28" s="10"/>
      <c r="I28" s="10">
        <f>SUM(G28:H28)</f>
        <v>0</v>
      </c>
    </row>
    <row r="29" spans="1:9">
      <c r="A29" s="9"/>
      <c r="B29" s="6"/>
      <c r="C29" s="6"/>
      <c r="D29" s="48"/>
      <c r="E29" s="6"/>
      <c r="G29" s="10"/>
      <c r="H29" s="10"/>
      <c r="I29" s="10"/>
    </row>
    <row r="30" spans="1:9">
      <c r="A30" s="9">
        <v>93</v>
      </c>
      <c r="B30" s="6">
        <v>916797</v>
      </c>
      <c r="C30" s="7">
        <v>0</v>
      </c>
      <c r="D30" s="7">
        <v>0</v>
      </c>
      <c r="E30" s="7">
        <v>906845</v>
      </c>
      <c r="F30" s="7">
        <v>-24472</v>
      </c>
      <c r="G30" s="10">
        <v>132646.17000000004</v>
      </c>
      <c r="H30" s="10"/>
      <c r="I30" s="10"/>
    </row>
    <row r="31" spans="1:9">
      <c r="A31" s="9">
        <v>94</v>
      </c>
      <c r="B31" s="6">
        <v>11138822</v>
      </c>
      <c r="C31" s="6">
        <v>0</v>
      </c>
      <c r="D31" s="48">
        <v>0</v>
      </c>
      <c r="E31" s="7">
        <v>11037415</v>
      </c>
      <c r="F31" s="6">
        <v>-282097</v>
      </c>
      <c r="G31" s="10">
        <v>2615757.2500000005</v>
      </c>
      <c r="H31" s="10"/>
      <c r="I31" s="10"/>
    </row>
    <row r="32" spans="1:9">
      <c r="A32" s="9">
        <v>95</v>
      </c>
      <c r="B32" s="6">
        <v>195932</v>
      </c>
      <c r="C32" s="6">
        <v>0</v>
      </c>
      <c r="D32" s="48">
        <v>0</v>
      </c>
      <c r="E32" s="7">
        <v>194084</v>
      </c>
      <c r="F32" s="6">
        <v>-4754</v>
      </c>
      <c r="G32" s="10">
        <v>22754.75</v>
      </c>
      <c r="H32" s="10"/>
      <c r="I32" s="10"/>
    </row>
    <row r="33" spans="1:9">
      <c r="A33" s="9">
        <v>97</v>
      </c>
      <c r="B33" s="6">
        <v>2056766</v>
      </c>
      <c r="C33" s="6">
        <v>0</v>
      </c>
      <c r="D33" s="48">
        <v>0</v>
      </c>
      <c r="E33" s="7">
        <v>2040112</v>
      </c>
      <c r="F33" s="6">
        <v>-53294</v>
      </c>
      <c r="G33" s="10">
        <v>332329.78000000026</v>
      </c>
      <c r="H33" s="10"/>
      <c r="I33" s="10"/>
    </row>
    <row r="34" spans="1:9">
      <c r="A34" s="9">
        <v>98</v>
      </c>
      <c r="B34" s="6">
        <v>422292</v>
      </c>
      <c r="C34" s="6">
        <v>0</v>
      </c>
      <c r="D34" s="48">
        <v>0</v>
      </c>
      <c r="E34" s="7">
        <v>417171</v>
      </c>
      <c r="F34" s="6">
        <v>-13005</v>
      </c>
      <c r="G34" s="10">
        <v>55417.989999999991</v>
      </c>
      <c r="H34" s="10"/>
      <c r="I34" s="10"/>
    </row>
    <row r="35" spans="1:9">
      <c r="A35" s="9">
        <v>99</v>
      </c>
      <c r="B35" s="6">
        <v>7776</v>
      </c>
      <c r="C35" s="6">
        <v>0</v>
      </c>
      <c r="D35" s="48">
        <v>0</v>
      </c>
      <c r="E35" s="7">
        <v>7692</v>
      </c>
      <c r="F35" s="6">
        <v>-235</v>
      </c>
      <c r="G35" s="10">
        <v>1317.25</v>
      </c>
      <c r="H35" s="10"/>
      <c r="I35" s="10"/>
    </row>
    <row r="36" spans="1:9">
      <c r="A36" s="9">
        <v>107</v>
      </c>
      <c r="B36" s="6">
        <v>1827073</v>
      </c>
      <c r="C36" s="6">
        <v>0</v>
      </c>
      <c r="D36" s="48">
        <v>0</v>
      </c>
      <c r="E36" s="7">
        <v>1811677</v>
      </c>
      <c r="F36" s="6">
        <v>-44990</v>
      </c>
      <c r="G36" s="10">
        <v>328171.57999999996</v>
      </c>
      <c r="H36" s="10"/>
      <c r="I36" s="10"/>
    </row>
    <row r="37" spans="1:9">
      <c r="A37" s="9">
        <v>109</v>
      </c>
      <c r="B37" s="6">
        <v>8792562</v>
      </c>
      <c r="C37" s="6">
        <v>0</v>
      </c>
      <c r="D37" s="48">
        <v>0</v>
      </c>
      <c r="E37" s="7">
        <v>8717385</v>
      </c>
      <c r="F37" s="6">
        <v>-216763</v>
      </c>
      <c r="G37" s="10">
        <v>1122260.6500000001</v>
      </c>
      <c r="H37" s="10"/>
      <c r="I37" s="10"/>
    </row>
    <row r="38" spans="1:9">
      <c r="A38" s="9">
        <v>110</v>
      </c>
      <c r="B38" s="6">
        <v>160564</v>
      </c>
      <c r="C38" s="6">
        <v>0</v>
      </c>
      <c r="D38" s="48">
        <v>0</v>
      </c>
      <c r="E38" s="7">
        <v>159121</v>
      </c>
      <c r="F38" s="6">
        <v>-4225</v>
      </c>
      <c r="G38" s="10">
        <v>34769.87000000001</v>
      </c>
      <c r="H38" s="10"/>
      <c r="I38" s="10"/>
    </row>
    <row r="39" spans="1:9">
      <c r="A39" s="9">
        <v>111</v>
      </c>
      <c r="B39" s="6">
        <v>388358</v>
      </c>
      <c r="C39" s="6">
        <v>0</v>
      </c>
      <c r="D39" s="48">
        <v>0</v>
      </c>
      <c r="E39" s="7">
        <v>384910</v>
      </c>
      <c r="F39" s="6">
        <v>-9693</v>
      </c>
      <c r="G39" s="10">
        <v>136862.38</v>
      </c>
      <c r="H39" s="10"/>
      <c r="I39" s="10"/>
    </row>
    <row r="40" spans="1:9">
      <c r="A40" s="9">
        <v>113</v>
      </c>
      <c r="B40" s="6">
        <v>15034770</v>
      </c>
      <c r="C40" s="6">
        <v>0</v>
      </c>
      <c r="D40" s="48">
        <v>0</v>
      </c>
      <c r="E40" s="7">
        <v>14912128</v>
      </c>
      <c r="F40" s="6">
        <v>-365521</v>
      </c>
      <c r="G40" s="10">
        <v>2847637.8000000003</v>
      </c>
      <c r="H40" s="10"/>
      <c r="I40" s="10"/>
    </row>
    <row r="41" spans="1:9">
      <c r="A41" s="9">
        <v>116</v>
      </c>
      <c r="B41" s="6">
        <v>1706692</v>
      </c>
      <c r="C41" s="6">
        <v>0</v>
      </c>
      <c r="D41" s="48">
        <v>0</v>
      </c>
      <c r="E41" s="7">
        <v>1692660</v>
      </c>
      <c r="F41" s="6">
        <v>-46062</v>
      </c>
      <c r="G41" s="10">
        <v>292300.46000000008</v>
      </c>
      <c r="H41" s="10"/>
      <c r="I41" s="10"/>
    </row>
    <row r="42" spans="1:9">
      <c r="A42" s="9">
        <v>120</v>
      </c>
      <c r="B42" s="6">
        <v>1236</v>
      </c>
      <c r="C42" s="6">
        <v>0</v>
      </c>
      <c r="D42" s="48">
        <v>0</v>
      </c>
      <c r="E42" s="7">
        <v>1217</v>
      </c>
      <c r="F42" s="6">
        <v>-57</v>
      </c>
      <c r="G42" s="10">
        <v>310.82</v>
      </c>
      <c r="H42" s="10"/>
      <c r="I42" s="10"/>
    </row>
    <row r="43" spans="1:9">
      <c r="A43" s="9">
        <v>122</v>
      </c>
      <c r="B43" s="6">
        <v>50373</v>
      </c>
      <c r="C43" s="6">
        <v>0</v>
      </c>
      <c r="D43" s="48">
        <v>0</v>
      </c>
      <c r="E43" s="7">
        <v>49943</v>
      </c>
      <c r="F43" s="6">
        <v>-1337</v>
      </c>
      <c r="G43" s="10">
        <v>20386.12</v>
      </c>
      <c r="H43" s="10"/>
      <c r="I43" s="10"/>
    </row>
    <row r="44" spans="1:9">
      <c r="A44" s="16">
        <v>131</v>
      </c>
      <c r="B44" s="17">
        <v>328002</v>
      </c>
      <c r="C44" s="17">
        <v>0</v>
      </c>
      <c r="D44" s="49">
        <v>0</v>
      </c>
      <c r="E44" s="18">
        <v>323537</v>
      </c>
      <c r="F44" s="17">
        <v>-9822</v>
      </c>
      <c r="G44" s="14">
        <v>48861.719999999994</v>
      </c>
      <c r="H44" s="14"/>
      <c r="I44" s="14"/>
    </row>
    <row r="45" spans="1:9">
      <c r="A45" s="9" t="s">
        <v>165</v>
      </c>
      <c r="B45" s="6">
        <f t="shared" ref="B45:G45" si="2">SUM(B30:B44)</f>
        <v>43028015</v>
      </c>
      <c r="C45" s="6">
        <f t="shared" si="2"/>
        <v>0</v>
      </c>
      <c r="D45" s="6">
        <f t="shared" si="2"/>
        <v>0</v>
      </c>
      <c r="E45" s="6">
        <f t="shared" si="2"/>
        <v>42655897</v>
      </c>
      <c r="F45" s="6">
        <f t="shared" si="2"/>
        <v>-1076327</v>
      </c>
      <c r="G45" s="10">
        <f t="shared" si="2"/>
        <v>7991784.5900000008</v>
      </c>
      <c r="H45" s="76">
        <v>0</v>
      </c>
      <c r="I45" s="10">
        <f>SUM(G45:H45)</f>
        <v>7991784.5900000008</v>
      </c>
    </row>
    <row r="46" spans="1:9">
      <c r="A46" s="9"/>
      <c r="B46" s="6"/>
      <c r="C46" s="6"/>
      <c r="D46" s="48"/>
      <c r="E46" s="6"/>
      <c r="G46" s="10"/>
      <c r="H46" s="10"/>
      <c r="I46" s="10"/>
    </row>
    <row r="47" spans="1:9">
      <c r="A47" s="9">
        <v>211</v>
      </c>
      <c r="B47" s="6">
        <v>141250016</v>
      </c>
      <c r="C47" s="48">
        <v>22622</v>
      </c>
      <c r="D47" s="48">
        <v>270431</v>
      </c>
      <c r="E47" s="7">
        <v>139993918</v>
      </c>
      <c r="F47" s="7">
        <v>-3461709</v>
      </c>
      <c r="G47" s="10">
        <v>18612752.210000005</v>
      </c>
      <c r="H47" s="10"/>
      <c r="I47" s="10"/>
    </row>
    <row r="48" spans="1:9">
      <c r="A48" s="16">
        <v>212</v>
      </c>
      <c r="B48" s="17">
        <v>0</v>
      </c>
      <c r="C48" s="49">
        <v>0</v>
      </c>
      <c r="D48" s="49">
        <v>0</v>
      </c>
      <c r="E48" s="18">
        <v>0</v>
      </c>
      <c r="F48" s="17">
        <v>0</v>
      </c>
      <c r="G48" s="14">
        <v>0</v>
      </c>
      <c r="H48" s="14"/>
      <c r="I48" s="14"/>
    </row>
    <row r="49" spans="1:9">
      <c r="A49" s="9" t="s">
        <v>166</v>
      </c>
      <c r="B49" s="6">
        <f t="shared" ref="B49:G49" si="3">SUM(B47:B48)</f>
        <v>141250016</v>
      </c>
      <c r="C49" s="6">
        <f t="shared" si="3"/>
        <v>22622</v>
      </c>
      <c r="D49" s="48">
        <f>SUM(D47:D48)</f>
        <v>270431</v>
      </c>
      <c r="E49" s="6">
        <f t="shared" si="3"/>
        <v>139993918</v>
      </c>
      <c r="F49" s="6">
        <f t="shared" si="3"/>
        <v>-3461709</v>
      </c>
      <c r="G49" s="10">
        <f t="shared" si="3"/>
        <v>18612752.210000005</v>
      </c>
      <c r="H49" s="76">
        <v>0</v>
      </c>
      <c r="I49" s="10">
        <f>SUM(G49:H49)</f>
        <v>18612752.210000005</v>
      </c>
    </row>
    <row r="50" spans="1:9">
      <c r="A50" s="9"/>
      <c r="B50" s="6"/>
      <c r="C50" s="6"/>
      <c r="D50" s="48"/>
      <c r="E50" s="6"/>
      <c r="G50" s="10"/>
      <c r="H50" s="10"/>
      <c r="I50" s="10"/>
    </row>
    <row r="51" spans="1:9">
      <c r="A51" s="9" t="s">
        <v>346</v>
      </c>
      <c r="B51" s="6">
        <v>3009</v>
      </c>
      <c r="C51" s="48">
        <v>1</v>
      </c>
      <c r="D51" s="48">
        <v>12</v>
      </c>
      <c r="E51" s="7">
        <v>3012</v>
      </c>
      <c r="F51" s="6">
        <v>-23</v>
      </c>
      <c r="G51" s="10">
        <v>535.26</v>
      </c>
      <c r="H51" s="76">
        <v>0</v>
      </c>
      <c r="I51" s="10">
        <f>SUM(G51:H51)</f>
        <v>535.26</v>
      </c>
    </row>
    <row r="52" spans="1:9">
      <c r="A52" s="9"/>
      <c r="G52" s="10"/>
      <c r="H52" s="10"/>
      <c r="I52" s="10"/>
    </row>
    <row r="53" spans="1:9">
      <c r="A53" s="9">
        <v>204</v>
      </c>
      <c r="B53" s="6">
        <v>1482510</v>
      </c>
      <c r="C53" s="48">
        <v>495</v>
      </c>
      <c r="D53" s="48">
        <v>5965</v>
      </c>
      <c r="E53" s="7">
        <v>1469838</v>
      </c>
      <c r="F53" s="6">
        <v>-37843</v>
      </c>
      <c r="G53" s="10">
        <v>251169.80000000005</v>
      </c>
      <c r="H53" s="10"/>
      <c r="I53" s="10"/>
    </row>
    <row r="54" spans="1:9">
      <c r="A54" s="16">
        <v>213</v>
      </c>
      <c r="B54" s="17">
        <v>2510599</v>
      </c>
      <c r="C54" s="49">
        <v>629</v>
      </c>
      <c r="D54" s="49">
        <v>7446</v>
      </c>
      <c r="E54" s="18">
        <v>2491426</v>
      </c>
      <c r="F54" s="17">
        <v>-56378</v>
      </c>
      <c r="G54" s="14">
        <v>385198.46</v>
      </c>
      <c r="H54" s="14"/>
      <c r="I54" s="14"/>
    </row>
    <row r="55" spans="1:9">
      <c r="A55" s="9" t="s">
        <v>167</v>
      </c>
      <c r="B55" s="6">
        <f t="shared" ref="B55:G55" si="4">SUM(B53:B54)</f>
        <v>3993109</v>
      </c>
      <c r="C55" s="6">
        <f t="shared" si="4"/>
        <v>1124</v>
      </c>
      <c r="D55" s="48">
        <f t="shared" si="4"/>
        <v>13411</v>
      </c>
      <c r="E55" s="6">
        <f t="shared" si="4"/>
        <v>3961264</v>
      </c>
      <c r="F55" s="6">
        <f t="shared" si="4"/>
        <v>-94221</v>
      </c>
      <c r="G55" s="10">
        <f t="shared" si="4"/>
        <v>636368.26</v>
      </c>
      <c r="H55" s="76">
        <v>0</v>
      </c>
      <c r="I55" s="10">
        <f>SUM(G55:H55)</f>
        <v>636368.26</v>
      </c>
    </row>
    <row r="56" spans="1:9">
      <c r="A56" s="9"/>
      <c r="B56" s="6"/>
      <c r="C56" s="6"/>
      <c r="D56" s="48"/>
      <c r="E56" s="6"/>
      <c r="F56" s="6"/>
      <c r="G56" s="10"/>
      <c r="H56" s="10"/>
      <c r="I56" s="10"/>
    </row>
    <row r="57" spans="1:9">
      <c r="A57" s="9" t="s">
        <v>345</v>
      </c>
      <c r="B57" s="6">
        <v>372969</v>
      </c>
      <c r="C57" s="6">
        <v>76</v>
      </c>
      <c r="D57" s="48">
        <v>923</v>
      </c>
      <c r="E57" s="6">
        <v>369750</v>
      </c>
      <c r="F57" s="6">
        <v>-9280</v>
      </c>
      <c r="G57" s="10">
        <v>54712.090000000004</v>
      </c>
      <c r="H57" s="10"/>
      <c r="I57" s="10">
        <f>SUM(G57:H57)</f>
        <v>54712.090000000004</v>
      </c>
    </row>
    <row r="58" spans="1:9">
      <c r="A58" s="9"/>
      <c r="B58" s="6"/>
      <c r="C58" s="6"/>
      <c r="D58" s="48"/>
      <c r="E58" s="6"/>
      <c r="G58" s="10"/>
      <c r="H58" s="10"/>
      <c r="I58" s="10"/>
    </row>
    <row r="59" spans="1:9">
      <c r="A59" s="9" t="s">
        <v>168</v>
      </c>
      <c r="B59" s="6">
        <v>1630142</v>
      </c>
      <c r="C59" s="48">
        <v>77</v>
      </c>
      <c r="D59" s="48">
        <v>910</v>
      </c>
      <c r="E59" s="7">
        <v>1622474</v>
      </c>
      <c r="F59" s="6">
        <v>-34746</v>
      </c>
      <c r="G59" s="10">
        <v>176304.34</v>
      </c>
      <c r="H59" s="76">
        <v>0</v>
      </c>
      <c r="I59" s="10">
        <f>SUM(G59:H59)</f>
        <v>176304.34</v>
      </c>
    </row>
    <row r="60" spans="1:9">
      <c r="A60" s="9"/>
      <c r="B60" s="6"/>
      <c r="C60" s="48"/>
      <c r="D60" s="48"/>
      <c r="E60" s="6"/>
      <c r="G60" s="10"/>
      <c r="H60" s="10"/>
      <c r="I60" s="10"/>
    </row>
    <row r="61" spans="1:9">
      <c r="A61" s="9"/>
      <c r="B61" s="6"/>
      <c r="C61" s="48"/>
      <c r="D61" s="48"/>
      <c r="E61" s="6"/>
      <c r="G61" s="10"/>
      <c r="H61" s="10"/>
      <c r="I61" s="10"/>
    </row>
    <row r="62" spans="1:9">
      <c r="A62" s="9">
        <v>215</v>
      </c>
      <c r="B62" s="6">
        <v>500074688</v>
      </c>
      <c r="C62" s="48">
        <v>7003</v>
      </c>
      <c r="D62" s="48">
        <v>84142</v>
      </c>
      <c r="E62" s="7">
        <v>495089450</v>
      </c>
      <c r="F62" s="6">
        <v>-13825616</v>
      </c>
      <c r="G62" s="10">
        <v>56755780.390000038</v>
      </c>
      <c r="H62" s="10"/>
      <c r="I62" s="10"/>
    </row>
    <row r="63" spans="1:9">
      <c r="A63" s="9">
        <v>216</v>
      </c>
      <c r="B63" s="6">
        <v>0</v>
      </c>
      <c r="C63" s="48">
        <v>0</v>
      </c>
      <c r="D63" s="48">
        <v>0</v>
      </c>
      <c r="E63" s="7">
        <v>0</v>
      </c>
      <c r="F63" s="6">
        <v>0</v>
      </c>
      <c r="G63" s="10">
        <v>0</v>
      </c>
      <c r="H63" s="10"/>
      <c r="I63" s="10"/>
    </row>
    <row r="64" spans="1:9">
      <c r="A64" s="16">
        <v>218</v>
      </c>
      <c r="B64" s="17">
        <v>209360</v>
      </c>
      <c r="C64" s="49">
        <v>1</v>
      </c>
      <c r="D64" s="49">
        <v>12</v>
      </c>
      <c r="E64" s="18">
        <v>207429</v>
      </c>
      <c r="F64" s="17">
        <v>-6482</v>
      </c>
      <c r="G64" s="14">
        <v>22908.159999999996</v>
      </c>
      <c r="H64" s="14"/>
      <c r="I64" s="14"/>
    </row>
    <row r="65" spans="1:9">
      <c r="A65" s="9" t="s">
        <v>169</v>
      </c>
      <c r="B65" s="6">
        <f t="shared" ref="B65:G65" si="5">SUM(B62:B64)</f>
        <v>500284048</v>
      </c>
      <c r="C65" s="6">
        <f t="shared" si="5"/>
        <v>7004</v>
      </c>
      <c r="D65" s="48">
        <f>SUM(D62:D64)</f>
        <v>84154</v>
      </c>
      <c r="E65" s="6">
        <f t="shared" si="5"/>
        <v>495296879</v>
      </c>
      <c r="F65" s="6">
        <f t="shared" si="5"/>
        <v>-13832098</v>
      </c>
      <c r="G65" s="10">
        <f t="shared" si="5"/>
        <v>56778688.550000034</v>
      </c>
      <c r="H65" s="76">
        <v>0</v>
      </c>
      <c r="I65" s="10">
        <f>SUM(G65:H65)</f>
        <v>56778688.550000034</v>
      </c>
    </row>
    <row r="66" spans="1:9">
      <c r="A66" s="9"/>
      <c r="B66" s="6"/>
      <c r="C66" s="6"/>
      <c r="D66" s="48"/>
      <c r="E66" s="6"/>
      <c r="G66" s="10"/>
      <c r="H66" s="76"/>
      <c r="I66" s="10"/>
    </row>
    <row r="67" spans="1:9">
      <c r="A67" s="9" t="s">
        <v>170</v>
      </c>
      <c r="B67" s="6">
        <v>1066697</v>
      </c>
      <c r="C67" s="48">
        <v>46</v>
      </c>
      <c r="D67" s="48">
        <v>555</v>
      </c>
      <c r="E67" s="7">
        <v>1060745</v>
      </c>
      <c r="F67" s="6">
        <v>-16867</v>
      </c>
      <c r="G67" s="10">
        <v>107867.83</v>
      </c>
      <c r="H67" s="76">
        <v>0</v>
      </c>
      <c r="I67" s="10">
        <f>SUM(G67:H67)</f>
        <v>107867.83</v>
      </c>
    </row>
    <row r="68" spans="1:9">
      <c r="A68" s="9"/>
      <c r="B68" s="6"/>
      <c r="C68" s="48"/>
      <c r="D68" s="48"/>
      <c r="E68" s="6"/>
      <c r="G68" s="10"/>
      <c r="H68" s="10"/>
      <c r="I68" s="10"/>
    </row>
    <row r="69" spans="1:9">
      <c r="A69" s="9" t="s">
        <v>171</v>
      </c>
      <c r="B69" s="6">
        <v>3875902</v>
      </c>
      <c r="C69" s="48">
        <v>76</v>
      </c>
      <c r="D69" s="48">
        <v>901</v>
      </c>
      <c r="E69" s="7">
        <v>3826168</v>
      </c>
      <c r="F69" s="6">
        <v>-126340</v>
      </c>
      <c r="G69" s="10">
        <v>383288.62999999989</v>
      </c>
      <c r="H69" s="76">
        <v>0</v>
      </c>
      <c r="I69" s="10">
        <f>SUM(G69:H69)</f>
        <v>383288.62999999989</v>
      </c>
    </row>
    <row r="70" spans="1:9">
      <c r="A70" s="9"/>
      <c r="B70" s="6"/>
      <c r="C70" s="48"/>
      <c r="D70" s="48"/>
      <c r="E70" s="6"/>
      <c r="G70" s="10"/>
      <c r="H70" s="10"/>
      <c r="I70" s="10"/>
    </row>
    <row r="71" spans="1:9">
      <c r="A71" s="9">
        <v>217</v>
      </c>
      <c r="B71" s="6">
        <v>3931548</v>
      </c>
      <c r="C71" s="48">
        <v>36</v>
      </c>
      <c r="D71" s="48">
        <v>420</v>
      </c>
      <c r="E71" s="7">
        <v>3892909</v>
      </c>
      <c r="F71" s="6">
        <v>-104604</v>
      </c>
      <c r="G71" s="10">
        <v>414346.11000000004</v>
      </c>
      <c r="H71" s="10"/>
      <c r="I71" s="10"/>
    </row>
    <row r="72" spans="1:9">
      <c r="A72" s="16">
        <v>220</v>
      </c>
      <c r="B72" s="17">
        <v>3934225</v>
      </c>
      <c r="C72" s="49">
        <v>48</v>
      </c>
      <c r="D72" s="49">
        <v>578</v>
      </c>
      <c r="E72" s="18">
        <v>3923717</v>
      </c>
      <c r="F72" s="17">
        <v>-64571</v>
      </c>
      <c r="G72" s="14">
        <v>427610.25000000006</v>
      </c>
      <c r="H72" s="14"/>
      <c r="I72" s="14"/>
    </row>
    <row r="73" spans="1:9">
      <c r="A73" s="9" t="s">
        <v>172</v>
      </c>
      <c r="B73" s="6">
        <f t="shared" ref="B73:G73" si="6">SUM(B71:B72)</f>
        <v>7865773</v>
      </c>
      <c r="C73" s="6">
        <f t="shared" si="6"/>
        <v>84</v>
      </c>
      <c r="D73" s="48">
        <f t="shared" si="6"/>
        <v>998</v>
      </c>
      <c r="E73" s="6">
        <f t="shared" si="6"/>
        <v>7816626</v>
      </c>
      <c r="F73" s="6">
        <f t="shared" si="6"/>
        <v>-169175</v>
      </c>
      <c r="G73" s="10">
        <f t="shared" si="6"/>
        <v>841956.3600000001</v>
      </c>
      <c r="H73" s="76">
        <v>0</v>
      </c>
      <c r="I73" s="10">
        <f>SUM(G73:H73)</f>
        <v>841956.3600000001</v>
      </c>
    </row>
    <row r="74" spans="1:9">
      <c r="A74" s="9"/>
      <c r="B74" s="6"/>
      <c r="C74" s="6"/>
      <c r="D74" s="48"/>
      <c r="E74" s="6"/>
      <c r="G74" s="10"/>
      <c r="H74" s="10"/>
      <c r="I74" s="10"/>
    </row>
    <row r="75" spans="1:9">
      <c r="A75" s="9" t="s">
        <v>173</v>
      </c>
      <c r="B75" s="6">
        <v>1528200</v>
      </c>
      <c r="C75" s="48">
        <v>10</v>
      </c>
      <c r="D75" s="48">
        <v>147</v>
      </c>
      <c r="E75" s="7">
        <v>1512461</v>
      </c>
      <c r="F75" s="6">
        <v>-33456</v>
      </c>
      <c r="G75" s="10">
        <v>174767.63</v>
      </c>
      <c r="H75" s="76">
        <v>0</v>
      </c>
      <c r="I75" s="10">
        <f>SUM(G75:H75)</f>
        <v>174767.63</v>
      </c>
    </row>
    <row r="76" spans="1:9">
      <c r="A76" s="9"/>
      <c r="B76" s="6"/>
      <c r="C76" s="48"/>
      <c r="D76" s="48"/>
      <c r="E76" s="6"/>
      <c r="G76" s="10"/>
      <c r="H76" s="10"/>
      <c r="I76" s="10"/>
    </row>
    <row r="77" spans="1:9">
      <c r="A77" s="9" t="s">
        <v>70</v>
      </c>
      <c r="B77" s="6">
        <v>547778925</v>
      </c>
      <c r="C77" s="48">
        <v>740</v>
      </c>
      <c r="D77" s="48">
        <v>8832</v>
      </c>
      <c r="E77" s="7">
        <v>541911991</v>
      </c>
      <c r="F77" s="6">
        <v>-16261961</v>
      </c>
      <c r="G77" s="10">
        <v>55349742.669999987</v>
      </c>
      <c r="H77" s="10"/>
      <c r="I77" s="10"/>
    </row>
    <row r="78" spans="1:9">
      <c r="A78" s="16" t="s">
        <v>71</v>
      </c>
      <c r="B78" s="17">
        <v>7931400</v>
      </c>
      <c r="C78" s="49">
        <v>7</v>
      </c>
      <c r="D78" s="49">
        <v>85</v>
      </c>
      <c r="E78" s="18">
        <v>7868313</v>
      </c>
      <c r="F78" s="17">
        <v>-196930</v>
      </c>
      <c r="G78" s="14">
        <v>779316.86</v>
      </c>
      <c r="H78" s="14"/>
      <c r="I78" s="14"/>
    </row>
    <row r="79" spans="1:9">
      <c r="A79" s="9" t="s">
        <v>174</v>
      </c>
      <c r="B79" s="6">
        <f t="shared" ref="B79:G79" si="7">SUM(B77:B78)</f>
        <v>555710325</v>
      </c>
      <c r="C79" s="6">
        <f t="shared" si="7"/>
        <v>747</v>
      </c>
      <c r="D79" s="48">
        <f t="shared" si="7"/>
        <v>8917</v>
      </c>
      <c r="E79" s="6">
        <f t="shared" si="7"/>
        <v>549780304</v>
      </c>
      <c r="F79" s="6">
        <f t="shared" si="7"/>
        <v>-16458891</v>
      </c>
      <c r="G79" s="10">
        <f t="shared" si="7"/>
        <v>56129059.529999986</v>
      </c>
      <c r="H79" s="76">
        <v>0</v>
      </c>
      <c r="I79" s="10">
        <f>SUM(G79:H79)</f>
        <v>56129059.529999986</v>
      </c>
    </row>
    <row r="80" spans="1:9">
      <c r="A80" s="9"/>
      <c r="B80" s="6"/>
      <c r="C80" s="6"/>
      <c r="D80" s="48"/>
      <c r="E80" s="6"/>
      <c r="G80" s="10"/>
      <c r="H80" s="10"/>
      <c r="I80" s="10"/>
    </row>
    <row r="81" spans="1:9">
      <c r="A81" s="9" t="s">
        <v>175</v>
      </c>
      <c r="B81" s="6">
        <v>1998736</v>
      </c>
      <c r="C81" s="48">
        <v>9</v>
      </c>
      <c r="D81" s="48">
        <v>108</v>
      </c>
      <c r="E81" s="7">
        <v>1959939</v>
      </c>
      <c r="F81" s="6">
        <v>-67483</v>
      </c>
      <c r="G81" s="10">
        <v>196457.19000000003</v>
      </c>
      <c r="H81" s="76">
        <v>0</v>
      </c>
      <c r="I81" s="10">
        <f>SUM(G81:H81)</f>
        <v>196457.19000000003</v>
      </c>
    </row>
    <row r="82" spans="1:9">
      <c r="A82" s="9"/>
      <c r="B82" s="6"/>
      <c r="C82" s="48"/>
      <c r="D82" s="48"/>
      <c r="E82" s="6"/>
      <c r="G82" s="10"/>
      <c r="H82" s="10"/>
      <c r="I82" s="10"/>
    </row>
    <row r="83" spans="1:9">
      <c r="A83" s="9">
        <v>244</v>
      </c>
      <c r="B83" s="6">
        <v>92528520</v>
      </c>
      <c r="C83" s="48">
        <v>74</v>
      </c>
      <c r="D83" s="48">
        <v>926</v>
      </c>
      <c r="E83" s="7">
        <v>91765412</v>
      </c>
      <c r="F83" s="6">
        <v>-2155009</v>
      </c>
      <c r="G83" s="10">
        <v>8535866.9300000034</v>
      </c>
      <c r="H83" s="10"/>
      <c r="I83" s="10"/>
    </row>
    <row r="84" spans="1:9">
      <c r="A84" s="16">
        <v>246</v>
      </c>
      <c r="B84" s="17">
        <v>710820</v>
      </c>
      <c r="C84" s="49">
        <v>1</v>
      </c>
      <c r="D84" s="49">
        <v>12</v>
      </c>
      <c r="E84" s="18">
        <v>705486</v>
      </c>
      <c r="F84" s="17">
        <v>-17738</v>
      </c>
      <c r="G84" s="14">
        <v>62490.099999999991</v>
      </c>
      <c r="H84" s="14"/>
      <c r="I84" s="14"/>
    </row>
    <row r="85" spans="1:9">
      <c r="A85" s="9" t="s">
        <v>100</v>
      </c>
      <c r="B85" s="6">
        <f t="shared" ref="B85:G85" si="8">SUM(B83:B84)</f>
        <v>93239340</v>
      </c>
      <c r="C85" s="6">
        <f t="shared" si="8"/>
        <v>75</v>
      </c>
      <c r="D85" s="48">
        <f t="shared" si="8"/>
        <v>938</v>
      </c>
      <c r="E85" s="6">
        <f t="shared" si="8"/>
        <v>92470898</v>
      </c>
      <c r="F85" s="6">
        <f t="shared" si="8"/>
        <v>-2172747</v>
      </c>
      <c r="G85" s="10">
        <f t="shared" si="8"/>
        <v>8598357.0300000031</v>
      </c>
      <c r="H85" s="76">
        <v>0</v>
      </c>
      <c r="I85" s="10">
        <f>SUM(G85:H85)</f>
        <v>8598357.0300000031</v>
      </c>
    </row>
    <row r="86" spans="1:9">
      <c r="A86" s="9"/>
      <c r="B86" s="6"/>
      <c r="C86" s="6"/>
      <c r="D86" s="48"/>
      <c r="E86" s="6"/>
      <c r="G86" s="10"/>
      <c r="H86" s="10"/>
      <c r="I86" s="10"/>
    </row>
    <row r="87" spans="1:9">
      <c r="A87" s="9" t="s">
        <v>176</v>
      </c>
      <c r="B87" s="6">
        <v>32506625</v>
      </c>
      <c r="C87" s="48">
        <v>20</v>
      </c>
      <c r="D87" s="48">
        <v>233</v>
      </c>
      <c r="E87" s="7">
        <v>32273549</v>
      </c>
      <c r="F87" s="6">
        <v>-777958</v>
      </c>
      <c r="G87" s="10">
        <v>2377008.3099999996</v>
      </c>
      <c r="H87" s="76">
        <v>0</v>
      </c>
      <c r="I87" s="10">
        <f>SUM(G87:H87)</f>
        <v>2377008.3099999996</v>
      </c>
    </row>
    <row r="88" spans="1:9">
      <c r="A88" s="9"/>
      <c r="B88" s="6"/>
      <c r="C88" s="48"/>
      <c r="D88" s="48"/>
      <c r="E88" s="7"/>
      <c r="F88" s="6"/>
      <c r="G88" s="10"/>
      <c r="H88" s="10"/>
      <c r="I88" s="10"/>
    </row>
    <row r="89" spans="1:9">
      <c r="A89" s="9" t="s">
        <v>335</v>
      </c>
      <c r="B89" s="6">
        <v>2093504</v>
      </c>
      <c r="C89" s="48">
        <v>1</v>
      </c>
      <c r="D89" s="48">
        <v>19</v>
      </c>
      <c r="E89" s="7">
        <v>2079426</v>
      </c>
      <c r="F89" s="6">
        <v>-14078</v>
      </c>
      <c r="G89" s="10">
        <v>164354.29999999999</v>
      </c>
      <c r="H89" s="76">
        <v>0</v>
      </c>
      <c r="I89" s="10">
        <f>SUM(G89:H89)</f>
        <v>164354.29999999999</v>
      </c>
    </row>
    <row r="90" spans="1:9">
      <c r="A90" s="9"/>
      <c r="B90" s="6"/>
      <c r="C90" s="48"/>
      <c r="D90" s="48"/>
      <c r="E90" s="6"/>
      <c r="G90" s="10"/>
      <c r="H90" s="10"/>
      <c r="I90" s="10"/>
    </row>
    <row r="91" spans="1:9">
      <c r="A91" s="9" t="s">
        <v>269</v>
      </c>
      <c r="B91" s="6">
        <v>21030788</v>
      </c>
      <c r="C91" s="48">
        <v>6</v>
      </c>
      <c r="D91" s="48">
        <v>72</v>
      </c>
      <c r="E91" s="6">
        <v>21029570</v>
      </c>
      <c r="F91" s="6">
        <v>-261576</v>
      </c>
      <c r="G91" s="10">
        <v>1898830.9000000004</v>
      </c>
      <c r="H91" s="76">
        <v>0</v>
      </c>
      <c r="I91" s="10">
        <f>SUM(G91:H91)</f>
        <v>1898830.9000000004</v>
      </c>
    </row>
    <row r="92" spans="1:9">
      <c r="A92" s="9"/>
      <c r="B92" s="6"/>
      <c r="C92" s="48"/>
      <c r="D92" s="48"/>
      <c r="E92" s="6"/>
      <c r="G92" s="10"/>
      <c r="H92" s="10"/>
      <c r="I92" s="10"/>
    </row>
    <row r="93" spans="1:9">
      <c r="A93" s="9">
        <v>357</v>
      </c>
      <c r="B93" s="6">
        <v>0</v>
      </c>
      <c r="C93" s="48">
        <v>0</v>
      </c>
      <c r="D93" s="48">
        <v>0</v>
      </c>
      <c r="E93" s="7">
        <v>0</v>
      </c>
      <c r="F93" s="6">
        <v>0</v>
      </c>
      <c r="G93" s="10">
        <v>0</v>
      </c>
      <c r="H93" s="10"/>
      <c r="I93" s="10"/>
    </row>
    <row r="94" spans="1:9">
      <c r="A94" s="16">
        <v>358</v>
      </c>
      <c r="B94" s="17">
        <v>333253981</v>
      </c>
      <c r="C94" s="49">
        <v>40</v>
      </c>
      <c r="D94" s="49">
        <v>492</v>
      </c>
      <c r="E94" s="18">
        <v>330950751</v>
      </c>
      <c r="F94" s="17">
        <v>-8194200</v>
      </c>
      <c r="G94" s="14">
        <v>25231062.029999994</v>
      </c>
      <c r="H94" s="14"/>
      <c r="I94" s="14"/>
    </row>
    <row r="95" spans="1:9">
      <c r="A95" s="9" t="s">
        <v>101</v>
      </c>
      <c r="B95" s="6">
        <f t="shared" ref="B95:G95" si="9">SUM(B93:B94)</f>
        <v>333253981</v>
      </c>
      <c r="C95" s="6">
        <f t="shared" si="9"/>
        <v>40</v>
      </c>
      <c r="D95" s="48">
        <f t="shared" si="9"/>
        <v>492</v>
      </c>
      <c r="E95" s="6">
        <f t="shared" si="9"/>
        <v>330950751</v>
      </c>
      <c r="F95" s="6">
        <f t="shared" si="9"/>
        <v>-8194200</v>
      </c>
      <c r="G95" s="10">
        <f t="shared" si="9"/>
        <v>25231062.029999994</v>
      </c>
      <c r="H95" s="76">
        <v>0</v>
      </c>
      <c r="I95" s="10">
        <f>SUM(G95:H95)</f>
        <v>25231062.029999994</v>
      </c>
    </row>
    <row r="96" spans="1:9">
      <c r="A96" s="9"/>
      <c r="B96" s="6"/>
      <c r="C96" s="6"/>
      <c r="D96" s="48"/>
      <c r="E96" s="6"/>
      <c r="G96" s="10"/>
      <c r="H96" s="10"/>
      <c r="I96" s="10"/>
    </row>
    <row r="97" spans="1:9">
      <c r="A97" s="9" t="s">
        <v>177</v>
      </c>
      <c r="B97" s="6">
        <v>333556118</v>
      </c>
      <c r="C97" s="48">
        <v>26</v>
      </c>
      <c r="D97" s="48">
        <v>315</v>
      </c>
      <c r="E97" s="6">
        <v>332428566</v>
      </c>
      <c r="F97" s="6">
        <v>-5194120</v>
      </c>
      <c r="G97" s="10">
        <v>22926270.790000003</v>
      </c>
      <c r="H97" s="76">
        <v>0</v>
      </c>
      <c r="I97" s="10">
        <f>SUM(G97:H97)</f>
        <v>22926270.790000003</v>
      </c>
    </row>
    <row r="98" spans="1:9">
      <c r="A98" s="9"/>
      <c r="B98" s="6"/>
      <c r="C98" s="48"/>
      <c r="D98" s="48"/>
      <c r="E98" s="6"/>
      <c r="G98" s="10"/>
      <c r="H98" s="10"/>
      <c r="I98" s="10"/>
    </row>
    <row r="99" spans="1:9">
      <c r="A99" s="9" t="s">
        <v>178</v>
      </c>
      <c r="B99" s="6">
        <v>35629335</v>
      </c>
      <c r="C99" s="48">
        <v>5</v>
      </c>
      <c r="D99" s="48">
        <v>36</v>
      </c>
      <c r="E99" s="6">
        <v>35861817</v>
      </c>
      <c r="F99" s="6">
        <v>0</v>
      </c>
      <c r="G99" s="10">
        <v>2543285.3100000005</v>
      </c>
      <c r="H99" s="76">
        <v>0</v>
      </c>
      <c r="I99" s="10">
        <f>SUM(G99:H99)</f>
        <v>2543285.3100000005</v>
      </c>
    </row>
    <row r="100" spans="1:9">
      <c r="A100" s="9"/>
      <c r="B100" s="6"/>
      <c r="C100" s="48"/>
      <c r="D100" s="48"/>
      <c r="E100" s="6"/>
      <c r="F100" s="6"/>
      <c r="G100" s="10"/>
      <c r="H100" s="10"/>
      <c r="I100" s="10"/>
    </row>
    <row r="101" spans="1:9">
      <c r="A101" s="9" t="s">
        <v>179</v>
      </c>
      <c r="B101" s="6">
        <v>1765479865</v>
      </c>
      <c r="C101" s="48">
        <v>9</v>
      </c>
      <c r="D101" s="48">
        <v>127</v>
      </c>
      <c r="E101" s="6">
        <v>1763163341</v>
      </c>
      <c r="F101" s="6">
        <v>-4985492</v>
      </c>
      <c r="G101" s="10">
        <v>102505258.39000002</v>
      </c>
      <c r="H101" s="76">
        <v>0</v>
      </c>
      <c r="I101" s="10">
        <f>SUM(G101:H101)</f>
        <v>102505258.39000002</v>
      </c>
    </row>
    <row r="102" spans="1:9">
      <c r="A102" s="9"/>
      <c r="B102" s="6"/>
      <c r="C102" s="48"/>
      <c r="D102" s="48"/>
      <c r="E102" s="6"/>
      <c r="F102" s="6"/>
      <c r="G102" s="10"/>
      <c r="H102" s="10"/>
      <c r="I102" s="10"/>
    </row>
    <row r="103" spans="1:9">
      <c r="A103" s="9" t="s">
        <v>180</v>
      </c>
      <c r="B103" s="6">
        <v>343772458</v>
      </c>
      <c r="C103" s="48">
        <v>2</v>
      </c>
      <c r="D103" s="48">
        <v>38</v>
      </c>
      <c r="E103" s="6">
        <v>340191876</v>
      </c>
      <c r="F103" s="6">
        <v>-9181872</v>
      </c>
      <c r="G103" s="10">
        <v>19189779.52</v>
      </c>
      <c r="H103" s="76">
        <v>0</v>
      </c>
      <c r="I103" s="10">
        <f>SUM(G103:H103)</f>
        <v>19189779.52</v>
      </c>
    </row>
    <row r="104" spans="1:9">
      <c r="A104" s="9"/>
      <c r="B104" s="6"/>
      <c r="C104" s="48"/>
      <c r="D104" s="48"/>
      <c r="E104" s="6"/>
      <c r="F104" s="6"/>
      <c r="G104" s="10"/>
      <c r="H104" s="10"/>
      <c r="I104" s="10"/>
    </row>
    <row r="105" spans="1:9">
      <c r="A105" s="9" t="s">
        <v>352</v>
      </c>
      <c r="B105" s="6">
        <v>1014167</v>
      </c>
      <c r="C105" s="48">
        <v>0</v>
      </c>
      <c r="D105" s="48">
        <v>0</v>
      </c>
      <c r="E105" s="6">
        <v>1014167</v>
      </c>
      <c r="F105" s="6">
        <v>0</v>
      </c>
      <c r="G105" s="10">
        <v>-55819.23</v>
      </c>
      <c r="H105" s="76">
        <f>-G105</f>
        <v>55819.23</v>
      </c>
      <c r="I105" s="10">
        <f>SUM(G105:H105)</f>
        <v>0</v>
      </c>
    </row>
    <row r="106" spans="1:9">
      <c r="A106" s="9"/>
      <c r="B106" s="6"/>
      <c r="C106" s="48"/>
      <c r="D106" s="48"/>
      <c r="E106" s="7"/>
      <c r="F106" s="6"/>
      <c r="G106" s="10"/>
      <c r="H106" s="76"/>
      <c r="I106" s="10"/>
    </row>
    <row r="107" spans="1:9">
      <c r="A107" s="9" t="s">
        <v>353</v>
      </c>
      <c r="B107" s="6">
        <v>236425</v>
      </c>
      <c r="C107" s="48">
        <v>0</v>
      </c>
      <c r="D107" s="48">
        <v>0</v>
      </c>
      <c r="E107" s="6">
        <v>236425</v>
      </c>
      <c r="F107" s="6">
        <v>0</v>
      </c>
      <c r="G107" s="10">
        <v>-4794.46</v>
      </c>
      <c r="H107" s="76">
        <f>-G107</f>
        <v>4794.46</v>
      </c>
      <c r="I107" s="10">
        <f>SUM(G107:H107)</f>
        <v>0</v>
      </c>
    </row>
    <row r="108" spans="1:9">
      <c r="A108" s="9"/>
      <c r="B108" s="6"/>
      <c r="C108" s="48"/>
      <c r="D108" s="48"/>
      <c r="E108" s="6"/>
      <c r="F108" s="6"/>
      <c r="G108" s="10"/>
      <c r="H108" s="10"/>
      <c r="I108" s="10"/>
    </row>
    <row r="109" spans="1:9">
      <c r="A109" s="9" t="s">
        <v>354</v>
      </c>
      <c r="B109" s="6">
        <v>0</v>
      </c>
      <c r="C109" s="48">
        <v>0</v>
      </c>
      <c r="D109" s="48">
        <v>0</v>
      </c>
      <c r="E109" s="6">
        <v>0</v>
      </c>
      <c r="F109" s="6">
        <v>0</v>
      </c>
      <c r="G109" s="10">
        <v>0</v>
      </c>
      <c r="H109" s="76">
        <v>0</v>
      </c>
      <c r="I109" s="10">
        <f>SUM(G109:H109)</f>
        <v>0</v>
      </c>
    </row>
    <row r="110" spans="1:9">
      <c r="A110" s="9"/>
      <c r="B110" s="6"/>
      <c r="C110" s="48"/>
      <c r="D110" s="48"/>
      <c r="E110" s="6"/>
      <c r="F110" s="6"/>
      <c r="G110" s="10"/>
      <c r="H110" s="10"/>
      <c r="I110" s="10"/>
    </row>
    <row r="111" spans="1:9">
      <c r="A111" s="9" t="s">
        <v>181</v>
      </c>
      <c r="B111" s="6">
        <v>8538072</v>
      </c>
      <c r="C111" s="6">
        <v>56</v>
      </c>
      <c r="D111" s="6">
        <v>672</v>
      </c>
      <c r="E111" s="6">
        <v>8537689</v>
      </c>
      <c r="F111" s="6">
        <v>-1169</v>
      </c>
      <c r="G111" s="10">
        <v>1437807.73</v>
      </c>
      <c r="H111" s="76">
        <v>0</v>
      </c>
      <c r="I111" s="10">
        <f>SUM(G111:H111)</f>
        <v>1437807.73</v>
      </c>
    </row>
    <row r="112" spans="1:9">
      <c r="A112" s="9"/>
      <c r="B112" s="6"/>
      <c r="C112" s="48"/>
      <c r="D112" s="48"/>
      <c r="E112" s="6"/>
      <c r="F112" s="6"/>
      <c r="G112" s="10"/>
      <c r="H112" s="10"/>
      <c r="I112" s="10"/>
    </row>
    <row r="113" spans="1:9">
      <c r="A113" s="9" t="s">
        <v>182</v>
      </c>
      <c r="B113" s="6">
        <v>3913384</v>
      </c>
      <c r="C113" s="6">
        <v>11</v>
      </c>
      <c r="D113" s="6">
        <v>132</v>
      </c>
      <c r="E113" s="6">
        <v>3864039</v>
      </c>
      <c r="F113" s="6">
        <v>-130396</v>
      </c>
      <c r="G113" s="10">
        <v>361824.77</v>
      </c>
      <c r="H113" s="76">
        <v>0</v>
      </c>
      <c r="I113" s="10">
        <f>SUM(G113:H113)</f>
        <v>361824.77</v>
      </c>
    </row>
    <row r="114" spans="1:9" ht="13.5" thickBot="1">
      <c r="A114" s="45"/>
      <c r="B114" s="46"/>
      <c r="C114" s="46"/>
      <c r="D114" s="53"/>
      <c r="E114" s="45"/>
      <c r="F114" s="45"/>
      <c r="G114" s="45"/>
      <c r="H114" s="45"/>
      <c r="I114" s="45"/>
    </row>
    <row r="115" spans="1:9">
      <c r="A115" t="s">
        <v>18</v>
      </c>
      <c r="B115" s="6">
        <f>+B18+B24+B26+B45+B49+B51+B55+B57+B59+B65+B67+B69+B73+B75+B79+B81+B85+B87+B89+B91+B95+B97+B99+B101+B103+B105+B107+B109+B111+B113</f>
        <v>6596156924</v>
      </c>
      <c r="C115" s="6">
        <f t="shared" ref="C115:I115" si="10">+C18+C24+C26+C45+C49+C51+C55+C57+C59+C65+C67+C69+C73+C75+C79+C81+C85+C87+C89+C91+C95+C97+C99+C101+C103+C105+C107+C109+C111+C113</f>
        <v>170427</v>
      </c>
      <c r="D115" s="48">
        <f t="shared" si="10"/>
        <v>2056182</v>
      </c>
      <c r="E115" s="6">
        <f t="shared" si="10"/>
        <v>6553903474</v>
      </c>
      <c r="F115" s="6">
        <f t="shared" si="10"/>
        <v>-119846433</v>
      </c>
      <c r="G115" s="10">
        <f t="shared" si="10"/>
        <v>563834917.12999988</v>
      </c>
      <c r="H115" s="10">
        <f t="shared" si="10"/>
        <v>60613.69</v>
      </c>
      <c r="I115" s="10">
        <f t="shared" si="10"/>
        <v>563895530.81999993</v>
      </c>
    </row>
  </sheetData>
  <phoneticPr fontId="0" type="noConversion"/>
  <printOptions horizontalCentered="1"/>
  <pageMargins left="0.25" right="0.25" top="0.75" bottom="0.75" header="0.3" footer="0.3"/>
  <pageSetup scale="83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N116"/>
  <sheetViews>
    <sheetView workbookViewId="0"/>
  </sheetViews>
  <sheetFormatPr defaultRowHeight="12.75"/>
  <cols>
    <col min="1" max="1" width="17.140625" customWidth="1"/>
    <col min="2" max="2" width="12.140625" bestFit="1" customWidth="1"/>
    <col min="3" max="4" width="12.85546875" customWidth="1"/>
    <col min="5" max="5" width="13.42578125" customWidth="1"/>
    <col min="6" max="6" width="12" customWidth="1"/>
    <col min="7" max="7" width="13.42578125" customWidth="1"/>
    <col min="8" max="8" width="13.85546875" customWidth="1"/>
    <col min="9" max="9" width="12" customWidth="1"/>
    <col min="10" max="10" width="11.42578125" customWidth="1"/>
    <col min="11" max="11" width="12" bestFit="1" customWidth="1"/>
    <col min="12" max="12" width="12.42578125" customWidth="1"/>
    <col min="13" max="14" width="12.7109375" customWidth="1"/>
  </cols>
  <sheetData>
    <row r="1" spans="1:14">
      <c r="A1" t="str">
        <f>+RS!A1</f>
        <v>KENTUCKY POWER BILLING ANALYSIS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t="str">
        <f>+RS!A2</f>
        <v>PER BOOKS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t="str">
        <f>+RS!A3</f>
        <v>TEST YEAR ENDED SEPTEMBER 30, 2014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6" t="s">
        <v>222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6" t="s">
        <v>2</v>
      </c>
      <c r="B7" s="68">
        <v>41578</v>
      </c>
      <c r="C7" s="67">
        <f t="shared" ref="C7:M7" si="0">EOMONTH(B7,1)</f>
        <v>41608</v>
      </c>
      <c r="D7" s="67">
        <f t="shared" si="0"/>
        <v>41639</v>
      </c>
      <c r="E7" s="68">
        <f t="shared" si="0"/>
        <v>41670</v>
      </c>
      <c r="F7" s="67">
        <f t="shared" si="0"/>
        <v>41698</v>
      </c>
      <c r="G7" s="67">
        <f t="shared" si="0"/>
        <v>41729</v>
      </c>
      <c r="H7" s="67">
        <f t="shared" si="0"/>
        <v>41759</v>
      </c>
      <c r="I7" s="67">
        <f t="shared" si="0"/>
        <v>41790</v>
      </c>
      <c r="J7" s="67">
        <f t="shared" si="0"/>
        <v>41820</v>
      </c>
      <c r="K7" s="67">
        <f t="shared" si="0"/>
        <v>41851</v>
      </c>
      <c r="L7" s="67">
        <f t="shared" si="0"/>
        <v>41882</v>
      </c>
      <c r="M7" s="67">
        <f t="shared" si="0"/>
        <v>41912</v>
      </c>
      <c r="N7" s="67" t="s">
        <v>18</v>
      </c>
    </row>
    <row r="8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6" t="s">
        <v>46</v>
      </c>
      <c r="B9" s="48">
        <v>75</v>
      </c>
      <c r="C9" s="48">
        <v>77</v>
      </c>
      <c r="D9" s="48">
        <v>77</v>
      </c>
      <c r="E9" s="48">
        <v>77</v>
      </c>
      <c r="F9" s="48">
        <v>77</v>
      </c>
      <c r="G9" s="48">
        <v>77</v>
      </c>
      <c r="H9" s="48">
        <v>76</v>
      </c>
      <c r="I9" s="48">
        <v>76</v>
      </c>
      <c r="J9" s="48">
        <v>76</v>
      </c>
      <c r="K9" s="48">
        <v>76</v>
      </c>
      <c r="L9" s="48">
        <v>76</v>
      </c>
      <c r="M9" s="48">
        <v>77</v>
      </c>
      <c r="N9" s="48">
        <f t="shared" ref="N9:N22" si="1">SUM(B9:M9)</f>
        <v>917</v>
      </c>
    </row>
    <row r="10" spans="1:14">
      <c r="A10" s="6" t="s">
        <v>47</v>
      </c>
      <c r="B10" s="48">
        <v>10</v>
      </c>
      <c r="C10" s="48">
        <v>10</v>
      </c>
      <c r="D10" s="48">
        <v>10</v>
      </c>
      <c r="E10" s="48">
        <v>10</v>
      </c>
      <c r="F10" s="48">
        <v>10</v>
      </c>
      <c r="G10" s="48">
        <v>10</v>
      </c>
      <c r="H10" s="48">
        <v>10</v>
      </c>
      <c r="I10" s="48">
        <v>10</v>
      </c>
      <c r="J10" s="48">
        <v>10</v>
      </c>
      <c r="K10" s="48">
        <v>10</v>
      </c>
      <c r="L10" s="48">
        <v>10</v>
      </c>
      <c r="M10" s="48">
        <v>10</v>
      </c>
      <c r="N10" s="48">
        <f t="shared" si="1"/>
        <v>120</v>
      </c>
    </row>
    <row r="11" spans="1:14">
      <c r="A11" s="6" t="s">
        <v>48</v>
      </c>
      <c r="B11" s="48">
        <v>2</v>
      </c>
      <c r="C11" s="48">
        <v>2</v>
      </c>
      <c r="D11" s="48">
        <v>2</v>
      </c>
      <c r="E11" s="48">
        <v>2</v>
      </c>
      <c r="F11" s="48">
        <v>2</v>
      </c>
      <c r="G11" s="48">
        <v>2</v>
      </c>
      <c r="H11" s="48">
        <v>2</v>
      </c>
      <c r="I11" s="48">
        <v>2</v>
      </c>
      <c r="J11" s="48">
        <v>2</v>
      </c>
      <c r="K11" s="48">
        <v>2</v>
      </c>
      <c r="L11" s="48">
        <v>2</v>
      </c>
      <c r="M11" s="48">
        <v>2</v>
      </c>
      <c r="N11" s="48">
        <f t="shared" si="1"/>
        <v>24</v>
      </c>
    </row>
    <row r="12" spans="1:14">
      <c r="A12" s="6" t="s">
        <v>49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1"/>
        <v>0</v>
      </c>
    </row>
    <row r="13" spans="1:14">
      <c r="A13" s="6" t="s">
        <v>50</v>
      </c>
      <c r="B13" s="48">
        <v>64274</v>
      </c>
      <c r="C13" s="48">
        <v>64523</v>
      </c>
      <c r="D13" s="48">
        <v>64701</v>
      </c>
      <c r="E13" s="48">
        <v>64785</v>
      </c>
      <c r="F13" s="48">
        <v>64714</v>
      </c>
      <c r="G13" s="48">
        <v>64728</v>
      </c>
      <c r="H13" s="48">
        <v>64391</v>
      </c>
      <c r="I13" s="48">
        <v>64314</v>
      </c>
      <c r="J13" s="48">
        <v>64215</v>
      </c>
      <c r="K13" s="48">
        <v>64223</v>
      </c>
      <c r="L13" s="48">
        <v>64180</v>
      </c>
      <c r="M13" s="48">
        <v>64336</v>
      </c>
      <c r="N13" s="48">
        <f t="shared" si="1"/>
        <v>773384</v>
      </c>
    </row>
    <row r="14" spans="1:14">
      <c r="A14" s="6" t="s">
        <v>51</v>
      </c>
      <c r="B14" s="48">
        <v>513</v>
      </c>
      <c r="C14" s="48">
        <v>508</v>
      </c>
      <c r="D14" s="48">
        <v>505</v>
      </c>
      <c r="E14" s="48">
        <v>509</v>
      </c>
      <c r="F14" s="48">
        <v>511</v>
      </c>
      <c r="G14" s="48">
        <v>507</v>
      </c>
      <c r="H14" s="48">
        <v>508</v>
      </c>
      <c r="I14" s="48">
        <v>507</v>
      </c>
      <c r="J14" s="48">
        <v>508</v>
      </c>
      <c r="K14" s="48">
        <v>508</v>
      </c>
      <c r="L14" s="48">
        <v>508</v>
      </c>
      <c r="M14" s="48">
        <v>507</v>
      </c>
      <c r="N14" s="48">
        <f t="shared" si="1"/>
        <v>6099</v>
      </c>
    </row>
    <row r="15" spans="1:14">
      <c r="A15" s="6" t="s">
        <v>52</v>
      </c>
      <c r="B15" s="48">
        <v>74612</v>
      </c>
      <c r="C15" s="48">
        <v>74588</v>
      </c>
      <c r="D15" s="48">
        <v>74640</v>
      </c>
      <c r="E15" s="48">
        <v>74706</v>
      </c>
      <c r="F15" s="48">
        <v>74594</v>
      </c>
      <c r="G15" s="48">
        <v>74425</v>
      </c>
      <c r="H15" s="48">
        <v>74086</v>
      </c>
      <c r="I15" s="48">
        <v>73784</v>
      </c>
      <c r="J15" s="48">
        <v>73601</v>
      </c>
      <c r="K15" s="48">
        <v>73447</v>
      </c>
      <c r="L15" s="48">
        <v>73307</v>
      </c>
      <c r="M15" s="48">
        <v>73193</v>
      </c>
      <c r="N15" s="48">
        <f t="shared" si="1"/>
        <v>888983</v>
      </c>
    </row>
    <row r="16" spans="1:14">
      <c r="A16" s="17" t="s">
        <v>340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 t="shared" si="1"/>
        <v>0</v>
      </c>
    </row>
    <row r="17" spans="1:14">
      <c r="A17" s="6" t="s">
        <v>163</v>
      </c>
      <c r="B17" s="6">
        <f t="shared" ref="B17:N17" si="2">SUM(B9:B16)</f>
        <v>139486</v>
      </c>
      <c r="C17" s="6">
        <f t="shared" si="2"/>
        <v>139708</v>
      </c>
      <c r="D17" s="6">
        <f t="shared" si="2"/>
        <v>139935</v>
      </c>
      <c r="E17" s="6">
        <f t="shared" si="2"/>
        <v>140089</v>
      </c>
      <c r="F17" s="6">
        <f t="shared" si="2"/>
        <v>139908</v>
      </c>
      <c r="G17" s="6">
        <f t="shared" si="2"/>
        <v>139749</v>
      </c>
      <c r="H17" s="6">
        <f t="shared" si="2"/>
        <v>139073</v>
      </c>
      <c r="I17" s="6">
        <f t="shared" si="2"/>
        <v>138693</v>
      </c>
      <c r="J17" s="6">
        <f t="shared" si="2"/>
        <v>138412</v>
      </c>
      <c r="K17" s="6">
        <f t="shared" si="2"/>
        <v>138266</v>
      </c>
      <c r="L17" s="6">
        <f t="shared" si="2"/>
        <v>138083</v>
      </c>
      <c r="M17" s="6">
        <f t="shared" si="2"/>
        <v>138125</v>
      </c>
      <c r="N17" s="6">
        <f t="shared" si="2"/>
        <v>1669527</v>
      </c>
    </row>
    <row r="18" spans="1:1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6" t="s">
        <v>53</v>
      </c>
      <c r="B19" s="48">
        <v>7</v>
      </c>
      <c r="C19" s="48">
        <v>7</v>
      </c>
      <c r="D19" s="48">
        <v>7</v>
      </c>
      <c r="E19" s="48">
        <v>7</v>
      </c>
      <c r="F19" s="48">
        <v>7</v>
      </c>
      <c r="G19" s="48">
        <v>7</v>
      </c>
      <c r="H19" s="48">
        <v>7</v>
      </c>
      <c r="I19" s="48">
        <v>7</v>
      </c>
      <c r="J19" s="48">
        <v>7</v>
      </c>
      <c r="K19" s="48">
        <v>7</v>
      </c>
      <c r="L19" s="48">
        <v>7</v>
      </c>
      <c r="M19" s="48">
        <v>7</v>
      </c>
      <c r="N19" s="48">
        <f t="shared" si="1"/>
        <v>84</v>
      </c>
    </row>
    <row r="20" spans="1:14">
      <c r="A20" s="6" t="s">
        <v>54</v>
      </c>
      <c r="B20" s="48">
        <v>68</v>
      </c>
      <c r="C20" s="48">
        <v>68</v>
      </c>
      <c r="D20" s="48">
        <v>70</v>
      </c>
      <c r="E20" s="48">
        <v>70</v>
      </c>
      <c r="F20" s="48">
        <v>71</v>
      </c>
      <c r="G20" s="48">
        <v>71</v>
      </c>
      <c r="H20" s="48">
        <v>71</v>
      </c>
      <c r="I20" s="48">
        <v>71</v>
      </c>
      <c r="J20" s="48">
        <v>72</v>
      </c>
      <c r="K20" s="48">
        <v>70</v>
      </c>
      <c r="L20" s="48">
        <v>69</v>
      </c>
      <c r="M20" s="48">
        <v>69</v>
      </c>
      <c r="N20" s="48">
        <f t="shared" si="1"/>
        <v>840</v>
      </c>
    </row>
    <row r="21" spans="1:14">
      <c r="A21" s="6" t="s">
        <v>55</v>
      </c>
      <c r="B21" s="48">
        <v>94</v>
      </c>
      <c r="C21" s="48">
        <v>95</v>
      </c>
      <c r="D21" s="48">
        <v>96</v>
      </c>
      <c r="E21" s="48">
        <v>94</v>
      </c>
      <c r="F21" s="48">
        <v>94</v>
      </c>
      <c r="G21" s="48">
        <v>94</v>
      </c>
      <c r="H21" s="48">
        <v>94</v>
      </c>
      <c r="I21" s="48">
        <v>93</v>
      </c>
      <c r="J21" s="48">
        <v>94</v>
      </c>
      <c r="K21" s="48">
        <v>94</v>
      </c>
      <c r="L21" s="48">
        <v>94</v>
      </c>
      <c r="M21" s="48">
        <v>94</v>
      </c>
      <c r="N21" s="48">
        <f t="shared" si="1"/>
        <v>1130</v>
      </c>
    </row>
    <row r="22" spans="1:14">
      <c r="A22" s="17" t="s">
        <v>56</v>
      </c>
      <c r="B22" s="49">
        <v>2</v>
      </c>
      <c r="C22" s="49">
        <v>2</v>
      </c>
      <c r="D22" s="49">
        <v>2</v>
      </c>
      <c r="E22" s="49">
        <v>2</v>
      </c>
      <c r="F22" s="49">
        <v>2</v>
      </c>
      <c r="G22" s="49">
        <v>2</v>
      </c>
      <c r="H22" s="49">
        <v>2</v>
      </c>
      <c r="I22" s="49">
        <v>2</v>
      </c>
      <c r="J22" s="49">
        <v>2</v>
      </c>
      <c r="K22" s="49">
        <v>2</v>
      </c>
      <c r="L22" s="49">
        <v>2</v>
      </c>
      <c r="M22" s="49">
        <v>2</v>
      </c>
      <c r="N22" s="49">
        <f t="shared" si="1"/>
        <v>24</v>
      </c>
    </row>
    <row r="23" spans="1:14">
      <c r="A23" s="6" t="s">
        <v>164</v>
      </c>
      <c r="B23" s="6">
        <f t="shared" ref="B23:N23" si="3">SUM(B19:B22)</f>
        <v>171</v>
      </c>
      <c r="C23" s="6">
        <f t="shared" si="3"/>
        <v>172</v>
      </c>
      <c r="D23" s="6">
        <f t="shared" si="3"/>
        <v>175</v>
      </c>
      <c r="E23" s="6">
        <f t="shared" si="3"/>
        <v>173</v>
      </c>
      <c r="F23" s="6">
        <f t="shared" si="3"/>
        <v>174</v>
      </c>
      <c r="G23" s="6">
        <f t="shared" si="3"/>
        <v>174</v>
      </c>
      <c r="H23" s="6">
        <f t="shared" si="3"/>
        <v>174</v>
      </c>
      <c r="I23" s="6">
        <f t="shared" si="3"/>
        <v>173</v>
      </c>
      <c r="J23" s="6">
        <f t="shared" si="3"/>
        <v>175</v>
      </c>
      <c r="K23" s="6">
        <f t="shared" si="3"/>
        <v>173</v>
      </c>
      <c r="L23" s="6">
        <f t="shared" si="3"/>
        <v>172</v>
      </c>
      <c r="M23" s="6">
        <f t="shared" si="3"/>
        <v>172</v>
      </c>
      <c r="N23" s="6">
        <f t="shared" si="3"/>
        <v>2078</v>
      </c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>
      <c r="A25" s="47" t="s">
        <v>273</v>
      </c>
      <c r="B25" s="48">
        <v>3</v>
      </c>
      <c r="C25" s="48">
        <v>3</v>
      </c>
      <c r="D25" s="48">
        <v>3</v>
      </c>
      <c r="E25" s="48">
        <v>3</v>
      </c>
      <c r="F25" s="48">
        <v>3</v>
      </c>
      <c r="G25" s="48">
        <v>3</v>
      </c>
      <c r="H25" s="48">
        <v>3</v>
      </c>
      <c r="I25" s="48">
        <v>3</v>
      </c>
      <c r="J25" s="48">
        <v>3</v>
      </c>
      <c r="K25" s="48">
        <v>3</v>
      </c>
      <c r="L25" s="48">
        <v>3</v>
      </c>
      <c r="M25" s="48">
        <v>3</v>
      </c>
      <c r="N25" s="48">
        <f>SUM(B25:M25)</f>
        <v>36</v>
      </c>
    </row>
    <row r="26" spans="1:14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>
      <c r="A27" s="6" t="s">
        <v>339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/>
    </row>
    <row r="28" spans="1:14">
      <c r="A28" s="6"/>
      <c r="M28" s="6"/>
      <c r="N28" s="6"/>
    </row>
    <row r="29" spans="1:14">
      <c r="A29" s="6" t="s">
        <v>58</v>
      </c>
      <c r="B29" s="6">
        <v>22519</v>
      </c>
      <c r="C29" s="6">
        <v>22503</v>
      </c>
      <c r="D29" s="6">
        <v>22583</v>
      </c>
      <c r="E29" s="6">
        <v>22625</v>
      </c>
      <c r="F29" s="6">
        <v>22543</v>
      </c>
      <c r="G29" s="6">
        <v>22536</v>
      </c>
      <c r="H29" s="6">
        <v>22451</v>
      </c>
      <c r="I29" s="6">
        <v>22473</v>
      </c>
      <c r="J29" s="6">
        <v>22487</v>
      </c>
      <c r="K29" s="6">
        <v>22551</v>
      </c>
      <c r="L29" s="6">
        <v>22538</v>
      </c>
      <c r="M29" s="6">
        <v>22622</v>
      </c>
      <c r="N29" s="6">
        <f>SUM(B29:M29)</f>
        <v>270431</v>
      </c>
    </row>
    <row r="30" spans="1:14">
      <c r="A30" s="17" t="s">
        <v>59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f>SUM(B30:M30)</f>
        <v>0</v>
      </c>
    </row>
    <row r="31" spans="1:14" ht="12" customHeight="1">
      <c r="A31" s="6" t="s">
        <v>166</v>
      </c>
      <c r="B31" s="6">
        <f>SUM(B29:B30)</f>
        <v>22519</v>
      </c>
      <c r="C31" s="6">
        <f t="shared" ref="C31:N31" si="4">SUM(C29:C30)</f>
        <v>22503</v>
      </c>
      <c r="D31" s="6">
        <f t="shared" si="4"/>
        <v>22583</v>
      </c>
      <c r="E31" s="6">
        <f t="shared" si="4"/>
        <v>22625</v>
      </c>
      <c r="F31" s="6">
        <f t="shared" si="4"/>
        <v>22543</v>
      </c>
      <c r="G31" s="6">
        <f t="shared" si="4"/>
        <v>22536</v>
      </c>
      <c r="H31" s="6">
        <f t="shared" si="4"/>
        <v>22451</v>
      </c>
      <c r="I31" s="6">
        <f t="shared" si="4"/>
        <v>22473</v>
      </c>
      <c r="J31" s="6">
        <f t="shared" si="4"/>
        <v>22487</v>
      </c>
      <c r="K31" s="6">
        <f t="shared" si="4"/>
        <v>22551</v>
      </c>
      <c r="L31" s="6">
        <f t="shared" si="4"/>
        <v>22538</v>
      </c>
      <c r="M31" s="6">
        <f t="shared" si="4"/>
        <v>22622</v>
      </c>
      <c r="N31" s="6">
        <f t="shared" si="4"/>
        <v>270431</v>
      </c>
    </row>
    <row r="32" spans="1:14" ht="12" customHeight="1">
      <c r="A32" s="6"/>
      <c r="M32" s="6"/>
      <c r="N32" s="6"/>
    </row>
    <row r="33" spans="1:14">
      <c r="A33" s="6" t="s">
        <v>61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f>SUM(B33:M33)</f>
        <v>12</v>
      </c>
    </row>
    <row r="34" spans="1:14" ht="12" customHeight="1">
      <c r="A34" s="6"/>
      <c r="M34" s="6"/>
      <c r="N34" s="6"/>
    </row>
    <row r="35" spans="1:14">
      <c r="A35" s="6" t="s">
        <v>57</v>
      </c>
      <c r="B35" s="6">
        <v>498</v>
      </c>
      <c r="C35" s="6">
        <v>498</v>
      </c>
      <c r="D35" s="6">
        <v>495</v>
      </c>
      <c r="E35" s="6">
        <v>493</v>
      </c>
      <c r="F35" s="6">
        <v>493</v>
      </c>
      <c r="G35" s="6">
        <v>493</v>
      </c>
      <c r="H35" s="6">
        <v>513</v>
      </c>
      <c r="I35" s="6">
        <v>502</v>
      </c>
      <c r="J35" s="6">
        <v>495</v>
      </c>
      <c r="K35" s="6">
        <v>495</v>
      </c>
      <c r="L35" s="6">
        <v>495</v>
      </c>
      <c r="M35" s="6">
        <v>495</v>
      </c>
      <c r="N35" s="6">
        <f>SUM(B35:M35)</f>
        <v>5965</v>
      </c>
    </row>
    <row r="36" spans="1:14">
      <c r="A36" s="17" t="s">
        <v>60</v>
      </c>
      <c r="B36" s="17">
        <v>619</v>
      </c>
      <c r="C36" s="17">
        <v>620</v>
      </c>
      <c r="D36" s="17">
        <v>625</v>
      </c>
      <c r="E36" s="17">
        <v>623</v>
      </c>
      <c r="F36" s="17">
        <v>618</v>
      </c>
      <c r="G36" s="17">
        <v>618</v>
      </c>
      <c r="H36" s="17">
        <v>618</v>
      </c>
      <c r="I36" s="17">
        <v>618</v>
      </c>
      <c r="J36" s="17">
        <v>618</v>
      </c>
      <c r="K36" s="17">
        <v>620</v>
      </c>
      <c r="L36" s="17">
        <v>620</v>
      </c>
      <c r="M36" s="17">
        <v>629</v>
      </c>
      <c r="N36" s="17">
        <f>SUM(B36:M36)</f>
        <v>7446</v>
      </c>
    </row>
    <row r="37" spans="1:14">
      <c r="A37" s="6" t="s">
        <v>167</v>
      </c>
      <c r="B37" s="6">
        <f>SUM(B35:B36)</f>
        <v>1117</v>
      </c>
      <c r="C37" s="6">
        <f t="shared" ref="C37:N37" si="5">SUM(C35:C36)</f>
        <v>1118</v>
      </c>
      <c r="D37" s="6">
        <f t="shared" si="5"/>
        <v>1120</v>
      </c>
      <c r="E37" s="6">
        <f t="shared" si="5"/>
        <v>1116</v>
      </c>
      <c r="F37" s="6">
        <f t="shared" si="5"/>
        <v>1111</v>
      </c>
      <c r="G37" s="6">
        <f t="shared" si="5"/>
        <v>1111</v>
      </c>
      <c r="H37" s="6">
        <f t="shared" si="5"/>
        <v>1131</v>
      </c>
      <c r="I37" s="6">
        <f t="shared" si="5"/>
        <v>1120</v>
      </c>
      <c r="J37" s="6">
        <f t="shared" si="5"/>
        <v>1113</v>
      </c>
      <c r="K37" s="6">
        <f t="shared" si="5"/>
        <v>1115</v>
      </c>
      <c r="L37" s="6">
        <f t="shared" si="5"/>
        <v>1115</v>
      </c>
      <c r="M37" s="6">
        <f t="shared" si="5"/>
        <v>1124</v>
      </c>
      <c r="N37" s="6">
        <f t="shared" si="5"/>
        <v>13411</v>
      </c>
    </row>
    <row r="38" spans="1:1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 t="s">
        <v>347</v>
      </c>
      <c r="B39" s="6">
        <v>78</v>
      </c>
      <c r="C39" s="6">
        <v>78</v>
      </c>
      <c r="D39" s="6">
        <v>77</v>
      </c>
      <c r="E39" s="6">
        <v>77</v>
      </c>
      <c r="F39" s="6">
        <v>77</v>
      </c>
      <c r="G39" s="6">
        <v>77</v>
      </c>
      <c r="H39" s="6">
        <v>77</v>
      </c>
      <c r="I39" s="6">
        <v>77</v>
      </c>
      <c r="J39" s="6">
        <v>77</v>
      </c>
      <c r="K39" s="6">
        <v>76</v>
      </c>
      <c r="L39" s="6">
        <v>76</v>
      </c>
      <c r="M39" s="6">
        <v>76</v>
      </c>
      <c r="N39" s="6">
        <f>SUM(B39:M39)</f>
        <v>923</v>
      </c>
    </row>
    <row r="41" spans="1:14">
      <c r="A41" s="6" t="s">
        <v>62</v>
      </c>
      <c r="B41" s="48">
        <v>74</v>
      </c>
      <c r="C41" s="48">
        <v>75</v>
      </c>
      <c r="D41" s="48">
        <v>75</v>
      </c>
      <c r="E41" s="48">
        <v>75</v>
      </c>
      <c r="F41" s="48">
        <v>75</v>
      </c>
      <c r="G41" s="48">
        <v>75</v>
      </c>
      <c r="H41" s="48">
        <v>75</v>
      </c>
      <c r="I41" s="48">
        <v>76</v>
      </c>
      <c r="J41" s="48">
        <v>77</v>
      </c>
      <c r="K41" s="48">
        <v>79</v>
      </c>
      <c r="L41" s="48">
        <v>77</v>
      </c>
      <c r="M41" s="48">
        <v>77</v>
      </c>
      <c r="N41" s="48">
        <f>SUM(B41:M41)</f>
        <v>910</v>
      </c>
    </row>
    <row r="42" spans="1:1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A43" s="6" t="s">
        <v>63</v>
      </c>
      <c r="B43" s="48">
        <v>7045</v>
      </c>
      <c r="C43" s="48">
        <v>6974</v>
      </c>
      <c r="D43" s="48">
        <v>6957</v>
      </c>
      <c r="E43" s="48">
        <v>6983</v>
      </c>
      <c r="F43" s="48">
        <v>7002</v>
      </c>
      <c r="G43" s="48">
        <v>7044</v>
      </c>
      <c r="H43" s="48">
        <v>7048</v>
      </c>
      <c r="I43" s="48">
        <v>7052</v>
      </c>
      <c r="J43" s="48">
        <v>7023</v>
      </c>
      <c r="K43" s="48">
        <v>7006</v>
      </c>
      <c r="L43" s="48">
        <v>7005</v>
      </c>
      <c r="M43" s="48">
        <v>7003</v>
      </c>
      <c r="N43" s="48">
        <f>SUM(B43:M43)</f>
        <v>84142</v>
      </c>
    </row>
    <row r="44" spans="1:14">
      <c r="A44" s="6" t="s">
        <v>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>SUM(B44:M44)</f>
        <v>0</v>
      </c>
    </row>
    <row r="45" spans="1:14">
      <c r="A45" s="17" t="s">
        <v>65</v>
      </c>
      <c r="B45" s="49">
        <v>1</v>
      </c>
      <c r="C45" s="49">
        <v>1</v>
      </c>
      <c r="D45" s="49">
        <v>1</v>
      </c>
      <c r="E45" s="49">
        <v>1</v>
      </c>
      <c r="F45" s="49">
        <v>1</v>
      </c>
      <c r="G45" s="49">
        <v>1</v>
      </c>
      <c r="H45" s="49">
        <v>1</v>
      </c>
      <c r="I45" s="49">
        <v>1</v>
      </c>
      <c r="J45" s="49">
        <v>1</v>
      </c>
      <c r="K45" s="49">
        <v>1</v>
      </c>
      <c r="L45" s="49">
        <v>1</v>
      </c>
      <c r="M45" s="49">
        <v>1</v>
      </c>
      <c r="N45" s="49">
        <f>SUM(B45:M45)</f>
        <v>12</v>
      </c>
    </row>
    <row r="46" spans="1:14">
      <c r="A46" s="6" t="s">
        <v>169</v>
      </c>
      <c r="B46" s="6">
        <f>SUM(B43:B45)</f>
        <v>7046</v>
      </c>
      <c r="C46" s="6">
        <f t="shared" ref="C46:N46" si="6">SUM(C43:C45)</f>
        <v>6975</v>
      </c>
      <c r="D46" s="6">
        <f t="shared" si="6"/>
        <v>6958</v>
      </c>
      <c r="E46" s="6">
        <f t="shared" si="6"/>
        <v>6984</v>
      </c>
      <c r="F46" s="6">
        <f t="shared" si="6"/>
        <v>7003</v>
      </c>
      <c r="G46" s="6">
        <f t="shared" si="6"/>
        <v>7045</v>
      </c>
      <c r="H46" s="6">
        <f t="shared" si="6"/>
        <v>7049</v>
      </c>
      <c r="I46" s="6">
        <f t="shared" si="6"/>
        <v>7053</v>
      </c>
      <c r="J46" s="6">
        <f t="shared" si="6"/>
        <v>7024</v>
      </c>
      <c r="K46" s="6">
        <f t="shared" si="6"/>
        <v>7007</v>
      </c>
      <c r="L46" s="6">
        <f t="shared" si="6"/>
        <v>7006</v>
      </c>
      <c r="M46" s="6">
        <f t="shared" si="6"/>
        <v>7004</v>
      </c>
      <c r="N46" s="6">
        <f t="shared" si="6"/>
        <v>84154</v>
      </c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 t="s">
        <v>66</v>
      </c>
      <c r="B48" s="48">
        <v>47</v>
      </c>
      <c r="C48" s="48">
        <v>47</v>
      </c>
      <c r="D48" s="48">
        <v>46</v>
      </c>
      <c r="E48" s="48">
        <v>47</v>
      </c>
      <c r="F48" s="48">
        <v>46</v>
      </c>
      <c r="G48" s="48">
        <v>46</v>
      </c>
      <c r="H48" s="48">
        <v>46</v>
      </c>
      <c r="I48" s="48">
        <v>46</v>
      </c>
      <c r="J48" s="48">
        <v>46</v>
      </c>
      <c r="K48" s="48">
        <v>46</v>
      </c>
      <c r="L48" s="48">
        <v>46</v>
      </c>
      <c r="M48" s="48">
        <v>46</v>
      </c>
      <c r="N48" s="48">
        <f>SUM(B48:M48)</f>
        <v>555</v>
      </c>
    </row>
    <row r="50" spans="1:14">
      <c r="A50" s="6" t="s">
        <v>67</v>
      </c>
      <c r="B50" s="48">
        <v>75</v>
      </c>
      <c r="C50" s="48">
        <v>75</v>
      </c>
      <c r="D50" s="48">
        <v>75</v>
      </c>
      <c r="E50" s="48">
        <v>75</v>
      </c>
      <c r="F50" s="48">
        <v>75</v>
      </c>
      <c r="G50" s="48">
        <v>75</v>
      </c>
      <c r="H50" s="48">
        <v>74</v>
      </c>
      <c r="I50" s="48">
        <v>76</v>
      </c>
      <c r="J50" s="48">
        <v>75</v>
      </c>
      <c r="K50" s="48">
        <v>75</v>
      </c>
      <c r="L50" s="48">
        <v>75</v>
      </c>
      <c r="M50" s="48">
        <v>76</v>
      </c>
      <c r="N50" s="48">
        <f>SUM(B50:M50)</f>
        <v>901</v>
      </c>
    </row>
    <row r="51" spans="1:14">
      <c r="A51" s="6"/>
      <c r="B51" s="40"/>
      <c r="C51" s="5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>
      <c r="A52" s="6" t="s">
        <v>68</v>
      </c>
      <c r="B52" s="48">
        <v>36</v>
      </c>
      <c r="C52" s="48">
        <v>35</v>
      </c>
      <c r="D52" s="48">
        <v>36</v>
      </c>
      <c r="E52" s="48">
        <v>35</v>
      </c>
      <c r="F52" s="48">
        <v>35</v>
      </c>
      <c r="G52" s="48">
        <v>34</v>
      </c>
      <c r="H52" s="48">
        <v>31</v>
      </c>
      <c r="I52" s="48">
        <v>37</v>
      </c>
      <c r="J52" s="48">
        <v>34</v>
      </c>
      <c r="K52" s="48">
        <v>35</v>
      </c>
      <c r="L52" s="48">
        <v>36</v>
      </c>
      <c r="M52" s="48">
        <v>36</v>
      </c>
      <c r="N52" s="48">
        <f>SUM(B52:M52)</f>
        <v>420</v>
      </c>
    </row>
    <row r="53" spans="1:14">
      <c r="A53" s="6" t="s">
        <v>69</v>
      </c>
      <c r="B53" s="49">
        <v>48</v>
      </c>
      <c r="C53" s="49">
        <v>49</v>
      </c>
      <c r="D53" s="49">
        <v>51</v>
      </c>
      <c r="E53" s="49">
        <v>47</v>
      </c>
      <c r="F53" s="49">
        <v>46</v>
      </c>
      <c r="G53" s="49">
        <v>47</v>
      </c>
      <c r="H53" s="49">
        <v>47</v>
      </c>
      <c r="I53" s="49">
        <v>49</v>
      </c>
      <c r="J53" s="49">
        <v>48</v>
      </c>
      <c r="K53" s="49">
        <v>49</v>
      </c>
      <c r="L53" s="49">
        <v>49</v>
      </c>
      <c r="M53" s="49">
        <v>48</v>
      </c>
      <c r="N53" s="49">
        <f>SUM(B53:M53)</f>
        <v>578</v>
      </c>
    </row>
    <row r="54" spans="1:14">
      <c r="A54" s="6" t="s">
        <v>172</v>
      </c>
      <c r="B54" s="6">
        <f t="shared" ref="B54:N54" si="7">SUM(B52:B53)</f>
        <v>84</v>
      </c>
      <c r="C54" s="6">
        <f t="shared" si="7"/>
        <v>84</v>
      </c>
      <c r="D54" s="6">
        <f t="shared" si="7"/>
        <v>87</v>
      </c>
      <c r="E54" s="6">
        <f t="shared" si="7"/>
        <v>82</v>
      </c>
      <c r="F54" s="6">
        <f t="shared" si="7"/>
        <v>81</v>
      </c>
      <c r="G54" s="6">
        <f t="shared" si="7"/>
        <v>81</v>
      </c>
      <c r="H54" s="6">
        <f t="shared" si="7"/>
        <v>78</v>
      </c>
      <c r="I54" s="6">
        <f t="shared" si="7"/>
        <v>86</v>
      </c>
      <c r="J54" s="6">
        <f t="shared" si="7"/>
        <v>82</v>
      </c>
      <c r="K54" s="6">
        <f t="shared" si="7"/>
        <v>84</v>
      </c>
      <c r="L54" s="6">
        <f t="shared" si="7"/>
        <v>85</v>
      </c>
      <c r="M54" s="7">
        <f t="shared" si="7"/>
        <v>84</v>
      </c>
      <c r="N54" s="7">
        <f t="shared" si="7"/>
        <v>998</v>
      </c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A56" s="6" t="s">
        <v>37</v>
      </c>
      <c r="B56" s="48">
        <v>13</v>
      </c>
      <c r="C56" s="48">
        <v>13</v>
      </c>
      <c r="D56" s="48">
        <v>13</v>
      </c>
      <c r="E56" s="48">
        <v>13</v>
      </c>
      <c r="F56" s="48">
        <v>13</v>
      </c>
      <c r="G56" s="48">
        <v>13</v>
      </c>
      <c r="H56" s="48">
        <v>12</v>
      </c>
      <c r="I56" s="48">
        <v>12</v>
      </c>
      <c r="J56" s="48">
        <v>12</v>
      </c>
      <c r="K56" s="48">
        <v>12</v>
      </c>
      <c r="L56" s="48">
        <v>11</v>
      </c>
      <c r="M56" s="48">
        <v>10</v>
      </c>
      <c r="N56" s="48">
        <f>SUM(B56:M56)</f>
        <v>147</v>
      </c>
    </row>
    <row r="57" spans="1:14">
      <c r="A57" s="6"/>
      <c r="B57" s="6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A58" s="6" t="s">
        <v>70</v>
      </c>
      <c r="B58" s="48">
        <v>738</v>
      </c>
      <c r="C58" s="48">
        <v>734</v>
      </c>
      <c r="D58" s="48">
        <v>734</v>
      </c>
      <c r="E58" s="48">
        <v>730</v>
      </c>
      <c r="F58" s="48">
        <v>729</v>
      </c>
      <c r="G58" s="48">
        <v>729</v>
      </c>
      <c r="H58" s="48">
        <v>730</v>
      </c>
      <c r="I58" s="48">
        <v>735</v>
      </c>
      <c r="J58" s="48">
        <v>744</v>
      </c>
      <c r="K58" s="48">
        <v>745</v>
      </c>
      <c r="L58" s="48">
        <v>744</v>
      </c>
      <c r="M58" s="48">
        <v>740</v>
      </c>
      <c r="N58" s="48">
        <f>SUM(B58:M58)</f>
        <v>8832</v>
      </c>
    </row>
    <row r="59" spans="1:14">
      <c r="A59" s="6" t="s">
        <v>71</v>
      </c>
      <c r="B59" s="49">
        <v>8</v>
      </c>
      <c r="C59" s="49">
        <v>7</v>
      </c>
      <c r="D59" s="49">
        <v>7</v>
      </c>
      <c r="E59" s="49">
        <v>7</v>
      </c>
      <c r="F59" s="49">
        <v>7</v>
      </c>
      <c r="G59" s="49">
        <v>7</v>
      </c>
      <c r="H59" s="49">
        <v>7</v>
      </c>
      <c r="I59" s="49">
        <v>7</v>
      </c>
      <c r="J59" s="49">
        <v>7</v>
      </c>
      <c r="K59" s="49">
        <v>7</v>
      </c>
      <c r="L59" s="49">
        <v>7</v>
      </c>
      <c r="M59" s="49">
        <v>7</v>
      </c>
      <c r="N59" s="49">
        <f>SUM(B59:M59)</f>
        <v>85</v>
      </c>
    </row>
    <row r="60" spans="1:14" ht="13.5" customHeight="1">
      <c r="A60" s="6" t="s">
        <v>174</v>
      </c>
      <c r="B60" s="6">
        <f>SUM(B58:B59)</f>
        <v>746</v>
      </c>
      <c r="C60" s="6">
        <f t="shared" ref="C60:N60" si="8">SUM(C58:C59)</f>
        <v>741</v>
      </c>
      <c r="D60" s="6">
        <f t="shared" si="8"/>
        <v>741</v>
      </c>
      <c r="E60" s="6">
        <f t="shared" si="8"/>
        <v>737</v>
      </c>
      <c r="F60" s="6">
        <f t="shared" si="8"/>
        <v>736</v>
      </c>
      <c r="G60" s="6">
        <f t="shared" si="8"/>
        <v>736</v>
      </c>
      <c r="H60" s="6">
        <f t="shared" si="8"/>
        <v>737</v>
      </c>
      <c r="I60" s="6">
        <f t="shared" si="8"/>
        <v>742</v>
      </c>
      <c r="J60" s="6">
        <f t="shared" si="8"/>
        <v>751</v>
      </c>
      <c r="K60" s="6">
        <f t="shared" si="8"/>
        <v>752</v>
      </c>
      <c r="L60" s="6">
        <f t="shared" si="8"/>
        <v>751</v>
      </c>
      <c r="M60" s="6">
        <f t="shared" si="8"/>
        <v>747</v>
      </c>
      <c r="N60" s="6">
        <f t="shared" si="8"/>
        <v>8917</v>
      </c>
    </row>
    <row r="61" spans="1:14" ht="13.5" customHeight="1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>
      <c r="A62" s="6" t="s">
        <v>72</v>
      </c>
      <c r="B62" s="48">
        <v>8</v>
      </c>
      <c r="C62" s="48">
        <v>10</v>
      </c>
      <c r="D62" s="48">
        <v>9</v>
      </c>
      <c r="E62" s="48">
        <v>9</v>
      </c>
      <c r="F62" s="48">
        <v>9</v>
      </c>
      <c r="G62" s="48">
        <v>9</v>
      </c>
      <c r="H62" s="48">
        <v>9</v>
      </c>
      <c r="I62" s="48">
        <v>9</v>
      </c>
      <c r="J62" s="48">
        <v>9</v>
      </c>
      <c r="K62" s="48">
        <v>9</v>
      </c>
      <c r="L62" s="48">
        <v>9</v>
      </c>
      <c r="M62" s="48">
        <v>9</v>
      </c>
      <c r="N62" s="48">
        <f>SUM(B62:M62)</f>
        <v>108</v>
      </c>
    </row>
    <row r="63" spans="1:14">
      <c r="A63" s="6"/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>
      <c r="A64" s="6" t="s">
        <v>73</v>
      </c>
      <c r="B64" s="48">
        <v>79</v>
      </c>
      <c r="C64" s="48">
        <v>80</v>
      </c>
      <c r="D64" s="48">
        <v>79</v>
      </c>
      <c r="E64" s="48">
        <v>79</v>
      </c>
      <c r="F64" s="48">
        <v>80</v>
      </c>
      <c r="G64" s="48">
        <v>78</v>
      </c>
      <c r="H64" s="48">
        <v>77</v>
      </c>
      <c r="I64" s="48">
        <v>75</v>
      </c>
      <c r="J64" s="48">
        <v>75</v>
      </c>
      <c r="K64" s="48">
        <v>76</v>
      </c>
      <c r="L64" s="48">
        <v>74</v>
      </c>
      <c r="M64" s="48">
        <v>74</v>
      </c>
      <c r="N64" s="48">
        <f>SUM(B64:M64)</f>
        <v>926</v>
      </c>
    </row>
    <row r="65" spans="1:14">
      <c r="A65" s="6" t="s">
        <v>74</v>
      </c>
      <c r="B65" s="49">
        <v>1</v>
      </c>
      <c r="C65" s="49">
        <v>1</v>
      </c>
      <c r="D65" s="49">
        <v>1</v>
      </c>
      <c r="E65" s="49">
        <v>1</v>
      </c>
      <c r="F65" s="49">
        <v>1</v>
      </c>
      <c r="G65" s="49">
        <v>1</v>
      </c>
      <c r="H65" s="49">
        <v>1</v>
      </c>
      <c r="I65" s="49">
        <v>1</v>
      </c>
      <c r="J65" s="49">
        <v>1</v>
      </c>
      <c r="K65" s="49">
        <v>1</v>
      </c>
      <c r="L65" s="49">
        <v>1</v>
      </c>
      <c r="M65" s="49">
        <v>1</v>
      </c>
      <c r="N65" s="49">
        <f>SUM(B65:M65)</f>
        <v>12</v>
      </c>
    </row>
    <row r="66" spans="1:14">
      <c r="A66" s="6" t="s">
        <v>183</v>
      </c>
      <c r="B66" s="6">
        <f t="shared" ref="B66:M66" si="9">SUM(B64:B65)</f>
        <v>80</v>
      </c>
      <c r="C66" s="7">
        <f t="shared" si="9"/>
        <v>81</v>
      </c>
      <c r="D66" s="7">
        <f t="shared" si="9"/>
        <v>80</v>
      </c>
      <c r="E66" s="7">
        <f t="shared" si="9"/>
        <v>80</v>
      </c>
      <c r="F66" s="7">
        <f t="shared" si="9"/>
        <v>81</v>
      </c>
      <c r="G66" s="7">
        <f t="shared" si="9"/>
        <v>79</v>
      </c>
      <c r="H66" s="7">
        <f t="shared" si="9"/>
        <v>78</v>
      </c>
      <c r="I66" s="7">
        <f t="shared" si="9"/>
        <v>76</v>
      </c>
      <c r="J66" s="7">
        <f t="shared" si="9"/>
        <v>76</v>
      </c>
      <c r="K66" s="7">
        <f t="shared" si="9"/>
        <v>77</v>
      </c>
      <c r="L66" s="7">
        <f t="shared" si="9"/>
        <v>75</v>
      </c>
      <c r="M66" s="7">
        <f t="shared" si="9"/>
        <v>75</v>
      </c>
      <c r="N66" s="7">
        <f>SUM(B66:M66)</f>
        <v>938</v>
      </c>
    </row>
    <row r="67" spans="1:14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>
      <c r="A68" s="6" t="s">
        <v>38</v>
      </c>
      <c r="B68" s="6">
        <v>19</v>
      </c>
      <c r="C68" s="6">
        <v>18</v>
      </c>
      <c r="D68" s="6">
        <v>19</v>
      </c>
      <c r="E68" s="6">
        <v>19</v>
      </c>
      <c r="F68" s="6">
        <v>19</v>
      </c>
      <c r="G68" s="6">
        <v>19</v>
      </c>
      <c r="H68" s="6">
        <v>19</v>
      </c>
      <c r="I68" s="6">
        <v>19</v>
      </c>
      <c r="J68" s="6">
        <v>21</v>
      </c>
      <c r="K68" s="6">
        <v>21</v>
      </c>
      <c r="L68" s="6">
        <v>20</v>
      </c>
      <c r="M68" s="6">
        <v>20</v>
      </c>
      <c r="N68" s="6">
        <f>SUM(B68:M68)</f>
        <v>233</v>
      </c>
    </row>
    <row r="69" spans="1:14">
      <c r="A69" s="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>
      <c r="A70" s="6" t="s">
        <v>336</v>
      </c>
      <c r="B70" s="6">
        <v>2</v>
      </c>
      <c r="C70" s="6">
        <v>2</v>
      </c>
      <c r="D70" s="6">
        <v>2</v>
      </c>
      <c r="E70" s="6">
        <v>2</v>
      </c>
      <c r="F70" s="6">
        <v>2</v>
      </c>
      <c r="G70" s="6">
        <v>2</v>
      </c>
      <c r="H70" s="6">
        <v>2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f>SUM(B70:M70)</f>
        <v>19</v>
      </c>
    </row>
    <row r="71" spans="1: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 s="6" t="s">
        <v>274</v>
      </c>
      <c r="B72" s="6">
        <v>5</v>
      </c>
      <c r="C72" s="6">
        <v>6</v>
      </c>
      <c r="D72" s="6">
        <v>4</v>
      </c>
      <c r="E72" s="6">
        <v>5</v>
      </c>
      <c r="F72" s="6">
        <v>5</v>
      </c>
      <c r="G72" s="6">
        <v>9</v>
      </c>
      <c r="H72" s="6">
        <v>5</v>
      </c>
      <c r="I72" s="6">
        <v>8</v>
      </c>
      <c r="J72" s="6">
        <v>7</v>
      </c>
      <c r="K72" s="6">
        <v>6</v>
      </c>
      <c r="L72" s="6">
        <v>6</v>
      </c>
      <c r="M72" s="6">
        <v>6</v>
      </c>
      <c r="N72" s="6">
        <f>SUM(B72:M72)</f>
        <v>72</v>
      </c>
    </row>
    <row r="74" spans="1:14">
      <c r="A74" s="6" t="s">
        <v>75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f>SUM(B74:M74)</f>
        <v>0</v>
      </c>
    </row>
    <row r="75" spans="1:14">
      <c r="A75" s="6" t="s">
        <v>76</v>
      </c>
      <c r="B75" s="49">
        <v>40</v>
      </c>
      <c r="C75" s="49">
        <v>41</v>
      </c>
      <c r="D75" s="49">
        <v>39</v>
      </c>
      <c r="E75" s="49">
        <v>41</v>
      </c>
      <c r="F75" s="49">
        <v>42</v>
      </c>
      <c r="G75" s="49">
        <v>42</v>
      </c>
      <c r="H75" s="49">
        <v>41</v>
      </c>
      <c r="I75" s="49">
        <v>43</v>
      </c>
      <c r="J75" s="49">
        <v>41</v>
      </c>
      <c r="K75" s="49">
        <v>41</v>
      </c>
      <c r="L75" s="49">
        <v>41</v>
      </c>
      <c r="M75" s="49">
        <v>40</v>
      </c>
      <c r="N75" s="49">
        <f>SUM(B75:M75)</f>
        <v>492</v>
      </c>
    </row>
    <row r="76" spans="1:14">
      <c r="A76" s="6" t="s">
        <v>39</v>
      </c>
      <c r="B76" s="6">
        <f t="shared" ref="B76:M76" si="10">SUM(B74:B75)</f>
        <v>40</v>
      </c>
      <c r="C76" s="6">
        <f t="shared" si="10"/>
        <v>41</v>
      </c>
      <c r="D76" s="6">
        <f t="shared" si="10"/>
        <v>39</v>
      </c>
      <c r="E76" s="6">
        <f t="shared" si="10"/>
        <v>41</v>
      </c>
      <c r="F76" s="6">
        <f t="shared" si="10"/>
        <v>42</v>
      </c>
      <c r="G76" s="6">
        <f t="shared" si="10"/>
        <v>42</v>
      </c>
      <c r="H76" s="6">
        <f t="shared" si="10"/>
        <v>41</v>
      </c>
      <c r="I76" s="6">
        <f t="shared" si="10"/>
        <v>43</v>
      </c>
      <c r="J76" s="6">
        <f t="shared" si="10"/>
        <v>41</v>
      </c>
      <c r="K76" s="6">
        <f t="shared" si="10"/>
        <v>41</v>
      </c>
      <c r="L76" s="6">
        <f t="shared" si="10"/>
        <v>41</v>
      </c>
      <c r="M76" s="6">
        <f t="shared" si="10"/>
        <v>40</v>
      </c>
      <c r="N76" s="6">
        <f>SUM(B76:M76)</f>
        <v>492</v>
      </c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 s="6" t="s">
        <v>40</v>
      </c>
      <c r="B78" s="6">
        <v>27</v>
      </c>
      <c r="C78" s="6">
        <v>28</v>
      </c>
      <c r="D78" s="6">
        <v>27</v>
      </c>
      <c r="E78" s="6">
        <v>27</v>
      </c>
      <c r="F78" s="6">
        <v>26</v>
      </c>
      <c r="G78" s="6">
        <v>26</v>
      </c>
      <c r="H78" s="6">
        <v>25</v>
      </c>
      <c r="I78" s="6">
        <v>27</v>
      </c>
      <c r="J78" s="6">
        <v>24</v>
      </c>
      <c r="K78" s="6">
        <v>26</v>
      </c>
      <c r="L78" s="6">
        <v>26</v>
      </c>
      <c r="M78" s="6">
        <v>26</v>
      </c>
      <c r="N78" s="6">
        <f>SUM(B78:M78)</f>
        <v>315</v>
      </c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 s="6" t="s">
        <v>41</v>
      </c>
      <c r="B80" s="6">
        <v>1</v>
      </c>
      <c r="C80" s="6">
        <v>1</v>
      </c>
      <c r="D80" s="6">
        <v>1</v>
      </c>
      <c r="E80" s="6">
        <v>1</v>
      </c>
      <c r="F80" s="6">
        <v>2</v>
      </c>
      <c r="G80" s="6">
        <v>4</v>
      </c>
      <c r="H80" s="6">
        <v>3</v>
      </c>
      <c r="I80" s="6">
        <v>3</v>
      </c>
      <c r="J80" s="6">
        <v>5</v>
      </c>
      <c r="K80" s="6">
        <v>5</v>
      </c>
      <c r="L80" s="6">
        <v>5</v>
      </c>
      <c r="M80" s="6">
        <v>5</v>
      </c>
      <c r="N80" s="6">
        <f>SUM(B80:M80)</f>
        <v>36</v>
      </c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 s="6" t="s">
        <v>42</v>
      </c>
      <c r="B82" s="6">
        <v>12</v>
      </c>
      <c r="C82" s="6">
        <v>11</v>
      </c>
      <c r="D82" s="6">
        <v>11</v>
      </c>
      <c r="E82" s="6">
        <v>11</v>
      </c>
      <c r="F82" s="6">
        <v>11</v>
      </c>
      <c r="G82" s="6">
        <v>11</v>
      </c>
      <c r="H82" s="6">
        <v>11</v>
      </c>
      <c r="I82" s="6">
        <v>11</v>
      </c>
      <c r="J82" s="6">
        <v>11</v>
      </c>
      <c r="K82" s="6">
        <v>9</v>
      </c>
      <c r="L82" s="6">
        <v>9</v>
      </c>
      <c r="M82" s="6">
        <v>9</v>
      </c>
      <c r="N82" s="6">
        <f>SUM(B82:M82)</f>
        <v>127</v>
      </c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 s="6" t="s">
        <v>43</v>
      </c>
      <c r="B84" s="6">
        <v>4</v>
      </c>
      <c r="C84" s="6">
        <v>4</v>
      </c>
      <c r="D84" s="6">
        <v>4</v>
      </c>
      <c r="E84" s="6">
        <v>4</v>
      </c>
      <c r="F84" s="6">
        <v>4</v>
      </c>
      <c r="G84" s="6">
        <v>2</v>
      </c>
      <c r="H84" s="6">
        <v>3</v>
      </c>
      <c r="I84" s="6">
        <v>3</v>
      </c>
      <c r="J84" s="6">
        <v>4</v>
      </c>
      <c r="K84" s="6">
        <v>2</v>
      </c>
      <c r="L84" s="6">
        <v>2</v>
      </c>
      <c r="M84" s="6">
        <v>2</v>
      </c>
      <c r="N84" s="6">
        <f>SUM(B84:M84)</f>
        <v>38</v>
      </c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>
      <c r="A86" s="6" t="s">
        <v>348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f>SUM(B86:M86)</f>
        <v>0</v>
      </c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>
      <c r="A88" s="6" t="s">
        <v>349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f>SUM(B88:M88)</f>
        <v>0</v>
      </c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>
      <c r="A90" s="6" t="s">
        <v>350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f>SUM(B90:M90)</f>
        <v>0</v>
      </c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>
      <c r="A92" s="6" t="s">
        <v>36</v>
      </c>
      <c r="B92" s="6">
        <v>11</v>
      </c>
      <c r="C92" s="6">
        <v>11</v>
      </c>
      <c r="D92" s="6">
        <v>11</v>
      </c>
      <c r="E92" s="6">
        <v>11</v>
      </c>
      <c r="F92" s="6">
        <v>11</v>
      </c>
      <c r="G92" s="6">
        <v>11</v>
      </c>
      <c r="H92" s="6">
        <v>11</v>
      </c>
      <c r="I92" s="6">
        <v>11</v>
      </c>
      <c r="J92" s="6">
        <v>11</v>
      </c>
      <c r="K92" s="6">
        <v>11</v>
      </c>
      <c r="L92" s="6">
        <v>11</v>
      </c>
      <c r="M92" s="6">
        <v>11</v>
      </c>
      <c r="N92" s="6">
        <f>SUM(B92:M92)</f>
        <v>132</v>
      </c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>
      <c r="A94" s="6" t="s">
        <v>77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f>SUM(B94:M94)</f>
        <v>0</v>
      </c>
    </row>
    <row r="95" spans="1:14">
      <c r="A95" s="6" t="s">
        <v>78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f>SUM(B95:M95)</f>
        <v>0</v>
      </c>
    </row>
    <row r="96" spans="1:14">
      <c r="A96" s="6" t="s">
        <v>79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f>SUM(B96:M96)</f>
        <v>0</v>
      </c>
    </row>
    <row r="97" spans="1:14">
      <c r="A97" s="6" t="s">
        <v>80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f>SUM(B97:M97)</f>
        <v>0</v>
      </c>
    </row>
    <row r="98" spans="1:14">
      <c r="A98" s="6" t="s">
        <v>81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f t="shared" ref="N98:N108" si="11">SUM(B98:M98)</f>
        <v>0</v>
      </c>
    </row>
    <row r="99" spans="1:14">
      <c r="A99" s="6" t="s">
        <v>82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f t="shared" si="11"/>
        <v>0</v>
      </c>
    </row>
    <row r="100" spans="1:14">
      <c r="A100" s="6" t="s">
        <v>83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f t="shared" si="11"/>
        <v>0</v>
      </c>
    </row>
    <row r="101" spans="1:14">
      <c r="A101" s="6" t="s">
        <v>84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f t="shared" si="11"/>
        <v>0</v>
      </c>
    </row>
    <row r="102" spans="1:14">
      <c r="A102" s="6" t="s">
        <v>85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f t="shared" si="11"/>
        <v>0</v>
      </c>
    </row>
    <row r="103" spans="1:14">
      <c r="A103" s="6" t="s">
        <v>86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f t="shared" si="11"/>
        <v>0</v>
      </c>
    </row>
    <row r="104" spans="1:14">
      <c r="A104" s="6" t="s">
        <v>87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f t="shared" si="11"/>
        <v>0</v>
      </c>
    </row>
    <row r="105" spans="1:14">
      <c r="A105" s="6" t="s">
        <v>88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f t="shared" si="11"/>
        <v>0</v>
      </c>
    </row>
    <row r="106" spans="1:14">
      <c r="A106" s="6" t="s">
        <v>338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f t="shared" si="11"/>
        <v>0</v>
      </c>
    </row>
    <row r="107" spans="1:14">
      <c r="A107" s="6" t="s">
        <v>89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f t="shared" si="11"/>
        <v>0</v>
      </c>
    </row>
    <row r="108" spans="1:14">
      <c r="A108" s="6" t="s">
        <v>90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f t="shared" si="11"/>
        <v>0</v>
      </c>
    </row>
    <row r="109" spans="1:14">
      <c r="A109" s="6" t="s">
        <v>44</v>
      </c>
      <c r="B109" s="6">
        <f t="shared" ref="B109:M109" si="12">SUM(B94:B108)</f>
        <v>0</v>
      </c>
      <c r="C109" s="6">
        <f t="shared" si="12"/>
        <v>0</v>
      </c>
      <c r="D109" s="6">
        <f t="shared" si="12"/>
        <v>0</v>
      </c>
      <c r="E109" s="6">
        <f t="shared" si="12"/>
        <v>0</v>
      </c>
      <c r="F109" s="6">
        <f t="shared" si="12"/>
        <v>0</v>
      </c>
      <c r="G109" s="6">
        <f t="shared" si="12"/>
        <v>0</v>
      </c>
      <c r="H109" s="6">
        <f t="shared" si="12"/>
        <v>0</v>
      </c>
      <c r="I109" s="6">
        <f t="shared" si="12"/>
        <v>0</v>
      </c>
      <c r="J109" s="6">
        <f t="shared" si="12"/>
        <v>0</v>
      </c>
      <c r="K109" s="6">
        <f t="shared" si="12"/>
        <v>0</v>
      </c>
      <c r="L109" s="6">
        <f t="shared" si="12"/>
        <v>0</v>
      </c>
      <c r="M109" s="6">
        <f t="shared" si="12"/>
        <v>0</v>
      </c>
      <c r="N109" s="6">
        <f>SUM(B109:M109)</f>
        <v>0</v>
      </c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6" t="s">
        <v>45</v>
      </c>
      <c r="B111" s="6">
        <v>56</v>
      </c>
      <c r="C111" s="6">
        <v>56</v>
      </c>
      <c r="D111" s="6">
        <v>56</v>
      </c>
      <c r="E111" s="6">
        <v>56</v>
      </c>
      <c r="F111" s="6">
        <v>56</v>
      </c>
      <c r="G111" s="6">
        <v>56</v>
      </c>
      <c r="H111" s="6">
        <v>56</v>
      </c>
      <c r="I111" s="6">
        <v>56</v>
      </c>
      <c r="J111" s="6">
        <v>56</v>
      </c>
      <c r="K111" s="6">
        <v>56</v>
      </c>
      <c r="L111" s="6">
        <v>56</v>
      </c>
      <c r="M111" s="6">
        <v>56</v>
      </c>
      <c r="N111" s="6">
        <f>SUM(B111:M111)</f>
        <v>672</v>
      </c>
    </row>
    <row r="113" spans="1:14">
      <c r="A113" t="s">
        <v>18</v>
      </c>
      <c r="B113" s="6">
        <f>+B17+B23+B25+B27+B31+B33+B37+B39+B41+B46+B48+B50+B54+B56+B60+B62+B66+B68+B70+B72+B76+B78+B80+B82+B84+B86+B88+B90+B92+B109+B111</f>
        <v>171725</v>
      </c>
      <c r="C113" s="6">
        <f t="shared" ref="C113:N113" si="13">+C17+C23+C25+C27+C31+C33+C37+C39+C41+C46+C48+C50+C54+C56+C60+C62+C66+C68+C70+C72+C76+C78+C80+C82+C84+C86+C88+C90+C92+C109+C111</f>
        <v>171862</v>
      </c>
      <c r="D113" s="6">
        <f t="shared" si="13"/>
        <v>172152</v>
      </c>
      <c r="E113" s="6">
        <f t="shared" si="13"/>
        <v>172363</v>
      </c>
      <c r="F113" s="6">
        <f t="shared" si="13"/>
        <v>172114</v>
      </c>
      <c r="G113" s="6">
        <f t="shared" si="13"/>
        <v>171992</v>
      </c>
      <c r="H113" s="6">
        <f t="shared" si="13"/>
        <v>171244</v>
      </c>
      <c r="I113" s="6">
        <f t="shared" si="13"/>
        <v>170898</v>
      </c>
      <c r="J113" s="6">
        <f t="shared" si="13"/>
        <v>170601</v>
      </c>
      <c r="K113" s="6">
        <f t="shared" si="13"/>
        <v>170504</v>
      </c>
      <c r="L113" s="6">
        <f t="shared" si="13"/>
        <v>170300</v>
      </c>
      <c r="M113" s="6">
        <f t="shared" si="13"/>
        <v>170427</v>
      </c>
      <c r="N113" s="6">
        <f t="shared" si="13"/>
        <v>2056182</v>
      </c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6" spans="1:14">
      <c r="M116" s="6"/>
    </row>
  </sheetData>
  <phoneticPr fontId="0" type="noConversion"/>
  <printOptions horizontalCentered="1"/>
  <pageMargins left="0.25" right="0.25" top="0.75" bottom="0.75" header="0.3" footer="0.3"/>
  <pageSetup scale="74" fitToHeight="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73"/>
  <sheetViews>
    <sheetView workbookViewId="0">
      <selection activeCell="H11" sqref="H11"/>
    </sheetView>
  </sheetViews>
  <sheetFormatPr defaultRowHeight="12.75"/>
  <cols>
    <col min="1" max="1" width="20.7109375" customWidth="1"/>
    <col min="2" max="2" width="15.7109375" customWidth="1"/>
    <col min="3" max="3" width="2.7109375" customWidth="1"/>
    <col min="4" max="4" width="14" bestFit="1" customWidth="1"/>
    <col min="5" max="5" width="2.7109375" customWidth="1"/>
    <col min="6" max="6" width="13.42578125" bestFit="1" customWidth="1"/>
    <col min="7" max="7" width="2.7109375" customWidth="1"/>
    <col min="8" max="8" width="14" bestFit="1" customWidth="1"/>
    <col min="9" max="9" width="2.7109375" customWidth="1"/>
    <col min="10" max="10" width="14" bestFit="1" customWidth="1"/>
    <col min="11" max="11" width="2.7109375" customWidth="1"/>
    <col min="12" max="12" width="15" hidden="1" customWidth="1"/>
    <col min="13" max="13" width="2.7109375" hidden="1" customWidth="1"/>
    <col min="14" max="14" width="14.42578125" bestFit="1" customWidth="1"/>
    <col min="16" max="16" width="11.28515625" bestFit="1" customWidth="1"/>
  </cols>
  <sheetData>
    <row r="1" spans="1:14">
      <c r="A1" t="str">
        <f>+RS!A1</f>
        <v>KENTUCKY POWER BILLING ANALYSIS</v>
      </c>
    </row>
    <row r="2" spans="1:14">
      <c r="A2" t="str">
        <f>+RS!A2</f>
        <v>PER BOOKS</v>
      </c>
    </row>
    <row r="3" spans="1:14">
      <c r="A3" t="str">
        <f>+RS!A3</f>
        <v>TEST YEAR ENDED SEPTEMBER 30, 2014</v>
      </c>
    </row>
    <row r="5" spans="1:14">
      <c r="A5" t="s">
        <v>252</v>
      </c>
    </row>
    <row r="6" spans="1:14">
      <c r="H6" s="1"/>
    </row>
    <row r="7" spans="1:14">
      <c r="B7" s="1"/>
      <c r="C7" s="1"/>
      <c r="D7" s="1" t="s">
        <v>241</v>
      </c>
      <c r="F7" s="1"/>
      <c r="H7" s="37" t="s">
        <v>358</v>
      </c>
      <c r="J7" s="1" t="s">
        <v>204</v>
      </c>
      <c r="L7" s="1" t="s">
        <v>204</v>
      </c>
      <c r="N7" s="1" t="s">
        <v>385</v>
      </c>
    </row>
    <row r="8" spans="1:14">
      <c r="B8" s="1" t="s">
        <v>154</v>
      </c>
      <c r="C8" s="1"/>
      <c r="D8" s="1" t="s">
        <v>242</v>
      </c>
      <c r="F8" s="1" t="s">
        <v>266</v>
      </c>
      <c r="H8" s="37" t="s">
        <v>243</v>
      </c>
      <c r="J8" s="1" t="s">
        <v>243</v>
      </c>
      <c r="L8" s="1" t="s">
        <v>243</v>
      </c>
      <c r="N8" s="1" t="s">
        <v>386</v>
      </c>
    </row>
    <row r="9" spans="1:14">
      <c r="A9" s="3" t="s">
        <v>2</v>
      </c>
      <c r="B9" s="3" t="s">
        <v>240</v>
      </c>
      <c r="C9" s="1"/>
      <c r="D9" s="3" t="s">
        <v>240</v>
      </c>
      <c r="F9" s="3" t="s">
        <v>254</v>
      </c>
      <c r="H9" s="3" t="s">
        <v>6</v>
      </c>
      <c r="J9" s="3" t="s">
        <v>6</v>
      </c>
      <c r="L9" s="3" t="s">
        <v>369</v>
      </c>
      <c r="N9" s="3" t="s">
        <v>387</v>
      </c>
    </row>
    <row r="10" spans="1:14">
      <c r="A10" s="3"/>
      <c r="B10" s="3"/>
    </row>
    <row r="11" spans="1:14">
      <c r="A11" s="9" t="s">
        <v>185</v>
      </c>
      <c r="B11" s="10">
        <v>5457889.5999999996</v>
      </c>
      <c r="D11" s="10">
        <v>937110.27</v>
      </c>
      <c r="F11" s="10">
        <v>2265445.06</v>
      </c>
      <c r="H11" s="10">
        <v>4687736.6999999993</v>
      </c>
      <c r="J11" s="10">
        <v>-1175566.97</v>
      </c>
      <c r="L11" s="10">
        <v>0</v>
      </c>
      <c r="M11" s="10"/>
      <c r="N11" s="10">
        <v>12794215.700000001</v>
      </c>
    </row>
    <row r="12" spans="1:14">
      <c r="A12" s="9"/>
      <c r="B12" s="10"/>
      <c r="D12" s="10"/>
      <c r="F12" s="10"/>
      <c r="H12" s="10"/>
      <c r="J12" s="10"/>
    </row>
    <row r="13" spans="1:14">
      <c r="A13" s="9" t="s">
        <v>186</v>
      </c>
      <c r="B13" s="10">
        <v>9076.25</v>
      </c>
      <c r="D13" s="10">
        <v>1775.1799999999998</v>
      </c>
      <c r="F13" s="10">
        <v>4253.5200000000004</v>
      </c>
      <c r="H13" s="10">
        <v>8873.69</v>
      </c>
      <c r="J13" s="10">
        <v>-1878.92</v>
      </c>
      <c r="L13" s="10">
        <v>0</v>
      </c>
      <c r="N13" s="10">
        <v>22127.730000000003</v>
      </c>
    </row>
    <row r="14" spans="1:14">
      <c r="A14" s="9"/>
      <c r="B14" s="10"/>
      <c r="D14" s="10"/>
      <c r="F14" s="10"/>
      <c r="H14" s="10"/>
      <c r="J14" s="10"/>
    </row>
    <row r="15" spans="1:14">
      <c r="A15" s="9" t="s">
        <v>264</v>
      </c>
      <c r="B15" s="10">
        <v>120.75</v>
      </c>
      <c r="D15" s="10">
        <v>18.93</v>
      </c>
      <c r="F15" s="10">
        <v>45.079999999999991</v>
      </c>
      <c r="H15" s="10">
        <v>92.830000000000013</v>
      </c>
      <c r="J15" s="10">
        <v>-23.19</v>
      </c>
      <c r="L15" s="10">
        <v>0</v>
      </c>
      <c r="N15" s="10">
        <v>228.89000000000001</v>
      </c>
    </row>
    <row r="16" spans="1:14">
      <c r="A16" s="9"/>
      <c r="B16" s="10"/>
      <c r="D16" s="10"/>
      <c r="F16" s="10"/>
      <c r="H16" s="10"/>
      <c r="J16" s="10"/>
    </row>
    <row r="17" spans="1:14">
      <c r="A17" s="9" t="s">
        <v>92</v>
      </c>
      <c r="B17" s="10">
        <v>103947.94</v>
      </c>
      <c r="D17" s="10">
        <v>19299.830000000002</v>
      </c>
      <c r="F17" s="10">
        <v>41376.229999999996</v>
      </c>
      <c r="H17" s="10">
        <v>0</v>
      </c>
      <c r="J17" s="10">
        <v>-42576.679999999993</v>
      </c>
      <c r="L17" s="10">
        <v>0</v>
      </c>
      <c r="N17" s="10">
        <v>600634.18999999994</v>
      </c>
    </row>
    <row r="18" spans="1:14">
      <c r="A18" s="9"/>
      <c r="B18" s="10"/>
      <c r="D18" s="10"/>
      <c r="F18" s="10"/>
      <c r="H18" s="10"/>
      <c r="J18" s="10"/>
    </row>
    <row r="19" spans="1:14">
      <c r="A19" s="9" t="s">
        <v>93</v>
      </c>
      <c r="B19" s="10">
        <v>376524.95999999996</v>
      </c>
      <c r="D19" s="10">
        <v>53100.36</v>
      </c>
      <c r="F19" s="10">
        <v>135794.09</v>
      </c>
      <c r="H19" s="10">
        <v>115435.98999999999</v>
      </c>
      <c r="J19" s="10">
        <v>-92763.1</v>
      </c>
      <c r="L19" s="10">
        <v>0</v>
      </c>
      <c r="N19" s="10">
        <v>1314773.9000000004</v>
      </c>
    </row>
    <row r="20" spans="1:14">
      <c r="A20" s="9"/>
      <c r="B20" s="10"/>
      <c r="D20" s="10"/>
      <c r="H20" s="10"/>
    </row>
    <row r="21" spans="1:14">
      <c r="A21" s="9" t="s">
        <v>346</v>
      </c>
      <c r="B21" s="10">
        <v>12.069999999999999</v>
      </c>
      <c r="D21" s="10">
        <v>0.89</v>
      </c>
      <c r="F21" s="10">
        <v>2.9099999999999997</v>
      </c>
      <c r="H21" s="10">
        <v>2.64</v>
      </c>
      <c r="J21" s="10">
        <v>-2.62</v>
      </c>
      <c r="L21" s="10">
        <v>0</v>
      </c>
      <c r="N21" s="10">
        <v>40.850000000000009</v>
      </c>
    </row>
    <row r="22" spans="1:14">
      <c r="A22" s="9"/>
      <c r="D22" s="10"/>
      <c r="F22" s="10"/>
      <c r="H22" s="10"/>
      <c r="J22" s="10"/>
    </row>
    <row r="23" spans="1:14">
      <c r="A23" s="9" t="s">
        <v>99</v>
      </c>
      <c r="B23" s="10">
        <v>12585.849999999999</v>
      </c>
      <c r="D23" s="10">
        <v>1441.76</v>
      </c>
      <c r="F23" s="10">
        <v>3842.42</v>
      </c>
      <c r="H23" s="10">
        <v>319.42</v>
      </c>
      <c r="J23" s="10">
        <v>-3263.83</v>
      </c>
      <c r="L23" s="10">
        <v>0</v>
      </c>
      <c r="N23" s="10">
        <v>45803.55</v>
      </c>
    </row>
    <row r="24" spans="1:14">
      <c r="A24" s="9"/>
      <c r="B24" s="10"/>
      <c r="D24" s="10"/>
      <c r="F24" s="10"/>
      <c r="H24" s="10"/>
      <c r="J24" s="10"/>
    </row>
    <row r="25" spans="1:14">
      <c r="A25" s="9" t="s">
        <v>345</v>
      </c>
      <c r="B25" s="10">
        <v>1179.07</v>
      </c>
      <c r="D25" s="10">
        <v>136.39999999999998</v>
      </c>
      <c r="F25" s="10">
        <v>358.66</v>
      </c>
      <c r="H25" s="10">
        <v>3401.5800000000004</v>
      </c>
      <c r="J25" s="10">
        <v>-283.24</v>
      </c>
      <c r="L25" s="10">
        <v>0</v>
      </c>
      <c r="N25" s="10">
        <v>3925.7699999999995</v>
      </c>
    </row>
    <row r="26" spans="1:14">
      <c r="A26" s="9"/>
      <c r="B26" s="10"/>
      <c r="D26" s="10"/>
      <c r="F26" s="10"/>
      <c r="H26" s="10"/>
      <c r="J26" s="10"/>
    </row>
    <row r="27" spans="1:14">
      <c r="A27" s="9" t="s">
        <v>168</v>
      </c>
      <c r="B27" s="10">
        <v>5231.74</v>
      </c>
      <c r="D27" s="10">
        <v>587.43000000000006</v>
      </c>
      <c r="F27" s="10">
        <v>1573.8099999999997</v>
      </c>
      <c r="H27" s="10">
        <v>1410.38</v>
      </c>
      <c r="J27" s="10">
        <v>-893.61</v>
      </c>
      <c r="L27" s="10">
        <v>0</v>
      </c>
      <c r="N27" s="10">
        <v>11360.15</v>
      </c>
    </row>
    <row r="28" spans="1:14">
      <c r="A28" s="9"/>
      <c r="B28" s="10"/>
      <c r="D28" s="10"/>
      <c r="F28" s="10"/>
      <c r="H28" s="10"/>
      <c r="J28" s="10"/>
    </row>
    <row r="29" spans="1:14">
      <c r="A29" s="9" t="s">
        <v>94</v>
      </c>
      <c r="B29" s="10">
        <v>1475698.1</v>
      </c>
      <c r="D29" s="10">
        <v>177212.41999999998</v>
      </c>
      <c r="F29" s="10">
        <v>480437.98</v>
      </c>
      <c r="H29" s="10">
        <v>409504.12000000011</v>
      </c>
      <c r="J29" s="10">
        <v>-276234.33999999997</v>
      </c>
      <c r="L29" s="10">
        <v>0</v>
      </c>
      <c r="N29" s="10">
        <v>3843112.7800000003</v>
      </c>
    </row>
    <row r="30" spans="1:14">
      <c r="A30" s="9"/>
      <c r="B30" s="10"/>
      <c r="D30" s="10"/>
      <c r="F30" s="10"/>
      <c r="H30" s="10"/>
      <c r="J30" s="10"/>
    </row>
    <row r="31" spans="1:14">
      <c r="A31" s="9" t="s">
        <v>170</v>
      </c>
      <c r="B31" s="10">
        <v>1904.1200000000001</v>
      </c>
      <c r="D31" s="10">
        <v>425.68</v>
      </c>
      <c r="F31" s="10">
        <v>1028.9099999999999</v>
      </c>
      <c r="H31" s="10">
        <v>902.7700000000001</v>
      </c>
      <c r="J31" s="10">
        <v>-480.04999999999995</v>
      </c>
      <c r="L31" s="10">
        <v>0</v>
      </c>
      <c r="N31" s="10">
        <v>7580.93</v>
      </c>
    </row>
    <row r="32" spans="1:14">
      <c r="A32" s="9"/>
      <c r="B32" s="10"/>
      <c r="D32" s="10"/>
      <c r="F32" s="10"/>
      <c r="H32" s="10"/>
      <c r="J32" s="10"/>
    </row>
    <row r="33" spans="1:14">
      <c r="A33" s="9" t="s">
        <v>171</v>
      </c>
      <c r="B33" s="10">
        <v>10613.689999999999</v>
      </c>
      <c r="D33" s="10">
        <v>1400.7</v>
      </c>
      <c r="F33" s="10">
        <v>3711.3799999999997</v>
      </c>
      <c r="H33" s="10">
        <v>3298.7400000000002</v>
      </c>
      <c r="J33" s="10">
        <v>-1849.3899999999999</v>
      </c>
      <c r="L33" s="10">
        <v>0</v>
      </c>
      <c r="N33" s="10">
        <v>25158.85</v>
      </c>
    </row>
    <row r="34" spans="1:14">
      <c r="A34" s="9"/>
      <c r="B34" s="10"/>
      <c r="D34" s="10"/>
      <c r="F34" s="10"/>
      <c r="H34" s="10"/>
      <c r="J34" s="10"/>
    </row>
    <row r="35" spans="1:14">
      <c r="A35" s="9" t="s">
        <v>95</v>
      </c>
      <c r="B35" s="10">
        <v>23346.97</v>
      </c>
      <c r="D35" s="10">
        <v>2702.26</v>
      </c>
      <c r="F35" s="10">
        <v>7582.119999999999</v>
      </c>
      <c r="H35" s="10">
        <v>2724.4900000000002</v>
      </c>
      <c r="J35" s="10">
        <v>-3850.81</v>
      </c>
      <c r="L35" s="10">
        <v>0</v>
      </c>
      <c r="N35" s="10">
        <v>56012.590000000004</v>
      </c>
    </row>
    <row r="36" spans="1:14">
      <c r="A36" s="9"/>
      <c r="B36" s="10"/>
      <c r="D36" s="10"/>
      <c r="F36" s="10"/>
      <c r="H36" s="10"/>
      <c r="J36" s="10"/>
    </row>
    <row r="37" spans="1:14">
      <c r="A37" s="9" t="s">
        <v>187</v>
      </c>
      <c r="B37" s="10">
        <v>4409.42</v>
      </c>
      <c r="D37" s="10">
        <v>431.69</v>
      </c>
      <c r="F37" s="10">
        <v>1467.08</v>
      </c>
      <c r="H37" s="10">
        <v>186.03000000000003</v>
      </c>
      <c r="J37" s="10">
        <v>-858.66</v>
      </c>
      <c r="L37" s="10">
        <v>0</v>
      </c>
      <c r="N37" s="10">
        <v>11520.03</v>
      </c>
    </row>
    <row r="38" spans="1:14">
      <c r="A38" s="9"/>
      <c r="B38" s="10"/>
      <c r="D38" s="10"/>
      <c r="F38" s="10"/>
      <c r="H38" s="10"/>
      <c r="J38" s="10"/>
    </row>
    <row r="39" spans="1:14">
      <c r="A39" s="9" t="s">
        <v>96</v>
      </c>
      <c r="B39" s="10">
        <v>1723555.4500000002</v>
      </c>
      <c r="D39" s="10">
        <v>198915.36000000002</v>
      </c>
      <c r="F39" s="10">
        <v>533286.91</v>
      </c>
      <c r="H39" s="10">
        <v>434923.49</v>
      </c>
      <c r="J39" s="10">
        <v>-283281.91000000003</v>
      </c>
      <c r="L39" s="10">
        <v>0</v>
      </c>
      <c r="N39" s="10">
        <v>3539537.28</v>
      </c>
    </row>
    <row r="40" spans="1:14">
      <c r="A40" s="9"/>
      <c r="B40" s="10"/>
      <c r="D40" s="10"/>
      <c r="F40" s="10"/>
      <c r="H40" s="10"/>
      <c r="J40" s="10"/>
    </row>
    <row r="41" spans="1:14">
      <c r="A41" s="9" t="s">
        <v>175</v>
      </c>
      <c r="B41" s="10">
        <v>5748.85</v>
      </c>
      <c r="D41" s="10">
        <v>764.95</v>
      </c>
      <c r="F41" s="10">
        <v>1901.1399999999999</v>
      </c>
      <c r="H41" s="10">
        <v>952.1099999999999</v>
      </c>
      <c r="J41" s="10">
        <v>-1077.8699999999999</v>
      </c>
      <c r="L41" s="10">
        <v>0</v>
      </c>
      <c r="N41" s="10">
        <v>12196.669999999998</v>
      </c>
    </row>
    <row r="42" spans="1:14">
      <c r="A42" s="9"/>
      <c r="B42" s="10"/>
      <c r="D42" s="10"/>
      <c r="F42" s="10"/>
      <c r="H42" s="10"/>
      <c r="J42" s="10"/>
    </row>
    <row r="43" spans="1:14">
      <c r="A43" s="9" t="s">
        <v>97</v>
      </c>
      <c r="B43" s="10">
        <v>268349.23000000004</v>
      </c>
      <c r="D43" s="10">
        <v>35299.68</v>
      </c>
      <c r="F43" s="10">
        <v>89696.76999999999</v>
      </c>
      <c r="H43" s="10">
        <v>24901.059999999998</v>
      </c>
      <c r="J43" s="10">
        <v>-45329.26</v>
      </c>
      <c r="L43" s="10">
        <v>0</v>
      </c>
      <c r="N43" s="10">
        <v>513293.72000000003</v>
      </c>
    </row>
    <row r="44" spans="1:14">
      <c r="A44" s="9"/>
      <c r="B44" s="10"/>
      <c r="D44" s="10"/>
      <c r="F44" s="10"/>
      <c r="H44" s="10"/>
      <c r="J44" s="10"/>
    </row>
    <row r="45" spans="1:14">
      <c r="A45" s="9" t="s">
        <v>188</v>
      </c>
      <c r="B45" s="10">
        <v>99433.47</v>
      </c>
      <c r="D45" s="10">
        <v>12237.1</v>
      </c>
      <c r="F45" s="10">
        <v>31305.350000000002</v>
      </c>
      <c r="H45" s="10">
        <v>6810.52</v>
      </c>
      <c r="J45" s="10">
        <v>-11973.85</v>
      </c>
      <c r="L45" s="10">
        <v>0</v>
      </c>
      <c r="N45" s="10">
        <v>121649.36</v>
      </c>
    </row>
    <row r="46" spans="1:14">
      <c r="A46" s="9"/>
      <c r="B46" s="10"/>
      <c r="D46" s="10"/>
      <c r="F46" s="10"/>
      <c r="H46" s="10"/>
      <c r="J46" s="10"/>
    </row>
    <row r="47" spans="1:14">
      <c r="A47" s="9" t="s">
        <v>337</v>
      </c>
      <c r="B47" s="10">
        <v>1487.3</v>
      </c>
      <c r="D47" s="10">
        <v>1229.4099999999999</v>
      </c>
      <c r="F47" s="10">
        <v>2017.0400000000002</v>
      </c>
      <c r="H47" s="10">
        <v>0</v>
      </c>
      <c r="J47" s="10">
        <v>-1008.14</v>
      </c>
      <c r="L47" s="10">
        <v>0</v>
      </c>
      <c r="N47" s="10">
        <v>4873.7100000000019</v>
      </c>
    </row>
    <row r="48" spans="1:14">
      <c r="A48" s="9"/>
      <c r="B48" s="10"/>
      <c r="D48" s="10"/>
      <c r="F48" s="10"/>
      <c r="H48" s="10"/>
      <c r="J48" s="10"/>
    </row>
    <row r="49" spans="1:16">
      <c r="A49" s="9" t="s">
        <v>265</v>
      </c>
      <c r="B49" s="10">
        <v>70823.649999999994</v>
      </c>
      <c r="D49" s="10">
        <v>5117.8600000000006</v>
      </c>
      <c r="F49" s="10">
        <v>20398.68</v>
      </c>
      <c r="H49" s="10">
        <v>14740.590000000002</v>
      </c>
      <c r="J49" s="10">
        <v>-7521.45</v>
      </c>
      <c r="L49" s="10">
        <v>0</v>
      </c>
      <c r="N49" s="10">
        <v>119278.66000000002</v>
      </c>
    </row>
    <row r="50" spans="1:16">
      <c r="A50" s="9"/>
      <c r="B50" s="10"/>
      <c r="D50" s="10"/>
      <c r="F50" s="10"/>
      <c r="H50" s="10"/>
      <c r="J50" s="10"/>
    </row>
    <row r="51" spans="1:16">
      <c r="A51" s="9" t="s">
        <v>98</v>
      </c>
      <c r="B51" s="10">
        <v>1092577.25</v>
      </c>
      <c r="D51" s="10">
        <v>115392.75</v>
      </c>
      <c r="F51" s="10">
        <v>321022.20999999996</v>
      </c>
      <c r="H51" s="10">
        <v>117880.01</v>
      </c>
      <c r="J51" s="10">
        <v>-125427.13</v>
      </c>
      <c r="L51" s="10">
        <v>0</v>
      </c>
      <c r="N51" s="10">
        <v>1338868.45</v>
      </c>
    </row>
    <row r="52" spans="1:16">
      <c r="A52" s="9"/>
      <c r="B52" s="10"/>
      <c r="D52" s="10"/>
      <c r="F52" s="10"/>
      <c r="H52" s="10"/>
      <c r="J52" s="10"/>
    </row>
    <row r="53" spans="1:16">
      <c r="A53" s="9" t="s">
        <v>189</v>
      </c>
      <c r="B53" s="10">
        <v>1040067</v>
      </c>
      <c r="D53" s="10">
        <v>121888.07999999999</v>
      </c>
      <c r="F53" s="10">
        <v>322455.73000000004</v>
      </c>
      <c r="H53" s="10">
        <v>21560.04</v>
      </c>
      <c r="J53" s="10">
        <v>-114309.78</v>
      </c>
      <c r="L53" s="10">
        <v>0</v>
      </c>
      <c r="N53" s="10">
        <v>1117480.25</v>
      </c>
    </row>
    <row r="54" spans="1:16">
      <c r="A54" s="9"/>
      <c r="B54" s="10"/>
      <c r="D54" s="10"/>
      <c r="F54" s="10"/>
      <c r="H54" s="10"/>
      <c r="J54" s="10"/>
    </row>
    <row r="55" spans="1:16">
      <c r="A55" s="9" t="s">
        <v>190</v>
      </c>
      <c r="B55" s="10">
        <v>170717.62</v>
      </c>
      <c r="D55" s="10">
        <v>3963.7799999999997</v>
      </c>
      <c r="F55" s="10">
        <v>34785.97</v>
      </c>
      <c r="H55" s="10">
        <v>0</v>
      </c>
      <c r="J55" s="10">
        <v>-3760.25</v>
      </c>
      <c r="L55" s="10">
        <v>0</v>
      </c>
      <c r="N55" s="10">
        <v>153618.85999999999</v>
      </c>
    </row>
    <row r="56" spans="1:16">
      <c r="A56" s="9"/>
      <c r="B56" s="10"/>
      <c r="D56" s="10"/>
      <c r="F56" s="10"/>
      <c r="H56" s="10"/>
      <c r="J56" s="10"/>
    </row>
    <row r="57" spans="1:16">
      <c r="A57" s="9" t="s">
        <v>191</v>
      </c>
      <c r="B57" s="10">
        <v>5646070.4100000001</v>
      </c>
      <c r="D57" s="10">
        <v>653673.78</v>
      </c>
      <c r="F57" s="10">
        <v>1176029.94</v>
      </c>
      <c r="H57" s="10">
        <v>0</v>
      </c>
      <c r="J57" s="10">
        <v>-494389.29</v>
      </c>
      <c r="L57" s="10">
        <v>0</v>
      </c>
      <c r="N57" s="10">
        <v>4261827.3600000003</v>
      </c>
    </row>
    <row r="58" spans="1:16">
      <c r="A58" s="9"/>
      <c r="B58" s="10"/>
      <c r="D58" s="10"/>
      <c r="F58" s="10"/>
      <c r="H58" s="10"/>
      <c r="J58" s="10"/>
    </row>
    <row r="59" spans="1:16">
      <c r="A59" s="9" t="s">
        <v>192</v>
      </c>
      <c r="B59" s="10">
        <v>1044471.33</v>
      </c>
      <c r="D59" s="10">
        <v>136159.60999999999</v>
      </c>
      <c r="F59" s="10">
        <v>226907.97</v>
      </c>
      <c r="H59" s="10">
        <v>0</v>
      </c>
      <c r="J59" s="10">
        <v>-116852.33</v>
      </c>
      <c r="L59" s="10">
        <v>0</v>
      </c>
      <c r="N59" s="10">
        <v>671887.56</v>
      </c>
    </row>
    <row r="60" spans="1:16">
      <c r="A60" s="9"/>
      <c r="B60" s="10"/>
      <c r="D60" s="10"/>
      <c r="F60" s="10"/>
      <c r="H60" s="10"/>
      <c r="J60" s="10"/>
    </row>
    <row r="61" spans="1:16">
      <c r="A61" s="9" t="s">
        <v>352</v>
      </c>
      <c r="B61" s="10">
        <v>-2900.52</v>
      </c>
      <c r="D61" s="10">
        <v>1084.55</v>
      </c>
      <c r="F61" s="10">
        <v>983.74</v>
      </c>
      <c r="H61" s="10">
        <v>0</v>
      </c>
      <c r="J61" s="10">
        <v>1257.6300000000001</v>
      </c>
      <c r="L61" s="10">
        <v>0</v>
      </c>
      <c r="N61" s="10">
        <v>0</v>
      </c>
      <c r="P61" s="10"/>
    </row>
    <row r="62" spans="1:16">
      <c r="A62" s="9"/>
      <c r="B62" s="10"/>
      <c r="D62" s="10"/>
      <c r="F62" s="10"/>
      <c r="H62" s="10"/>
      <c r="J62" s="10"/>
    </row>
    <row r="63" spans="1:16">
      <c r="A63" s="9" t="s">
        <v>353</v>
      </c>
      <c r="B63" s="10">
        <v>-676.18</v>
      </c>
      <c r="D63" s="10">
        <v>252.83</v>
      </c>
      <c r="F63" s="10">
        <v>229.33</v>
      </c>
      <c r="H63" s="10">
        <v>0</v>
      </c>
      <c r="J63" s="10">
        <v>108.02</v>
      </c>
      <c r="L63" s="10">
        <v>0</v>
      </c>
      <c r="N63" s="10">
        <v>0</v>
      </c>
      <c r="P63" s="10"/>
    </row>
    <row r="64" spans="1:16">
      <c r="A64" s="9"/>
      <c r="B64" s="10"/>
      <c r="D64" s="10"/>
      <c r="F64" s="10"/>
      <c r="H64" s="10"/>
      <c r="J64" s="10"/>
    </row>
    <row r="65" spans="1:14">
      <c r="A65" s="9" t="s">
        <v>354</v>
      </c>
      <c r="B65" s="10">
        <v>0</v>
      </c>
      <c r="D65" s="10">
        <v>0</v>
      </c>
      <c r="F65" s="10">
        <v>0</v>
      </c>
      <c r="H65" s="10">
        <v>0</v>
      </c>
      <c r="J65" s="10">
        <v>0</v>
      </c>
      <c r="L65" s="10">
        <v>0</v>
      </c>
      <c r="N65" s="10">
        <v>0</v>
      </c>
    </row>
    <row r="66" spans="1:14">
      <c r="A66" s="9"/>
      <c r="B66" s="10"/>
      <c r="D66" s="10"/>
      <c r="F66" s="10"/>
      <c r="H66" s="10"/>
      <c r="J66" s="10"/>
    </row>
    <row r="67" spans="1:14">
      <c r="A67" s="9" t="s">
        <v>181</v>
      </c>
      <c r="B67" s="10">
        <v>21875.18</v>
      </c>
      <c r="D67" s="10">
        <v>3780.7</v>
      </c>
      <c r="F67" s="10">
        <v>8281.56</v>
      </c>
      <c r="H67" s="10">
        <v>0</v>
      </c>
      <c r="J67" s="10">
        <v>-6986</v>
      </c>
      <c r="L67" s="10">
        <v>0</v>
      </c>
      <c r="N67" s="10">
        <v>108637.68</v>
      </c>
    </row>
    <row r="68" spans="1:14">
      <c r="A68" s="9"/>
      <c r="B68" s="10"/>
      <c r="D68" s="10"/>
      <c r="F68" s="10"/>
      <c r="H68" s="10"/>
      <c r="J68" s="10"/>
    </row>
    <row r="69" spans="1:14">
      <c r="A69" s="9" t="s">
        <v>182</v>
      </c>
      <c r="B69" s="10">
        <v>11947.94</v>
      </c>
      <c r="D69" s="10">
        <v>1401.41</v>
      </c>
      <c r="F69" s="10">
        <v>3748.1099999999997</v>
      </c>
      <c r="H69" s="10">
        <v>3331.4500000000003</v>
      </c>
      <c r="J69" s="10">
        <v>-1870.07</v>
      </c>
      <c r="L69" s="10">
        <v>0</v>
      </c>
      <c r="N69" s="10">
        <v>21831.759999999995</v>
      </c>
    </row>
    <row r="70" spans="1:14">
      <c r="A70" s="9"/>
      <c r="B70" s="10"/>
      <c r="D70" s="10"/>
    </row>
    <row r="71" spans="1:14">
      <c r="A71" s="9" t="s">
        <v>18</v>
      </c>
      <c r="B71" s="10">
        <f>SUM(B11:B69)</f>
        <v>18676088.510000002</v>
      </c>
      <c r="D71" s="10">
        <f>SUM(D11:D69)</f>
        <v>2486805.6500000004</v>
      </c>
      <c r="F71" s="10">
        <f>SUM(F11:F69)</f>
        <v>5719969.7000000002</v>
      </c>
      <c r="H71" s="10">
        <f>SUM(H11:H69)</f>
        <v>5858988.6499999994</v>
      </c>
      <c r="J71" s="10">
        <f>SUM(J11:J69)</f>
        <v>-2812947.09</v>
      </c>
      <c r="L71" s="10">
        <f>SUM(L11:L69)</f>
        <v>0</v>
      </c>
      <c r="N71" s="10">
        <f>SUM(N11:N69)</f>
        <v>30721477.230000004</v>
      </c>
    </row>
    <row r="73" spans="1:14">
      <c r="B73" s="10"/>
    </row>
  </sheetData>
  <phoneticPr fontId="0" type="noConversion"/>
  <printOptions horizontalCentered="1"/>
  <pageMargins left="0.25" right="0.25" top="0.75" bottom="0.75" header="0.3" footer="0.3"/>
  <pageSetup scale="7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5"/>
  <sheetViews>
    <sheetView workbookViewId="0">
      <selection activeCell="F7" sqref="F7"/>
    </sheetView>
  </sheetViews>
  <sheetFormatPr defaultRowHeight="12.75"/>
  <cols>
    <col min="2" max="2" width="8.7109375" customWidth="1"/>
    <col min="3" max="3" width="3.140625" customWidth="1"/>
    <col min="4" max="4" width="17.42578125" customWidth="1"/>
    <col min="5" max="5" width="1.7109375" customWidth="1"/>
    <col min="6" max="6" width="18.140625" customWidth="1"/>
  </cols>
  <sheetData>
    <row r="1" spans="1:6">
      <c r="A1" t="str">
        <f>+RS!A1</f>
        <v>KENTUCKY POWER BILLING ANALYSIS</v>
      </c>
    </row>
    <row r="2" spans="1:6">
      <c r="A2" t="str">
        <f>+RS!A2</f>
        <v>PER BOOKS</v>
      </c>
    </row>
    <row r="3" spans="1:6">
      <c r="A3" t="str">
        <f>+RS!A3</f>
        <v>TEST YEAR ENDED SEPTEMBER 30, 2014</v>
      </c>
    </row>
    <row r="5" spans="1:6">
      <c r="A5" t="s">
        <v>258</v>
      </c>
    </row>
    <row r="7" spans="1:6">
      <c r="D7" s="1" t="s">
        <v>259</v>
      </c>
      <c r="F7" s="1" t="s">
        <v>259</v>
      </c>
    </row>
    <row r="8" spans="1:6">
      <c r="A8" s="3" t="s">
        <v>2</v>
      </c>
      <c r="D8" s="3" t="s">
        <v>260</v>
      </c>
      <c r="F8" s="3" t="s">
        <v>261</v>
      </c>
    </row>
    <row r="9" spans="1:6">
      <c r="A9" s="3"/>
      <c r="D9" s="3"/>
      <c r="F9" s="3"/>
    </row>
    <row r="10" spans="1:6">
      <c r="A10" s="3"/>
    </row>
    <row r="11" spans="1:6">
      <c r="A11" s="9" t="s">
        <v>185</v>
      </c>
      <c r="D11" s="6">
        <f>+RS!Q17</f>
        <v>2255877500</v>
      </c>
      <c r="F11" s="10">
        <f>+RS!R27</f>
        <v>4604521.12</v>
      </c>
    </row>
    <row r="12" spans="1:6">
      <c r="A12" s="9"/>
    </row>
    <row r="13" spans="1:6">
      <c r="A13" s="9" t="s">
        <v>186</v>
      </c>
      <c r="D13" s="6">
        <f>+RSLMTOD!P17</f>
        <v>4225756</v>
      </c>
      <c r="F13" s="10">
        <f>+RSLMTOD!Q30</f>
        <v>8625.2800000000007</v>
      </c>
    </row>
    <row r="14" spans="1:6">
      <c r="A14" s="9"/>
    </row>
    <row r="15" spans="1:6">
      <c r="A15" s="9" t="s">
        <v>264</v>
      </c>
      <c r="D15" s="6">
        <f>RSTOD!M16</f>
        <v>46491</v>
      </c>
      <c r="F15" s="10">
        <f>RSTOD!N25</f>
        <v>94.89</v>
      </c>
    </row>
    <row r="16" spans="1:6">
      <c r="A16" s="9"/>
    </row>
    <row r="17" spans="1:6">
      <c r="A17" s="9" t="s">
        <v>92</v>
      </c>
      <c r="D17" s="6">
        <f>+OL!M43</f>
        <v>37640598</v>
      </c>
      <c r="F17" s="8">
        <f>+OL!N50</f>
        <v>76829.05</v>
      </c>
    </row>
    <row r="18" spans="1:6">
      <c r="A18" s="9"/>
    </row>
    <row r="19" spans="1:6">
      <c r="A19" s="9" t="s">
        <v>93</v>
      </c>
      <c r="D19" s="6">
        <f>+SGS!M16</f>
        <v>138208366</v>
      </c>
      <c r="F19" s="10">
        <f>+SGS!N22</f>
        <v>282100.13</v>
      </c>
    </row>
    <row r="20" spans="1:6">
      <c r="A20" s="9"/>
    </row>
    <row r="21" spans="1:6">
      <c r="A21" s="9" t="s">
        <v>346</v>
      </c>
      <c r="D21" s="6">
        <f>SGSLMTOD!M17</f>
        <v>3012</v>
      </c>
      <c r="F21" s="10">
        <f>SGSLMTOD!N23</f>
        <v>6.15</v>
      </c>
    </row>
    <row r="22" spans="1:6">
      <c r="A22" s="9"/>
    </row>
    <row r="23" spans="1:6">
      <c r="A23" s="9" t="s">
        <v>99</v>
      </c>
      <c r="D23" s="6">
        <f>+'SGS-NM'!M16</f>
        <v>3984008</v>
      </c>
      <c r="F23" s="10">
        <f>+'SGS-NM'!N22</f>
        <v>8131.85</v>
      </c>
    </row>
    <row r="24" spans="1:6">
      <c r="A24" s="9"/>
      <c r="D24" s="6"/>
      <c r="F24" s="10"/>
    </row>
    <row r="25" spans="1:6">
      <c r="A25" s="9" t="s">
        <v>345</v>
      </c>
      <c r="D25" s="6">
        <f>+'SGS TOD2'!B17</f>
        <v>369750</v>
      </c>
      <c r="F25" s="10">
        <f>+'SGS TOD2'!N23</f>
        <v>745.71</v>
      </c>
    </row>
    <row r="26" spans="1:6">
      <c r="A26" s="9"/>
    </row>
    <row r="27" spans="1:6">
      <c r="A27" s="9" t="s">
        <v>168</v>
      </c>
      <c r="D27" s="6">
        <f>+'MGS-RL'!M16</f>
        <v>1563141</v>
      </c>
      <c r="F27" s="10">
        <f>+'MGS-RL'!N22</f>
        <v>3190.56</v>
      </c>
    </row>
    <row r="28" spans="1:6">
      <c r="A28" s="9"/>
    </row>
    <row r="29" spans="1:6">
      <c r="A29" s="9" t="s">
        <v>94</v>
      </c>
      <c r="D29" s="6">
        <f>+'MGS-SEC'!O17</f>
        <v>496793837</v>
      </c>
      <c r="F29" s="10">
        <f>+'MGS-SEC'!P27</f>
        <v>1014016.81</v>
      </c>
    </row>
    <row r="30" spans="1:6">
      <c r="A30" s="9"/>
    </row>
    <row r="31" spans="1:6">
      <c r="A31" s="9" t="s">
        <v>170</v>
      </c>
      <c r="D31" s="6">
        <f>+MGSLMTOD!M17</f>
        <v>1055011</v>
      </c>
      <c r="F31" s="10">
        <f>+MGSLMTOD!N23</f>
        <v>2153.41</v>
      </c>
    </row>
    <row r="32" spans="1:6">
      <c r="A32" s="9"/>
    </row>
    <row r="33" spans="1:6">
      <c r="A33" s="9" t="s">
        <v>171</v>
      </c>
      <c r="D33" s="6">
        <f>+MGSTOD!M17</f>
        <v>3866566</v>
      </c>
      <c r="F33" s="10">
        <f>+MGSTOD!N23</f>
        <v>7892.13</v>
      </c>
    </row>
    <row r="34" spans="1:6">
      <c r="A34" s="9"/>
    </row>
    <row r="35" spans="1:6">
      <c r="A35" s="9" t="s">
        <v>95</v>
      </c>
      <c r="D35" s="6">
        <f>+'MGS-PRI'!O18</f>
        <v>9357099</v>
      </c>
      <c r="F35" s="10">
        <f>+'MGS-PRI'!P28</f>
        <v>19098.98</v>
      </c>
    </row>
    <row r="36" spans="1:6">
      <c r="A36" s="9"/>
    </row>
    <row r="37" spans="1:6">
      <c r="A37" s="9" t="s">
        <v>187</v>
      </c>
      <c r="D37" s="6">
        <f>+'MGS-SUB'!O17</f>
        <v>1007768</v>
      </c>
      <c r="F37" s="10">
        <f>+'MGS-SUB'!P27</f>
        <v>2056.98</v>
      </c>
    </row>
    <row r="38" spans="1:6">
      <c r="A38" s="9"/>
    </row>
    <row r="39" spans="1:6">
      <c r="A39" s="9" t="s">
        <v>96</v>
      </c>
      <c r="D39" s="6">
        <f>+'LGS-SEC'!O15</f>
        <v>558821755</v>
      </c>
      <c r="F39" s="10">
        <f>+'LGS-SEC'!P24</f>
        <v>1140623.3600000001</v>
      </c>
    </row>
    <row r="40" spans="1:6">
      <c r="A40" s="9"/>
    </row>
    <row r="41" spans="1:6">
      <c r="A41" s="9" t="s">
        <v>175</v>
      </c>
      <c r="D41" s="6">
        <f>+LGSLMTOD!M17</f>
        <v>1959939</v>
      </c>
      <c r="F41" s="10">
        <f>+LGSLMTOD!N23</f>
        <v>4000.47</v>
      </c>
    </row>
    <row r="42" spans="1:6">
      <c r="A42" s="9"/>
    </row>
    <row r="43" spans="1:6">
      <c r="A43" s="9" t="s">
        <v>97</v>
      </c>
      <c r="D43" s="6">
        <f>+'LGS-PRI'!O15</f>
        <v>112185685</v>
      </c>
      <c r="F43" s="10">
        <f>+'LGS-PRI'!P24</f>
        <v>228984.67</v>
      </c>
    </row>
    <row r="44" spans="1:6">
      <c r="A44" s="9"/>
    </row>
    <row r="45" spans="1:6">
      <c r="A45" s="9" t="s">
        <v>188</v>
      </c>
      <c r="D45" s="6">
        <f>+'LGS-SUB'!O15</f>
        <v>33725194</v>
      </c>
      <c r="F45" s="10">
        <f>+'LGS-SUB'!P24</f>
        <v>68837.23</v>
      </c>
    </row>
    <row r="46" spans="1:6">
      <c r="A46" s="9"/>
      <c r="D46" s="6"/>
      <c r="F46" s="10"/>
    </row>
    <row r="47" spans="1:6">
      <c r="A47" s="9" t="s">
        <v>337</v>
      </c>
      <c r="D47" s="6">
        <f>+'LGS-TRAN'!O15</f>
        <v>672426</v>
      </c>
      <c r="F47" s="10">
        <f>+'LGS-TRAN'!P24</f>
        <v>1372.5</v>
      </c>
    </row>
    <row r="48" spans="1:6">
      <c r="A48" s="9"/>
    </row>
    <row r="49" spans="1:6">
      <c r="A49" s="9" t="s">
        <v>265</v>
      </c>
      <c r="D49" s="6">
        <f>'QP-SEC'!M15</f>
        <v>22421138</v>
      </c>
      <c r="F49" s="10">
        <f>'QP-SEC'!N27</f>
        <v>45764.28</v>
      </c>
    </row>
    <row r="50" spans="1:6">
      <c r="A50" s="9"/>
    </row>
    <row r="51" spans="1:6">
      <c r="A51" s="9" t="s">
        <v>290</v>
      </c>
      <c r="D51" s="6">
        <f>+'QP-PRI'!O15</f>
        <v>331170851</v>
      </c>
      <c r="F51" s="10">
        <f>+'QP-PRI'!P29</f>
        <v>675960.1</v>
      </c>
    </row>
    <row r="52" spans="1:6">
      <c r="A52" s="9"/>
    </row>
    <row r="53" spans="1:6">
      <c r="A53" s="9" t="s">
        <v>189</v>
      </c>
      <c r="D53" s="6">
        <f>+'QP-SUB'!O15</f>
        <v>342410874</v>
      </c>
      <c r="F53" s="10">
        <f>+'QP-SUB'!P27</f>
        <v>698902.36</v>
      </c>
    </row>
    <row r="54" spans="1:6">
      <c r="A54" s="9"/>
    </row>
    <row r="55" spans="1:6">
      <c r="A55" s="9" t="s">
        <v>190</v>
      </c>
      <c r="D55" s="6">
        <f>+'QP-TRAN'!O15</f>
        <v>66272717</v>
      </c>
      <c r="F55" s="10">
        <f>+'QP-TRAN'!P27</f>
        <v>135270.70000000001</v>
      </c>
    </row>
    <row r="56" spans="1:6">
      <c r="A56" s="9"/>
    </row>
    <row r="57" spans="1:6">
      <c r="A57" s="9" t="s">
        <v>191</v>
      </c>
      <c r="D57" s="6">
        <f>+'CIPTOD-SUB'!O16</f>
        <v>1764053671</v>
      </c>
      <c r="F57" s="10">
        <f>+'CIPTOD-SUB'!P30</f>
        <v>3600648.7</v>
      </c>
    </row>
    <row r="58" spans="1:6">
      <c r="A58" s="9"/>
    </row>
    <row r="59" spans="1:6">
      <c r="A59" s="9" t="s">
        <v>192</v>
      </c>
      <c r="D59" s="6">
        <f>+'CIPTOD-TRAN'!O15</f>
        <v>292348340</v>
      </c>
      <c r="F59" s="10">
        <f>+'CIPTOD-TRAN'!P29</f>
        <v>596718.62</v>
      </c>
    </row>
    <row r="60" spans="1:6">
      <c r="A60" s="9"/>
    </row>
    <row r="61" spans="1:6">
      <c r="A61" s="9" t="s">
        <v>181</v>
      </c>
      <c r="D61" s="6">
        <f>+SL!M31</f>
        <v>8190082</v>
      </c>
      <c r="F61" s="8">
        <f>+SL!N33</f>
        <v>16716.96</v>
      </c>
    </row>
    <row r="62" spans="1:6">
      <c r="A62" s="9"/>
    </row>
    <row r="63" spans="1:6">
      <c r="A63" s="9" t="s">
        <v>182</v>
      </c>
      <c r="D63" s="17">
        <f>+MW!M15</f>
        <v>3864039</v>
      </c>
      <c r="F63" s="14">
        <f>+MW!N23</f>
        <v>7886.97</v>
      </c>
    </row>
    <row r="64" spans="1:6">
      <c r="A64" s="9"/>
    </row>
    <row r="65" spans="1:6">
      <c r="A65" s="9" t="s">
        <v>18</v>
      </c>
      <c r="D65" s="6">
        <f>SUM(D11:D63)</f>
        <v>6492095614</v>
      </c>
      <c r="F65" s="10">
        <f>SUM(F11:F63)</f>
        <v>13251149.969999999</v>
      </c>
    </row>
  </sheetData>
  <phoneticPr fontId="0" type="noConversion"/>
  <printOptions horizontalCentered="1"/>
  <pageMargins left="0.25" right="0.25" top="0.75" bottom="0.75" header="0.3" footer="0.3"/>
  <pageSetup scale="83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F57" sqref="F57"/>
    </sheetView>
  </sheetViews>
  <sheetFormatPr defaultRowHeight="12.75" outlineLevelCol="1"/>
  <cols>
    <col min="1" max="1" width="21.28515625" customWidth="1"/>
    <col min="2" max="2" width="18.140625" hidden="1" customWidth="1" outlineLevel="1"/>
    <col min="3" max="3" width="10.42578125" hidden="1" customWidth="1" outlineLevel="1"/>
    <col min="4" max="4" width="12.28515625" hidden="1" customWidth="1" outlineLevel="1"/>
    <col min="5" max="5" width="10.42578125" hidden="1" customWidth="1" outlineLevel="1"/>
    <col min="6" max="6" width="11.7109375" bestFit="1" customWidth="1" collapsed="1"/>
    <col min="7" max="7" width="13.42578125" bestFit="1" customWidth="1"/>
  </cols>
  <sheetData>
    <row r="1" spans="1:7">
      <c r="A1" t="str">
        <f>+RS!A1</f>
        <v>KENTUCKY POWER BILLING ANALYSIS</v>
      </c>
    </row>
    <row r="2" spans="1:7">
      <c r="A2" t="str">
        <f>+RS!A3</f>
        <v>TEST YEAR ENDED SEPTEMBER 30, 2014</v>
      </c>
    </row>
    <row r="3" spans="1:7">
      <c r="A3" s="88" t="s">
        <v>405</v>
      </c>
      <c r="B3" s="88"/>
      <c r="C3" s="88"/>
      <c r="D3" s="88"/>
      <c r="E3" s="88"/>
    </row>
    <row r="6" spans="1:7">
      <c r="F6" s="1" t="s">
        <v>239</v>
      </c>
      <c r="G6" s="96" t="s">
        <v>385</v>
      </c>
    </row>
    <row r="7" spans="1:7">
      <c r="A7" s="1"/>
      <c r="B7" s="96" t="s">
        <v>152</v>
      </c>
      <c r="C7" s="96" t="s">
        <v>197</v>
      </c>
      <c r="D7" s="96" t="s">
        <v>389</v>
      </c>
      <c r="E7" s="96" t="s">
        <v>197</v>
      </c>
      <c r="F7" s="1" t="s">
        <v>231</v>
      </c>
      <c r="G7" s="96" t="s">
        <v>386</v>
      </c>
    </row>
    <row r="8" spans="1:7">
      <c r="A8" s="1"/>
      <c r="B8" s="96" t="s">
        <v>388</v>
      </c>
      <c r="C8" s="96" t="s">
        <v>202</v>
      </c>
      <c r="D8" s="96" t="s">
        <v>390</v>
      </c>
      <c r="E8" s="96" t="s">
        <v>231</v>
      </c>
      <c r="F8" s="96" t="s">
        <v>406</v>
      </c>
      <c r="G8" s="96" t="s">
        <v>387</v>
      </c>
    </row>
    <row r="9" spans="1:7">
      <c r="A9" s="3" t="s">
        <v>2</v>
      </c>
      <c r="B9" s="3" t="s">
        <v>376</v>
      </c>
      <c r="C9" s="3" t="s">
        <v>198</v>
      </c>
      <c r="D9" s="3" t="s">
        <v>198</v>
      </c>
      <c r="E9" s="3" t="s">
        <v>198</v>
      </c>
      <c r="F9" s="3" t="s">
        <v>6</v>
      </c>
      <c r="G9" s="3" t="s">
        <v>198</v>
      </c>
    </row>
    <row r="10" spans="1:7">
      <c r="A10" s="3"/>
      <c r="B10" s="3"/>
      <c r="C10" s="3"/>
      <c r="D10" s="3"/>
      <c r="E10" s="3"/>
    </row>
    <row r="11" spans="1:7">
      <c r="A11" t="s">
        <v>163</v>
      </c>
      <c r="B11" s="8">
        <f>+RS!D35</f>
        <v>12794215.700000001</v>
      </c>
      <c r="C11" s="8">
        <f>+RS!J35</f>
        <v>5033.5460000000003</v>
      </c>
      <c r="D11" s="8">
        <f>+RS!M35</f>
        <v>-347041.60570998618</v>
      </c>
      <c r="E11" s="8">
        <f>+RS!P35</f>
        <v>-92997.930290013552</v>
      </c>
      <c r="F11" s="8">
        <f>+RS!R35</f>
        <v>12359209.710000001</v>
      </c>
      <c r="G11" s="10">
        <f>F11/F$65*G$70</f>
        <v>4075207.5970995273</v>
      </c>
    </row>
    <row r="13" spans="1:7">
      <c r="A13" t="s">
        <v>164</v>
      </c>
      <c r="B13" s="8">
        <f>+RSLMTOD!D38</f>
        <v>22127.730000000003</v>
      </c>
      <c r="C13" s="8">
        <f>+RSLMTOD!I38</f>
        <v>84</v>
      </c>
      <c r="D13" s="8">
        <f>+RSLMTOD!L38</f>
        <v>-722.18448237481107</v>
      </c>
      <c r="E13" s="8">
        <f>+RSLMTOD!O38</f>
        <v>-216.44551762519404</v>
      </c>
      <c r="F13" s="8">
        <f>+RSLMTOD!Q38</f>
        <v>21273.1</v>
      </c>
      <c r="G13" s="8">
        <f>F13/F$65*G$70</f>
        <v>7014.3885222462131</v>
      </c>
    </row>
    <row r="15" spans="1:7">
      <c r="A15" t="s">
        <v>270</v>
      </c>
      <c r="B15" s="8">
        <f>+RSTOD!D33</f>
        <v>228.89000000000001</v>
      </c>
      <c r="C15" s="8">
        <f>+RSTOD!I33</f>
        <v>0</v>
      </c>
      <c r="E15" s="8">
        <f>+RSTOD!L33</f>
        <v>0</v>
      </c>
      <c r="F15" s="8">
        <f>+RSTOD!N33</f>
        <v>228.89</v>
      </c>
      <c r="G15" s="8">
        <f>F15/F$65*G$70</f>
        <v>75.471999325765196</v>
      </c>
    </row>
    <row r="17" spans="1:7">
      <c r="A17" t="s">
        <v>165</v>
      </c>
      <c r="B17" s="8">
        <f>+OL!D58</f>
        <v>600634.18999999994</v>
      </c>
      <c r="E17" s="8">
        <f>+OL!L58</f>
        <v>-70827.632633870468</v>
      </c>
      <c r="F17" s="8">
        <f>+OL!N58</f>
        <v>529806.55736612948</v>
      </c>
      <c r="G17" s="8">
        <f>F17/F$65*G$70</f>
        <v>174693.34676186164</v>
      </c>
    </row>
    <row r="19" spans="1:7">
      <c r="A19" t="s">
        <v>166</v>
      </c>
      <c r="B19" s="8">
        <f>+SGS!D30</f>
        <v>1314773.9000000004</v>
      </c>
      <c r="C19" s="8">
        <f>+SGS!I30</f>
        <v>-6091.1479999999974</v>
      </c>
      <c r="E19" s="8">
        <f>+SGS!L30</f>
        <v>5237.0179999996908</v>
      </c>
      <c r="F19" s="8">
        <f>+SGS!N30</f>
        <v>1313919.77</v>
      </c>
      <c r="G19" s="8">
        <f>F19/F$65*G$70</f>
        <v>433239.33765367459</v>
      </c>
    </row>
    <row r="21" spans="1:7">
      <c r="A21" t="s">
        <v>331</v>
      </c>
      <c r="B21" s="8">
        <f>+SGSLMTOD!D31</f>
        <v>40.850000000000009</v>
      </c>
      <c r="C21" s="8">
        <f>+SGSLMTOD!I31</f>
        <v>0</v>
      </c>
      <c r="E21" s="8">
        <f>+SGSLMTOD!L31</f>
        <v>0</v>
      </c>
      <c r="F21" s="8">
        <f>+SGSLMTOD!N31</f>
        <v>40.85</v>
      </c>
      <c r="G21" s="8">
        <f>F21/F$65*G$70</f>
        <v>13.469488280211056</v>
      </c>
    </row>
    <row r="23" spans="1:7">
      <c r="A23" t="s">
        <v>167</v>
      </c>
      <c r="B23" s="8">
        <f>+'SGS-NM'!D30</f>
        <v>45803.55</v>
      </c>
      <c r="C23" s="8">
        <f>+'SGS-NM'!I30</f>
        <v>0</v>
      </c>
      <c r="E23" s="8">
        <f>+'SGS-NM'!L30</f>
        <v>262.97999999999593</v>
      </c>
      <c r="F23" s="8">
        <f>+'SGS-NM'!N30</f>
        <v>46066.53</v>
      </c>
      <c r="G23" s="8">
        <f>F23/F$65*G$70</f>
        <v>15189.536987637477</v>
      </c>
    </row>
    <row r="25" spans="1:7">
      <c r="A25" t="s">
        <v>345</v>
      </c>
      <c r="B25" s="8">
        <f>+'SGS TOD2'!D31</f>
        <v>3925.7699999999995</v>
      </c>
      <c r="C25" s="10">
        <f>+'SGS TOD2'!I31</f>
        <v>0</v>
      </c>
      <c r="E25" s="8">
        <f>+'SGS TOD2'!L31</f>
        <v>-46.789999999999509</v>
      </c>
      <c r="F25" s="8">
        <f>+'SGS TOD2'!N31</f>
        <v>3878.98</v>
      </c>
      <c r="G25" s="8">
        <f>F25/F$65*G$70</f>
        <v>1279.017763749647</v>
      </c>
    </row>
    <row r="27" spans="1:7">
      <c r="A27" t="s">
        <v>168</v>
      </c>
      <c r="B27" s="8">
        <f>+'MGS-RL'!D30</f>
        <v>11360.15</v>
      </c>
      <c r="C27" s="8">
        <f>+'MGS-RL'!I30</f>
        <v>-832</v>
      </c>
      <c r="E27" s="8">
        <f>+'MGS-RL'!L30</f>
        <v>185.52000000000044</v>
      </c>
      <c r="F27" s="8">
        <f>+'MGS-RL'!N30</f>
        <v>10713.67</v>
      </c>
      <c r="G27" s="8">
        <f>F27/F$65*G$70</f>
        <v>3532.6230722900559</v>
      </c>
    </row>
    <row r="29" spans="1:7">
      <c r="A29" t="s">
        <v>169</v>
      </c>
      <c r="B29" s="8">
        <f>+'MGS-SEC'!D35</f>
        <v>3843112.7800000003</v>
      </c>
      <c r="C29" s="8">
        <f>+'MGS-SEC'!I35</f>
        <v>3286.696999999991</v>
      </c>
      <c r="E29" s="8">
        <f>+'MGS-SEC'!L35+'MGS-SEC'!N35</f>
        <v>14516.102999999654</v>
      </c>
      <c r="F29" s="8">
        <f>+'MGS-SEC'!P35</f>
        <v>3860915.58</v>
      </c>
      <c r="G29" s="8">
        <f>F29/F$65*G$70</f>
        <v>1273061.3746803983</v>
      </c>
    </row>
    <row r="31" spans="1:7">
      <c r="A31" t="s">
        <v>170</v>
      </c>
      <c r="B31" s="8">
        <f>+MGSLMTOD!D31</f>
        <v>7580.93</v>
      </c>
      <c r="C31" s="8">
        <f>+MGSLMTOD!I31</f>
        <v>0</v>
      </c>
      <c r="E31" s="8">
        <f>+MGSLMTOD!L31</f>
        <v>-40.980000000000473</v>
      </c>
      <c r="F31" s="8">
        <f>+MGSLMTOD!N31</f>
        <v>7539.95</v>
      </c>
      <c r="G31" s="8">
        <f>F31/F$65*G$70</f>
        <v>2486.1509953091149</v>
      </c>
    </row>
    <row r="33" spans="1:7">
      <c r="A33" t="s">
        <v>171</v>
      </c>
      <c r="B33" s="8">
        <f>+MGSTOD!D31</f>
        <v>25158.85</v>
      </c>
      <c r="C33" s="8">
        <f>+MGSTOD!I31</f>
        <v>118.586</v>
      </c>
      <c r="E33" s="8">
        <f>+MGSTOD!L31</f>
        <v>195.51400000000285</v>
      </c>
      <c r="F33" s="8">
        <f>+MGSTOD!N31</f>
        <v>25472.95</v>
      </c>
      <c r="G33" s="8">
        <f>F33/F$65*G$70</f>
        <v>8399.206890756479</v>
      </c>
    </row>
    <row r="35" spans="1:7">
      <c r="A35" t="s">
        <v>172</v>
      </c>
      <c r="B35" s="8">
        <f>+'MGS-PRI'!D36</f>
        <v>56012.590000000004</v>
      </c>
      <c r="C35" s="8">
        <f>+'MGS-PRI'!I36</f>
        <v>10392.115</v>
      </c>
      <c r="E35" s="8">
        <f>+'MGS-PRI'!L36+'MGS-PRI'!N36</f>
        <v>-2549.5350000000035</v>
      </c>
      <c r="F35" s="8">
        <f>+'MGS-PRI'!P36</f>
        <v>63855.17</v>
      </c>
      <c r="G35" s="8">
        <f>F35/F$65*G$70</f>
        <v>21054.992997451274</v>
      </c>
    </row>
    <row r="37" spans="1:7">
      <c r="A37" t="s">
        <v>173</v>
      </c>
      <c r="B37" s="8">
        <f>+'MGS-SUB'!D35</f>
        <v>11520.03</v>
      </c>
      <c r="C37" s="8">
        <f>+'MGS-SUB'!I35</f>
        <v>-3589.7479999999996</v>
      </c>
      <c r="E37" s="8">
        <f>+'MGS-SUB'!L35+'MGS-SUB'!N35</f>
        <v>-260.41200000000117</v>
      </c>
      <c r="F37" s="8">
        <f>+'MGS-SUB'!P35</f>
        <v>7669.87</v>
      </c>
      <c r="G37" s="8">
        <f>F37/F$65*G$70</f>
        <v>2528.9895734575853</v>
      </c>
    </row>
    <row r="39" spans="1:7">
      <c r="A39" t="s">
        <v>174</v>
      </c>
      <c r="B39" s="8">
        <f>+'LGS-SEC'!D32</f>
        <v>3539537.28</v>
      </c>
      <c r="C39" s="8">
        <f>+'LGS-SEC'!I32</f>
        <v>19288.273000000005</v>
      </c>
      <c r="E39" s="8">
        <f>+'LGS-SEC'!L32+'LGS-SEC'!N32</f>
        <v>38491.246999999974</v>
      </c>
      <c r="F39" s="8">
        <f>+'LGS-SEC'!P32</f>
        <v>3597316.8</v>
      </c>
      <c r="G39" s="8">
        <f>F39/F$65*G$70</f>
        <v>1186144.8342180254</v>
      </c>
    </row>
    <row r="41" spans="1:7">
      <c r="A41" t="s">
        <v>175</v>
      </c>
      <c r="B41" s="8">
        <f>+LGSLMTOD!D31</f>
        <v>12196.669999999998</v>
      </c>
      <c r="C41" s="8">
        <f>+LGSLMTOD!I31</f>
        <v>0</v>
      </c>
      <c r="E41" s="8">
        <f>+LGSLMTOD!L31</f>
        <v>0</v>
      </c>
      <c r="F41" s="8">
        <f>+LGSLMTOD!N31</f>
        <v>12196.67</v>
      </c>
      <c r="G41" s="8">
        <f>F41/F$65*G$70</f>
        <v>4021.6133077748295</v>
      </c>
    </row>
    <row r="43" spans="1:7">
      <c r="A43" t="s">
        <v>183</v>
      </c>
      <c r="B43" s="8">
        <f>+'LGS-PRI'!D32</f>
        <v>513293.72000000003</v>
      </c>
      <c r="C43" s="8">
        <f>+'LGS-PRI'!I32</f>
        <v>-6521.4339999999993</v>
      </c>
      <c r="E43" s="8">
        <f>+'LGS-PRI'!L32+'LGS-PRI'!N32</f>
        <v>111792.54399999994</v>
      </c>
      <c r="F43" s="8">
        <f>+'LGS-PRI'!P32</f>
        <v>618564.82999999996</v>
      </c>
      <c r="G43" s="8">
        <f>F43/F$65*G$70</f>
        <v>203959.65063000596</v>
      </c>
    </row>
    <row r="45" spans="1:7">
      <c r="A45" t="s">
        <v>176</v>
      </c>
      <c r="B45" s="8">
        <f>+'LGS-SUB'!D32</f>
        <v>121649.36</v>
      </c>
      <c r="C45" s="8">
        <f>+'LGS-SUB'!I32</f>
        <v>15243.112999999999</v>
      </c>
      <c r="E45" s="8">
        <f>+'LGS-SUB'!N32</f>
        <v>-11007.532999999996</v>
      </c>
      <c r="F45" s="8">
        <f>+'LGS-SUB'!P32</f>
        <v>125884.94</v>
      </c>
      <c r="G45" s="8">
        <f>F45/F$65*G$70</f>
        <v>41508.096058386094</v>
      </c>
    </row>
    <row r="47" spans="1:7">
      <c r="A47" t="s">
        <v>335</v>
      </c>
      <c r="B47" s="8">
        <f>+'LGS-TRAN'!D32</f>
        <v>4873.7100000000019</v>
      </c>
      <c r="C47" s="8">
        <f>+'LGS-TRAN'!I32</f>
        <v>-5383</v>
      </c>
      <c r="E47" s="8">
        <f>+'LGS-TRAN'!L32</f>
        <v>0</v>
      </c>
      <c r="F47" s="8">
        <f>+'LGS-TRAN'!P32</f>
        <v>-509.29</v>
      </c>
      <c r="G47" s="8">
        <f>F47/F$65*G$70</f>
        <v>-167.92841337157131</v>
      </c>
    </row>
    <row r="49" spans="1:7">
      <c r="A49" t="s">
        <v>269</v>
      </c>
      <c r="B49" s="8">
        <f>+'QP-SEC'!D35</f>
        <v>119278.66000000002</v>
      </c>
      <c r="C49" s="8">
        <f>+'QP-SEC'!I35</f>
        <v>-39</v>
      </c>
      <c r="E49" s="8">
        <f>+'QP-SEC'!L35</f>
        <v>-4769.5900000000111</v>
      </c>
      <c r="F49" s="8">
        <f>+'QP-SEC'!N35</f>
        <v>114470.07</v>
      </c>
      <c r="G49" s="8">
        <f>F49/F$65*G$70</f>
        <v>37744.266004894474</v>
      </c>
    </row>
    <row r="51" spans="1:7">
      <c r="A51" t="s">
        <v>184</v>
      </c>
      <c r="B51" s="8">
        <f>+'QP-PRI'!D37</f>
        <v>1338868.45</v>
      </c>
      <c r="C51" s="8">
        <f>+'QP-PRI'!I37</f>
        <v>-22905</v>
      </c>
      <c r="E51" s="8">
        <f>+'QP-PRI'!L37+'QP-PRI'!N37</f>
        <v>-1.9399999999441206</v>
      </c>
      <c r="F51" s="8">
        <f>+'QP-PRI'!P37</f>
        <v>1315961.51</v>
      </c>
      <c r="G51" s="8">
        <f>F51/F$65*G$70</f>
        <v>433912.56147255434</v>
      </c>
    </row>
    <row r="53" spans="1:7">
      <c r="A53" t="s">
        <v>177</v>
      </c>
      <c r="B53" s="8">
        <f>+'QP-SUB'!D35</f>
        <v>1117480.25</v>
      </c>
      <c r="C53" s="8">
        <f>+'QP-SUB'!I35</f>
        <v>110564</v>
      </c>
      <c r="E53" s="8">
        <f>+'QP-SUB'!L35+'QP-SUB'!N35</f>
        <v>-7826.0500000000466</v>
      </c>
      <c r="F53" s="8">
        <f>+'QP-SUB'!P35</f>
        <v>1220218.2</v>
      </c>
      <c r="G53" s="8">
        <f>F53/F$65*G$70</f>
        <v>402343.07819339604</v>
      </c>
    </row>
    <row r="55" spans="1:7">
      <c r="A55" t="s">
        <v>178</v>
      </c>
      <c r="B55" s="8">
        <f>+'QP-TRAN'!D35</f>
        <v>153618.85999999999</v>
      </c>
      <c r="C55" s="8">
        <f>+'QP-TRAN'!I35</f>
        <v>80048</v>
      </c>
      <c r="E55" s="8">
        <f>+'QP-TRAN'!L35+'QP-TRAN'!N35</f>
        <v>21235.170000000013</v>
      </c>
      <c r="F55" s="8">
        <f>+'QP-TRAN'!P35</f>
        <v>254902.03</v>
      </c>
      <c r="G55" s="8">
        <f>F55/F$65*G$70</f>
        <v>84048.957299559537</v>
      </c>
    </row>
    <row r="57" spans="1:7">
      <c r="A57" t="s">
        <v>179</v>
      </c>
      <c r="B57" s="8">
        <f>+'CIPTOD-SUB'!D38</f>
        <v>4261827.3600000003</v>
      </c>
      <c r="C57" s="8">
        <f>+'CIPTOD-SUB'!I38</f>
        <v>-124032</v>
      </c>
      <c r="E57" s="8">
        <f>+'CIPTOD-SUB'!L38+'CIPTOD-SUB'!N38</f>
        <v>45323.429999999702</v>
      </c>
      <c r="F57" s="8">
        <f>+'CIPTOD-SUB'!P38</f>
        <v>4183118.79</v>
      </c>
      <c r="G57" s="8">
        <f>F57/F$65*G$70</f>
        <v>1379301.5793546059</v>
      </c>
    </row>
    <row r="59" spans="1:7">
      <c r="A59" t="s">
        <v>180</v>
      </c>
      <c r="B59" s="8">
        <f>+'CIPTOD-TRAN'!D37</f>
        <v>671887.56</v>
      </c>
      <c r="C59" s="8">
        <f>+'CIPTOD-TRAN'!I37</f>
        <v>-74665</v>
      </c>
      <c r="E59" s="8">
        <f>+'CIPTOD-TRAN'!N37</f>
        <v>-45940.150000000023</v>
      </c>
      <c r="F59" s="8">
        <f>+'CIPTOD-TRAN'!P37</f>
        <v>551282.41</v>
      </c>
      <c r="G59" s="8">
        <f>F59/F$65*G$70</f>
        <v>181774.58899832328</v>
      </c>
    </row>
    <row r="61" spans="1:7">
      <c r="A61" t="s">
        <v>181</v>
      </c>
      <c r="B61" s="8">
        <f>+SL!D41</f>
        <v>108637.68</v>
      </c>
      <c r="E61" s="8">
        <f>+SL!L41</f>
        <v>-3995.9108058286802</v>
      </c>
      <c r="F61" s="8">
        <f>+SL!N41</f>
        <v>104641.76919417131</v>
      </c>
      <c r="G61" s="8">
        <f>F61/F$65*G$70</f>
        <v>34503.57610236085</v>
      </c>
    </row>
    <row r="63" spans="1:7">
      <c r="A63" t="s">
        <v>182</v>
      </c>
      <c r="B63" s="8">
        <f>+MW!D31</f>
        <v>21831.759999999995</v>
      </c>
      <c r="C63" s="8">
        <f>+MW!I31</f>
        <v>0</v>
      </c>
      <c r="D63" s="8"/>
      <c r="E63" s="8">
        <f>+MW!L31</f>
        <v>0</v>
      </c>
      <c r="F63" s="8">
        <f>+MW!N31</f>
        <v>21831.759999999998</v>
      </c>
      <c r="G63" s="8">
        <f>F63/F$65*G$70</f>
        <v>7198.5957272063761</v>
      </c>
    </row>
    <row r="65" spans="1:7">
      <c r="A65" t="s">
        <v>18</v>
      </c>
      <c r="B65" s="8">
        <f t="shared" ref="B65:E65" si="0">SUM(B11:B63)</f>
        <v>30721477.230000004</v>
      </c>
      <c r="C65" s="8">
        <f t="shared" si="0"/>
        <v>0</v>
      </c>
      <c r="D65" s="8">
        <f t="shared" si="0"/>
        <v>-347763.79019236099</v>
      </c>
      <c r="E65" s="8">
        <f t="shared" si="0"/>
        <v>-3241.3732473390119</v>
      </c>
      <c r="F65" s="8">
        <f>SUM(F11:F63)</f>
        <v>30370472.066560309</v>
      </c>
      <c r="G65" s="8">
        <f>SUM(G11:G63)</f>
        <v>10014068.97343969</v>
      </c>
    </row>
    <row r="67" spans="1:7">
      <c r="A67" s="9" t="s">
        <v>415</v>
      </c>
      <c r="G67" s="8">
        <v>44000000</v>
      </c>
    </row>
    <row r="68" spans="1:7">
      <c r="A68" s="9" t="s">
        <v>416</v>
      </c>
      <c r="G68" s="8">
        <v>3615458.96</v>
      </c>
    </row>
    <row r="69" spans="1:7">
      <c r="A69" s="9" t="s">
        <v>417</v>
      </c>
      <c r="G69" s="56">
        <f>+F65</f>
        <v>30370472.066560309</v>
      </c>
    </row>
    <row r="70" spans="1:7">
      <c r="G70" s="8">
        <f>+G67-G68-G69</f>
        <v>10014068.97343969</v>
      </c>
    </row>
  </sheetData>
  <printOptions horizontalCentered="1"/>
  <pageMargins left="0.25" right="0.25" top="0.75" bottom="0.75" header="0.3" footer="0.3"/>
  <pageSetup scale="7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opLeftCell="A67" workbookViewId="0">
      <selection activeCell="B68" sqref="B68"/>
    </sheetView>
  </sheetViews>
  <sheetFormatPr defaultRowHeight="12.75"/>
  <cols>
    <col min="1" max="1" width="19" customWidth="1"/>
    <col min="2" max="2" width="21.85546875" customWidth="1"/>
    <col min="3" max="3" width="16.85546875" customWidth="1"/>
    <col min="4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237</v>
      </c>
    </row>
    <row r="6" spans="1:5">
      <c r="A6" s="1"/>
      <c r="B6" s="1" t="s">
        <v>155</v>
      </c>
      <c r="C6" s="1" t="s">
        <v>155</v>
      </c>
      <c r="D6" s="1"/>
      <c r="E6" s="1"/>
    </row>
    <row r="7" spans="1:5">
      <c r="A7" s="1"/>
      <c r="B7" s="1" t="s">
        <v>156</v>
      </c>
      <c r="C7" s="1" t="s">
        <v>157</v>
      </c>
      <c r="D7" s="1"/>
      <c r="E7" s="1" t="s">
        <v>159</v>
      </c>
    </row>
    <row r="8" spans="1:5">
      <c r="A8" s="3" t="s">
        <v>2</v>
      </c>
      <c r="B8" s="3" t="s">
        <v>6</v>
      </c>
      <c r="C8" s="3" t="s">
        <v>6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+'12 Months TS'!I18</f>
        <v>234174671.01999998</v>
      </c>
      <c r="C10" s="8">
        <f>RS!D39</f>
        <v>234174671.02451357</v>
      </c>
      <c r="D10" s="8">
        <f>+C10-B10</f>
        <v>4.5135915279388428E-3</v>
      </c>
      <c r="E10" s="15">
        <f>+D10/B10</f>
        <v>1.9274465117336937E-11</v>
      </c>
    </row>
    <row r="11" spans="1:5">
      <c r="B11" s="8"/>
      <c r="C11" s="8"/>
      <c r="D11" s="8"/>
    </row>
    <row r="12" spans="1:5">
      <c r="A12" t="s">
        <v>164</v>
      </c>
      <c r="B12" s="8">
        <f>+'12 Months TS'!I24</f>
        <v>398122.7</v>
      </c>
      <c r="C12" s="8">
        <f>RSLMTOD!D40</f>
        <v>398122.93822999997</v>
      </c>
      <c r="D12" s="8">
        <f>+C12-B12</f>
        <v>0.23822999995900318</v>
      </c>
      <c r="E12" s="15">
        <f>+D12/B12</f>
        <v>5.9838336261409651E-7</v>
      </c>
    </row>
    <row r="13" spans="1:5">
      <c r="B13" s="8"/>
      <c r="C13" s="8"/>
      <c r="D13" s="8"/>
      <c r="E13" s="15"/>
    </row>
    <row r="14" spans="1:5">
      <c r="A14" t="s">
        <v>270</v>
      </c>
      <c r="B14" s="8">
        <f>+'12 Months TS'!I26</f>
        <v>4355.5499999999993</v>
      </c>
      <c r="C14" s="8">
        <f>RSTOD!D35</f>
        <v>4355.557350000001</v>
      </c>
      <c r="D14" s="8">
        <f>+C14-B14</f>
        <v>7.350000001679291E-3</v>
      </c>
      <c r="E14" s="15">
        <f>+D14/B14</f>
        <v>1.6875021528117671E-6</v>
      </c>
    </row>
    <row r="15" spans="1:5">
      <c r="B15" s="8"/>
      <c r="C15" s="8"/>
      <c r="D15" s="8"/>
    </row>
    <row r="16" spans="1:5">
      <c r="A16" t="s">
        <v>165</v>
      </c>
      <c r="B16" s="8">
        <f>+'12 Months TS'!I45</f>
        <v>7991784.5900000008</v>
      </c>
      <c r="C16" s="8">
        <f>OL!D60</f>
        <v>7991784.5985000022</v>
      </c>
      <c r="D16" s="8">
        <f>+C16-B16</f>
        <v>8.5000013932585716E-3</v>
      </c>
      <c r="E16" s="15">
        <f>+D16/B16</f>
        <v>1.063592405117437E-9</v>
      </c>
    </row>
    <row r="17" spans="1:5">
      <c r="B17" s="8"/>
      <c r="C17" s="8"/>
      <c r="D17" s="8"/>
    </row>
    <row r="18" spans="1:5">
      <c r="A18" t="s">
        <v>166</v>
      </c>
      <c r="B18" s="8">
        <f>+'12 Months TS'!I49</f>
        <v>18612752.210000005</v>
      </c>
      <c r="C18" s="8">
        <f>SGS!D32</f>
        <v>18612752.237580001</v>
      </c>
      <c r="D18" s="8">
        <f>+C18-B18</f>
        <v>2.7579996734857559E-2</v>
      </c>
      <c r="E18" s="15">
        <f>+D18/B18</f>
        <v>1.4817796112946561E-9</v>
      </c>
    </row>
    <row r="19" spans="1:5">
      <c r="B19" s="8"/>
      <c r="C19" s="8"/>
      <c r="D19" s="8"/>
    </row>
    <row r="20" spans="1:5">
      <c r="A20" t="s">
        <v>331</v>
      </c>
      <c r="B20" s="8">
        <f>+'12 Months TS'!I51</f>
        <v>535.26</v>
      </c>
      <c r="C20" s="8">
        <f>SGSLMTOD!D33</f>
        <v>535.31295999999998</v>
      </c>
      <c r="D20" s="8">
        <f>+C20-B20</f>
        <v>5.2959999999984575E-2</v>
      </c>
      <c r="E20" s="15">
        <f>+D20/B20</f>
        <v>9.8942569965969023E-5</v>
      </c>
    </row>
    <row r="21" spans="1:5">
      <c r="B21" s="8"/>
      <c r="C21" s="8"/>
      <c r="D21" s="8"/>
    </row>
    <row r="22" spans="1:5">
      <c r="A22" t="s">
        <v>167</v>
      </c>
      <c r="B22" s="8">
        <f>+'12 Months TS'!I55</f>
        <v>636368.26</v>
      </c>
      <c r="C22" s="8">
        <f>'SGS-NM'!D32</f>
        <v>636368.30420000013</v>
      </c>
      <c r="D22" s="8">
        <f>+C22-B22</f>
        <v>4.4200000120326877E-2</v>
      </c>
      <c r="E22" s="15">
        <f>+D22/B22</f>
        <v>6.9456638394138123E-8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+'12 Months TS'!I57</f>
        <v>54712.090000000004</v>
      </c>
      <c r="C24" s="8">
        <f>+'SGS TOD2'!D33</f>
        <v>54712.121209999998</v>
      </c>
      <c r="D24" s="8">
        <f>+C24-B24</f>
        <v>3.1209999993734527E-2</v>
      </c>
      <c r="E24" s="15">
        <f>+D24/B24</f>
        <v>5.7044064655059834E-7</v>
      </c>
    </row>
    <row r="25" spans="1:5">
      <c r="B25" s="8"/>
      <c r="C25" s="8"/>
      <c r="D25" s="8"/>
    </row>
    <row r="26" spans="1:5">
      <c r="A26" t="s">
        <v>168</v>
      </c>
      <c r="B26" s="8">
        <f>+'12 Months TS'!I59</f>
        <v>176304.34</v>
      </c>
      <c r="C26" s="8">
        <f>'MGS-RL'!D32</f>
        <v>176304.35623999999</v>
      </c>
      <c r="D26" s="8">
        <f>+C26-B26</f>
        <v>1.6239999997196719E-2</v>
      </c>
      <c r="E26" s="15">
        <f>+D26/B26</f>
        <v>9.2113444270269918E-8</v>
      </c>
    </row>
    <row r="27" spans="1:5">
      <c r="B27" s="8"/>
      <c r="C27" s="8"/>
      <c r="D27" s="8"/>
    </row>
    <row r="28" spans="1:5">
      <c r="A28" t="s">
        <v>169</v>
      </c>
      <c r="B28" s="8">
        <f>+'12 Months TS'!I65</f>
        <v>56778688.550000034</v>
      </c>
      <c r="C28" s="8">
        <f>'MGS-SEC'!D37</f>
        <v>56778688.522719994</v>
      </c>
      <c r="D28" s="8">
        <f>+C28-B28</f>
        <v>-2.7280040085315704E-2</v>
      </c>
      <c r="E28" s="15">
        <f>+D28/B28</f>
        <v>-4.8046266622189693E-10</v>
      </c>
    </row>
    <row r="29" spans="1:5">
      <c r="B29" s="8"/>
      <c r="C29" s="8"/>
      <c r="D29" s="8"/>
    </row>
    <row r="30" spans="1:5">
      <c r="A30" t="s">
        <v>170</v>
      </c>
      <c r="B30" s="8">
        <f>+'12 Months TS'!I67</f>
        <v>107867.83</v>
      </c>
      <c r="C30" s="8">
        <f>MGSLMTOD!D33</f>
        <v>107867.79608999999</v>
      </c>
      <c r="D30" s="8">
        <f>+C30-B30</f>
        <v>-3.3910000012838282E-2</v>
      </c>
      <c r="E30" s="15">
        <f>+D30/B30</f>
        <v>-3.1436620179379043E-7</v>
      </c>
    </row>
    <row r="31" spans="1:5">
      <c r="B31" s="8"/>
      <c r="C31" s="8"/>
      <c r="D31" s="8"/>
    </row>
    <row r="32" spans="1:5">
      <c r="A32" t="s">
        <v>171</v>
      </c>
      <c r="B32" s="8">
        <f>+'12 Months TS'!I69</f>
        <v>383288.62999999989</v>
      </c>
      <c r="C32" s="8">
        <f>MGSTOD!D33</f>
        <v>383288.60401999997</v>
      </c>
      <c r="D32" s="8">
        <f>+C32-B32</f>
        <v>-2.5979999918490648E-2</v>
      </c>
      <c r="E32" s="15">
        <f>+D32/B32</f>
        <v>-6.7781817369564699E-8</v>
      </c>
    </row>
    <row r="33" spans="1:5">
      <c r="B33" s="8"/>
      <c r="C33" s="8"/>
      <c r="D33" s="8"/>
    </row>
    <row r="34" spans="1:5">
      <c r="A34" t="s">
        <v>172</v>
      </c>
      <c r="B34" s="8">
        <f>+'12 Months TS'!I73</f>
        <v>841956.3600000001</v>
      </c>
      <c r="C34" s="8">
        <f>'MGS-PRI'!D38</f>
        <v>841956.3957199998</v>
      </c>
      <c r="D34" s="8">
        <f>+C34-B34</f>
        <v>3.5719999694265425E-2</v>
      </c>
      <c r="E34" s="15">
        <f>+D34/B34</f>
        <v>4.2425001331738166E-8</v>
      </c>
    </row>
    <row r="35" spans="1:5">
      <c r="B35" s="8"/>
      <c r="C35" s="8"/>
      <c r="D35" s="8"/>
    </row>
    <row r="36" spans="1:5">
      <c r="A36" t="s">
        <v>173</v>
      </c>
      <c r="B36" s="8">
        <f>+'12 Months TS'!I75</f>
        <v>174767.63</v>
      </c>
      <c r="C36" s="8">
        <f>'MGS-SUB'!D37</f>
        <v>174767.71650000001</v>
      </c>
      <c r="D36" s="8">
        <f>+C36-B36</f>
        <v>8.6500000004889444E-2</v>
      </c>
      <c r="E36" s="15">
        <f>+D36/B36</f>
        <v>4.9494291365563202E-7</v>
      </c>
    </row>
    <row r="37" spans="1:5">
      <c r="B37" s="8"/>
      <c r="C37" s="8"/>
      <c r="D37" s="8"/>
    </row>
    <row r="38" spans="1:5">
      <c r="A38" t="s">
        <v>174</v>
      </c>
      <c r="B38" s="8">
        <f>+'12 Months TS'!I79</f>
        <v>56129059.529999986</v>
      </c>
      <c r="C38" s="8">
        <f>'LGS-SEC'!D34</f>
        <v>56129059.339750007</v>
      </c>
      <c r="D38" s="8">
        <f>+C38-B38</f>
        <v>-0.1902499794960022</v>
      </c>
      <c r="E38" s="15">
        <f>+D38/B38</f>
        <v>-3.3895094820592347E-9</v>
      </c>
    </row>
    <row r="39" spans="1:5">
      <c r="B39" s="8"/>
      <c r="C39" s="8"/>
      <c r="D39" s="8"/>
    </row>
    <row r="40" spans="1:5">
      <c r="A40" t="s">
        <v>175</v>
      </c>
      <c r="B40" s="8">
        <f>+'12 Months TS'!I81</f>
        <v>196457.19000000003</v>
      </c>
      <c r="C40" s="8">
        <f>LGSLMTOD!D33</f>
        <v>196457.29399000003</v>
      </c>
      <c r="D40" s="8">
        <f>+C40-B40</f>
        <v>0.10399000000325032</v>
      </c>
      <c r="E40" s="15">
        <f>+D40/B40</f>
        <v>5.2932651639398033E-7</v>
      </c>
    </row>
    <row r="41" spans="1:5">
      <c r="B41" s="8"/>
      <c r="C41" s="8"/>
      <c r="D41" s="8"/>
    </row>
    <row r="42" spans="1:5">
      <c r="A42" t="s">
        <v>183</v>
      </c>
      <c r="B42" s="8">
        <f>+'12 Months TS'!I85</f>
        <v>8598357.0300000031</v>
      </c>
      <c r="C42" s="8">
        <f>'LGS-PRI'!D34</f>
        <v>8598356.9705200009</v>
      </c>
      <c r="D42" s="8">
        <f>+C42-B42</f>
        <v>-5.9480002149939537E-2</v>
      </c>
      <c r="E42" s="15">
        <f>+D42/B42</f>
        <v>-6.9176008791460377E-9</v>
      </c>
    </row>
    <row r="43" spans="1:5">
      <c r="B43" s="8"/>
      <c r="C43" s="8"/>
      <c r="D43" s="8"/>
    </row>
    <row r="44" spans="1:5">
      <c r="A44" t="s">
        <v>176</v>
      </c>
      <c r="B44" s="8">
        <f>+'12 Months TS'!I87</f>
        <v>2377008.3099999996</v>
      </c>
      <c r="C44" s="8">
        <f>'LGS-SUB'!D34</f>
        <v>2377008.6157200001</v>
      </c>
      <c r="D44" s="8">
        <f>+C44-B44</f>
        <v>0.30572000052779913</v>
      </c>
      <c r="E44" s="15">
        <f>+D44/B44</f>
        <v>1.286154529799684E-7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+'12 Months TS'!I89</f>
        <v>164354.29999999999</v>
      </c>
      <c r="C46" s="8">
        <f>+'LGS-TRAN'!D34</f>
        <v>164354.23875999995</v>
      </c>
      <c r="D46" s="8">
        <f>+C46-B46</f>
        <v>-6.1240000039106235E-2</v>
      </c>
      <c r="E46" s="15">
        <f>+D46/B46</f>
        <v>-3.7260966119600304E-7</v>
      </c>
    </row>
    <row r="47" spans="1:5">
      <c r="B47" s="8"/>
      <c r="C47" s="8"/>
      <c r="D47" s="8"/>
    </row>
    <row r="48" spans="1:5">
      <c r="A48" t="s">
        <v>269</v>
      </c>
      <c r="B48" s="8">
        <f>+'12 Months TS'!I91</f>
        <v>1898830.9000000004</v>
      </c>
      <c r="C48" s="8">
        <f>'QP-SEC'!D37</f>
        <v>1898831.0455</v>
      </c>
      <c r="D48" s="8">
        <f>+C48-B48</f>
        <v>0.14549999963492155</v>
      </c>
      <c r="E48" s="15">
        <f>+D48/B48</f>
        <v>7.6626096423289474E-8</v>
      </c>
    </row>
    <row r="49" spans="1:5">
      <c r="B49" s="8"/>
      <c r="C49" s="8"/>
      <c r="D49" s="10"/>
    </row>
    <row r="50" spans="1:5">
      <c r="A50" t="s">
        <v>184</v>
      </c>
      <c r="B50" s="8">
        <f>+'12 Months TS'!I95</f>
        <v>25231062.029999994</v>
      </c>
      <c r="C50" s="8">
        <f>'QP-PRI'!D39</f>
        <v>25231061.84468</v>
      </c>
      <c r="D50" s="8">
        <f>+C50-B50</f>
        <v>-0.18531999364495277</v>
      </c>
      <c r="E50" s="15">
        <f>+D50/B50</f>
        <v>-7.3449145115098756E-9</v>
      </c>
    </row>
    <row r="51" spans="1:5">
      <c r="B51" s="8"/>
      <c r="C51" s="8"/>
      <c r="D51" s="10"/>
    </row>
    <row r="52" spans="1:5">
      <c r="A52" t="s">
        <v>177</v>
      </c>
      <c r="B52" s="8">
        <f>+'12 Months TS'!I97</f>
        <v>22926270.790000003</v>
      </c>
      <c r="C52" s="8">
        <f>'QP-SUB'!D37</f>
        <v>22926270.751729991</v>
      </c>
      <c r="D52" s="8">
        <f>+C52-B52</f>
        <v>-3.82700115442276E-2</v>
      </c>
      <c r="E52" s="15">
        <f>+D52/B52</f>
        <v>-1.6692645696621641E-9</v>
      </c>
    </row>
    <row r="53" spans="1:5">
      <c r="B53" s="8"/>
      <c r="C53" s="8"/>
      <c r="D53" s="10"/>
    </row>
    <row r="54" spans="1:5">
      <c r="A54" t="s">
        <v>178</v>
      </c>
      <c r="B54" s="8">
        <f>+'12 Months TS'!I99</f>
        <v>2543285.3100000005</v>
      </c>
      <c r="C54" s="8">
        <f>'QP-TRAN'!D37</f>
        <v>2543285.3214400001</v>
      </c>
      <c r="D54" s="8">
        <f>+C54-B54</f>
        <v>1.143999956548214E-2</v>
      </c>
      <c r="E54" s="15">
        <f>+D54/B54</f>
        <v>4.4981188388502652E-9</v>
      </c>
    </row>
    <row r="55" spans="1:5">
      <c r="B55" s="8"/>
      <c r="C55" s="8"/>
      <c r="D55" s="10"/>
      <c r="E55" s="15"/>
    </row>
    <row r="56" spans="1:5">
      <c r="A56" t="s">
        <v>179</v>
      </c>
      <c r="B56" s="8">
        <f>+'12 Months TS'!I101</f>
        <v>102505258.39000002</v>
      </c>
      <c r="C56" s="8">
        <f>'CIPTOD-SUB'!D40</f>
        <v>102505258.13445999</v>
      </c>
      <c r="D56" s="8">
        <f>+C56-B56</f>
        <v>-0.25554002821445465</v>
      </c>
      <c r="E56" s="15">
        <f>+D56/B56</f>
        <v>-2.4929455544827353E-9</v>
      </c>
    </row>
    <row r="57" spans="1:5">
      <c r="B57" s="8"/>
      <c r="C57" s="8"/>
      <c r="D57" s="8"/>
    </row>
    <row r="58" spans="1:5">
      <c r="A58" t="s">
        <v>180</v>
      </c>
      <c r="B58" s="8">
        <f>+'12 Months TS'!I103</f>
        <v>19189779.52</v>
      </c>
      <c r="C58" s="8">
        <f>'CIPTOD-TRAN'!D39</f>
        <v>19189779.524799995</v>
      </c>
      <c r="D58" s="8">
        <f>+C58-B58</f>
        <v>4.7999955713748932E-3</v>
      </c>
      <c r="E58" s="15">
        <f>+D58/B58</f>
        <v>2.5013291926424872E-10</v>
      </c>
    </row>
    <row r="59" spans="1:5">
      <c r="B59" s="8"/>
      <c r="C59" s="8"/>
      <c r="D59" s="8"/>
      <c r="E59" s="15"/>
    </row>
    <row r="60" spans="1:5">
      <c r="A60" t="s">
        <v>181</v>
      </c>
      <c r="B60" s="8">
        <f>+'12 Months TS'!I111</f>
        <v>1437807.73</v>
      </c>
      <c r="C60" s="8">
        <f>SL!D43</f>
        <v>1437808.0145</v>
      </c>
      <c r="D60" s="8">
        <f>+C60-B60</f>
        <v>0.28450000006705523</v>
      </c>
      <c r="E60" s="15">
        <f>+D60/B60</f>
        <v>1.9787068474520945E-7</v>
      </c>
    </row>
    <row r="61" spans="1:5">
      <c r="B61" s="8"/>
      <c r="C61" s="8"/>
      <c r="D61" s="8"/>
    </row>
    <row r="62" spans="1:5">
      <c r="A62" t="s">
        <v>182</v>
      </c>
      <c r="B62" s="8">
        <f>+'12 Months TS'!I113</f>
        <v>361824.77</v>
      </c>
      <c r="C62" s="8">
        <f>MW!D33</f>
        <v>361824.73699999996</v>
      </c>
      <c r="D62" s="8">
        <f>+C62-B62</f>
        <v>-3.3000000054016709E-2</v>
      </c>
      <c r="E62" s="15">
        <f>+D62/B62</f>
        <v>-9.1204369601386632E-8</v>
      </c>
    </row>
    <row r="63" spans="1:5">
      <c r="B63" s="8"/>
      <c r="C63" s="8"/>
      <c r="D63" s="8"/>
    </row>
    <row r="64" spans="1:5">
      <c r="A64" t="s">
        <v>18</v>
      </c>
      <c r="B64" s="8">
        <f>SUM(B10:B62)</f>
        <v>563895530.81999993</v>
      </c>
      <c r="C64" s="8">
        <f>SUM(C10:C62)</f>
        <v>563895531.31868351</v>
      </c>
      <c r="D64" s="8">
        <f>+C64-B64</f>
        <v>0.49868357181549072</v>
      </c>
      <c r="E64" s="15">
        <f>+D64/B64</f>
        <v>8.8435453831371933E-10</v>
      </c>
    </row>
    <row r="68" spans="1:2" ht="25.5">
      <c r="A68" s="93" t="s">
        <v>365</v>
      </c>
      <c r="B68" s="8">
        <v>563834917.13</v>
      </c>
    </row>
    <row r="69" spans="1:2">
      <c r="A69" s="93" t="s">
        <v>366</v>
      </c>
      <c r="B69" s="8">
        <f>+B64-B68</f>
        <v>60613.689999938011</v>
      </c>
    </row>
    <row r="70" spans="1:2">
      <c r="A70" s="93"/>
    </row>
    <row r="71" spans="1:2">
      <c r="A71" s="93"/>
    </row>
    <row r="72" spans="1:2">
      <c r="A72" s="93" t="s">
        <v>367</v>
      </c>
    </row>
    <row r="73" spans="1:2" ht="38.25">
      <c r="A73" s="101" t="s">
        <v>399</v>
      </c>
      <c r="B73" s="92"/>
    </row>
    <row r="74" spans="1:2">
      <c r="A74" s="102" t="s">
        <v>374</v>
      </c>
      <c r="B74" s="92">
        <f>+'12 Months TS'!H105</f>
        <v>55819.23</v>
      </c>
    </row>
    <row r="75" spans="1:2" ht="25.5">
      <c r="A75" s="102" t="s">
        <v>375</v>
      </c>
      <c r="B75" s="92">
        <f>+'12 Months TS'!H107</f>
        <v>4794.46</v>
      </c>
    </row>
    <row r="76" spans="1:2">
      <c r="A76" s="93"/>
    </row>
    <row r="77" spans="1:2" ht="25.5">
      <c r="A77" s="93" t="s">
        <v>368</v>
      </c>
      <c r="B77" s="92">
        <f>+B69-SUM(B73:B75)</f>
        <v>-6.1991158872842789E-8</v>
      </c>
    </row>
  </sheetData>
  <phoneticPr fontId="0" type="noConversion"/>
  <printOptions horizontalCentered="1"/>
  <pageMargins left="0.25" right="0.25" top="0.75" bottom="0.75" header="0.3" footer="0.3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opLeftCell="A52" workbookViewId="0"/>
  </sheetViews>
  <sheetFormatPr defaultRowHeight="12.75"/>
  <cols>
    <col min="1" max="1" width="19" customWidth="1"/>
    <col min="2" max="2" width="21.85546875" customWidth="1"/>
    <col min="3" max="3" width="16.85546875" customWidth="1"/>
    <col min="4" max="4" width="16" bestFit="1" customWidth="1"/>
    <col min="5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288</v>
      </c>
    </row>
    <row r="6" spans="1:5">
      <c r="A6" s="1"/>
      <c r="B6" s="1" t="s">
        <v>155</v>
      </c>
      <c r="C6" s="1" t="s">
        <v>6</v>
      </c>
      <c r="D6" s="1"/>
      <c r="E6" s="1"/>
    </row>
    <row r="7" spans="1:5">
      <c r="A7" s="1"/>
      <c r="B7" s="1" t="s">
        <v>156</v>
      </c>
      <c r="C7" s="1" t="s">
        <v>248</v>
      </c>
      <c r="D7" s="1"/>
      <c r="E7" s="1" t="s">
        <v>159</v>
      </c>
    </row>
    <row r="8" spans="1:5">
      <c r="A8" s="3" t="s">
        <v>2</v>
      </c>
      <c r="B8" s="3" t="s">
        <v>6</v>
      </c>
      <c r="C8" s="3" t="s">
        <v>287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'PB Sum'!C10</f>
        <v>234174671.02451357</v>
      </c>
      <c r="C10" s="8">
        <f>RS!E39</f>
        <v>234174671.02451357</v>
      </c>
      <c r="D10" s="8">
        <f>+C10-B10</f>
        <v>0</v>
      </c>
      <c r="E10" s="15">
        <f>+D10/B10</f>
        <v>0</v>
      </c>
    </row>
    <row r="11" spans="1:5">
      <c r="B11" s="8"/>
      <c r="C11" s="8"/>
      <c r="D11" s="8"/>
    </row>
    <row r="12" spans="1:5">
      <c r="A12" t="s">
        <v>164</v>
      </c>
      <c r="B12" s="8">
        <f>'PB Sum'!C12</f>
        <v>398122.93822999997</v>
      </c>
      <c r="C12" s="8">
        <f>RSLMTOD!D40</f>
        <v>398122.93822999997</v>
      </c>
      <c r="D12" s="8">
        <f>+C12-B12</f>
        <v>0</v>
      </c>
      <c r="E12" s="15">
        <f>+D12/B12</f>
        <v>0</v>
      </c>
    </row>
    <row r="13" spans="1:5">
      <c r="B13" s="8"/>
      <c r="C13" s="8"/>
      <c r="D13" s="8"/>
    </row>
    <row r="14" spans="1:5">
      <c r="A14" t="s">
        <v>270</v>
      </c>
      <c r="B14" s="8">
        <f>'PB Sum'!C14</f>
        <v>4355.557350000001</v>
      </c>
      <c r="C14" s="8">
        <f>RSTOD!D35</f>
        <v>4355.557350000001</v>
      </c>
      <c r="D14" s="8">
        <f>+C14-B14</f>
        <v>0</v>
      </c>
      <c r="E14" s="15">
        <f>+D14/B14</f>
        <v>0</v>
      </c>
    </row>
    <row r="15" spans="1:5">
      <c r="B15" s="8"/>
      <c r="C15" s="8"/>
      <c r="D15" s="8"/>
    </row>
    <row r="16" spans="1:5">
      <c r="A16" t="s">
        <v>165</v>
      </c>
      <c r="B16" s="8">
        <f>'PB Sum'!C16</f>
        <v>7991784.5985000022</v>
      </c>
      <c r="C16" s="8">
        <f>OL!D60</f>
        <v>7991784.5985000022</v>
      </c>
      <c r="D16" s="8">
        <f>+C16-B16</f>
        <v>0</v>
      </c>
      <c r="E16" s="15">
        <f>+D16/B16</f>
        <v>0</v>
      </c>
    </row>
    <row r="17" spans="1:5">
      <c r="B17" s="8"/>
      <c r="C17" s="8"/>
      <c r="D17" s="8"/>
    </row>
    <row r="18" spans="1:5">
      <c r="A18" t="s">
        <v>166</v>
      </c>
      <c r="B18" s="8">
        <f>'PB Sum'!C18</f>
        <v>18612752.237580001</v>
      </c>
      <c r="C18" s="8">
        <f>SGS!D32</f>
        <v>18612752.237580001</v>
      </c>
      <c r="D18" s="8">
        <f>+C18-B18</f>
        <v>0</v>
      </c>
      <c r="E18" s="15">
        <f>+D18/B18</f>
        <v>0</v>
      </c>
    </row>
    <row r="19" spans="1:5">
      <c r="B19" s="8"/>
      <c r="C19" s="8"/>
      <c r="D19" s="8"/>
    </row>
    <row r="20" spans="1:5">
      <c r="A20" t="s">
        <v>331</v>
      </c>
      <c r="B20" s="8">
        <f>'PB Sum'!C20</f>
        <v>535.31295999999998</v>
      </c>
      <c r="C20" s="8">
        <f>SGSLMTOD!D33</f>
        <v>535.31295999999998</v>
      </c>
      <c r="D20" s="8">
        <f>+C20-B20</f>
        <v>0</v>
      </c>
      <c r="E20" s="15">
        <f>+D20/B20</f>
        <v>0</v>
      </c>
    </row>
    <row r="21" spans="1:5">
      <c r="B21" s="8"/>
      <c r="C21" s="8"/>
      <c r="D21" s="8"/>
    </row>
    <row r="22" spans="1:5">
      <c r="A22" t="s">
        <v>167</v>
      </c>
      <c r="B22" s="8">
        <f>'PB Sum'!C22</f>
        <v>636368.30420000013</v>
      </c>
      <c r="C22" s="8">
        <f>'SGS-NM'!D32</f>
        <v>636368.30420000013</v>
      </c>
      <c r="D22" s="8">
        <f>+C22-B22</f>
        <v>0</v>
      </c>
      <c r="E22" s="15">
        <f>+D22/B22</f>
        <v>0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'PB Sum'!C24</f>
        <v>54712.121209999998</v>
      </c>
      <c r="C24" s="8">
        <f>+'SGS TOD2'!D33</f>
        <v>54712.121209999998</v>
      </c>
      <c r="D24" s="8">
        <f>+C24-B24</f>
        <v>0</v>
      </c>
      <c r="E24" s="15">
        <f>+D24/B24</f>
        <v>0</v>
      </c>
    </row>
    <row r="25" spans="1:5">
      <c r="B25" s="8"/>
      <c r="C25" s="8"/>
      <c r="D25" s="8"/>
    </row>
    <row r="26" spans="1:5">
      <c r="A26" t="s">
        <v>168</v>
      </c>
      <c r="B26" s="8">
        <f>'PB Sum'!C26</f>
        <v>176304.35623999999</v>
      </c>
      <c r="C26" s="8">
        <f>'MGS-RL'!D32</f>
        <v>176304.35623999999</v>
      </c>
      <c r="D26" s="8">
        <f>+C26-B26</f>
        <v>0</v>
      </c>
      <c r="E26" s="15">
        <f>+D26/B26</f>
        <v>0</v>
      </c>
    </row>
    <row r="27" spans="1:5">
      <c r="B27" s="8"/>
      <c r="C27" s="8"/>
      <c r="D27" s="8"/>
    </row>
    <row r="28" spans="1:5">
      <c r="A28" t="s">
        <v>169</v>
      </c>
      <c r="B28" s="8">
        <f>'PB Sum'!C28</f>
        <v>56778688.522719994</v>
      </c>
      <c r="C28" s="8">
        <f>'MGS-SEC'!D37</f>
        <v>56778688.522719994</v>
      </c>
      <c r="D28" s="8">
        <f>+C28-B28</f>
        <v>0</v>
      </c>
      <c r="E28" s="15">
        <f>+D28/B28</f>
        <v>0</v>
      </c>
    </row>
    <row r="29" spans="1:5">
      <c r="B29" s="8"/>
      <c r="C29" s="8"/>
      <c r="D29" s="8"/>
    </row>
    <row r="30" spans="1:5">
      <c r="A30" t="s">
        <v>170</v>
      </c>
      <c r="B30" s="8">
        <f>'PB Sum'!C30</f>
        <v>107867.79608999999</v>
      </c>
      <c r="C30" s="8">
        <f>MGSLMTOD!D33</f>
        <v>107867.79608999999</v>
      </c>
      <c r="D30" s="8">
        <f>+C30-B30</f>
        <v>0</v>
      </c>
      <c r="E30" s="15">
        <f>+D30/B30</f>
        <v>0</v>
      </c>
    </row>
    <row r="31" spans="1:5">
      <c r="B31" s="8"/>
      <c r="C31" s="8"/>
      <c r="D31" s="8"/>
    </row>
    <row r="32" spans="1:5">
      <c r="A32" t="s">
        <v>171</v>
      </c>
      <c r="B32" s="8">
        <f>'PB Sum'!C32</f>
        <v>383288.60401999997</v>
      </c>
      <c r="C32" s="8">
        <f>MGSTOD!D33</f>
        <v>383288.60401999997</v>
      </c>
      <c r="D32" s="8">
        <f>+C32-B32</f>
        <v>0</v>
      </c>
      <c r="E32" s="15">
        <f>+D32/B32</f>
        <v>0</v>
      </c>
    </row>
    <row r="33" spans="1:5">
      <c r="B33" s="8"/>
      <c r="C33" s="8"/>
      <c r="D33" s="8"/>
    </row>
    <row r="34" spans="1:5">
      <c r="A34" t="s">
        <v>172</v>
      </c>
      <c r="B34" s="8">
        <f>'PB Sum'!C34</f>
        <v>841956.3957199998</v>
      </c>
      <c r="C34" s="8">
        <f>'MGS-PRI'!D38</f>
        <v>841956.3957199998</v>
      </c>
      <c r="D34" s="8">
        <f>+C34-B34</f>
        <v>0</v>
      </c>
      <c r="E34" s="15">
        <f>+D34/B34</f>
        <v>0</v>
      </c>
    </row>
    <row r="35" spans="1:5">
      <c r="B35" s="8"/>
      <c r="C35" s="8"/>
      <c r="D35" s="8"/>
    </row>
    <row r="36" spans="1:5">
      <c r="A36" t="s">
        <v>173</v>
      </c>
      <c r="B36" s="8">
        <f>'PB Sum'!C36</f>
        <v>174767.71650000001</v>
      </c>
      <c r="C36" s="8">
        <f>'MGS-SUB'!D37</f>
        <v>174767.71650000001</v>
      </c>
      <c r="D36" s="8">
        <f>+C36-B36</f>
        <v>0</v>
      </c>
      <c r="E36" s="15">
        <f>+D36/B36</f>
        <v>0</v>
      </c>
    </row>
    <row r="37" spans="1:5">
      <c r="B37" s="8"/>
      <c r="C37" s="8"/>
      <c r="D37" s="8"/>
    </row>
    <row r="38" spans="1:5">
      <c r="A38" t="s">
        <v>174</v>
      </c>
      <c r="B38" s="8">
        <f>'PB Sum'!C38</f>
        <v>56129059.339750007</v>
      </c>
      <c r="C38" s="8">
        <f>'LGS-SEC'!D34</f>
        <v>56129059.339750007</v>
      </c>
      <c r="D38" s="8">
        <f>+C38-B38</f>
        <v>0</v>
      </c>
      <c r="E38" s="15">
        <f>+D38/B38</f>
        <v>0</v>
      </c>
    </row>
    <row r="39" spans="1:5">
      <c r="B39" s="8"/>
      <c r="C39" s="8"/>
      <c r="D39" s="8"/>
    </row>
    <row r="40" spans="1:5">
      <c r="A40" t="s">
        <v>175</v>
      </c>
      <c r="B40" s="8">
        <f>'PB Sum'!C40</f>
        <v>196457.29399000003</v>
      </c>
      <c r="C40" s="8">
        <f>LGSLMTOD!D33</f>
        <v>196457.29399000003</v>
      </c>
      <c r="D40" s="8">
        <f>+C40-B40</f>
        <v>0</v>
      </c>
      <c r="E40" s="15">
        <f>+D40/B40</f>
        <v>0</v>
      </c>
    </row>
    <row r="41" spans="1:5">
      <c r="B41" s="8"/>
      <c r="C41" s="8"/>
      <c r="D41" s="8"/>
    </row>
    <row r="42" spans="1:5">
      <c r="A42" t="s">
        <v>183</v>
      </c>
      <c r="B42" s="8">
        <f>'PB Sum'!C42</f>
        <v>8598356.9705200009</v>
      </c>
      <c r="C42" s="8">
        <f>'LGS-PRI'!D34</f>
        <v>8598356.9705200009</v>
      </c>
      <c r="D42" s="8">
        <f>+C42-B42</f>
        <v>0</v>
      </c>
      <c r="E42" s="15">
        <f>+D42/B42</f>
        <v>0</v>
      </c>
    </row>
    <row r="43" spans="1:5">
      <c r="B43" s="8"/>
      <c r="C43" s="8"/>
      <c r="D43" s="8"/>
    </row>
    <row r="44" spans="1:5">
      <c r="A44" t="s">
        <v>176</v>
      </c>
      <c r="B44" s="8">
        <f>'PB Sum'!C44</f>
        <v>2377008.6157200001</v>
      </c>
      <c r="C44" s="8">
        <f>'LGS-SUB'!D34</f>
        <v>2377008.6157200001</v>
      </c>
      <c r="D44" s="8">
        <f>+C44-B44</f>
        <v>0</v>
      </c>
      <c r="E44" s="15">
        <f>+D44/B44</f>
        <v>0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'PB Sum'!C46</f>
        <v>164354.23875999995</v>
      </c>
      <c r="C46" s="8">
        <f>'LGS-TRAN'!D34</f>
        <v>164354.23875999995</v>
      </c>
      <c r="D46" s="8">
        <f>+C46-B46</f>
        <v>0</v>
      </c>
      <c r="E46" s="15">
        <f>+D46/B46</f>
        <v>0</v>
      </c>
    </row>
    <row r="47" spans="1:5">
      <c r="B47" s="8"/>
      <c r="C47" s="8"/>
      <c r="D47" s="8"/>
    </row>
    <row r="48" spans="1:5">
      <c r="A48" t="s">
        <v>269</v>
      </c>
      <c r="B48" s="8">
        <f>'PB Sum'!C48</f>
        <v>1898831.0455</v>
      </c>
      <c r="C48" s="8">
        <f>'QP-SEC'!D37</f>
        <v>1898831.0455</v>
      </c>
      <c r="D48" s="8">
        <f>+C48-B48</f>
        <v>0</v>
      </c>
      <c r="E48" s="15">
        <f>+D48/B48</f>
        <v>0</v>
      </c>
    </row>
    <row r="49" spans="1:5">
      <c r="B49" s="8"/>
      <c r="C49" s="8"/>
      <c r="D49" s="8"/>
    </row>
    <row r="50" spans="1:5">
      <c r="A50" t="s">
        <v>184</v>
      </c>
      <c r="B50" s="8">
        <f>'PB Sum'!C50</f>
        <v>25231061.84468</v>
      </c>
      <c r="C50" s="8">
        <f>'QP-PRI'!D39</f>
        <v>25231061.84468</v>
      </c>
      <c r="D50" s="8">
        <f>+C50-B50</f>
        <v>0</v>
      </c>
      <c r="E50" s="15">
        <f>+D50/B50</f>
        <v>0</v>
      </c>
    </row>
    <row r="51" spans="1:5">
      <c r="B51" s="8"/>
      <c r="C51" s="8"/>
      <c r="D51" s="8"/>
    </row>
    <row r="52" spans="1:5">
      <c r="A52" t="s">
        <v>177</v>
      </c>
      <c r="B52" s="8">
        <f>'PB Sum'!C52</f>
        <v>22926270.751729991</v>
      </c>
      <c r="C52" s="8">
        <f>'QP-SUB'!D37</f>
        <v>22926270.751729991</v>
      </c>
      <c r="D52" s="8">
        <f>+C52-B52</f>
        <v>0</v>
      </c>
      <c r="E52" s="15">
        <f>+D52/B52</f>
        <v>0</v>
      </c>
    </row>
    <row r="53" spans="1:5">
      <c r="B53" s="8"/>
      <c r="C53" s="8"/>
      <c r="D53" s="8"/>
    </row>
    <row r="54" spans="1:5">
      <c r="A54" t="s">
        <v>178</v>
      </c>
      <c r="B54" s="8">
        <f>'PB Sum'!C54</f>
        <v>2543285.3214400001</v>
      </c>
      <c r="C54" s="8">
        <f>'QP-TRAN'!D37</f>
        <v>2543285.3214400001</v>
      </c>
      <c r="D54" s="8">
        <f>+C54-B54</f>
        <v>0</v>
      </c>
      <c r="E54" s="15">
        <f>+D54/B54</f>
        <v>0</v>
      </c>
    </row>
    <row r="55" spans="1:5">
      <c r="B55" s="8"/>
      <c r="C55" s="8"/>
      <c r="D55" s="8"/>
      <c r="E55" s="15"/>
    </row>
    <row r="56" spans="1:5">
      <c r="A56" t="s">
        <v>179</v>
      </c>
      <c r="B56" s="8">
        <f>'PB Sum'!C56</f>
        <v>102505258.13445999</v>
      </c>
      <c r="C56" s="8">
        <f>'CIPTOD-SUB'!D40</f>
        <v>102505258.13445999</v>
      </c>
      <c r="D56" s="8">
        <f>+C56-B56</f>
        <v>0</v>
      </c>
      <c r="E56" s="15">
        <f>+D56/B56</f>
        <v>0</v>
      </c>
    </row>
    <row r="57" spans="1:5">
      <c r="B57" s="8"/>
      <c r="C57" s="8"/>
      <c r="D57" s="8"/>
    </row>
    <row r="58" spans="1:5">
      <c r="A58" t="s">
        <v>180</v>
      </c>
      <c r="B58" s="8">
        <f>'PB Sum'!C58</f>
        <v>19189779.524799995</v>
      </c>
      <c r="C58" s="8">
        <f>'CIPTOD-TRAN'!D39</f>
        <v>19189779.524799995</v>
      </c>
      <c r="D58" s="8">
        <f>+C58-B58</f>
        <v>0</v>
      </c>
      <c r="E58" s="15">
        <f>+D58/B58</f>
        <v>0</v>
      </c>
    </row>
    <row r="59" spans="1:5">
      <c r="B59" s="8"/>
      <c r="C59" s="8"/>
      <c r="D59" s="8"/>
      <c r="E59" s="15"/>
    </row>
    <row r="60" spans="1:5">
      <c r="A60" t="s">
        <v>181</v>
      </c>
      <c r="B60" s="8">
        <f>'PB Sum'!C60</f>
        <v>1437808.0145</v>
      </c>
      <c r="C60" s="8">
        <f>SL!D43</f>
        <v>1437808.0145</v>
      </c>
      <c r="D60" s="8">
        <f>+C60-B60</f>
        <v>0</v>
      </c>
      <c r="E60" s="15">
        <f>+D60/B60</f>
        <v>0</v>
      </c>
    </row>
    <row r="61" spans="1:5">
      <c r="B61" s="8"/>
      <c r="C61" s="8"/>
      <c r="D61" s="8"/>
    </row>
    <row r="62" spans="1:5">
      <c r="A62" t="s">
        <v>182</v>
      </c>
      <c r="B62" s="8">
        <f>'PB Sum'!C62</f>
        <v>361824.73699999996</v>
      </c>
      <c r="C62" s="8">
        <f>MW!D33</f>
        <v>361824.73699999996</v>
      </c>
      <c r="D62" s="8">
        <f>+C62-B62</f>
        <v>0</v>
      </c>
      <c r="E62" s="15">
        <f>+D62/B62</f>
        <v>0</v>
      </c>
    </row>
    <row r="63" spans="1:5">
      <c r="B63" s="8"/>
      <c r="C63" s="8"/>
    </row>
    <row r="64" spans="1:5">
      <c r="A64" t="s">
        <v>18</v>
      </c>
      <c r="B64" s="8">
        <f>SUM(B10:B62)</f>
        <v>563895531.31868351</v>
      </c>
      <c r="C64" s="8">
        <f>SUM(C10:C62)</f>
        <v>563895531.31868351</v>
      </c>
      <c r="D64" s="8">
        <f>SUM(D10:D62)</f>
        <v>0</v>
      </c>
      <c r="E64" s="15">
        <f>+D64/B64</f>
        <v>0</v>
      </c>
    </row>
  </sheetData>
  <phoneticPr fontId="0" type="noConversion"/>
  <printOptions horizontalCentered="1"/>
  <pageMargins left="0.25" right="0.25" top="0.75" bottom="0.75" header="0.3" footer="0.3"/>
  <pageSetup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61" workbookViewId="0">
      <selection activeCell="B67" sqref="B67:C71"/>
    </sheetView>
  </sheetViews>
  <sheetFormatPr defaultRowHeight="12.75"/>
  <cols>
    <col min="1" max="1" width="19" customWidth="1"/>
    <col min="2" max="2" width="21.85546875" customWidth="1"/>
    <col min="3" max="3" width="16.85546875" customWidth="1"/>
    <col min="4" max="4" width="16" bestFit="1" customWidth="1"/>
    <col min="5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247</v>
      </c>
    </row>
    <row r="6" spans="1:5">
      <c r="A6" s="1"/>
      <c r="B6" s="1" t="s">
        <v>6</v>
      </c>
      <c r="C6" s="1" t="s">
        <v>6</v>
      </c>
      <c r="D6" s="1"/>
      <c r="E6" s="1"/>
    </row>
    <row r="7" spans="1:5">
      <c r="A7" s="1"/>
      <c r="B7" s="1" t="s">
        <v>248</v>
      </c>
      <c r="C7" s="1" t="s">
        <v>248</v>
      </c>
      <c r="D7" s="1"/>
      <c r="E7" s="1" t="s">
        <v>159</v>
      </c>
    </row>
    <row r="8" spans="1:5">
      <c r="A8" s="3" t="s">
        <v>2</v>
      </c>
      <c r="B8" s="3" t="s">
        <v>287</v>
      </c>
      <c r="C8" s="3" t="s">
        <v>205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'PB - Green'!C10</f>
        <v>234174671.02451357</v>
      </c>
      <c r="C10" s="8">
        <f>RS!F39</f>
        <v>233237560.75451356</v>
      </c>
      <c r="D10" s="8">
        <f>+C10-B10</f>
        <v>-937110.27000001073</v>
      </c>
      <c r="E10" s="15">
        <f>+D10/B10</f>
        <v>-4.0017576021358576E-3</v>
      </c>
    </row>
    <row r="11" spans="1:5">
      <c r="B11" s="8"/>
      <c r="C11" s="8"/>
      <c r="D11" s="8"/>
    </row>
    <row r="12" spans="1:5">
      <c r="A12" t="s">
        <v>164</v>
      </c>
      <c r="B12" s="8">
        <f>'PB - Green'!C12</f>
        <v>398122.93822999997</v>
      </c>
      <c r="C12" s="8">
        <f>RSLMTOD!E40</f>
        <v>396347.75822999998</v>
      </c>
      <c r="D12" s="8">
        <f>+C12-B12</f>
        <v>-1775.179999999993</v>
      </c>
      <c r="E12" s="15">
        <f>+D12/B12</f>
        <v>-4.4588739545935235E-3</v>
      </c>
    </row>
    <row r="13" spans="1:5">
      <c r="B13" s="8"/>
      <c r="C13" s="8"/>
      <c r="D13" s="8"/>
    </row>
    <row r="14" spans="1:5">
      <c r="A14" t="s">
        <v>270</v>
      </c>
      <c r="B14" s="8">
        <f>'PB - Green'!C14</f>
        <v>4355.557350000001</v>
      </c>
      <c r="C14" s="8">
        <f>RSTOD!E35</f>
        <v>4336.6273500000007</v>
      </c>
      <c r="D14" s="8">
        <f>+C14-B14</f>
        <v>-18.930000000000291</v>
      </c>
      <c r="E14" s="15">
        <f>+D14/B14</f>
        <v>-4.3461716788094377E-3</v>
      </c>
    </row>
    <row r="15" spans="1:5">
      <c r="B15" s="8"/>
      <c r="C15" s="8"/>
      <c r="D15" s="8"/>
    </row>
    <row r="16" spans="1:5">
      <c r="A16" t="s">
        <v>165</v>
      </c>
      <c r="B16" s="8">
        <f>'PB - Green'!C16</f>
        <v>7991784.5985000022</v>
      </c>
      <c r="C16" s="8">
        <f>OL!E60</f>
        <v>7972484.7685000021</v>
      </c>
      <c r="D16" s="8">
        <f>+C16-B16</f>
        <v>-19299.830000000075</v>
      </c>
      <c r="E16" s="15">
        <f>+D16/B16</f>
        <v>-2.4149587319486198E-3</v>
      </c>
    </row>
    <row r="17" spans="1:5">
      <c r="B17" s="8"/>
      <c r="C17" s="8"/>
      <c r="D17" s="8"/>
    </row>
    <row r="18" spans="1:5">
      <c r="A18" t="s">
        <v>166</v>
      </c>
      <c r="B18" s="8">
        <f>'PB - Green'!C18</f>
        <v>18612752.237580001</v>
      </c>
      <c r="C18" s="8">
        <f>SGS!E32</f>
        <v>18559651.877580002</v>
      </c>
      <c r="D18" s="8">
        <f>+C18-B18</f>
        <v>-53100.359999999404</v>
      </c>
      <c r="E18" s="15">
        <f>+D18/B18</f>
        <v>-2.8529021029349618E-3</v>
      </c>
    </row>
    <row r="19" spans="1:5">
      <c r="B19" s="8"/>
      <c r="C19" s="8"/>
      <c r="D19" s="8"/>
    </row>
    <row r="20" spans="1:5">
      <c r="A20" t="s">
        <v>331</v>
      </c>
      <c r="B20" s="8">
        <f>'PB - Green'!C20</f>
        <v>535.31295999999998</v>
      </c>
      <c r="C20" s="8">
        <f>SGSLMTOD!E33</f>
        <v>534.42295999999999</v>
      </c>
      <c r="D20" s="8">
        <f>+C20-B20</f>
        <v>-0.88999999999998636</v>
      </c>
      <c r="E20" s="15">
        <f>+D20/B20</f>
        <v>-1.662578839862174E-3</v>
      </c>
    </row>
    <row r="21" spans="1:5">
      <c r="B21" s="8"/>
      <c r="C21" s="8"/>
      <c r="D21" s="8"/>
    </row>
    <row r="22" spans="1:5">
      <c r="A22" t="s">
        <v>167</v>
      </c>
      <c r="B22" s="8">
        <f>'PB - Green'!C22</f>
        <v>636368.30420000013</v>
      </c>
      <c r="C22" s="8">
        <f>'SGS-NM'!E32</f>
        <v>634926.54420000012</v>
      </c>
      <c r="D22" s="8">
        <f>+C22-B22</f>
        <v>-1441.7600000000093</v>
      </c>
      <c r="E22" s="15">
        <f>+D22/B22</f>
        <v>-2.2656062385327221E-3</v>
      </c>
    </row>
    <row r="23" spans="1:5">
      <c r="B23" s="8"/>
      <c r="C23" s="8"/>
      <c r="D23" s="8"/>
      <c r="E23" s="15"/>
    </row>
    <row r="24" spans="1:5">
      <c r="A24" t="s">
        <v>345</v>
      </c>
      <c r="B24" s="69">
        <f>'PB - Green'!C24</f>
        <v>54712.121209999998</v>
      </c>
      <c r="C24" s="8">
        <f>+'SGS TOD2'!E33</f>
        <v>54575.721209999996</v>
      </c>
      <c r="D24" s="8">
        <f>+C24-B24</f>
        <v>-136.40000000000146</v>
      </c>
      <c r="E24" s="15">
        <f>+D24/B24</f>
        <v>-2.4930490169895107E-3</v>
      </c>
    </row>
    <row r="25" spans="1:5">
      <c r="B25" s="8"/>
      <c r="C25" s="8"/>
      <c r="D25" s="8"/>
    </row>
    <row r="26" spans="1:5">
      <c r="A26" t="s">
        <v>168</v>
      </c>
      <c r="B26" s="8">
        <f>'PB - Green'!C26</f>
        <v>176304.35623999999</v>
      </c>
      <c r="C26" s="8">
        <f>'MGS-RL'!E32</f>
        <v>175716.92624</v>
      </c>
      <c r="D26" s="8">
        <f>+C26-B26</f>
        <v>-587.42999999999302</v>
      </c>
      <c r="E26" s="15">
        <f>+D26/B26</f>
        <v>-3.3319085956125495E-3</v>
      </c>
    </row>
    <row r="27" spans="1:5">
      <c r="B27" s="8"/>
      <c r="C27" s="8"/>
      <c r="D27" s="8"/>
    </row>
    <row r="28" spans="1:5">
      <c r="A28" t="s">
        <v>169</v>
      </c>
      <c r="B28" s="8">
        <f>'PB - Green'!C28</f>
        <v>56778688.522719994</v>
      </c>
      <c r="C28" s="8">
        <f>'MGS-SEC'!E37</f>
        <v>56601476.102719992</v>
      </c>
      <c r="D28" s="8">
        <f>+C28-B28</f>
        <v>-177212.42000000179</v>
      </c>
      <c r="E28" s="15">
        <f>+D28/B28</f>
        <v>-3.1211080180038016E-3</v>
      </c>
    </row>
    <row r="29" spans="1:5">
      <c r="B29" s="8"/>
      <c r="C29" s="8"/>
      <c r="D29" s="8"/>
    </row>
    <row r="30" spans="1:5">
      <c r="A30" t="s">
        <v>170</v>
      </c>
      <c r="B30" s="8">
        <f>'PB - Green'!C30</f>
        <v>107867.79608999999</v>
      </c>
      <c r="C30" s="8">
        <f>MGSLMTOD!E33</f>
        <v>107442.11609</v>
      </c>
      <c r="D30" s="8">
        <f>+C30-B30</f>
        <v>-425.67999999999302</v>
      </c>
      <c r="E30" s="15">
        <f>+D30/B30</f>
        <v>-3.9463122028081943E-3</v>
      </c>
    </row>
    <row r="31" spans="1:5">
      <c r="B31" s="8"/>
      <c r="C31" s="8"/>
      <c r="D31" s="8"/>
    </row>
    <row r="32" spans="1:5">
      <c r="A32" t="s">
        <v>171</v>
      </c>
      <c r="B32" s="8">
        <f>'PB - Green'!C32</f>
        <v>383288.60401999997</v>
      </c>
      <c r="C32" s="8">
        <f>MGSTOD!E33</f>
        <v>381887.90401999996</v>
      </c>
      <c r="D32" s="8">
        <f>+C32-B32</f>
        <v>-1400.7000000000116</v>
      </c>
      <c r="E32" s="15">
        <f>+D32/B32</f>
        <v>-3.6544264173503141E-3</v>
      </c>
    </row>
    <row r="33" spans="1:5">
      <c r="B33" s="8"/>
      <c r="C33" s="8"/>
      <c r="D33" s="8"/>
    </row>
    <row r="34" spans="1:5">
      <c r="A34" t="s">
        <v>172</v>
      </c>
      <c r="B34" s="8">
        <f>'PB - Green'!C34</f>
        <v>841956.3957199998</v>
      </c>
      <c r="C34" s="8">
        <f>'MGS-PRI'!E38</f>
        <v>839254.13571999979</v>
      </c>
      <c r="D34" s="8">
        <f>+C34-B34</f>
        <v>-2702.2600000000093</v>
      </c>
      <c r="E34" s="15">
        <f>+D34/B34</f>
        <v>-3.2095011258738274E-3</v>
      </c>
    </row>
    <row r="35" spans="1:5">
      <c r="B35" s="8"/>
      <c r="C35" s="8"/>
      <c r="D35" s="8"/>
    </row>
    <row r="36" spans="1:5">
      <c r="A36" t="s">
        <v>173</v>
      </c>
      <c r="B36" s="8">
        <f>'PB - Green'!C36</f>
        <v>174767.71650000001</v>
      </c>
      <c r="C36" s="8">
        <f>'MGS-SUB'!E37</f>
        <v>174336.02650000001</v>
      </c>
      <c r="D36" s="8">
        <f>+C36-B36</f>
        <v>-431.69000000000233</v>
      </c>
      <c r="E36" s="15">
        <f>+D36/B36</f>
        <v>-2.4700786200408031E-3</v>
      </c>
    </row>
    <row r="37" spans="1:5">
      <c r="B37" s="8"/>
      <c r="C37" s="8"/>
      <c r="D37" s="8"/>
    </row>
    <row r="38" spans="1:5">
      <c r="A38" t="s">
        <v>174</v>
      </c>
      <c r="B38" s="8">
        <f>'PB - Green'!C38</f>
        <v>56129059.339750007</v>
      </c>
      <c r="C38" s="8">
        <f>'LGS-SEC'!E34</f>
        <v>55930143.979750007</v>
      </c>
      <c r="D38" s="8">
        <f>+C38-B38</f>
        <v>-198915.3599999994</v>
      </c>
      <c r="E38" s="15">
        <f>+D38/B38</f>
        <v>-3.5438926349355307E-3</v>
      </c>
    </row>
    <row r="39" spans="1:5">
      <c r="B39" s="8"/>
      <c r="C39" s="8"/>
      <c r="D39" s="8"/>
    </row>
    <row r="40" spans="1:5">
      <c r="A40" t="s">
        <v>175</v>
      </c>
      <c r="B40" s="8">
        <f>'PB - Green'!C40</f>
        <v>196457.29399000003</v>
      </c>
      <c r="C40" s="8">
        <f>LGSLMTOD!E33</f>
        <v>195692.34399000002</v>
      </c>
      <c r="D40" s="8">
        <f>+C40-B40</f>
        <v>-764.95000000001164</v>
      </c>
      <c r="E40" s="15">
        <f>+D40/B40</f>
        <v>-3.893721553748718E-3</v>
      </c>
    </row>
    <row r="41" spans="1:5">
      <c r="B41" s="8"/>
      <c r="C41" s="8"/>
      <c r="D41" s="8"/>
    </row>
    <row r="42" spans="1:5">
      <c r="A42" t="s">
        <v>183</v>
      </c>
      <c r="B42" s="8">
        <f>'PB - Green'!C42</f>
        <v>8598356.9705200009</v>
      </c>
      <c r="C42" s="8">
        <f>'LGS-PRI'!E34</f>
        <v>8563057.2905200012</v>
      </c>
      <c r="D42" s="8">
        <f>+C42-B42</f>
        <v>-35299.679999999702</v>
      </c>
      <c r="E42" s="15">
        <f>+D42/B42</f>
        <v>-4.1053982895833284E-3</v>
      </c>
    </row>
    <row r="43" spans="1:5">
      <c r="B43" s="8"/>
      <c r="C43" s="8"/>
      <c r="D43" s="8"/>
    </row>
    <row r="44" spans="1:5">
      <c r="A44" t="s">
        <v>176</v>
      </c>
      <c r="B44" s="8">
        <f>'PB - Green'!C44</f>
        <v>2377008.6157200001</v>
      </c>
      <c r="C44" s="8">
        <f>'LGS-SUB'!E34</f>
        <v>2364771.51572</v>
      </c>
      <c r="D44" s="8">
        <f>+C44-B44</f>
        <v>-12237.100000000093</v>
      </c>
      <c r="E44" s="15">
        <f>+D44/B44</f>
        <v>-5.1481092323653419E-3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'PB - Green'!C46</f>
        <v>164354.23875999995</v>
      </c>
      <c r="C46" s="8">
        <f>'LGS-TRAN'!E34</f>
        <v>163124.82875999995</v>
      </c>
      <c r="D46" s="8">
        <f>+C46-B46</f>
        <v>-1229.4100000000035</v>
      </c>
      <c r="E46" s="15">
        <f>+D46/B46</f>
        <v>-7.4802451660237537E-3</v>
      </c>
    </row>
    <row r="47" spans="1:5">
      <c r="B47" s="8"/>
      <c r="C47" s="8"/>
      <c r="D47" s="8"/>
    </row>
    <row r="48" spans="1:5">
      <c r="A48" t="s">
        <v>269</v>
      </c>
      <c r="B48" s="8">
        <f>'PB - Green'!C48</f>
        <v>1898831.0455</v>
      </c>
      <c r="C48" s="8">
        <f>'QP-SEC'!E37</f>
        <v>1893713.1854999999</v>
      </c>
      <c r="D48" s="8">
        <f>+C48-B48</f>
        <v>-5117.8600000001024</v>
      </c>
      <c r="E48" s="15">
        <f>+D48/B48</f>
        <v>-2.6952687613407268E-3</v>
      </c>
    </row>
    <row r="49" spans="1:5">
      <c r="B49" s="8"/>
      <c r="C49" s="8"/>
      <c r="D49" s="8"/>
    </row>
    <row r="50" spans="1:5">
      <c r="A50" t="s">
        <v>184</v>
      </c>
      <c r="B50" s="8">
        <f>'PB - Green'!C50</f>
        <v>25231061.84468</v>
      </c>
      <c r="C50" s="8">
        <f>'QP-PRI'!E39</f>
        <v>25115669.09468</v>
      </c>
      <c r="D50" s="8">
        <f>+C50-B50</f>
        <v>-115392.75</v>
      </c>
      <c r="E50" s="15">
        <f>+D50/B50</f>
        <v>-4.5734400997606327E-3</v>
      </c>
    </row>
    <row r="51" spans="1:5">
      <c r="B51" s="8"/>
      <c r="C51" s="8"/>
      <c r="D51" s="8"/>
    </row>
    <row r="52" spans="1:5">
      <c r="A52" t="s">
        <v>177</v>
      </c>
      <c r="B52" s="8">
        <f>'PB - Green'!C52</f>
        <v>22926270.751729991</v>
      </c>
      <c r="C52" s="8">
        <f>'QP-SUB'!E37</f>
        <v>22804382.671729993</v>
      </c>
      <c r="D52" s="8">
        <f>+C52-B52</f>
        <v>-121888.07999999821</v>
      </c>
      <c r="E52" s="15">
        <f>+D52/B52</f>
        <v>-5.3165244936663183E-3</v>
      </c>
    </row>
    <row r="53" spans="1:5">
      <c r="B53" s="8"/>
      <c r="C53" s="8"/>
      <c r="D53" s="8"/>
    </row>
    <row r="54" spans="1:5">
      <c r="A54" t="s">
        <v>178</v>
      </c>
      <c r="B54" s="8">
        <f>'PB - Green'!C54</f>
        <v>2543285.3214400001</v>
      </c>
      <c r="C54" s="8">
        <f>'QP-TRAN'!E37</f>
        <v>2539321.5414400003</v>
      </c>
      <c r="D54" s="8">
        <f>+C54-B54</f>
        <v>-3963.7799999997951</v>
      </c>
      <c r="E54" s="15">
        <f>+D54/B54</f>
        <v>-1.558527455250485E-3</v>
      </c>
    </row>
    <row r="55" spans="1:5">
      <c r="B55" s="8"/>
      <c r="C55" s="8"/>
      <c r="D55" s="8"/>
      <c r="E55" s="15"/>
    </row>
    <row r="56" spans="1:5">
      <c r="A56" t="s">
        <v>179</v>
      </c>
      <c r="B56" s="8">
        <f>'PB - Green'!C56</f>
        <v>102505258.13445999</v>
      </c>
      <c r="C56" s="8">
        <f>'CIPTOD-SUB'!E40</f>
        <v>101851584.35445999</v>
      </c>
      <c r="D56" s="8">
        <f>+C56-B56</f>
        <v>-653673.78000000119</v>
      </c>
      <c r="E56" s="15">
        <f>+D56/B56</f>
        <v>-6.3769780389465762E-3</v>
      </c>
    </row>
    <row r="57" spans="1:5">
      <c r="B57" s="8"/>
      <c r="C57" s="8"/>
      <c r="D57" s="8"/>
    </row>
    <row r="58" spans="1:5">
      <c r="A58" t="s">
        <v>180</v>
      </c>
      <c r="B58" s="8">
        <f>'PB - Green'!C58</f>
        <v>19189779.524799995</v>
      </c>
      <c r="C58" s="8">
        <f>'CIPTOD-TRAN'!E39</f>
        <v>19053619.914799996</v>
      </c>
      <c r="D58" s="8">
        <f>+C58-B58</f>
        <v>-136159.6099999994</v>
      </c>
      <c r="E58" s="15">
        <f>+D58/B58</f>
        <v>-7.0954233645067642E-3</v>
      </c>
    </row>
    <row r="59" spans="1:5">
      <c r="B59" s="8"/>
      <c r="C59" s="8"/>
      <c r="D59" s="8"/>
      <c r="E59" s="15"/>
    </row>
    <row r="60" spans="1:5">
      <c r="A60" t="s">
        <v>181</v>
      </c>
      <c r="B60" s="8">
        <f>'PB - Green'!C60</f>
        <v>1437808.0145</v>
      </c>
      <c r="C60" s="8">
        <f>SL!E43</f>
        <v>1434027.3145000001</v>
      </c>
      <c r="D60" s="8">
        <f>+C60-B60</f>
        <v>-3780.6999999999534</v>
      </c>
      <c r="E60" s="15">
        <f>+D60/B60</f>
        <v>-2.6294887508432046E-3</v>
      </c>
    </row>
    <row r="61" spans="1:5">
      <c r="B61" s="8"/>
      <c r="C61" s="8"/>
      <c r="D61" s="8"/>
    </row>
    <row r="62" spans="1:5">
      <c r="A62" t="s">
        <v>182</v>
      </c>
      <c r="B62" s="8">
        <f>'PB - Green'!C62</f>
        <v>361824.73699999996</v>
      </c>
      <c r="C62" s="8">
        <f>MW!E33</f>
        <v>360423.32699999999</v>
      </c>
      <c r="D62" s="8">
        <f>+C62-B62</f>
        <v>-1401.4099999999744</v>
      </c>
      <c r="E62" s="15">
        <f>+D62/B62</f>
        <v>-3.8731735470037098E-3</v>
      </c>
    </row>
    <row r="63" spans="1:5">
      <c r="B63" s="8"/>
      <c r="C63" s="8"/>
    </row>
    <row r="64" spans="1:5">
      <c r="A64" t="s">
        <v>18</v>
      </c>
      <c r="B64" s="8">
        <f>SUM(B10:B62)</f>
        <v>563895531.31868351</v>
      </c>
      <c r="C64" s="8">
        <f>SUM(C10:C62)</f>
        <v>561410063.04868376</v>
      </c>
      <c r="D64" s="109">
        <f>SUM(D10:D62)</f>
        <v>-2485468.2700000098</v>
      </c>
      <c r="E64" s="15">
        <f>+D64/B64</f>
        <v>-4.4076750602858681E-3</v>
      </c>
    </row>
    <row r="66" spans="1:4">
      <c r="A66" t="s">
        <v>419</v>
      </c>
      <c r="D66" s="8"/>
    </row>
    <row r="67" spans="1:4">
      <c r="A67" s="9" t="s">
        <v>352</v>
      </c>
      <c r="B67" s="92"/>
      <c r="C67" s="92"/>
      <c r="D67" s="8">
        <f>-'B&amp;A Surcharges'!D61</f>
        <v>-1084.55</v>
      </c>
    </row>
    <row r="69" spans="1:4">
      <c r="A69" s="9" t="s">
        <v>353</v>
      </c>
      <c r="B69" s="92"/>
      <c r="C69" s="92"/>
      <c r="D69" s="8">
        <f>-'B&amp;A Surcharges'!D63</f>
        <v>-252.83</v>
      </c>
    </row>
    <row r="71" spans="1:4" ht="13.5" thickBot="1">
      <c r="A71" s="9" t="s">
        <v>418</v>
      </c>
      <c r="B71" s="92"/>
      <c r="C71" s="92"/>
      <c r="D71" s="110">
        <f>+D64+D67+D69</f>
        <v>-2486805.6500000097</v>
      </c>
    </row>
    <row r="72" spans="1:4" ht="13.5" thickTop="1"/>
  </sheetData>
  <phoneticPr fontId="0" type="noConversion"/>
  <printOptions horizontalCentered="1"/>
  <pageMargins left="0.25" right="0.25" top="0.75" bottom="0.75" header="0.3" footer="0.3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58" workbookViewId="0">
      <selection activeCell="B67" sqref="B67:C71"/>
    </sheetView>
  </sheetViews>
  <sheetFormatPr defaultRowHeight="12.75"/>
  <cols>
    <col min="1" max="1" width="19" customWidth="1"/>
    <col min="2" max="2" width="21.85546875" customWidth="1"/>
    <col min="3" max="3" width="16.85546875" customWidth="1"/>
    <col min="4" max="4" width="16" bestFit="1" customWidth="1"/>
    <col min="5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t="s">
        <v>272</v>
      </c>
    </row>
    <row r="6" spans="1:5">
      <c r="A6" s="1"/>
      <c r="B6" s="1" t="s">
        <v>6</v>
      </c>
      <c r="C6" s="1" t="s">
        <v>6</v>
      </c>
      <c r="D6" s="1"/>
      <c r="E6" s="1"/>
    </row>
    <row r="7" spans="1:5">
      <c r="A7" s="1"/>
      <c r="B7" s="1" t="s">
        <v>248</v>
      </c>
      <c r="C7" s="1" t="s">
        <v>248</v>
      </c>
      <c r="D7" s="1"/>
      <c r="E7" s="1" t="s">
        <v>159</v>
      </c>
    </row>
    <row r="8" spans="1:5">
      <c r="A8" s="3" t="s">
        <v>2</v>
      </c>
      <c r="B8" s="3" t="s">
        <v>205</v>
      </c>
      <c r="C8" s="3" t="s">
        <v>271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'PB - SS'!C10</f>
        <v>233237560.75451356</v>
      </c>
      <c r="C10" s="8">
        <f>RS!G39</f>
        <v>230972115.69451356</v>
      </c>
      <c r="D10" s="8">
        <f>+C10-B10</f>
        <v>-2265445.0600000024</v>
      </c>
      <c r="E10" s="15">
        <f>+D10/B10</f>
        <v>-9.7130370111545676E-3</v>
      </c>
    </row>
    <row r="11" spans="1:5">
      <c r="B11" s="8"/>
      <c r="C11" s="8"/>
      <c r="D11" s="8"/>
    </row>
    <row r="12" spans="1:5">
      <c r="A12" t="s">
        <v>164</v>
      </c>
      <c r="B12" s="8">
        <f>'PB - SS'!C12</f>
        <v>396347.75822999998</v>
      </c>
      <c r="C12" s="8">
        <f>RSLMTOD!F40</f>
        <v>392094.23822999996</v>
      </c>
      <c r="D12" s="8">
        <f>+C12-B12</f>
        <v>-4253.5200000000186</v>
      </c>
      <c r="E12" s="15">
        <f>+D12/B12</f>
        <v>-1.0731787708337959E-2</v>
      </c>
    </row>
    <row r="13" spans="1:5">
      <c r="B13" s="8"/>
      <c r="C13" s="8"/>
      <c r="D13" s="8"/>
    </row>
    <row r="14" spans="1:5">
      <c r="A14" t="s">
        <v>270</v>
      </c>
      <c r="B14" s="8">
        <f>'PB - SS'!C14</f>
        <v>4336.6273500000007</v>
      </c>
      <c r="C14" s="8">
        <f>RSTOD!F35</f>
        <v>4291.5473500000007</v>
      </c>
      <c r="D14" s="8">
        <f>+C14-B14</f>
        <v>-45.079999999999927</v>
      </c>
      <c r="E14" s="15">
        <f>+D14/B14</f>
        <v>-1.0395174950875113E-2</v>
      </c>
    </row>
    <row r="15" spans="1:5">
      <c r="B15" s="8"/>
      <c r="C15" s="8"/>
      <c r="D15" s="8"/>
    </row>
    <row r="16" spans="1:5">
      <c r="A16" t="s">
        <v>165</v>
      </c>
      <c r="B16" s="8">
        <f>'PB - SS'!C16</f>
        <v>7972484.7685000021</v>
      </c>
      <c r="C16" s="8">
        <f>OL!F60</f>
        <v>7931108.5385000017</v>
      </c>
      <c r="D16" s="8">
        <f>+C16-B16</f>
        <v>-41376.230000000447</v>
      </c>
      <c r="E16" s="15">
        <f>+D16/B16</f>
        <v>-5.1898788397165231E-3</v>
      </c>
    </row>
    <row r="17" spans="1:5">
      <c r="B17" s="8"/>
      <c r="C17" s="8"/>
      <c r="D17" s="8"/>
    </row>
    <row r="18" spans="1:5">
      <c r="A18" t="s">
        <v>166</v>
      </c>
      <c r="B18" s="8">
        <f>'PB - SS'!C18</f>
        <v>18559651.877580002</v>
      </c>
      <c r="C18" s="8">
        <f>SGS!F32</f>
        <v>18423857.787579998</v>
      </c>
      <c r="D18" s="8">
        <f>+C18-B18</f>
        <v>-135794.09000000358</v>
      </c>
      <c r="E18" s="15">
        <f>+D18/B18</f>
        <v>-7.3166291531600539E-3</v>
      </c>
    </row>
    <row r="19" spans="1:5">
      <c r="B19" s="8"/>
      <c r="C19" s="8"/>
      <c r="D19" s="8"/>
    </row>
    <row r="20" spans="1:5">
      <c r="A20" t="s">
        <v>331</v>
      </c>
      <c r="B20" s="8">
        <f>'PB - SS'!C20</f>
        <v>534.42295999999999</v>
      </c>
      <c r="C20" s="8">
        <f>SGSLMTOD!F33</f>
        <v>531.51296000000002</v>
      </c>
      <c r="D20" s="8">
        <f>+C20-B20</f>
        <v>-2.9099999999999682</v>
      </c>
      <c r="E20" s="15">
        <f>+D20/B20</f>
        <v>-5.4451253366808346E-3</v>
      </c>
    </row>
    <row r="21" spans="1:5">
      <c r="B21" s="8"/>
      <c r="C21" s="8"/>
      <c r="D21" s="8"/>
    </row>
    <row r="22" spans="1:5">
      <c r="A22" t="s">
        <v>167</v>
      </c>
      <c r="B22" s="8">
        <f>'PB - SS'!C22</f>
        <v>634926.54420000012</v>
      </c>
      <c r="C22" s="8">
        <f>'SGS-NM'!F32</f>
        <v>631084.12420000008</v>
      </c>
      <c r="D22" s="8">
        <f>+C22-B22</f>
        <v>-3842.4200000000419</v>
      </c>
      <c r="E22" s="15">
        <f>+D22/B22</f>
        <v>-6.0517551756186939E-3</v>
      </c>
    </row>
    <row r="23" spans="1:5">
      <c r="B23" s="8"/>
      <c r="C23" s="8"/>
      <c r="D23" s="8"/>
      <c r="E23" s="15"/>
    </row>
    <row r="24" spans="1:5">
      <c r="A24" t="s">
        <v>345</v>
      </c>
      <c r="B24" s="8">
        <f>'PB - SS'!C24</f>
        <v>54575.721209999996</v>
      </c>
      <c r="C24" s="8">
        <f>+'SGS TOD2'!F33</f>
        <v>54217.061209999993</v>
      </c>
      <c r="D24" s="8">
        <f>+C24-B24</f>
        <v>-358.66000000000349</v>
      </c>
      <c r="E24" s="15">
        <f>+D24/B24</f>
        <v>-6.5717867221566952E-3</v>
      </c>
    </row>
    <row r="25" spans="1:5">
      <c r="B25" s="8"/>
      <c r="C25" s="8"/>
      <c r="D25" s="8"/>
    </row>
    <row r="26" spans="1:5">
      <c r="A26" t="s">
        <v>168</v>
      </c>
      <c r="B26" s="8">
        <f>'PB - SS'!C26</f>
        <v>175716.92624</v>
      </c>
      <c r="C26" s="8">
        <f>'MGS-RL'!F32</f>
        <v>174143.11624</v>
      </c>
      <c r="D26" s="8">
        <f>+C26-B26</f>
        <v>-1573.8099999999977</v>
      </c>
      <c r="E26" s="15">
        <f>+D26/B26</f>
        <v>-8.9565076835593851E-3</v>
      </c>
    </row>
    <row r="27" spans="1:5">
      <c r="B27" s="8"/>
      <c r="C27" s="8"/>
      <c r="D27" s="8"/>
    </row>
    <row r="28" spans="1:5">
      <c r="A28" t="s">
        <v>169</v>
      </c>
      <c r="B28" s="8">
        <f>'PB - SS'!C28</f>
        <v>56601476.102719992</v>
      </c>
      <c r="C28" s="8">
        <f>'MGS-SEC'!F37</f>
        <v>56121038.122719996</v>
      </c>
      <c r="D28" s="8">
        <f>+C28-B28</f>
        <v>-480437.97999999672</v>
      </c>
      <c r="E28" s="15">
        <f>+D28/B28</f>
        <v>-8.4880821681770444E-3</v>
      </c>
    </row>
    <row r="29" spans="1:5">
      <c r="B29" s="8"/>
      <c r="C29" s="8"/>
      <c r="D29" s="8"/>
    </row>
    <row r="30" spans="1:5">
      <c r="A30" t="s">
        <v>170</v>
      </c>
      <c r="B30" s="8">
        <f>'PB - SS'!C30</f>
        <v>107442.11609</v>
      </c>
      <c r="C30" s="8">
        <f>MGSLMTOD!F33</f>
        <v>106413.20608999999</v>
      </c>
      <c r="D30" s="8">
        <f>+C30-B30</f>
        <v>-1028.9100000000035</v>
      </c>
      <c r="E30" s="15">
        <f>+D30/B30</f>
        <v>-9.5764122808054755E-3</v>
      </c>
    </row>
    <row r="31" spans="1:5">
      <c r="B31" s="8"/>
      <c r="C31" s="8"/>
      <c r="D31" s="8"/>
    </row>
    <row r="32" spans="1:5">
      <c r="A32" t="s">
        <v>171</v>
      </c>
      <c r="B32" s="8">
        <f>'PB - SS'!C32</f>
        <v>381887.90401999996</v>
      </c>
      <c r="C32" s="8">
        <f>MGSTOD!F33</f>
        <v>378176.52401999995</v>
      </c>
      <c r="D32" s="8">
        <f>+C32-B32</f>
        <v>-3711.3800000000047</v>
      </c>
      <c r="E32" s="15">
        <f>+D32/B32</f>
        <v>-9.7185062970877312E-3</v>
      </c>
    </row>
    <row r="33" spans="1:5">
      <c r="B33" s="8"/>
      <c r="C33" s="8"/>
      <c r="D33" s="8"/>
    </row>
    <row r="34" spans="1:5">
      <c r="A34" t="s">
        <v>172</v>
      </c>
      <c r="B34" s="8">
        <f>'PB - SS'!C34</f>
        <v>839254.13571999979</v>
      </c>
      <c r="C34" s="8">
        <f>'MGS-PRI'!F38</f>
        <v>831672.01571999979</v>
      </c>
      <c r="D34" s="8">
        <f>+C34-B34</f>
        <v>-7582.1199999999953</v>
      </c>
      <c r="E34" s="15">
        <f>+D34/B34</f>
        <v>-9.0343552415088919E-3</v>
      </c>
    </row>
    <row r="35" spans="1:5">
      <c r="B35" s="8"/>
      <c r="C35" s="8"/>
      <c r="D35" s="8"/>
    </row>
    <row r="36" spans="1:5">
      <c r="A36" t="s">
        <v>173</v>
      </c>
      <c r="B36" s="8">
        <f>'PB - SS'!C36</f>
        <v>174336.02650000001</v>
      </c>
      <c r="C36" s="8">
        <f>'MGS-SUB'!F37</f>
        <v>172868.94650000002</v>
      </c>
      <c r="D36" s="8">
        <f>+C36-B36</f>
        <v>-1467.0799999999872</v>
      </c>
      <c r="E36" s="15">
        <f>+D36/B36</f>
        <v>-8.4152428471230938E-3</v>
      </c>
    </row>
    <row r="37" spans="1:5">
      <c r="B37" s="8"/>
      <c r="C37" s="8"/>
      <c r="D37" s="8"/>
    </row>
    <row r="38" spans="1:5">
      <c r="A38" t="s">
        <v>174</v>
      </c>
      <c r="B38" s="8">
        <f>'PB - SS'!C38</f>
        <v>55930143.979750007</v>
      </c>
      <c r="C38" s="8">
        <f>'LGS-SEC'!F34</f>
        <v>55396857.069750011</v>
      </c>
      <c r="D38" s="8">
        <f>+C38-B38</f>
        <v>-533286.90999999642</v>
      </c>
      <c r="E38" s="15">
        <f>+D38/B38</f>
        <v>-9.5348746141808178E-3</v>
      </c>
    </row>
    <row r="39" spans="1:5">
      <c r="B39" s="8"/>
      <c r="C39" s="8"/>
      <c r="D39" s="8"/>
    </row>
    <row r="40" spans="1:5">
      <c r="A40" t="s">
        <v>175</v>
      </c>
      <c r="B40" s="8">
        <f>'PB - SS'!C40</f>
        <v>195692.34399000002</v>
      </c>
      <c r="C40" s="8">
        <f>LGSLMTOD!F33</f>
        <v>193791.20399000001</v>
      </c>
      <c r="D40" s="8">
        <f>+C40-B40</f>
        <v>-1901.140000000014</v>
      </c>
      <c r="E40" s="15">
        <f>+D40/B40</f>
        <v>-9.7149431665919609E-3</v>
      </c>
    </row>
    <row r="41" spans="1:5">
      <c r="B41" s="8"/>
      <c r="C41" s="8"/>
      <c r="D41" s="8"/>
    </row>
    <row r="42" spans="1:5">
      <c r="A42" t="s">
        <v>183</v>
      </c>
      <c r="B42" s="8">
        <f>'PB - SS'!C42</f>
        <v>8563057.2905200012</v>
      </c>
      <c r="C42" s="8">
        <f>'LGS-PRI'!F34</f>
        <v>8473360.5205200016</v>
      </c>
      <c r="D42" s="8">
        <f>+C42-B42</f>
        <v>-89696.769999999553</v>
      </c>
      <c r="E42" s="15">
        <f>+D42/B42</f>
        <v>-1.0474853426392598E-2</v>
      </c>
    </row>
    <row r="43" spans="1:5">
      <c r="B43" s="8"/>
      <c r="C43" s="8"/>
      <c r="D43" s="8"/>
    </row>
    <row r="44" spans="1:5">
      <c r="A44" t="s">
        <v>176</v>
      </c>
      <c r="B44" s="8">
        <f>'PB - SS'!C44</f>
        <v>2364771.51572</v>
      </c>
      <c r="C44" s="8">
        <f>'LGS-SUB'!F34</f>
        <v>2333466.1657199999</v>
      </c>
      <c r="D44" s="8">
        <f>+C44-B44</f>
        <v>-31305.350000000093</v>
      </c>
      <c r="E44" s="15">
        <f>+D44/B44</f>
        <v>-1.3238213413809909E-2</v>
      </c>
    </row>
    <row r="45" spans="1:5">
      <c r="B45" s="8"/>
      <c r="C45" s="8"/>
      <c r="D45" s="8"/>
      <c r="E45" s="15"/>
    </row>
    <row r="46" spans="1:5">
      <c r="A46" t="s">
        <v>335</v>
      </c>
      <c r="B46" s="8">
        <f>'PB - SS'!C46</f>
        <v>163124.82875999995</v>
      </c>
      <c r="C46" s="8">
        <f>'LGS-TRAN'!F34</f>
        <v>161107.78875999994</v>
      </c>
      <c r="D46" s="8">
        <f>+C46-B46</f>
        <v>-2017.0400000000081</v>
      </c>
      <c r="E46" s="15">
        <f>+D46/B46</f>
        <v>-1.2365009148715252E-2</v>
      </c>
    </row>
    <row r="47" spans="1:5">
      <c r="B47" s="8"/>
      <c r="C47" s="8"/>
      <c r="D47" s="8"/>
    </row>
    <row r="48" spans="1:5">
      <c r="A48" t="s">
        <v>269</v>
      </c>
      <c r="B48" s="8">
        <f>'PB - SS'!C48</f>
        <v>1893713.1854999999</v>
      </c>
      <c r="C48" s="8">
        <f>'QP-SEC'!F37</f>
        <v>1873314.5055</v>
      </c>
      <c r="D48" s="8">
        <f>+C48-B48</f>
        <v>-20398.679999999935</v>
      </c>
      <c r="E48" s="15">
        <f>+D48/B48</f>
        <v>-1.0771789601609624E-2</v>
      </c>
    </row>
    <row r="49" spans="1:5">
      <c r="B49" s="8"/>
      <c r="C49" s="8"/>
      <c r="D49" s="8"/>
    </row>
    <row r="50" spans="1:5">
      <c r="A50" t="s">
        <v>184</v>
      </c>
      <c r="B50" s="8">
        <f>'PB - SS'!C50</f>
        <v>25115669.09468</v>
      </c>
      <c r="C50" s="8">
        <f>'QP-PRI'!F39</f>
        <v>24794646.884679999</v>
      </c>
      <c r="D50" s="8">
        <f>+C50-B50</f>
        <v>-321022.21000000089</v>
      </c>
      <c r="E50" s="15">
        <f>+D50/B50</f>
        <v>-1.2781750260756532E-2</v>
      </c>
    </row>
    <row r="51" spans="1:5">
      <c r="B51" s="8"/>
      <c r="C51" s="8"/>
      <c r="D51" s="8"/>
    </row>
    <row r="52" spans="1:5">
      <c r="A52" t="s">
        <v>177</v>
      </c>
      <c r="B52" s="8">
        <f>'PB - SS'!C52</f>
        <v>22804382.671729993</v>
      </c>
      <c r="C52" s="8">
        <f>'QP-SUB'!F37</f>
        <v>22481926.941729993</v>
      </c>
      <c r="D52" s="8">
        <f>+C52-B52</f>
        <v>-322455.73000000045</v>
      </c>
      <c r="E52" s="15">
        <f>+D52/B52</f>
        <v>-1.4140077135249117E-2</v>
      </c>
    </row>
    <row r="53" spans="1:5">
      <c r="B53" s="8"/>
      <c r="C53" s="8"/>
      <c r="D53" s="8"/>
    </row>
    <row r="54" spans="1:5">
      <c r="A54" t="s">
        <v>178</v>
      </c>
      <c r="B54" s="8">
        <f>'PB - SS'!C54</f>
        <v>2539321.5414400003</v>
      </c>
      <c r="C54" s="8">
        <f>'QP-TRAN'!F37</f>
        <v>2504535.5714400001</v>
      </c>
      <c r="D54" s="8">
        <f>+C54-B54</f>
        <v>-34785.970000000205</v>
      </c>
      <c r="E54" s="15">
        <f>+D54/B54</f>
        <v>-1.3698922894291581E-2</v>
      </c>
    </row>
    <row r="55" spans="1:5">
      <c r="B55" s="8"/>
      <c r="C55" s="8"/>
      <c r="D55" s="8"/>
      <c r="E55" s="15"/>
    </row>
    <row r="56" spans="1:5">
      <c r="A56" t="s">
        <v>179</v>
      </c>
      <c r="B56" s="8">
        <f>'PB - SS'!C56</f>
        <v>101851584.35445999</v>
      </c>
      <c r="C56" s="8">
        <f>'CIPTOD-SUB'!F40</f>
        <v>100675554.41445999</v>
      </c>
      <c r="D56" s="8">
        <f>+C56-B56</f>
        <v>-1176029.9399999976</v>
      </c>
      <c r="E56" s="15">
        <f>+D56/B56</f>
        <v>-1.1546506099573505E-2</v>
      </c>
    </row>
    <row r="57" spans="1:5">
      <c r="B57" s="8"/>
      <c r="C57" s="8"/>
      <c r="D57" s="8"/>
    </row>
    <row r="58" spans="1:5">
      <c r="A58" t="s">
        <v>180</v>
      </c>
      <c r="B58" s="8">
        <f>'PB - SS'!C58</f>
        <v>19053619.914799996</v>
      </c>
      <c r="C58" s="8">
        <f>'CIPTOD-TRAN'!F39</f>
        <v>18826711.944799997</v>
      </c>
      <c r="D58" s="8">
        <f>+C58-B58</f>
        <v>-226907.96999999881</v>
      </c>
      <c r="E58" s="15">
        <f>+D58/B58</f>
        <v>-1.1908916574101853E-2</v>
      </c>
    </row>
    <row r="59" spans="1:5">
      <c r="B59" s="8"/>
      <c r="C59" s="8"/>
      <c r="D59" s="8"/>
      <c r="E59" s="15"/>
    </row>
    <row r="60" spans="1:5">
      <c r="A60" t="s">
        <v>181</v>
      </c>
      <c r="B60" s="8">
        <f>'PB - SS'!C60</f>
        <v>1434027.3145000001</v>
      </c>
      <c r="C60" s="8">
        <f>SL!F43</f>
        <v>1425745.7545</v>
      </c>
      <c r="D60" s="8">
        <f>+C60-B60</f>
        <v>-8281.5600000000559</v>
      </c>
      <c r="E60" s="15">
        <f>+D60/B60</f>
        <v>-5.7750364419575746E-3</v>
      </c>
    </row>
    <row r="61" spans="1:5">
      <c r="B61" s="8"/>
      <c r="C61" s="8"/>
      <c r="D61" s="8"/>
    </row>
    <row r="62" spans="1:5">
      <c r="A62" t="s">
        <v>182</v>
      </c>
      <c r="B62" s="8">
        <f>'PB - SS'!C62</f>
        <v>360423.32699999999</v>
      </c>
      <c r="C62" s="8">
        <f>MW!F33</f>
        <v>356675.217</v>
      </c>
      <c r="D62" s="8">
        <f>+C62-B62</f>
        <v>-3748.109999999986</v>
      </c>
      <c r="E62" s="15">
        <f>+D62/B62</f>
        <v>-1.0399188174632177E-2</v>
      </c>
    </row>
    <row r="63" spans="1:5">
      <c r="B63" s="8"/>
      <c r="C63" s="8"/>
    </row>
    <row r="64" spans="1:5">
      <c r="A64" t="s">
        <v>18</v>
      </c>
      <c r="B64" s="8">
        <f>SUM(B10:B62)</f>
        <v>561410063.04868376</v>
      </c>
      <c r="C64" s="8">
        <f>SUM(C10:C62)</f>
        <v>555691306.41868341</v>
      </c>
      <c r="D64" s="109">
        <f>SUM(D10:D62)</f>
        <v>-5718756.629999998</v>
      </c>
      <c r="E64" s="15">
        <f>+D64/B64</f>
        <v>-1.0186416322758513E-2</v>
      </c>
    </row>
    <row r="66" spans="1:4">
      <c r="A66" t="s">
        <v>419</v>
      </c>
      <c r="D66" s="8"/>
    </row>
    <row r="67" spans="1:4">
      <c r="A67" s="9" t="s">
        <v>352</v>
      </c>
      <c r="B67" s="92"/>
      <c r="C67" s="92"/>
      <c r="D67" s="8">
        <f>-'B&amp;A Surcharges'!F61</f>
        <v>-983.74</v>
      </c>
    </row>
    <row r="69" spans="1:4">
      <c r="A69" s="9" t="s">
        <v>353</v>
      </c>
      <c r="B69" s="92"/>
      <c r="C69" s="92"/>
      <c r="D69" s="8">
        <f>-'B&amp;A Surcharges'!F63</f>
        <v>-229.33</v>
      </c>
    </row>
    <row r="71" spans="1:4" ht="13.5" thickBot="1">
      <c r="A71" s="9" t="s">
        <v>418</v>
      </c>
      <c r="B71" s="92"/>
      <c r="C71" s="92"/>
      <c r="D71" s="110">
        <f>+D64+D67+D69</f>
        <v>-5719969.6999999983</v>
      </c>
    </row>
    <row r="72" spans="1:4" ht="13.5" thickTop="1"/>
  </sheetData>
  <phoneticPr fontId="0" type="noConversion"/>
  <printOptions horizontalCentered="1"/>
  <pageMargins left="0.25" right="0.25" top="0.75" bottom="0.75" header="0.3" footer="0.3"/>
  <pageSetup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58" workbookViewId="0">
      <selection activeCell="B67" sqref="B67:C71"/>
    </sheetView>
  </sheetViews>
  <sheetFormatPr defaultRowHeight="12.75"/>
  <cols>
    <col min="1" max="1" width="19" customWidth="1"/>
    <col min="2" max="2" width="21.85546875" customWidth="1"/>
    <col min="3" max="3" width="16.85546875" customWidth="1"/>
    <col min="4" max="4" width="16" bestFit="1" customWidth="1"/>
    <col min="5" max="5" width="12.5703125" customWidth="1"/>
  </cols>
  <sheetData>
    <row r="1" spans="1:5">
      <c r="A1" t="str">
        <f>+RS!A1</f>
        <v>KENTUCKY POWER BILLING ANALYSIS</v>
      </c>
    </row>
    <row r="2" spans="1:5">
      <c r="A2" t="str">
        <f>+RS!A3</f>
        <v>TEST YEAR ENDED SEPTEMBER 30, 2014</v>
      </c>
    </row>
    <row r="3" spans="1:5">
      <c r="A3" s="88" t="s">
        <v>403</v>
      </c>
    </row>
    <row r="6" spans="1:5">
      <c r="A6" s="1"/>
      <c r="B6" s="1" t="s">
        <v>6</v>
      </c>
      <c r="C6" s="1" t="s">
        <v>6</v>
      </c>
      <c r="D6" s="1"/>
      <c r="E6" s="1"/>
    </row>
    <row r="7" spans="1:5">
      <c r="A7" s="1"/>
      <c r="B7" s="1" t="s">
        <v>248</v>
      </c>
      <c r="C7" s="1" t="s">
        <v>248</v>
      </c>
      <c r="D7" s="1"/>
      <c r="E7" s="1" t="s">
        <v>159</v>
      </c>
    </row>
    <row r="8" spans="1:5">
      <c r="A8" s="3" t="s">
        <v>2</v>
      </c>
      <c r="B8" s="3" t="s">
        <v>271</v>
      </c>
      <c r="C8" s="3" t="s">
        <v>404</v>
      </c>
      <c r="D8" s="3" t="s">
        <v>158</v>
      </c>
      <c r="E8" s="3" t="s">
        <v>158</v>
      </c>
    </row>
    <row r="9" spans="1:5">
      <c r="A9" s="3"/>
      <c r="B9" s="3"/>
      <c r="C9" s="3"/>
      <c r="D9" s="3"/>
      <c r="E9" s="3"/>
    </row>
    <row r="10" spans="1:5">
      <c r="A10" t="s">
        <v>163</v>
      </c>
      <c r="B10" s="8">
        <f>+'PB - CC'!C10</f>
        <v>230972115.69451356</v>
      </c>
      <c r="C10" s="36">
        <f>RS!H39</f>
        <v>232147682.66451356</v>
      </c>
      <c r="D10" s="8">
        <f>+C10-B10</f>
        <v>1175566.9699999988</v>
      </c>
      <c r="E10" s="15">
        <f>+D10/B10</f>
        <v>5.0896488801913109E-3</v>
      </c>
    </row>
    <row r="11" spans="1:5">
      <c r="B11" s="8"/>
      <c r="C11" s="36"/>
      <c r="D11" s="8"/>
    </row>
    <row r="12" spans="1:5">
      <c r="A12" t="s">
        <v>164</v>
      </c>
      <c r="B12" s="8">
        <f>+'PB - CC'!C12</f>
        <v>392094.23822999996</v>
      </c>
      <c r="C12" s="36">
        <f>RSLMTOD!G40</f>
        <v>393973.15822999994</v>
      </c>
      <c r="D12" s="8">
        <f>+C12-B12</f>
        <v>1878.9199999999837</v>
      </c>
      <c r="E12" s="15">
        <f>+D12/B12</f>
        <v>4.7920112483209234E-3</v>
      </c>
    </row>
    <row r="13" spans="1:5">
      <c r="B13" s="8"/>
      <c r="C13" s="36"/>
      <c r="D13" s="8"/>
    </row>
    <row r="14" spans="1:5">
      <c r="A14" t="s">
        <v>270</v>
      </c>
      <c r="B14" s="8">
        <f>+'PB - CC'!C14</f>
        <v>4291.5473500000007</v>
      </c>
      <c r="C14" s="36">
        <f>RSTOD!G35</f>
        <v>4314.7373500000003</v>
      </c>
      <c r="D14" s="8">
        <f>+C14-B14</f>
        <v>23.1899999999996</v>
      </c>
      <c r="E14" s="15">
        <f>+D14/B14</f>
        <v>5.4036453774649823E-3</v>
      </c>
    </row>
    <row r="15" spans="1:5">
      <c r="B15" s="8"/>
      <c r="C15" s="36"/>
      <c r="D15" s="8"/>
    </row>
    <row r="16" spans="1:5">
      <c r="A16" t="s">
        <v>165</v>
      </c>
      <c r="B16" s="8">
        <f>+'PB - CC'!C16</f>
        <v>7931108.5385000017</v>
      </c>
      <c r="C16" s="36">
        <f>OL!G60</f>
        <v>7973685.2185000014</v>
      </c>
      <c r="D16" s="8">
        <f>+C16-B16</f>
        <v>42576.679999999702</v>
      </c>
      <c r="E16" s="15">
        <f>+D16/B16</f>
        <v>5.3683138735675607E-3</v>
      </c>
    </row>
    <row r="17" spans="1:5">
      <c r="B17" s="8"/>
      <c r="C17" s="36"/>
      <c r="D17" s="8"/>
    </row>
    <row r="18" spans="1:5">
      <c r="A18" t="s">
        <v>166</v>
      </c>
      <c r="B18" s="8">
        <f>+'PB - CC'!C18</f>
        <v>18423857.787579998</v>
      </c>
      <c r="C18" s="36">
        <f>SGS!G32</f>
        <v>18516620.88758</v>
      </c>
      <c r="D18" s="8">
        <f>+C18-B18</f>
        <v>92763.10000000149</v>
      </c>
      <c r="E18" s="15">
        <f>+D18/B18</f>
        <v>5.0349444220382285E-3</v>
      </c>
    </row>
    <row r="19" spans="1:5">
      <c r="B19" s="8"/>
      <c r="C19" s="36"/>
      <c r="D19" s="8"/>
    </row>
    <row r="20" spans="1:5">
      <c r="A20" t="s">
        <v>331</v>
      </c>
      <c r="B20" s="8">
        <f>+'PB - CC'!C20</f>
        <v>531.51296000000002</v>
      </c>
      <c r="C20" s="36">
        <f>SGSLMTOD!G33</f>
        <v>534.13296000000003</v>
      </c>
      <c r="D20" s="8">
        <f>+C20-B20</f>
        <v>2.6200000000000045</v>
      </c>
      <c r="E20" s="15">
        <f>+D20/B20</f>
        <v>4.9293247713094413E-3</v>
      </c>
    </row>
    <row r="21" spans="1:5">
      <c r="B21" s="8"/>
      <c r="C21" s="36"/>
      <c r="D21" s="8"/>
    </row>
    <row r="22" spans="1:5">
      <c r="A22" t="s">
        <v>167</v>
      </c>
      <c r="B22" s="8">
        <f>+'PB - CC'!C22</f>
        <v>631084.12420000008</v>
      </c>
      <c r="C22" s="36">
        <f>'SGS-NM'!G32</f>
        <v>634347.95420000004</v>
      </c>
      <c r="D22" s="8">
        <f>+C22-B22</f>
        <v>3263.8299999999581</v>
      </c>
      <c r="E22" s="15">
        <f>+D22/B22</f>
        <v>5.1717827700663264E-3</v>
      </c>
    </row>
    <row r="23" spans="1:5">
      <c r="B23" s="8"/>
      <c r="C23" s="36"/>
      <c r="D23" s="8"/>
      <c r="E23" s="15"/>
    </row>
    <row r="24" spans="1:5">
      <c r="A24" t="s">
        <v>345</v>
      </c>
      <c r="B24" s="8">
        <f>+'PB - CC'!C24</f>
        <v>54217.061209999993</v>
      </c>
      <c r="C24" s="36">
        <f>+'SGS TOD2'!G33</f>
        <v>54500.301209999991</v>
      </c>
      <c r="D24" s="8">
        <f>+C24-B24</f>
        <v>283.23999999999796</v>
      </c>
      <c r="E24" s="15">
        <f>+D24/B24</f>
        <v>5.2241857761880341E-3</v>
      </c>
    </row>
    <row r="25" spans="1:5">
      <c r="B25" s="8"/>
      <c r="C25" s="36"/>
      <c r="D25" s="8"/>
    </row>
    <row r="26" spans="1:5">
      <c r="A26" t="s">
        <v>168</v>
      </c>
      <c r="B26" s="8">
        <f>+'PB - CC'!C26</f>
        <v>174143.11624</v>
      </c>
      <c r="C26" s="36">
        <f>'MGS-RL'!G32</f>
        <v>175036.72623999999</v>
      </c>
      <c r="D26" s="8">
        <f>+C26-B26</f>
        <v>893.60999999998603</v>
      </c>
      <c r="E26" s="15">
        <f>+D26/B26</f>
        <v>5.1314689853627828E-3</v>
      </c>
    </row>
    <row r="27" spans="1:5">
      <c r="B27" s="8"/>
      <c r="C27" s="36"/>
      <c r="D27" s="8"/>
    </row>
    <row r="28" spans="1:5">
      <c r="A28" t="s">
        <v>169</v>
      </c>
      <c r="B28" s="8">
        <f>+'PB - CC'!C28</f>
        <v>56121038.122719996</v>
      </c>
      <c r="C28" s="36">
        <f>'MGS-SEC'!G37</f>
        <v>56397272.462719999</v>
      </c>
      <c r="D28" s="8">
        <f>+C28-B28</f>
        <v>276234.34000000358</v>
      </c>
      <c r="E28" s="15">
        <f>+D28/B28</f>
        <v>4.922117431184387E-3</v>
      </c>
    </row>
    <row r="29" spans="1:5">
      <c r="B29" s="8"/>
      <c r="C29" s="36"/>
      <c r="D29" s="8"/>
    </row>
    <row r="30" spans="1:5">
      <c r="A30" t="s">
        <v>170</v>
      </c>
      <c r="B30" s="8">
        <f>+'PB - CC'!C30</f>
        <v>106413.20608999999</v>
      </c>
      <c r="C30" s="36">
        <f>MGSLMTOD!G33</f>
        <v>106893.25608999998</v>
      </c>
      <c r="D30" s="8">
        <f>+C30-B30</f>
        <v>480.04999999998836</v>
      </c>
      <c r="E30" s="15">
        <f>+D30/B30</f>
        <v>4.511188203407587E-3</v>
      </c>
    </row>
    <row r="31" spans="1:5">
      <c r="B31" s="8"/>
      <c r="C31" s="36"/>
      <c r="D31" s="8"/>
    </row>
    <row r="32" spans="1:5">
      <c r="A32" t="s">
        <v>171</v>
      </c>
      <c r="B32" s="8">
        <f>+'PB - CC'!C32</f>
        <v>378176.52401999995</v>
      </c>
      <c r="C32" s="36">
        <f>MGSTOD!G33</f>
        <v>380025.91401999997</v>
      </c>
      <c r="D32" s="8">
        <f>+C32-B32</f>
        <v>1849.390000000014</v>
      </c>
      <c r="E32" s="15">
        <f>+D32/B32</f>
        <v>4.8902824013005329E-3</v>
      </c>
    </row>
    <row r="33" spans="1:5">
      <c r="B33" s="8"/>
      <c r="C33" s="36"/>
      <c r="D33" s="8"/>
    </row>
    <row r="34" spans="1:5">
      <c r="A34" t="s">
        <v>172</v>
      </c>
      <c r="B34" s="8">
        <f>+'PB - CC'!C34</f>
        <v>831672.01571999979</v>
      </c>
      <c r="C34" s="36">
        <f>'MGS-PRI'!G38</f>
        <v>835522.82571999985</v>
      </c>
      <c r="D34" s="8">
        <f>+C34-B34</f>
        <v>3850.8100000000559</v>
      </c>
      <c r="E34" s="15">
        <f>+D34/B34</f>
        <v>4.6302026847281985E-3</v>
      </c>
    </row>
    <row r="35" spans="1:5">
      <c r="B35" s="8"/>
      <c r="C35" s="36"/>
      <c r="D35" s="8"/>
    </row>
    <row r="36" spans="1:5">
      <c r="A36" t="s">
        <v>173</v>
      </c>
      <c r="B36" s="8">
        <f>+'PB - CC'!C36</f>
        <v>172868.94650000002</v>
      </c>
      <c r="C36" s="36">
        <f>'MGS-SUB'!G37</f>
        <v>173727.60650000002</v>
      </c>
      <c r="D36" s="8">
        <f>+C36-B36</f>
        <v>858.66000000000349</v>
      </c>
      <c r="E36" s="15">
        <f>+D36/B36</f>
        <v>4.9671153633136962E-3</v>
      </c>
    </row>
    <row r="37" spans="1:5">
      <c r="B37" s="8"/>
      <c r="C37" s="36"/>
      <c r="D37" s="8"/>
    </row>
    <row r="38" spans="1:5">
      <c r="A38" t="s">
        <v>174</v>
      </c>
      <c r="B38" s="8">
        <f>+'PB - CC'!C38</f>
        <v>55396857.069750011</v>
      </c>
      <c r="C38" s="36">
        <f>'LGS-SEC'!G34</f>
        <v>55680138.979750007</v>
      </c>
      <c r="D38" s="8">
        <f>+C38-B38</f>
        <v>283281.90999999642</v>
      </c>
      <c r="E38" s="15">
        <f>+D38/B38</f>
        <v>5.1136819845811294E-3</v>
      </c>
    </row>
    <row r="39" spans="1:5">
      <c r="B39" s="8"/>
      <c r="C39" s="36"/>
      <c r="D39" s="8"/>
    </row>
    <row r="40" spans="1:5">
      <c r="A40" t="s">
        <v>175</v>
      </c>
      <c r="B40" s="8">
        <f>+'PB - CC'!C40</f>
        <v>193791.20399000001</v>
      </c>
      <c r="C40" s="36">
        <f>LGSLMTOD!G33</f>
        <v>194869.07399</v>
      </c>
      <c r="D40" s="8">
        <f>+C40-B40</f>
        <v>1077.8699999999953</v>
      </c>
      <c r="E40" s="15">
        <f>+D40/B40</f>
        <v>5.5620171494244674E-3</v>
      </c>
    </row>
    <row r="41" spans="1:5">
      <c r="B41" s="8"/>
      <c r="C41" s="36"/>
      <c r="D41" s="8"/>
    </row>
    <row r="42" spans="1:5">
      <c r="A42" t="s">
        <v>183</v>
      </c>
      <c r="B42" s="8">
        <f>+'PB - CC'!C42</f>
        <v>8473360.5205200016</v>
      </c>
      <c r="C42" s="36">
        <f>'LGS-PRI'!G34</f>
        <v>8518689.7805200014</v>
      </c>
      <c r="D42" s="8">
        <f>+C42-B42</f>
        <v>45329.259999999776</v>
      </c>
      <c r="E42" s="15">
        <f>+D42/B42</f>
        <v>5.3496201288999283E-3</v>
      </c>
    </row>
    <row r="43" spans="1:5">
      <c r="B43" s="8"/>
      <c r="C43" s="36"/>
      <c r="D43" s="8"/>
    </row>
    <row r="44" spans="1:5">
      <c r="A44" t="s">
        <v>176</v>
      </c>
      <c r="B44" s="8">
        <f>+'PB - CC'!C44</f>
        <v>2333466.1657199999</v>
      </c>
      <c r="C44" s="36">
        <f>'LGS-SUB'!G34</f>
        <v>2345440.01572</v>
      </c>
      <c r="D44" s="8">
        <f>+C44-B44</f>
        <v>11973.850000000093</v>
      </c>
      <c r="E44" s="15">
        <f>+D44/B44</f>
        <v>5.1313578812082396E-3</v>
      </c>
    </row>
    <row r="45" spans="1:5">
      <c r="B45" s="8"/>
      <c r="C45" s="36"/>
      <c r="D45" s="8"/>
      <c r="E45" s="15"/>
    </row>
    <row r="46" spans="1:5">
      <c r="A46" t="s">
        <v>335</v>
      </c>
      <c r="B46" s="8">
        <f>+'PB - CC'!C46</f>
        <v>161107.78875999994</v>
      </c>
      <c r="C46" s="36">
        <f>'LGS-TRAN'!G34</f>
        <v>162115.92875999995</v>
      </c>
      <c r="D46" s="8">
        <f>+C46-B46</f>
        <v>1008.140000000014</v>
      </c>
      <c r="E46" s="15">
        <f>+D46/B46</f>
        <v>6.2575497296522781E-3</v>
      </c>
    </row>
    <row r="47" spans="1:5">
      <c r="B47" s="8"/>
      <c r="C47" s="36"/>
      <c r="D47" s="8"/>
    </row>
    <row r="48" spans="1:5">
      <c r="A48" t="s">
        <v>269</v>
      </c>
      <c r="B48" s="8">
        <f>+'PB - CC'!C48</f>
        <v>1873314.5055</v>
      </c>
      <c r="C48" s="36">
        <f>'QP-SEC'!G37</f>
        <v>1880835.9554999999</v>
      </c>
      <c r="D48" s="8">
        <f>+C48-B48</f>
        <v>7521.4499999999534</v>
      </c>
      <c r="E48" s="15">
        <f>+D48/B48</f>
        <v>4.0150492498281431E-3</v>
      </c>
    </row>
    <row r="49" spans="1:5">
      <c r="B49" s="8"/>
      <c r="C49" s="36"/>
      <c r="D49" s="8"/>
    </row>
    <row r="50" spans="1:5">
      <c r="A50" t="s">
        <v>184</v>
      </c>
      <c r="B50" s="8">
        <f>+'PB - CC'!C50</f>
        <v>24794646.884679999</v>
      </c>
      <c r="C50" s="36">
        <f>'QP-PRI'!G39</f>
        <v>24920074.014679998</v>
      </c>
      <c r="D50" s="8">
        <f>+C50-B50</f>
        <v>125427.12999999896</v>
      </c>
      <c r="E50" s="15">
        <f>+D50/B50</f>
        <v>5.058637478620326E-3</v>
      </c>
    </row>
    <row r="51" spans="1:5">
      <c r="B51" s="8"/>
      <c r="C51" s="36"/>
      <c r="D51" s="8"/>
    </row>
    <row r="52" spans="1:5">
      <c r="A52" t="s">
        <v>177</v>
      </c>
      <c r="B52" s="8">
        <f>+'PB - CC'!C52</f>
        <v>22481926.941729993</v>
      </c>
      <c r="C52" s="36">
        <f>'QP-SUB'!G37</f>
        <v>22596236.721729994</v>
      </c>
      <c r="D52" s="8">
        <f>+C52-B52</f>
        <v>114309.78000000119</v>
      </c>
      <c r="E52" s="15">
        <f>+D52/B52</f>
        <v>5.0845187913062849E-3</v>
      </c>
    </row>
    <row r="53" spans="1:5">
      <c r="B53" s="8"/>
      <c r="C53" s="36"/>
      <c r="D53" s="8"/>
    </row>
    <row r="54" spans="1:5">
      <c r="A54" t="s">
        <v>178</v>
      </c>
      <c r="B54" s="8">
        <f>+'PB - CC'!C54</f>
        <v>2504535.5714400001</v>
      </c>
      <c r="C54" s="36">
        <f>'QP-TRAN'!G37</f>
        <v>2508295.8214400001</v>
      </c>
      <c r="D54" s="8">
        <f>+C54-B54</f>
        <v>3760.25</v>
      </c>
      <c r="E54" s="15">
        <f>+D54/B54</f>
        <v>1.5013761604663568E-3</v>
      </c>
    </row>
    <row r="55" spans="1:5">
      <c r="B55" s="8"/>
      <c r="C55" s="36"/>
      <c r="D55" s="8"/>
      <c r="E55" s="15"/>
    </row>
    <row r="56" spans="1:5">
      <c r="A56" t="s">
        <v>179</v>
      </c>
      <c r="B56" s="8">
        <f>+'PB - CC'!C56</f>
        <v>100675554.41445999</v>
      </c>
      <c r="C56" s="36">
        <f>'CIPTOD-SUB'!G40</f>
        <v>101169943.70446</v>
      </c>
      <c r="D56" s="8">
        <f>+C56-B56</f>
        <v>494389.29000000656</v>
      </c>
      <c r="E56" s="15">
        <f>+D56/B56</f>
        <v>4.9107183255699821E-3</v>
      </c>
    </row>
    <row r="57" spans="1:5">
      <c r="B57" s="8"/>
      <c r="C57" s="36"/>
      <c r="D57" s="8"/>
    </row>
    <row r="58" spans="1:5">
      <c r="A58" t="s">
        <v>180</v>
      </c>
      <c r="B58" s="8">
        <f>+'PB - CC'!C58</f>
        <v>18826711.944799997</v>
      </c>
      <c r="C58" s="36">
        <f>'CIPTOD-TRAN'!G39</f>
        <v>18943564.274799995</v>
      </c>
      <c r="D58" s="8">
        <f>+C58-B58</f>
        <v>116852.32999999821</v>
      </c>
      <c r="E58" s="15">
        <f>+D58/B58</f>
        <v>6.2067306464670922E-3</v>
      </c>
    </row>
    <row r="59" spans="1:5">
      <c r="B59" s="8"/>
      <c r="C59" s="36"/>
      <c r="D59" s="8"/>
    </row>
    <row r="60" spans="1:5">
      <c r="A60" t="s">
        <v>181</v>
      </c>
      <c r="B60" s="8">
        <f>+'PB - CC'!C60</f>
        <v>1425745.7545</v>
      </c>
      <c r="C60" s="36">
        <f>SL!G43</f>
        <v>1432731.7545</v>
      </c>
      <c r="D60" s="8">
        <f>+C60-B60</f>
        <v>6986</v>
      </c>
      <c r="E60" s="15">
        <f>+D60/B60</f>
        <v>4.8998918481436725E-3</v>
      </c>
    </row>
    <row r="61" spans="1:5">
      <c r="B61" s="8"/>
      <c r="C61" s="36"/>
      <c r="D61" s="8"/>
    </row>
    <row r="62" spans="1:5">
      <c r="A62" t="s">
        <v>182</v>
      </c>
      <c r="B62" s="8">
        <f>+'PB - CC'!C62</f>
        <v>356675.217</v>
      </c>
      <c r="C62" s="36">
        <f>MW!G33</f>
        <v>358545.28700000001</v>
      </c>
      <c r="D62" s="8">
        <f>+C62-B62</f>
        <v>1870.070000000007</v>
      </c>
      <c r="E62" s="15">
        <f>+D62/B62</f>
        <v>5.2430612245201406E-3</v>
      </c>
    </row>
    <row r="63" spans="1:5">
      <c r="B63" s="8"/>
      <c r="C63" s="8"/>
    </row>
    <row r="64" spans="1:5">
      <c r="A64" t="s">
        <v>18</v>
      </c>
      <c r="B64" s="8">
        <f>SUM(B10:B62)</f>
        <v>555691306.41868341</v>
      </c>
      <c r="C64" s="8">
        <f>SUM(C10:C62)</f>
        <v>558505619.15868354</v>
      </c>
      <c r="D64" s="109">
        <f>SUM(D10:D62)</f>
        <v>2814312.7400000044</v>
      </c>
      <c r="E64" s="15">
        <f>+D64/B64</f>
        <v>5.0645254073483229E-3</v>
      </c>
    </row>
    <row r="66" spans="1:6">
      <c r="A66" t="s">
        <v>419</v>
      </c>
    </row>
    <row r="67" spans="1:6">
      <c r="A67" s="9" t="s">
        <v>352</v>
      </c>
      <c r="B67" s="92"/>
      <c r="C67" s="92"/>
      <c r="D67" s="8">
        <f>-'B&amp;A Surcharges'!J61</f>
        <v>-1257.6300000000001</v>
      </c>
      <c r="F67" s="8"/>
    </row>
    <row r="68" spans="1:6">
      <c r="D68" s="8"/>
    </row>
    <row r="69" spans="1:6">
      <c r="A69" s="9" t="s">
        <v>353</v>
      </c>
      <c r="B69" s="92"/>
      <c r="C69" s="92"/>
      <c r="D69" s="8">
        <f>-'B&amp;A Surcharges'!J63</f>
        <v>-108.02</v>
      </c>
    </row>
    <row r="70" spans="1:6">
      <c r="D70" s="8"/>
    </row>
    <row r="71" spans="1:6" ht="13.5" thickBot="1">
      <c r="A71" s="9" t="s">
        <v>418</v>
      </c>
      <c r="B71" s="92"/>
      <c r="C71" s="92"/>
      <c r="D71" s="110">
        <f>+D64+D67+D69</f>
        <v>2812947.0900000045</v>
      </c>
    </row>
    <row r="72" spans="1:6" ht="13.5" thickTop="1"/>
  </sheetData>
  <printOptions horizontalCentered="1"/>
  <pageMargins left="0.25" right="0.25" top="0.75" bottom="0.75" header="0.3" footer="0.3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11</vt:i4>
      </vt:variant>
    </vt:vector>
  </HeadingPairs>
  <TitlesOfParts>
    <vt:vector size="59" baseType="lpstr">
      <vt:lpstr>JMS-1 Page 1</vt:lpstr>
      <vt:lpstr>JMS-1 Page 2</vt:lpstr>
      <vt:lpstr>JMS-1 Page 3</vt:lpstr>
      <vt:lpstr>Revenue Summary</vt:lpstr>
      <vt:lpstr>PB Sum</vt:lpstr>
      <vt:lpstr>PB - Green</vt:lpstr>
      <vt:lpstr>PB - SS</vt:lpstr>
      <vt:lpstr>PB - CC</vt:lpstr>
      <vt:lpstr>PB - ES</vt:lpstr>
      <vt:lpstr>PB - AF</vt:lpstr>
      <vt:lpstr>YEM</vt:lpstr>
      <vt:lpstr>WNLA</vt:lpstr>
      <vt:lpstr>YEC</vt:lpstr>
      <vt:lpstr>ATR</vt:lpstr>
      <vt:lpstr>RS</vt:lpstr>
      <vt:lpstr>RSLMTOD</vt:lpstr>
      <vt:lpstr>RSTOD</vt:lpstr>
      <vt:lpstr>OL</vt:lpstr>
      <vt:lpstr>Annual Adj OL</vt:lpstr>
      <vt:lpstr>SGS</vt:lpstr>
      <vt:lpstr>SGSLMTOD</vt:lpstr>
      <vt:lpstr>SGS-NM</vt:lpstr>
      <vt:lpstr>SGS TOD2</vt:lpstr>
      <vt:lpstr>MGS-RL</vt:lpstr>
      <vt:lpstr>MGS-SEC</vt:lpstr>
      <vt:lpstr>MGSLMTOD</vt:lpstr>
      <vt:lpstr>MGSTOD</vt:lpstr>
      <vt:lpstr>MGS-PRI</vt:lpstr>
      <vt:lpstr>MGS-SUB</vt:lpstr>
      <vt:lpstr>LGS-SEC</vt:lpstr>
      <vt:lpstr>LGSLMTOD</vt:lpstr>
      <vt:lpstr>LGS-PRI</vt:lpstr>
      <vt:lpstr>LGS-SUB</vt:lpstr>
      <vt:lpstr>LGS-TRAN</vt:lpstr>
      <vt:lpstr>QP-SEC</vt:lpstr>
      <vt:lpstr>QP-PRI</vt:lpstr>
      <vt:lpstr>QP-SUB</vt:lpstr>
      <vt:lpstr>QP-TRAN</vt:lpstr>
      <vt:lpstr>CIPTOD-SUB</vt:lpstr>
      <vt:lpstr>CIPTOD-TRAN</vt:lpstr>
      <vt:lpstr>MW</vt:lpstr>
      <vt:lpstr>SL</vt:lpstr>
      <vt:lpstr>Annual Adj SL</vt:lpstr>
      <vt:lpstr>12 Months TS</vt:lpstr>
      <vt:lpstr>Monthly # of Customers</vt:lpstr>
      <vt:lpstr>B&amp;A Surcharges</vt:lpstr>
      <vt:lpstr>Fuel Adjustment</vt:lpstr>
      <vt:lpstr>ATR Adjustment WP</vt:lpstr>
      <vt:lpstr>'JMS-1 Page 3'!Print_Area</vt:lpstr>
      <vt:lpstr>'LGS-PRI'!Print_Area</vt:lpstr>
      <vt:lpstr>'LGS-SEC'!Print_Area</vt:lpstr>
      <vt:lpstr>'MGS-PRI'!Print_Area</vt:lpstr>
      <vt:lpstr>'MGS-SEC'!Print_Area</vt:lpstr>
      <vt:lpstr>'QP-PRI'!Print_Area</vt:lpstr>
      <vt:lpstr>'QP-SEC'!Print_Area</vt:lpstr>
      <vt:lpstr>SGS!Print_Area</vt:lpstr>
      <vt:lpstr>'SGS-NM'!Print_Area</vt:lpstr>
      <vt:lpstr>'12 Months TS'!Print_Titles</vt:lpstr>
      <vt:lpstr>'Monthly # of Customers'!Print_Titles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s003217</dc:creator>
  <cp:lastModifiedBy>AEP</cp:lastModifiedBy>
  <cp:lastPrinted>2015-02-02T16:54:37Z</cp:lastPrinted>
  <dcterms:created xsi:type="dcterms:W3CDTF">2005-07-05T21:09:12Z</dcterms:created>
  <dcterms:modified xsi:type="dcterms:W3CDTF">2015-02-02T19:07:43Z</dcterms:modified>
</cp:coreProperties>
</file>