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" windowWidth="15156" windowHeight="1656" tabRatio="945" activeTab="8"/>
  </bookViews>
  <sheets>
    <sheet name="ES 1.0" sheetId="1" r:id="rId1"/>
    <sheet name="ES 1.10" sheetId="2" r:id="rId2"/>
    <sheet name="ES 3.00" sheetId="3" r:id="rId3"/>
    <sheet name="ES 3.10" sheetId="4" r:id="rId4"/>
    <sheet name="Sch 3.10" sheetId="5" r:id="rId5"/>
    <sheet name="ES 3.11" sheetId="6" r:id="rId6"/>
    <sheet name="ES 3.12 A" sheetId="7" r:id="rId7"/>
    <sheet name="ES 3.12 B" sheetId="8" r:id="rId8"/>
    <sheet name="ES 3.13" sheetId="9" r:id="rId9"/>
    <sheet name="SC 165 &amp; 175" sheetId="10" r:id="rId10"/>
    <sheet name="ES 3.15" sheetId="11" r:id="rId11"/>
    <sheet name="ES 3.20" sheetId="12" r:id="rId12"/>
    <sheet name="ES 3.21" sheetId="13" r:id="rId13"/>
    <sheet name="ES 3.30" sheetId="14" r:id="rId14"/>
    <sheet name="Collected" sheetId="15" r:id="rId15"/>
    <sheet name="Air Emission Fees - KPCo" sheetId="16" r:id="rId16"/>
    <sheet name="Air Emission Fees - OPCo" sheetId="17" r:id="rId17"/>
    <sheet name="Air Emission Fees - I&amp;M" sheetId="18" r:id="rId18"/>
    <sheet name="Pro-Rated Surcharge Factor" sheetId="19" r:id="rId19"/>
  </sheets>
  <definedNames>
    <definedName name="_xlnm.Print_Area" localSheetId="0">'ES 1.0'!$A$9:$H$59</definedName>
    <definedName name="_xlnm.Print_Area" localSheetId="1">'ES 1.10'!$A$1:$G$30</definedName>
    <definedName name="_xlnm.Print_Area" localSheetId="8">'ES 3.13'!$A$1:$T$58</definedName>
    <definedName name="_xlnm.Print_Area" localSheetId="11">'ES 3.20'!$A$1:$M$40</definedName>
    <definedName name="_xlnm.Print_Area" localSheetId="12">'ES 3.21'!$A$1:$T$60</definedName>
    <definedName name="_xlnm.Print_Area" localSheetId="13">'ES 3.30'!$A$1:$I$56</definedName>
    <definedName name="_xlnm.Print_Area" localSheetId="18">'Pro-Rated Surcharge Factor'!$A$1:$E$22</definedName>
    <definedName name="_xlnm.Print_Titles" localSheetId="17">'Air Emission Fees - I&amp;M'!$1:$2</definedName>
    <definedName name="_xlnm.Print_Titles" localSheetId="14">'Collected'!$1:$5</definedName>
    <definedName name="_xlnm.Print_Titles" localSheetId="0">'ES 1.0'!$1:$8</definedName>
    <definedName name="_xlnm.Print_Titles" localSheetId="9">'SC 165 &amp; 175'!$1:$6</definedName>
    <definedName name="_xlnm.Print_Titles" localSheetId="4">'Sch 3.10'!$1:$7</definedName>
  </definedNames>
  <calcPr fullCalcOnLoad="1"/>
</workbook>
</file>

<file path=xl/sharedStrings.xml><?xml version="1.0" encoding="utf-8"?>
<sst xmlns="http://schemas.openxmlformats.org/spreadsheetml/2006/main" count="1707" uniqueCount="818">
  <si>
    <t>Monthly Catalyst Replacement at Big Sandy Unit 2</t>
  </si>
  <si>
    <t xml:space="preserve">Monthly ERC &amp; NOx Allowance Consumption  </t>
  </si>
  <si>
    <t>Total 2003 Plan O&amp;M Expenses</t>
  </si>
  <si>
    <t>Total Monthly O&amp;M Expenses</t>
  </si>
  <si>
    <t>Total 1997 Plan O&amp;M Expenses</t>
  </si>
  <si>
    <t>ES FORM 3.30</t>
  </si>
  <si>
    <t>ES FORM 3.20</t>
  </si>
  <si>
    <t>ES FORM 3.21</t>
  </si>
  <si>
    <t>ACCTS REC FINANCING</t>
  </si>
  <si>
    <t>ES FORM 3.15</t>
  </si>
  <si>
    <t>ES FORM   3.13</t>
  </si>
  <si>
    <t>ES FORM   3.00</t>
  </si>
  <si>
    <t>MONTHLY REVENUES, JURISDICTIONAL ALLOCATION FACTOR,</t>
  </si>
  <si>
    <t>and OVER/(UNDER) RECOVERY ADJUSTMENT</t>
  </si>
  <si>
    <t>SCHEDULE OF MONTHLY REVENUES</t>
  </si>
  <si>
    <t>COSTS ASSOCIATED WITH ROCKPORT</t>
  </si>
  <si>
    <t xml:space="preserve">                        CURRENT PERIOD REVENUE REQUIREMENT</t>
  </si>
  <si>
    <t>BASE PERIOD REVENUE REQUIREMENT</t>
  </si>
  <si>
    <t xml:space="preserve">Columns 1 and 2 - </t>
  </si>
  <si>
    <t>Record the number of allowances in any transaction (purchase, sale, transfer) which occurred</t>
  </si>
  <si>
    <t xml:space="preserve">during the Expense Month.  Multiple transactions for a given category are to be shown as the </t>
  </si>
  <si>
    <t xml:space="preserve">total activity for that category during the Expense Month.  For each transaction shown in </t>
  </si>
  <si>
    <t>Column 1, update the cumulative balance in Column 2.</t>
  </si>
  <si>
    <t xml:space="preserve">Columns 3 and 4 - </t>
  </si>
  <si>
    <t xml:space="preserve">For each transaction reflected in Column 1, record the total dollars of the transaction.  </t>
  </si>
  <si>
    <t xml:space="preserve">Multiple transaction for a given category are to be shown as the total dollar amount for that </t>
  </si>
  <si>
    <t xml:space="preserve">category during the Expense Month.  For each transaction shown in Column 3, update the </t>
  </si>
  <si>
    <t>cumulative dollar balance in Column 4.  Include transactions that total zero dollars.  Record</t>
  </si>
  <si>
    <t xml:space="preserve">amounts in whole dollars.  </t>
  </si>
  <si>
    <t xml:space="preserve">Column 5 - </t>
  </si>
  <si>
    <t>Compute the Weighted Average Cost by dividing the Cumulative Dollar Balance (Co. 4) by</t>
  </si>
  <si>
    <t xml:space="preserve">Inventory, Ending Inventory and all additions and withdrawals made during the Expense Month.  </t>
  </si>
  <si>
    <t>The Weighted Average Cost should be carried out to 3 decimal places.</t>
  </si>
  <si>
    <t>Various</t>
  </si>
  <si>
    <t>XX/XX/2009</t>
  </si>
  <si>
    <t>2011-12-21</t>
  </si>
  <si>
    <t>00095850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</si>
  <si>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February 29, 2012</t>
    </r>
  </si>
  <si>
    <t>108014</t>
  </si>
  <si>
    <t>4178835801</t>
  </si>
  <si>
    <t>2013-01-17</t>
  </si>
  <si>
    <t>00301406</t>
  </si>
  <si>
    <t>000170051</t>
  </si>
  <si>
    <t>2012-01-16</t>
  </si>
  <si>
    <t>00301375</t>
  </si>
  <si>
    <t>000170050</t>
  </si>
  <si>
    <t>00711950</t>
  </si>
  <si>
    <t>07-09-2012</t>
  </si>
  <si>
    <t>00223796</t>
  </si>
  <si>
    <t>07-20-2012</t>
  </si>
  <si>
    <t>00566843</t>
  </si>
  <si>
    <t>07-13-2012</t>
  </si>
  <si>
    <t>5020000</t>
  </si>
  <si>
    <t>881485</t>
  </si>
  <si>
    <t>07-06-2012</t>
  </si>
  <si>
    <r>
      <t>0000060525</t>
    </r>
    <r>
      <rPr>
        <sz val="10"/>
        <rFont val="Arial"/>
        <family val="2"/>
      </rPr>
      <t xml:space="preserve">                          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0000060485</t>
    </r>
  </si>
  <si>
    <t>00712459</t>
  </si>
  <si>
    <t>07-12-2012</t>
  </si>
  <si>
    <t>00566605</t>
  </si>
  <si>
    <t>00566604</t>
  </si>
  <si>
    <r>
      <t>5000000</t>
    </r>
    <r>
      <rPr>
        <sz val="10"/>
        <rFont val="Arial"/>
        <family val="2"/>
      </rPr>
      <t xml:space="preserve">     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5060000</t>
    </r>
  </si>
  <si>
    <t>Per email from Tammy Bragg dated 02-5-2013.  29.885%</t>
  </si>
  <si>
    <t xml:space="preserve"> in December</t>
  </si>
  <si>
    <t xml:space="preserve"> Paid $253,357.54</t>
  </si>
  <si>
    <t>Year 2012</t>
  </si>
  <si>
    <t>the corresponding Cumulative Balance (Col. 2).  Perform this calculation for the Beginning</t>
  </si>
  <si>
    <t>ENDING INVENTORY - Record Balance in Column (4) on ES FORM 3.10, Line 5</t>
  </si>
  <si>
    <t>to be recorded on ES FORM 1.00, Lines 9 and 4.  The Percentage of Kentucky Retail</t>
  </si>
  <si>
    <t>2007-11-26</t>
  </si>
  <si>
    <t>00060795</t>
  </si>
  <si>
    <t>0000036341</t>
  </si>
  <si>
    <t>63230</t>
  </si>
  <si>
    <t>The Over/(Under) Recovery amount is to be recorded on ES FORM 1.00, LINE 6.</t>
  </si>
  <si>
    <t>Cardinal Plant</t>
  </si>
  <si>
    <t>OPCo</t>
  </si>
  <si>
    <t>Bucheye</t>
  </si>
  <si>
    <t>Unit 3</t>
  </si>
  <si>
    <t>ES FORM 1.00</t>
  </si>
  <si>
    <t>CRR from ES FORM 3.00</t>
  </si>
  <si>
    <t>Kentucky Retail Jurisdictional Allocation Factor,                                                from ES FORM 3.30, Schedule of Revenues, LINE 1</t>
  </si>
  <si>
    <t>KY Retail R(m) from ES FORM 3.30</t>
  </si>
  <si>
    <t xml:space="preserve">                 on ES FORM 1.00.</t>
  </si>
  <si>
    <t>ROCKPORT UNIT POWER AGREEMENT COST OF CAPITAL</t>
  </si>
  <si>
    <t>Weighted Average Cost of Capital   -  ES FORM 3.21</t>
  </si>
  <si>
    <t>Weighted Average Cost of Capital   -   ES FORM 3.15</t>
  </si>
  <si>
    <t>Component</t>
  </si>
  <si>
    <t>Balances</t>
  </si>
  <si>
    <t>Cap. Structures</t>
  </si>
  <si>
    <t>Cost                                                Rates</t>
  </si>
  <si>
    <t>WACC           (NET OF TAX)</t>
  </si>
  <si>
    <t>WACC                              (PRE - TAX)</t>
  </si>
  <si>
    <t>Total Year 2007</t>
  </si>
  <si>
    <t>2007-02-07</t>
  </si>
  <si>
    <t>00147205</t>
  </si>
  <si>
    <t>INDIANA DEPT OF                                                ENVIRON MGMT</t>
  </si>
  <si>
    <t>2007-03-02</t>
  </si>
  <si>
    <t>00149084</t>
  </si>
  <si>
    <t>000074410</t>
  </si>
  <si>
    <t>Acctg                                     Date</t>
  </si>
  <si>
    <t>Line No</t>
  </si>
  <si>
    <t>Kentucky Retail Revenues from ES FORM 3.30, Schedule of Monthly Revenues, LINE 1</t>
  </si>
  <si>
    <t>Unbilled Revenues from Net Energy Requirement for Current Month</t>
  </si>
  <si>
    <t>Net KY Retail E(m) (LINE 3 - LINE 4)</t>
  </si>
  <si>
    <t>Net KY Retail E(m) (Line 5)</t>
  </si>
  <si>
    <t>Surcharge Collected LINE 4</t>
  </si>
  <si>
    <t xml:space="preserve">Kentucky Pro-Rated Retail Surcharge Factor </t>
  </si>
  <si>
    <t>Located on: Internal\Bob Russell\Net Energy Requirements (Monthly OSS Activity)\Kentucky Power Company\Year 2010</t>
  </si>
  <si>
    <t>Pro-Rated Surcharge Calculation</t>
  </si>
  <si>
    <t>Surcharge Collected ES FORM 3.30, Over/(Under) Recovery Adjustment LINE 3</t>
  </si>
  <si>
    <t>Case No. 2009-00459, dated June 28, 2010</t>
  </si>
  <si>
    <t>Vendor Name</t>
  </si>
  <si>
    <t>KY Air Emission Fee</t>
  </si>
  <si>
    <t>WACC = Weighted Average Cost of Capital</t>
  </si>
  <si>
    <t>Cost Rates per the Provisions of the Rockport Unit Power Agreement</t>
  </si>
  <si>
    <t>Gross Revenue Conversion Factor (GRCF) Calculation:</t>
  </si>
  <si>
    <t>Cap.                                Structure</t>
  </si>
  <si>
    <t>WACC                                              (Net of Tax)</t>
  </si>
  <si>
    <t>WACC       (PRE-TAX)</t>
  </si>
  <si>
    <t xml:space="preserve"> </t>
  </si>
  <si>
    <t xml:space="preserve">       (LINE 1 X .085)</t>
  </si>
  <si>
    <t>LESS:   INDIANA ADJUSTED GROSS INCOME</t>
  </si>
  <si>
    <t>The WACC (PRE - TAX) value on Line 6 is to be recorded on ES FORM 3.20, Line 7.</t>
  </si>
  <si>
    <t>December 24, 2002</t>
  </si>
  <si>
    <t>INDIANA ADJUSTED GROSS INCOME of 8.5% became effective January 1, 2003.</t>
  </si>
  <si>
    <t>NOTE:</t>
  </si>
  <si>
    <t xml:space="preserve">Jurisdictional Allocation Factor.  </t>
  </si>
  <si>
    <t xml:space="preserve">             in order to properly adjust the collection of the current month's expense.</t>
  </si>
  <si>
    <r>
      <t>NOTE :</t>
    </r>
    <r>
      <rPr>
        <sz val="10"/>
        <rFont val="Arial"/>
        <family val="0"/>
      </rPr>
      <t xml:space="preserve"> The sign on LINE 5 of ES FORM 3.30 will be changed on LINE 6 of ES FORM 1.00 </t>
    </r>
  </si>
  <si>
    <t>SO2 Emission Allowance Inventory</t>
  </si>
  <si>
    <t>Vendor                                  ID</t>
  </si>
  <si>
    <t>Dept                                      ID</t>
  </si>
  <si>
    <t>Dept ID                                 Description</t>
  </si>
  <si>
    <t>2006-02-10</t>
  </si>
  <si>
    <t>00122803</t>
  </si>
  <si>
    <t>0000033614</t>
  </si>
  <si>
    <t>Rockport                                Plant</t>
  </si>
  <si>
    <t>2006-02-16</t>
  </si>
  <si>
    <t>00123364</t>
  </si>
  <si>
    <t>Tanners Creek                        Plant</t>
  </si>
  <si>
    <t>ECR &amp; NOx Emission Allowance Inventory</t>
  </si>
  <si>
    <t>Cash Working Capital Allowance</t>
  </si>
  <si>
    <t>ES FORM 3.10, Line 11</t>
  </si>
  <si>
    <t>May 9,                             2003</t>
  </si>
  <si>
    <t>Catalyst - Layer1       Layer 2       Layer 3</t>
  </si>
  <si>
    <t>Layer 1</t>
  </si>
  <si>
    <t>Layer 2</t>
  </si>
  <si>
    <t>Layer 3</t>
  </si>
  <si>
    <t>Monthly Catalyst Amortization Expense</t>
  </si>
  <si>
    <t>SCR                                               Aux                                                         Station</t>
  </si>
  <si>
    <t>Install (2) 138KV Circuit Breakers     and Relaying</t>
  </si>
  <si>
    <t>July 26,         2002</t>
  </si>
  <si>
    <t>Install                    Air Horns                                              for SCR Proj</t>
  </si>
  <si>
    <t>December 28, 2002</t>
  </si>
  <si>
    <t>June 02,                   2002</t>
  </si>
  <si>
    <t>Total Operating Expenses (Line 10 + Line 11))</t>
  </si>
  <si>
    <t>Flyash Landfill Installed Cost</t>
  </si>
  <si>
    <t>Monthly Weighted Avg. Cost of Capital (LINE 7 / 12)</t>
  </si>
  <si>
    <t>Monthly Return of Rate Base (Line 6 * Line 8)</t>
  </si>
  <si>
    <t>CEMS and LNB (Line 9 + Line 12)</t>
  </si>
  <si>
    <t>SCR Instrument &amp; Control</t>
  </si>
  <si>
    <t xml:space="preserve">Kentucky Power's Portion of Rockport's CEMS (Line 13 * 15%) </t>
  </si>
  <si>
    <t xml:space="preserve">Kentucky Power's Portion of AEGCo's LNB and Landfill (Line 13 * 30%) </t>
  </si>
  <si>
    <t>Total Revenue Requirement.  (C 4, Ln 14 + C 7, Ln 15 + C 8, L 15)</t>
  </si>
  <si>
    <r>
      <t>Note:</t>
    </r>
    <r>
      <rPr>
        <sz val="10"/>
        <rFont val="Arial"/>
        <family val="0"/>
      </rPr>
      <t xml:space="preserve">   Cost in Column 8, Line 16 is to be Recorded on </t>
    </r>
  </si>
  <si>
    <r>
      <t xml:space="preserve">       </t>
    </r>
    <r>
      <rPr>
        <b/>
        <sz val="10"/>
        <rFont val="Arial"/>
        <family val="2"/>
      </rPr>
      <t>ES FORM 3.20</t>
    </r>
    <r>
      <rPr>
        <sz val="10"/>
        <rFont val="Arial"/>
        <family val="0"/>
      </rPr>
      <t>, Line 16</t>
    </r>
  </si>
  <si>
    <t>Install Parking Lot for the Benefit of SCR Project</t>
  </si>
  <si>
    <t>April 18,                  2002</t>
  </si>
  <si>
    <t>Install New Guardhouse</t>
  </si>
  <si>
    <t>Install                    Switchgear Bldg &amp; Assoc</t>
  </si>
  <si>
    <t>Install                     Air                   Heater/                         Sootblowers</t>
  </si>
  <si>
    <t>July 31,         2002</t>
  </si>
  <si>
    <t>Install                     Economizer Proportion Dampers</t>
  </si>
  <si>
    <t>Work Order #</t>
  </si>
  <si>
    <t xml:space="preserve">(40223511)   (W0007814)   (W0007815)   </t>
  </si>
  <si>
    <t>Install ID                                          Booster Fans                                            for SCR Proj</t>
  </si>
  <si>
    <t>CMS -                   Howden                                                Booster                                          Fan</t>
  </si>
  <si>
    <t>(03500624)</t>
  </si>
  <si>
    <t>(03500589)</t>
  </si>
  <si>
    <t>(40148337)</t>
  </si>
  <si>
    <t>(40218878)</t>
  </si>
  <si>
    <t>(40219259)</t>
  </si>
  <si>
    <t>(40219309)</t>
  </si>
  <si>
    <t>(40219396)</t>
  </si>
  <si>
    <t>(40219406)</t>
  </si>
  <si>
    <t>(40218862)</t>
  </si>
  <si>
    <t>(40219436)</t>
  </si>
  <si>
    <t>Inservice            Date</t>
  </si>
  <si>
    <t>ES FORM 3.10, Line 10</t>
  </si>
  <si>
    <t>SCR                       Aux                    Station</t>
  </si>
  <si>
    <t>Funding Project</t>
  </si>
  <si>
    <t>WSX114128</t>
  </si>
  <si>
    <t>WSX115587</t>
  </si>
  <si>
    <t>J00050735</t>
  </si>
  <si>
    <t>PROPERTY                                   TAX</t>
  </si>
  <si>
    <t>DEPRECIATION                              &amp;                                           AMORTIZATION</t>
  </si>
  <si>
    <t>MONTHLY                                      RETURN                                  ON                                     RATE BASE</t>
  </si>
  <si>
    <t>MONTHLY                                      AMORTIZATION                            OF                               CATALYST LAYERS</t>
  </si>
  <si>
    <t>( J )</t>
  </si>
  <si>
    <t>( K )</t>
  </si>
  <si>
    <t>( M )</t>
  </si>
  <si>
    <t>( N )</t>
  </si>
  <si>
    <t>( O )</t>
  </si>
  <si>
    <t>( P )</t>
  </si>
  <si>
    <t>( Q )</t>
  </si>
  <si>
    <t>( R )</t>
  </si>
  <si>
    <t>( S )</t>
  </si>
  <si>
    <t>( T )</t>
  </si>
  <si>
    <t>( U )</t>
  </si>
  <si>
    <t>( V )</t>
  </si>
  <si>
    <t>( W )</t>
  </si>
  <si>
    <t>( Z )</t>
  </si>
  <si>
    <t>( AA )</t>
  </si>
  <si>
    <t>( AC )</t>
  </si>
  <si>
    <t>2012-01-17</t>
  </si>
  <si>
    <t>000150956</t>
  </si>
  <si>
    <t>2012-01-25</t>
  </si>
  <si>
    <t>000150958</t>
  </si>
  <si>
    <t xml:space="preserve">   NOx Emissions Allowance                               Adjustment</t>
  </si>
  <si>
    <t>( AD )</t>
  </si>
  <si>
    <t>( AE )</t>
  </si>
  <si>
    <t>( AF )</t>
  </si>
  <si>
    <t>( AG )</t>
  </si>
  <si>
    <t>Reverse Osmosis Water System (ROWS)</t>
  </si>
  <si>
    <t>(X1165780)</t>
  </si>
  <si>
    <t>June 9,                             2003</t>
  </si>
  <si>
    <t>December 19, 2002</t>
  </si>
  <si>
    <t>Inservice                                         Date</t>
  </si>
  <si>
    <r>
      <t xml:space="preserve">(40160707)              </t>
    </r>
    <r>
      <rPr>
        <b/>
        <i/>
        <sz val="10"/>
        <rFont val="Arial"/>
        <family val="2"/>
      </rPr>
      <t>(Note : Only 25% of the ROWS is allowed.)</t>
    </r>
  </si>
  <si>
    <t>(Tracking Outstanding Charges)</t>
  </si>
  <si>
    <t xml:space="preserve">Surcharge Amount To Be Collected  </t>
  </si>
  <si>
    <t>Roofing, Painting, Electrical &amp; Siding Contract)</t>
  </si>
  <si>
    <t>(X1165771)</t>
  </si>
  <si>
    <t>June 28,                             2003</t>
  </si>
  <si>
    <t>( AH )</t>
  </si>
  <si>
    <t>April 30, 1994</t>
  </si>
  <si>
    <t>June 30,                         1998</t>
  </si>
  <si>
    <r>
      <t xml:space="preserve">       2)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Net Gain or (Loss) from Allowance Sales, </t>
    </r>
  </si>
  <si>
    <t>Total Net Gain or (Loss) from Emission Allowance Sales</t>
  </si>
  <si>
    <t>Kentucky Power Company</t>
  </si>
  <si>
    <t>Total Year 2003</t>
  </si>
  <si>
    <t>Total Year 2004</t>
  </si>
  <si>
    <r>
      <t xml:space="preserve">Monthly </t>
    </r>
    <r>
      <rPr>
        <b/>
        <sz val="10"/>
        <rFont val="Arial"/>
        <family val="2"/>
      </rPr>
      <t>Amortization</t>
    </r>
    <r>
      <rPr>
        <sz val="10"/>
        <rFont val="Arial"/>
        <family val="2"/>
      </rPr>
      <t xml:space="preserve"> Expense</t>
    </r>
  </si>
  <si>
    <t xml:space="preserve">   ERC Consumed By Kentucky Power </t>
  </si>
  <si>
    <t>2005</t>
  </si>
  <si>
    <t>(40316507)</t>
  </si>
  <si>
    <t>February 23, 2004</t>
  </si>
  <si>
    <t>( AI )</t>
  </si>
  <si>
    <t>( Roofing, Painting, Electrical &amp; Siding                   Contract )</t>
  </si>
  <si>
    <t>SCR             Completion        Work Order                           (Cleanup                Work Order)</t>
  </si>
  <si>
    <t>Work                                                                                                             Description</t>
  </si>
  <si>
    <t>Material                                 Costs</t>
  </si>
  <si>
    <t>Outside                Contract                                   Labor</t>
  </si>
  <si>
    <t>Total                                     Costs</t>
  </si>
  <si>
    <t>Equipment - Associated Operating Expenses</t>
  </si>
  <si>
    <t>Equipment - Associated Maintenance Expenses</t>
  </si>
  <si>
    <t>Misc             Other                 Costs</t>
  </si>
  <si>
    <t>(40552689)</t>
  </si>
  <si>
    <t>(40865180)</t>
  </si>
  <si>
    <t>07/20/2006</t>
  </si>
  <si>
    <t>05/14/2007</t>
  </si>
  <si>
    <t>Environmental Equipment Operation and Maintenance Costs</t>
  </si>
  <si>
    <t xml:space="preserve">(03500581)          (05/24/2002)  </t>
  </si>
  <si>
    <t>May 24,        2004</t>
  </si>
  <si>
    <t>Additional Operator Overtime During The Ozone Season</t>
  </si>
  <si>
    <t>Plant Support, SCAF Safe OFA, Hyd Blast</t>
  </si>
  <si>
    <t>(40279311)            (12/31/2003)</t>
  </si>
  <si>
    <t>( L )</t>
  </si>
  <si>
    <t xml:space="preserve">( L ) </t>
  </si>
  <si>
    <t xml:space="preserve">( X ) </t>
  </si>
  <si>
    <t>( AJ )</t>
  </si>
  <si>
    <t>( AK )</t>
  </si>
  <si>
    <t>( AL )</t>
  </si>
  <si>
    <t>( AM )</t>
  </si>
  <si>
    <t>2010</t>
  </si>
  <si>
    <t>Total Year 2010</t>
  </si>
  <si>
    <t>December 31,                         2003</t>
  </si>
  <si>
    <t>Corrosion                              Low NOx                               Burners</t>
  </si>
  <si>
    <t>Voucher        ID</t>
  </si>
  <si>
    <t>Voucher               ID                   Date</t>
  </si>
  <si>
    <t>Account</t>
  </si>
  <si>
    <t>Payor</t>
  </si>
  <si>
    <t>Vendor               ID</t>
  </si>
  <si>
    <t>5060000</t>
  </si>
  <si>
    <t>Dept       ID</t>
  </si>
  <si>
    <t>11105</t>
  </si>
  <si>
    <t>10255</t>
  </si>
  <si>
    <t>0000122626</t>
  </si>
  <si>
    <t>10204</t>
  </si>
  <si>
    <t>West            Virginia              Dept</t>
  </si>
  <si>
    <t>Treasurer                               of State                    of Ohio</t>
  </si>
  <si>
    <t>10887</t>
  </si>
  <si>
    <t>OPCo Wholly or Jointly Owned Plant</t>
  </si>
  <si>
    <t>10742</t>
  </si>
  <si>
    <t>The WACC (PRE - TAX) value on Line 5 is to be recorded on ES FORM 3.10, Line 9.</t>
  </si>
  <si>
    <t>(40425950)</t>
  </si>
  <si>
    <t>August 04, 2004</t>
  </si>
  <si>
    <t xml:space="preserve">Emission Testing Required Under Permit - </t>
  </si>
  <si>
    <t>Operation</t>
  </si>
  <si>
    <t>Maintenance</t>
  </si>
  <si>
    <t>OFA</t>
  </si>
  <si>
    <t>(40337915)</t>
  </si>
  <si>
    <t>August 31, 2004</t>
  </si>
  <si>
    <t>SCR - Roof on Elevation 136</t>
  </si>
  <si>
    <r>
      <t xml:space="preserve">       1)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ERC Sales Proceeds, received during Expense Month</t>
    </r>
  </si>
  <si>
    <t>Acctg Date</t>
  </si>
  <si>
    <t>Unit</t>
  </si>
  <si>
    <t>GL Unit</t>
  </si>
  <si>
    <t>Voucher</t>
  </si>
  <si>
    <t>Invoice</t>
  </si>
  <si>
    <t>Name</t>
  </si>
  <si>
    <t>Cost Comp</t>
  </si>
  <si>
    <t>Amount</t>
  </si>
  <si>
    <t>132</t>
  </si>
  <si>
    <t>Year                           2013</t>
  </si>
  <si>
    <t>0000033613</t>
  </si>
  <si>
    <t>11109</t>
  </si>
  <si>
    <t>999</t>
  </si>
  <si>
    <t>10224</t>
  </si>
  <si>
    <t>10708</t>
  </si>
  <si>
    <t>ENDING INVENTORY - Record Balance in Column (4) on                                                          ES FORM 3.10, Line 5</t>
  </si>
  <si>
    <r>
      <t>Note :</t>
    </r>
    <r>
      <rPr>
        <sz val="10"/>
        <color indexed="10"/>
        <rFont val="Arial"/>
        <family val="2"/>
      </rPr>
      <t xml:space="preserve">   For any sale or transfer of ERCs or NOx emission allowances, attach to this report</t>
    </r>
  </si>
  <si>
    <t>documentation showing the currently available market prices for similar ERC or NOx allowances.</t>
  </si>
  <si>
    <t>Total Early Reduction Credits (ERC)</t>
  </si>
  <si>
    <t>Consumed:</t>
  </si>
  <si>
    <t>June 2004</t>
  </si>
  <si>
    <t>July 2004</t>
  </si>
  <si>
    <t>Total Consumed</t>
  </si>
  <si>
    <t>Remaining Early Reduction Credits (ERC)</t>
  </si>
  <si>
    <t>(03500714) (40205123 &amp; 40285822)                                    (12-24-2002)                    (40237730)                                           (12-02-2002)</t>
  </si>
  <si>
    <t>December 31,                        1994</t>
  </si>
  <si>
    <t>May 24,                                 2002</t>
  </si>
  <si>
    <t>#15 Conveyor</t>
  </si>
  <si>
    <t>2006</t>
  </si>
  <si>
    <t>Total Year 2006</t>
  </si>
  <si>
    <t>February 03, 2005</t>
  </si>
  <si>
    <t>RO Water                              Filtration System</t>
  </si>
  <si>
    <t>March 01,                              2005</t>
  </si>
  <si>
    <t>Low NOx                                   Burners</t>
  </si>
  <si>
    <t>(40968283)                                                               (41081847)</t>
  </si>
  <si>
    <t>0X/XX/2008</t>
  </si>
  <si>
    <t>#15                                       Conveyor</t>
  </si>
  <si>
    <t>Install SCR                            Roof on                    Elevation                                136</t>
  </si>
  <si>
    <t>(03000020)   (40164630)   (03500745)   (X1162840)   (X1166680)</t>
  </si>
  <si>
    <t>Monthly          Environmental     Surcharge              Amount   Collected</t>
  </si>
  <si>
    <t xml:space="preserve">   SO2 Emissions Allowance                               Adjustment</t>
  </si>
  <si>
    <t>Cash Working Capital Allowance from ES FORM 3.13, Line 13</t>
  </si>
  <si>
    <t>KENTUCKY POWER COMPANY - ENVIRONMENTAL SURCHARGE REPORT</t>
  </si>
  <si>
    <t>X00000002</t>
  </si>
  <si>
    <t>(40526129)</t>
  </si>
  <si>
    <t>2008-01-23</t>
  </si>
  <si>
    <t>00175470</t>
  </si>
  <si>
    <t>INDIANA DEPT OF ENVIRON MGMT</t>
  </si>
  <si>
    <t>2008-01-24</t>
  </si>
  <si>
    <t>00175517</t>
  </si>
  <si>
    <t>000087832</t>
  </si>
  <si>
    <t>PERMIT                                  FEE</t>
  </si>
  <si>
    <t>AIR                                         PERMIT</t>
  </si>
  <si>
    <t>INDIANA                                                                DEPARTMENT OF</t>
  </si>
  <si>
    <t>Rockport                                                               Plant</t>
  </si>
  <si>
    <t>2011</t>
  </si>
  <si>
    <t>Total Year 2011</t>
  </si>
  <si>
    <t>March 31,                   2006</t>
  </si>
  <si>
    <t>(40602011)</t>
  </si>
  <si>
    <t>July 26,          2005</t>
  </si>
  <si>
    <t>(40601916)</t>
  </si>
  <si>
    <t>August 23,            2005</t>
  </si>
  <si>
    <t>November            2005</t>
  </si>
  <si>
    <t>(40352988)</t>
  </si>
  <si>
    <t>(40568095)                              (40433711)</t>
  </si>
  <si>
    <t>May 30,                                  2006</t>
  </si>
  <si>
    <t>(Y)</t>
  </si>
  <si>
    <t>( AN )</t>
  </si>
  <si>
    <t>( AO )</t>
  </si>
  <si>
    <t>( AP )</t>
  </si>
  <si>
    <t>( AQ )</t>
  </si>
  <si>
    <t>( AR )</t>
  </si>
  <si>
    <t>( AS )</t>
  </si>
  <si>
    <t>( AT )</t>
  </si>
  <si>
    <t>( AU )</t>
  </si>
  <si>
    <t>( AV )</t>
  </si>
  <si>
    <t>( AX )</t>
  </si>
  <si>
    <t>( AY )</t>
  </si>
  <si>
    <t>Sub-total</t>
  </si>
  <si>
    <t xml:space="preserve">CAPITALIZATION                   OFFSETS                            </t>
  </si>
  <si>
    <t>.</t>
  </si>
  <si>
    <r>
      <t xml:space="preserve">0000060525                                  </t>
    </r>
    <r>
      <rPr>
        <strike/>
        <sz val="10"/>
        <rFont val="Arial"/>
        <family val="2"/>
      </rPr>
      <t xml:space="preserve">5104112601                          0000060485                               </t>
    </r>
  </si>
  <si>
    <t>Environmental Surcharge Factor for Expense  Month                                                     (Line 8 / LINE 9)</t>
  </si>
  <si>
    <r>
      <t>(03500582)</t>
    </r>
    <r>
      <rPr>
        <sz val="10"/>
        <rFont val="Arial"/>
        <family val="2"/>
      </rPr>
      <t xml:space="preserve">       </t>
    </r>
    <r>
      <rPr>
        <strike/>
        <sz val="10"/>
        <rFont val="Arial"/>
        <family val="2"/>
      </rPr>
      <t>(Open)</t>
    </r>
    <r>
      <rPr>
        <sz val="10"/>
        <rFont val="Arial"/>
        <family val="2"/>
      </rPr>
      <t xml:space="preserve">                           (40375191)            (05/24/2004)</t>
    </r>
  </si>
  <si>
    <t>(Stack Flow Monitors)</t>
  </si>
  <si>
    <t>(40668596)</t>
  </si>
  <si>
    <t>02/10/2007</t>
  </si>
  <si>
    <t>Kentucky Retail Revenues for Current Expense Month</t>
  </si>
  <si>
    <t>/</t>
  </si>
  <si>
    <t>Amos</t>
  </si>
  <si>
    <t xml:space="preserve">Cardinal </t>
  </si>
  <si>
    <t xml:space="preserve">Gavin </t>
  </si>
  <si>
    <t xml:space="preserve">Kammer </t>
  </si>
  <si>
    <t>Mitchell</t>
  </si>
  <si>
    <t xml:space="preserve">Muskingum </t>
  </si>
  <si>
    <t xml:space="preserve">Sporn </t>
  </si>
  <si>
    <t>Year 2013</t>
  </si>
  <si>
    <t xml:space="preserve"> 2013 for - </t>
  </si>
  <si>
    <t xml:space="preserve"> Paid $471,193.07</t>
  </si>
  <si>
    <t xml:space="preserve"> in January</t>
  </si>
  <si>
    <t xml:space="preserve"> 2014 Fiscal Year</t>
  </si>
  <si>
    <t>2012-11-29</t>
  </si>
  <si>
    <t>00101974</t>
  </si>
  <si>
    <t>119814</t>
  </si>
  <si>
    <t>4195934701</t>
  </si>
  <si>
    <t>OPCo's                Share</t>
  </si>
  <si>
    <t>Total                                      Plant                                   Capacity</t>
  </si>
  <si>
    <t>Applicable       %</t>
  </si>
  <si>
    <t>(Col 3 / Col 4)</t>
  </si>
  <si>
    <t>Low NOx                                  Burners</t>
  </si>
  <si>
    <t>(40668588)</t>
  </si>
  <si>
    <t>(40908587)   (40935216)   (40942102)   (40901421)   (40901444)</t>
  </si>
  <si>
    <t>(40852537)</t>
  </si>
  <si>
    <t>12/22/2007</t>
  </si>
  <si>
    <t>05/XX/2007</t>
  </si>
  <si>
    <t>11/19/2007</t>
  </si>
  <si>
    <t>Annual          Amount              Air                Emission                          Fees</t>
  </si>
  <si>
    <t>(Col 2 / Col 5)</t>
  </si>
  <si>
    <t>Applicable                  Annual                                Air                                       Emission                              Fees</t>
  </si>
  <si>
    <t>Applicable                  Monthly                                Air                                       Emission                              Fees</t>
  </si>
  <si>
    <t>(Col 6 / 12)</t>
  </si>
  <si>
    <t>STATE TAXABLE PRODUCTION INCOME BEFORE 199 DEDUCTION</t>
  </si>
  <si>
    <t>STATE INCOME TAX EXPENSE, NET OF 199 DEDUCTION (SEE BELOW)</t>
  </si>
  <si>
    <t>FEDERAL TAXABLE PRODUCTION INCOME BEFORE 199 DEDUCTION</t>
  </si>
  <si>
    <t>199 DEDUCTION PHASE-IN</t>
  </si>
  <si>
    <t>FEDERAL TAXABLE PRODUCTION INCOME</t>
  </si>
  <si>
    <t>FEDERAL INCOME TAX EXPENSE AFTER 199 DEDUCTION (35%)</t>
  </si>
  <si>
    <t>AFTER-TAX PRODUCTION INCOME</t>
  </si>
  <si>
    <t>GROSS-UP FACTOR FOR PRODUCTION INCOME:</t>
  </si>
  <si>
    <t xml:space="preserve">       AFTER-TAX PRODUCTION INCOME</t>
  </si>
  <si>
    <t xml:space="preserve">       199 DEDUCTION PHASE-IN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</si>
  <si>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</si>
  <si>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</si>
  <si>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</si>
  <si>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</si>
  <si>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</si>
  <si>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</si>
  <si>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</si>
  <si>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</si>
  <si>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>Check                                   Factors ===&gt;</t>
  </si>
  <si>
    <t>Change                                  Annually ===&gt;</t>
  </si>
  <si>
    <t xml:space="preserve">       PRE-TAX PRODUCTION INCOME</t>
  </si>
  <si>
    <t>Low Nox                                  Burners</t>
  </si>
  <si>
    <t>(40581336)                              (40581338)</t>
  </si>
  <si>
    <t>(40709762)                               05/30/2006</t>
  </si>
  <si>
    <t>(40749370)                               05/31/2006</t>
  </si>
  <si>
    <t>(40758256)</t>
  </si>
  <si>
    <t>05/30/2006</t>
  </si>
  <si>
    <t xml:space="preserve">       STATE TAXABLE PRODUCTION INCOME BEFORE 199 DEDUCTION</t>
  </si>
  <si>
    <t>Total Year 2005</t>
  </si>
  <si>
    <t xml:space="preserve">       LESS:   STATE 199 DEDUCTION</t>
  </si>
  <si>
    <t>Total Year 2013</t>
  </si>
  <si>
    <t xml:space="preserve">       STATE INCOME TAX RATE</t>
  </si>
  <si>
    <t xml:space="preserve">       STATE INCOME TAX EXPENSE (LINE 5 X LINE 6)</t>
  </si>
  <si>
    <t>KPCO's Rockport Unit Power O&amp;M:</t>
  </si>
  <si>
    <t>E.S. Form 3.20, Line 11 X 15%</t>
  </si>
  <si>
    <t>Total Twelve Month Total Cash Working Capital Allowance</t>
  </si>
  <si>
    <t>Total Cost at Line 27 is to be recorded on ES FORM 3.10, Line 7.</t>
  </si>
  <si>
    <t>Flyash Hopper Not Precipitator</t>
  </si>
  <si>
    <t>2011-01-26</t>
  </si>
  <si>
    <t>TITLEV ANNUAL PERMIT FEE</t>
  </si>
  <si>
    <t>2011-01-31</t>
  </si>
  <si>
    <t>000133956</t>
  </si>
  <si>
    <t>2010-11-11</t>
  </si>
  <si>
    <t>00087628</t>
  </si>
  <si>
    <t>96369</t>
  </si>
  <si>
    <t>4159742901</t>
  </si>
  <si>
    <t>2009-11-23</t>
  </si>
  <si>
    <t>00080184</t>
  </si>
  <si>
    <t>85251</t>
  </si>
  <si>
    <t>4137021901</t>
  </si>
  <si>
    <t>Expense Distribution</t>
  </si>
  <si>
    <r>
      <t>0000064272</t>
    </r>
    <r>
      <rPr>
        <sz val="10"/>
        <rFont val="Arial"/>
        <family val="0"/>
      </rPr>
      <t xml:space="preserve">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0000122626</t>
    </r>
  </si>
  <si>
    <t>5100000</t>
  </si>
  <si>
    <t xml:space="preserve">Per Susan Edie - Canton,  32.619% is OPCo 12 Months Ended </t>
  </si>
  <si>
    <t>(July 2011 to June 2012) Share of Account 506.</t>
  </si>
  <si>
    <t>The $318,694.16 amount is the September 2011 payment.</t>
  </si>
  <si>
    <t>Total Year 2012</t>
  </si>
  <si>
    <t>2009</t>
  </si>
  <si>
    <t>Total Year 2009</t>
  </si>
  <si>
    <t xml:space="preserve"> 2013 Fiscal Year</t>
  </si>
  <si>
    <t xml:space="preserve">Total                                       Units                                    1 &amp; 2                                      (C5 + C6) </t>
  </si>
  <si>
    <t>ES FORM   3.12 B</t>
  </si>
  <si>
    <t>ES FORM   3.12 A</t>
  </si>
  <si>
    <t>SEASONAL NOx EMISSIONS ALLOWANCE INVENTORY</t>
  </si>
  <si>
    <t>2010-01-15</t>
  </si>
  <si>
    <t>00230290</t>
  </si>
  <si>
    <t>000116782</t>
  </si>
  <si>
    <t>0000033616</t>
  </si>
  <si>
    <t>2010-01-20</t>
  </si>
  <si>
    <t>00230725</t>
  </si>
  <si>
    <t>INDIANA                                                                DEPARTMENT</t>
  </si>
  <si>
    <t>( AB )</t>
  </si>
  <si>
    <t>August 04,       2006</t>
  </si>
  <si>
    <r>
      <t xml:space="preserve">       </t>
    </r>
    <r>
      <rPr>
        <b/>
        <sz val="10"/>
        <rFont val="Arial"/>
        <family val="2"/>
      </rPr>
      <t>ES FORM 3.10</t>
    </r>
    <r>
      <rPr>
        <sz val="10"/>
        <rFont val="Arial"/>
        <family val="0"/>
      </rPr>
      <t>, Line 20</t>
    </r>
  </si>
  <si>
    <t>Net KY Retail E(m) (LINE 5 + LINE 6)</t>
  </si>
  <si>
    <t>2008</t>
  </si>
  <si>
    <t>Total Year 2008</t>
  </si>
  <si>
    <t>Low NOx Burners</t>
  </si>
  <si>
    <t>Difference</t>
  </si>
  <si>
    <t>(40695261)</t>
  </si>
  <si>
    <r>
      <t xml:space="preserve">0000060525                             </t>
    </r>
    <r>
      <rPr>
        <strike/>
        <sz val="10"/>
        <rFont val="Arial"/>
        <family val="2"/>
      </rPr>
      <t>0000060485</t>
    </r>
  </si>
  <si>
    <r>
      <t>10642</t>
    </r>
    <r>
      <rPr>
        <sz val="8"/>
        <rFont val="Arial"/>
        <family val="2"/>
      </rPr>
      <t xml:space="preserve">             10887</t>
    </r>
  </si>
  <si>
    <t>Rockport       Plant       Common</t>
  </si>
  <si>
    <t>Unit                                         No. 1</t>
  </si>
  <si>
    <t>Unit                                         No. 2</t>
  </si>
  <si>
    <t>Rockport Plant Continuous Environmental Monitoring System (CEMS)</t>
  </si>
  <si>
    <t>AEGCo Low NOx Burners (LNB) Installed Cost</t>
  </si>
  <si>
    <t>Total Revenue Requirement, Cost Associated with Rockport Plant</t>
  </si>
  <si>
    <t xml:space="preserve">Kentucky Power's Portion of Rockport Plants' </t>
  </si>
  <si>
    <t>ES FORM 3.00 Line 2</t>
  </si>
  <si>
    <t>CEMS                                         (Stack Flow Monitors)</t>
  </si>
  <si>
    <t>Description</t>
  </si>
  <si>
    <t>Kentucky Retail Revenues</t>
  </si>
  <si>
    <t>FERC Wholesale Revenues</t>
  </si>
  <si>
    <t>Associated Utilities Revenues</t>
  </si>
  <si>
    <t>Non-Assoc. Utilities Revenues</t>
  </si>
  <si>
    <t>Monthly Revenues</t>
  </si>
  <si>
    <t>Percentage of Total Revenues</t>
  </si>
  <si>
    <t>Line No.</t>
  </si>
  <si>
    <t>L/T DEBT</t>
  </si>
  <si>
    <t>LINE NO.</t>
  </si>
  <si>
    <t>S/T DEBT</t>
  </si>
  <si>
    <t>DEBT</t>
  </si>
  <si>
    <t>C EQUITY</t>
  </si>
  <si>
    <t>TOTAL</t>
  </si>
  <si>
    <t>==========</t>
  </si>
  <si>
    <t>-------------------</t>
  </si>
  <si>
    <t>GRCF</t>
  </si>
  <si>
    <t>1/</t>
  </si>
  <si>
    <t>2/</t>
  </si>
  <si>
    <t>OPERATING REVENUE</t>
  </si>
  <si>
    <t>Bus Unit</t>
  </si>
  <si>
    <t>Voucher ID</t>
  </si>
  <si>
    <t>Vendor ID</t>
  </si>
  <si>
    <t>Invoice #</t>
  </si>
  <si>
    <t>Work Order</t>
  </si>
  <si>
    <t>Dept ID</t>
  </si>
  <si>
    <t>117</t>
  </si>
  <si>
    <t>KENTUCKY STATE TREASURER</t>
  </si>
  <si>
    <t>4002484615</t>
  </si>
  <si>
    <t>10218</t>
  </si>
  <si>
    <t>INCOME BEFORE FED INC TAX</t>
  </si>
  <si>
    <t>LESS:   FEDERAL INCOME TAX</t>
  </si>
  <si>
    <t>OPERATING INCOME PERCENTAGE</t>
  </si>
  <si>
    <t>GROSS REVENUE CONVERSION</t>
  </si>
  <si>
    <t xml:space="preserve">       FACTOR   (100% / LINE 7)</t>
  </si>
  <si>
    <t xml:space="preserve">       (LINE 4 X .35)</t>
  </si>
  <si>
    <t>CURRENT PERIOD REVENUE REQUIREMENT</t>
  </si>
  <si>
    <t xml:space="preserve">       BIG SANDY PLANT COST OF CAPITAL</t>
  </si>
  <si>
    <t>The Kentucky Retail Monthly Revenues and Percentage of Total Revenues (Line 1) are</t>
  </si>
  <si>
    <t>Revenues to the Total Revenues for the Expense Month will be the Kentucky Retail</t>
  </si>
  <si>
    <t xml:space="preserve">                             OVER/(UNDER) RECOVERY ADJUSTMENT</t>
  </si>
  <si>
    <t>Amounts</t>
  </si>
  <si>
    <t>COST COMPONENT</t>
  </si>
  <si>
    <t>Return on Rate Base :</t>
  </si>
  <si>
    <t>Less Accumulated Depreciation</t>
  </si>
  <si>
    <t>Less Accum. Def. Income Taxes</t>
  </si>
  <si>
    <t>(Over) / Under Recovery Adjustment from ES FORM 3.30</t>
  </si>
  <si>
    <t>Over / (Under) Recovery (3) - (4) = (5)</t>
  </si>
  <si>
    <t>Total Rate Base</t>
  </si>
  <si>
    <t>Contact is Todd Henry @ Cardinal Plant</t>
  </si>
  <si>
    <t>2007</t>
  </si>
  <si>
    <t>Operating Expenses :</t>
  </si>
  <si>
    <t>Brr from ES FORM 1.10</t>
  </si>
  <si>
    <t>MONTHLY BASE PERIOD REVENUE REQUIREMENT</t>
  </si>
  <si>
    <t>Monthly Weighted Avg. Cost of Capital (9) / 12</t>
  </si>
  <si>
    <t>Monthly Return of Rate Base (8) * (10)</t>
  </si>
  <si>
    <t>Dollar Value                           of Activity</t>
  </si>
  <si>
    <t>Cumulative                            Dollar                                   Balance</t>
  </si>
  <si>
    <t>ES FORM   1.10</t>
  </si>
  <si>
    <t>Base Net                               Environmental                       Costs</t>
  </si>
  <si>
    <t>Billing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</si>
  <si>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</si>
  <si>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</si>
  <si>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</si>
  <si>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</si>
  <si>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</si>
  <si>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</si>
  <si>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</si>
  <si>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</si>
  <si>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</si>
  <si>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</si>
  <si>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</si>
  <si>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</si>
  <si>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</si>
  <si>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Monthly Depreciation Expense</t>
  </si>
  <si>
    <t>Monthly Indiana Air Emissions Fee</t>
  </si>
  <si>
    <t>With each monthly filing, attach a schedule similar to Exhibit EKW-2, page 11 of 11</t>
  </si>
  <si>
    <t>(Wagner Direct Testimony in Case No. 96-489), showing the calculation of the Weighted</t>
  </si>
  <si>
    <r>
      <t xml:space="preserve">0000122626                             </t>
    </r>
    <r>
      <rPr>
        <strike/>
        <sz val="10"/>
        <rFont val="Arial"/>
        <family val="2"/>
      </rPr>
      <t>0000064272</t>
    </r>
  </si>
  <si>
    <t>Average Cost of Capital.  These calculations should reflect the provisions of the</t>
  </si>
  <si>
    <t>Rockport Unit Power Agreement, and be as of the Current Expense Month.</t>
  </si>
  <si>
    <t>Allowance Activity in Month</t>
  </si>
  <si>
    <t>(1)</t>
  </si>
  <si>
    <t>Cumulative Balance</t>
  </si>
  <si>
    <t xml:space="preserve"> 2011 for - </t>
  </si>
  <si>
    <t xml:space="preserve"> 2012 Fiscal Year</t>
  </si>
  <si>
    <t xml:space="preserve"> Paid $</t>
  </si>
  <si>
    <t>Year 2011</t>
  </si>
  <si>
    <t>SCR Booster Fan</t>
  </si>
  <si>
    <t>Dollar Value of Activity</t>
  </si>
  <si>
    <t>Cumulative Dollar Balance</t>
  </si>
  <si>
    <t>Weighted Average Cost</t>
  </si>
  <si>
    <t>BEGINNING INVENTORY</t>
  </si>
  <si>
    <t xml:space="preserve">Additions - </t>
  </si>
  <si>
    <t xml:space="preserve">   EPA Allowances</t>
  </si>
  <si>
    <t xml:space="preserve">   Gavin Reallocation</t>
  </si>
  <si>
    <t xml:space="preserve">   P &amp; E Transfers In</t>
  </si>
  <si>
    <t xml:space="preserve">   Intercompany Purchases</t>
  </si>
  <si>
    <t xml:space="preserve">   Other (List)</t>
  </si>
  <si>
    <t xml:space="preserve">Withdrawals - </t>
  </si>
  <si>
    <t xml:space="preserve">   P &amp; E Transfers Out</t>
  </si>
  <si>
    <t xml:space="preserve">   Intercompany Sales</t>
  </si>
  <si>
    <t xml:space="preserve">   Off - System Sales</t>
  </si>
  <si>
    <t>ES FORM   3.11</t>
  </si>
  <si>
    <t>Net Utility Plant</t>
  </si>
  <si>
    <t>Monthly Kentucky Air Emissions Fee</t>
  </si>
  <si>
    <t>Monthly Property Taxes</t>
  </si>
  <si>
    <t>ES FORM   3.10</t>
  </si>
  <si>
    <t>COMPONENTS</t>
  </si>
  <si>
    <t xml:space="preserve">               in compliance with the AEP Interim Allowance</t>
  </si>
  <si>
    <t xml:space="preserve">               Agreement, received during Expense Month</t>
  </si>
  <si>
    <t>Total Current Period Revenue Requirement, CRR Record</t>
  </si>
  <si>
    <t>------------------</t>
  </si>
  <si>
    <t>Utility Plant at Original Cost</t>
  </si>
  <si>
    <t>LINE</t>
  </si>
  <si>
    <t>CALCULATION OF E(m) and SURCHARGE FACTOR</t>
  </si>
  <si>
    <t>CALCULATION OF E(m)</t>
  </si>
  <si>
    <t>E(m) = CRR - BRR</t>
  </si>
  <si>
    <t>E(m) (LINE 1 - LINE 2)</t>
  </si>
  <si>
    <t>KY Retail E(m) (LINE 3 * LINE 4)</t>
  </si>
  <si>
    <t>SURCHARGE FACTOR</t>
  </si>
  <si>
    <t>Net KY Retail E(m) (Line 7)</t>
  </si>
  <si>
    <t xml:space="preserve">Submitted By : </t>
  </si>
  <si>
    <r>
      <t>Big Sandy Net Book Factor (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Assessment)</t>
    </r>
  </si>
  <si>
    <t>2013</t>
  </si>
  <si>
    <t>________________________________</t>
  </si>
  <si>
    <t xml:space="preserve">                         BASE PERIOD REVENUE REQUIREMENT</t>
  </si>
  <si>
    <t>( C )</t>
  </si>
  <si>
    <t>( B )</t>
  </si>
  <si>
    <t>( E )</t>
  </si>
  <si>
    <t>Accumulated Depr.</t>
  </si>
  <si>
    <t>Accumulated DFIT</t>
  </si>
  <si>
    <t>Monthly Depr. Expense</t>
  </si>
  <si>
    <t>Monthly Property Tax</t>
  </si>
  <si>
    <t>MWH                                     Gen</t>
  </si>
  <si>
    <t>MWH/                                    Allow</t>
  </si>
  <si>
    <t xml:space="preserve">Original Cost </t>
  </si>
  <si>
    <t>CEMS</t>
  </si>
  <si>
    <t>( A )</t>
  </si>
  <si>
    <t>( D )</t>
  </si>
  <si>
    <t>Net Book Value</t>
  </si>
  <si>
    <t>Manufacturing Machinery Assessment Factor</t>
  </si>
  <si>
    <t>Assessed Value</t>
  </si>
  <si>
    <t>Property Tax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</si>
  <si>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</si>
  <si>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</si>
  <si>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</si>
  <si>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</si>
  <si>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</si>
  <si>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</si>
  <si>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</si>
  <si>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</si>
  <si>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</si>
  <si>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</si>
  <si>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</si>
  <si>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</si>
  <si>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</si>
  <si>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Jan</t>
  </si>
  <si>
    <t>Feb</t>
  </si>
  <si>
    <t>Mar</t>
  </si>
  <si>
    <t>Apr</t>
  </si>
  <si>
    <t>Jun</t>
  </si>
  <si>
    <t>Jul</t>
  </si>
  <si>
    <t>Aug</t>
  </si>
  <si>
    <t>Oct</t>
  </si>
  <si>
    <t>Nov</t>
  </si>
  <si>
    <t>Dec</t>
  </si>
  <si>
    <t>Unit 1</t>
  </si>
  <si>
    <t>Unit 2</t>
  </si>
  <si>
    <t>Big Sandy Emission Allowance Consumption</t>
  </si>
  <si>
    <t>Allowances</t>
  </si>
  <si>
    <t>Dollars</t>
  </si>
  <si>
    <t>Actual Consumption</t>
  </si>
  <si>
    <t>Kentucky</t>
  </si>
  <si>
    <t>Fees</t>
  </si>
  <si>
    <t xml:space="preserve">Emissions </t>
  </si>
  <si>
    <t>BACKUP  for ES FORM 3.10 BIG SANDY UTILITY PLANT and ASSOCIATED COSTS</t>
  </si>
  <si>
    <t>Year</t>
  </si>
  <si>
    <t>Month</t>
  </si>
  <si>
    <t>2004</t>
  </si>
  <si>
    <t>Water Injection                       System</t>
  </si>
  <si>
    <t>(40337942)</t>
  </si>
  <si>
    <t>(40458810)</t>
  </si>
  <si>
    <t>(03500582)</t>
  </si>
  <si>
    <t>May 24,                                 2004</t>
  </si>
  <si>
    <t>Water                                    Injection                               System</t>
  </si>
  <si>
    <t>CALCULATION OF CURRENT PERIOD REVENUE REQUIREMENT</t>
  </si>
  <si>
    <r>
      <t xml:space="preserve">First Component:   </t>
    </r>
    <r>
      <rPr>
        <sz val="10"/>
        <rFont val="Arial"/>
        <family val="2"/>
      </rPr>
      <t xml:space="preserve">Associated with Big Sandy Plant  </t>
    </r>
  </si>
  <si>
    <t xml:space="preserve">       ((RB KP(C)) (ROR KP(C)/12)) + OE KP(C) </t>
  </si>
  <si>
    <t xml:space="preserve">        [((RB IM(C)) (ROR IM(C)/12)) + OE IM(C) </t>
  </si>
  <si>
    <r>
      <t xml:space="preserve">Second Component:   </t>
    </r>
    <r>
      <rPr>
        <sz val="10"/>
        <rFont val="Arial"/>
        <family val="2"/>
      </rPr>
      <t>Associated with Rockport Plant</t>
    </r>
  </si>
  <si>
    <t xml:space="preserve">       AS</t>
  </si>
  <si>
    <t xml:space="preserve">                           Expense Month</t>
  </si>
  <si>
    <t>Case No. 2005-00068</t>
  </si>
  <si>
    <r>
      <t xml:space="preserve">       1)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EPA Auction Proceeds received during</t>
    </r>
  </si>
  <si>
    <r>
      <t xml:space="preserve">       2)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EPA Auction Proceeds, received during Expense Month </t>
    </r>
  </si>
  <si>
    <r>
      <t xml:space="preserve">       3)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Net Gain or Loss from NOx Allowances Sales, received</t>
    </r>
  </si>
  <si>
    <t xml:space="preserve">                           during Expense Month</t>
  </si>
  <si>
    <t xml:space="preserve">                   Total Net Proceeds from SO2 Allowances</t>
  </si>
  <si>
    <t xml:space="preserve">                   Total Net Proceeds from NOx Allowances</t>
  </si>
  <si>
    <t>COSTS ASSOCIATED WITH BIG SANDY</t>
  </si>
  <si>
    <t>Water Injection System</t>
  </si>
  <si>
    <t>Low Nox Burners</t>
  </si>
  <si>
    <t>OFA &amp;                       Burner Mods.             &amp; Controls</t>
  </si>
  <si>
    <t>Precipitator</t>
  </si>
  <si>
    <t>SCR</t>
  </si>
  <si>
    <t>2009-01-20</t>
  </si>
  <si>
    <t>00200821</t>
  </si>
  <si>
    <t>AIRPERMIT</t>
  </si>
  <si>
    <t>00200820</t>
  </si>
  <si>
    <t>000102244</t>
  </si>
  <si>
    <t>Reverse Osmosis Water System</t>
  </si>
  <si>
    <t>( F )</t>
  </si>
  <si>
    <t>Cash Working Capital Allowance ( Line 14 X 1/8 )</t>
  </si>
  <si>
    <t>( G )</t>
  </si>
  <si>
    <t>( H )</t>
  </si>
  <si>
    <t>( I )</t>
  </si>
  <si>
    <t>Schedule   3.10</t>
  </si>
  <si>
    <t>SO2 Emission Allowance Inventory from ES FORM 3.11</t>
  </si>
  <si>
    <t>ECR &amp; NOx Emission Allowance Inventory from ES FORM 3.12</t>
  </si>
  <si>
    <t>Monthly 2003 Plan Non-Fuel O&amp;M Expenses from ES FORM 3.13</t>
  </si>
  <si>
    <t>Monthly SO2 Emission Allowance Consumption</t>
  </si>
  <si>
    <t>Total Operating Expenses [Line 12 thru Line 18]</t>
  </si>
  <si>
    <t>ANNUAL NOx EMISSIONS ALLOWANCE INVENTORY</t>
  </si>
  <si>
    <t xml:space="preserve">   External Purchases</t>
  </si>
  <si>
    <t xml:space="preserve">   SO2 Emissions Allowances                                      Consumed By Kentucky Power - 1:1                           (Year 2009 &amp; Prior)</t>
  </si>
  <si>
    <t xml:space="preserve">   SO2 Emissions Allowances                                                   Consumed By Kentucky Power - 2:1                               (Years 2010 to 2014) </t>
  </si>
  <si>
    <t>Total Revenue Requirement - Big Sandy</t>
  </si>
  <si>
    <t>Record on ES FORM 3.00, Line 1</t>
  </si>
  <si>
    <t>SO2 EMISSIONS ALLOWANCE INVENTORY</t>
  </si>
  <si>
    <t>Non-Physical Revenues for Month</t>
  </si>
  <si>
    <t>Total Revenues for Month</t>
  </si>
  <si>
    <t>Total Revenues for Surcharges Purposes</t>
  </si>
  <si>
    <t xml:space="preserve">   P&amp;E Transfers In</t>
  </si>
  <si>
    <t>2008-12-15</t>
  </si>
  <si>
    <t>00072455</t>
  </si>
  <si>
    <t>0000036326</t>
  </si>
  <si>
    <t>74661</t>
  </si>
  <si>
    <t>4002484618</t>
  </si>
  <si>
    <t xml:space="preserve">   NOx Consumed By Kentucky Power </t>
  </si>
  <si>
    <t>Monthly SO2 Allowance Consumption</t>
  </si>
  <si>
    <t>1997 Plan :</t>
  </si>
  <si>
    <t>2003 Plan :</t>
  </si>
  <si>
    <t>Monthly Varible Cladding at Big Sandy Unit 1</t>
  </si>
  <si>
    <t>Monthly Urea Consumption at Big Sandy Unit 2</t>
  </si>
  <si>
    <t>Hydrolyzer (AOD)</t>
  </si>
  <si>
    <t>Urea Conveyor</t>
  </si>
  <si>
    <t>Boiler Acoustic Horns</t>
  </si>
  <si>
    <t>SCR Ammonia Injection System (AOD)</t>
  </si>
  <si>
    <t>SCR Boiler Outlet Ductwork</t>
  </si>
  <si>
    <t xml:space="preserve">       Kentucky Public Service Commission Assessment (0.18%)</t>
  </si>
  <si>
    <t>Kentucky Public Service Commission Assessment (0.18%)</t>
  </si>
  <si>
    <t>Cash Working Capital Allowance ( July 2013 ES Form 3.13)</t>
  </si>
  <si>
    <t>Cash Working Capital Allowance ( August 2013 ES Form 3.13)</t>
  </si>
  <si>
    <t>Cash Working Capital Allowance ( September 2013 ES Form 3.13)</t>
  </si>
  <si>
    <t>Cash Working Capital Allowance ( October 2013 ES Form 3.13)</t>
  </si>
  <si>
    <t>*</t>
  </si>
  <si>
    <t>Environmental Surcharge for Expense Month as Calculated</t>
  </si>
  <si>
    <t>Cash Working Capital Allowance (November 2013 ES Form 3.13)</t>
  </si>
  <si>
    <r>
      <t xml:space="preserve">Fourth Component:   </t>
    </r>
    <r>
      <rPr>
        <sz val="10"/>
        <rFont val="Arial"/>
        <family val="2"/>
      </rPr>
      <t xml:space="preserve">Net Proceeds from Emission Allowances Sales                                           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</si>
  <si>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Big Sandy </t>
  </si>
  <si>
    <t>Rockport</t>
  </si>
  <si>
    <t>Emitted Tons</t>
  </si>
  <si>
    <t>Percentage of Total Tons Emitted</t>
  </si>
  <si>
    <t>Total KPCo SO2 Costs for Month:</t>
  </si>
  <si>
    <t>Dollars Allocated to Each Plant</t>
  </si>
  <si>
    <t>Allowances Allocated to Each Plant</t>
  </si>
  <si>
    <t>Total KPCo Allowances Consumed:</t>
  </si>
  <si>
    <t>Plant</t>
  </si>
  <si>
    <t xml:space="preserve">Big Sandy &amp; Rockport </t>
  </si>
  <si>
    <t>Total KPCo AN Costs for Month:</t>
  </si>
  <si>
    <t>Billed Revenues</t>
  </si>
  <si>
    <t>If Not=0%, ES Collected</t>
  </si>
  <si>
    <t>Billed Surcharge (As calculated)</t>
  </si>
  <si>
    <t>Cash Working Capital Allowance (December 2013 ES Form 3.13)</t>
  </si>
  <si>
    <t>Cash Working Capital Allowance (January 2014 ES Form 3.13)</t>
  </si>
  <si>
    <t>Big Sandy SO2 Emission Allowance Consumption</t>
  </si>
  <si>
    <t>Big Sandy Annual NOx Emission Allowance Consumption</t>
  </si>
  <si>
    <t>March 2014                                                                 O &amp; M Expenses Filed</t>
  </si>
  <si>
    <t>Cash Working Capital Allowance (February 2014 ES Form 3.13)</t>
  </si>
  <si>
    <t>Title :                                                Director, Regulatory Services</t>
  </si>
  <si>
    <t>Cash Working Capital Allowance (March 2014 ES Form 3.13)</t>
  </si>
  <si>
    <t>As of                                           4/30/2013</t>
  </si>
  <si>
    <t>Case No. 2013 - 00325 dated - April 29, 2014</t>
  </si>
  <si>
    <t xml:space="preserve">       COLLECTIBLE ACCOUNTS EXPENSE (0.25%)</t>
  </si>
  <si>
    <t>Weighted Average Cost of Captial Balances As of 4/30/2013 based on Case No. 2013-00325, dated April 29, 2014.</t>
  </si>
  <si>
    <t>Rate of Return on Common Equity per Case No. 2013-00325 dated April 29, 2014</t>
  </si>
  <si>
    <t>Cash Working Capital Allowance (April 2014 ES Form 3.13)</t>
  </si>
  <si>
    <t>Big Sandy Seasonal NOx Emission Allowance Consumption</t>
  </si>
  <si>
    <t>Total KPCo NX Costs for Month:</t>
  </si>
  <si>
    <t>Cash Working Capital Allowance (May 2014 ES Form 3.13)</t>
  </si>
  <si>
    <t>Effective Date for Billing:                                   July 30, 2014</t>
  </si>
  <si>
    <t>Date Submitted :                                      July 21, 2014</t>
  </si>
  <si>
    <t>For the Expense Month of June 2014</t>
  </si>
  <si>
    <r>
      <t xml:space="preserve">Kentucky Retail Surcharge Factor for April </t>
    </r>
    <r>
      <rPr>
        <b/>
        <sz val="10"/>
        <color indexed="12"/>
        <rFont val="Arial"/>
        <family val="2"/>
      </rPr>
      <t>2014</t>
    </r>
  </si>
  <si>
    <t>As of                                         6/30/2014</t>
  </si>
  <si>
    <t>June 2014</t>
  </si>
  <si>
    <r>
      <t>Total SCR                                                                  June 2014</t>
    </r>
    <r>
      <rPr>
        <b/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                                          O &amp; M Expense</t>
    </r>
  </si>
  <si>
    <t>UNCOLLECTIBLE ACCOUNTS EXPENSE (0.25%)</t>
  </si>
  <si>
    <r>
      <t xml:space="preserve">Installed Cost as of </t>
    </r>
    <r>
      <rPr>
        <b/>
        <sz val="10"/>
        <color indexed="12"/>
        <rFont val="Arial"/>
        <family val="2"/>
      </rPr>
      <t>December 31, 2013</t>
    </r>
  </si>
  <si>
    <r>
      <t>2014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Estimated</t>
    </r>
    <r>
      <rPr>
        <sz val="10"/>
        <rFont val="Arial"/>
        <family val="2"/>
      </rPr>
      <t xml:space="preserve"> Property Tax</t>
    </r>
  </si>
  <si>
    <r>
      <t xml:space="preserve">Estimated Property Taxes To Be Paid in </t>
    </r>
    <r>
      <rPr>
        <b/>
        <sz val="10"/>
        <color indexed="10"/>
        <rFont val="Arial"/>
        <family val="2"/>
      </rPr>
      <t xml:space="preserve">2014 </t>
    </r>
    <r>
      <rPr>
        <b/>
        <sz val="10"/>
        <rFont val="Arial"/>
        <family val="2"/>
      </rPr>
      <t>(Big Sandy Property Only)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</si>
</sst>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0_);\(#,##0.000000\)"/>
    <numFmt numFmtId="166" formatCode="#,##0.000_);\(#,##0.000\)"/>
    <numFmt numFmtId="167" formatCode="#,##0.0000_);\(#,##0.0000\)"/>
    <numFmt numFmtId="168" formatCode="0.0000%"/>
    <numFmt numFmtId="169" formatCode="0.000%"/>
    <numFmt numFmtId="170" formatCode="#,##0.00000_);\(#,##0.00000\)"/>
    <numFmt numFmtId="171" formatCode="&quot;$&quot;#,##0"/>
    <numFmt numFmtId="172" formatCode="#,##0.0000000_);\(#,##0.0000000\)"/>
    <numFmt numFmtId="173" formatCode="0.0000"/>
    <numFmt numFmtId="174" formatCode="0.000000%"/>
    <numFmt numFmtId="175" formatCode="0.00000%"/>
    <numFmt numFmtId="176" formatCode="&quot;$&quot;#,##0.000_);\(&quot;$&quot;#,##0.000\)"/>
    <numFmt numFmtId="177" formatCode="_(* #,##0_);_(* \(#,##0\);_(* &quot;-&quot;??_);_(@_)"/>
    <numFmt numFmtId="178" formatCode="0_);\(0\)"/>
    <numFmt numFmtId="179" formatCode="&quot;$&quot;#,##0.0_);\(&quot;$&quot;#,##0.0\)"/>
    <numFmt numFmtId="180" formatCode="&quot;$&quot;#,##0.0000_);\(&quot;$&quot;#,##0.0000\)"/>
    <numFmt numFmtId="181" formatCode="_(* #,##0.0_);_(* \(#,##0.0\);_(* &quot;-&quot;??_);_(@_)"/>
    <numFmt numFmtId="182" formatCode="0.00000000%"/>
    <numFmt numFmtId="183" formatCode="0.0000000%"/>
    <numFmt numFmtId="184" formatCode="0.000000000%"/>
    <numFmt numFmtId="185" formatCode="0.0000000000000%"/>
    <numFmt numFmtId="186" formatCode="0.00000000000000000%"/>
    <numFmt numFmtId="187" formatCode="0.000000000000%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"/>
  </numFmts>
  <fonts count="75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10"/>
      <color indexed="12"/>
      <name val="MS Sans Serif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5"/>
      <color indexed="8"/>
      <name val="Arial"/>
      <family val="2"/>
    </font>
    <font>
      <b/>
      <i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2" fillId="0" borderId="9">
      <alignment horizontal="center"/>
      <protection/>
    </xf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33" borderId="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/>
    </xf>
    <xf numFmtId="5" fontId="0" fillId="33" borderId="0" xfId="0" applyNumberFormat="1" applyFill="1" applyBorder="1" applyAlignment="1">
      <alignment/>
    </xf>
    <xf numFmtId="5" fontId="0" fillId="33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 quotePrefix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3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37" fontId="0" fillId="0" borderId="14" xfId="0" applyNumberFormat="1" applyBorder="1" applyAlignment="1">
      <alignment horizontal="center"/>
    </xf>
    <xf numFmtId="49" fontId="0" fillId="33" borderId="19" xfId="0" applyNumberFormat="1" applyFill="1" applyBorder="1" applyAlignment="1">
      <alignment horizontal="center" wrapText="1"/>
    </xf>
    <xf numFmtId="37" fontId="0" fillId="33" borderId="9" xfId="0" applyNumberFormat="1" applyFill="1" applyBorder="1" applyAlignment="1">
      <alignment horizontal="center"/>
    </xf>
    <xf numFmtId="3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 quotePrefix="1">
      <alignment horizontal="right"/>
    </xf>
    <xf numFmtId="165" fontId="0" fillId="33" borderId="0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49" fontId="0" fillId="0" borderId="11" xfId="0" applyNumberFormat="1" applyBorder="1" applyAlignment="1">
      <alignment horizontal="center" wrapText="1"/>
    </xf>
    <xf numFmtId="49" fontId="0" fillId="33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49" fontId="0" fillId="0" borderId="19" xfId="0" applyNumberFormat="1" applyBorder="1" applyAlignment="1">
      <alignment wrapText="1"/>
    </xf>
    <xf numFmtId="168" fontId="0" fillId="0" borderId="16" xfId="0" applyNumberFormat="1" applyBorder="1" applyAlignment="1">
      <alignment/>
    </xf>
    <xf numFmtId="5" fontId="0" fillId="0" borderId="16" xfId="0" applyNumberFormat="1" applyBorder="1" applyAlignment="1">
      <alignment/>
    </xf>
    <xf numFmtId="49" fontId="0" fillId="33" borderId="19" xfId="0" applyNumberFormat="1" applyFill="1" applyBorder="1" applyAlignment="1">
      <alignment wrapText="1"/>
    </xf>
    <xf numFmtId="5" fontId="2" fillId="0" borderId="16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5" fontId="1" fillId="0" borderId="0" xfId="0" applyNumberFormat="1" applyFont="1" applyAlignment="1">
      <alignment/>
    </xf>
    <xf numFmtId="49" fontId="0" fillId="0" borderId="2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168" fontId="0" fillId="0" borderId="0" xfId="0" applyNumberFormat="1" applyBorder="1" applyAlignment="1">
      <alignment/>
    </xf>
    <xf numFmtId="5" fontId="1" fillId="0" borderId="16" xfId="0" applyNumberFormat="1" applyFont="1" applyBorder="1" applyAlignment="1">
      <alignment/>
    </xf>
    <xf numFmtId="168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>
      <alignment horizontal="center" wrapText="1"/>
    </xf>
    <xf numFmtId="37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37" fontId="0" fillId="33" borderId="9" xfId="0" applyNumberFormat="1" applyFill="1" applyBorder="1" applyAlignment="1">
      <alignment/>
    </xf>
    <xf numFmtId="37" fontId="0" fillId="0" borderId="9" xfId="0" applyNumberFormat="1" applyBorder="1" applyAlignment="1">
      <alignment/>
    </xf>
    <xf numFmtId="37" fontId="0" fillId="34" borderId="9" xfId="0" applyNumberFormat="1" applyFill="1" applyBorder="1" applyAlignment="1">
      <alignment/>
    </xf>
    <xf numFmtId="5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horizontal="center"/>
    </xf>
    <xf numFmtId="37" fontId="0" fillId="0" borderId="16" xfId="0" applyNumberFormat="1" applyBorder="1" applyAlignment="1">
      <alignment/>
    </xf>
    <xf numFmtId="7" fontId="0" fillId="0" borderId="16" xfId="0" applyNumberFormat="1" applyBorder="1" applyAlignment="1">
      <alignment/>
    </xf>
    <xf numFmtId="5" fontId="0" fillId="0" borderId="17" xfId="0" applyNumberFormat="1" applyBorder="1" applyAlignment="1">
      <alignment/>
    </xf>
    <xf numFmtId="5" fontId="0" fillId="0" borderId="16" xfId="0" applyNumberFormat="1" applyFill="1" applyBorder="1" applyAlignment="1">
      <alignment/>
    </xf>
    <xf numFmtId="5" fontId="0" fillId="0" borderId="16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5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6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7" fontId="0" fillId="33" borderId="12" xfId="0" applyNumberFormat="1" applyFill="1" applyBorder="1" applyAlignment="1">
      <alignment/>
    </xf>
    <xf numFmtId="5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17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3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170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10" fontId="1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0" fillId="0" borderId="16" xfId="0" applyNumberFormat="1" applyFont="1" applyBorder="1" applyAlignment="1">
      <alignment/>
    </xf>
    <xf numFmtId="10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5" fontId="3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49" fontId="0" fillId="0" borderId="14" xfId="0" applyNumberFormat="1" applyBorder="1" applyAlignment="1">
      <alignment wrapText="1"/>
    </xf>
    <xf numFmtId="5" fontId="0" fillId="0" borderId="9" xfId="0" applyNumberFormat="1" applyBorder="1" applyAlignment="1">
      <alignment/>
    </xf>
    <xf numFmtId="5" fontId="5" fillId="0" borderId="16" xfId="0" applyNumberFormat="1" applyFont="1" applyBorder="1" applyAlignment="1">
      <alignment/>
    </xf>
    <xf numFmtId="5" fontId="13" fillId="0" borderId="16" xfId="0" applyNumberFormat="1" applyFont="1" applyBorder="1" applyAlignment="1">
      <alignment/>
    </xf>
    <xf numFmtId="5" fontId="14" fillId="0" borderId="16" xfId="0" applyNumberFormat="1" applyFont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5" fontId="14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10" fontId="0" fillId="0" borderId="16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right"/>
    </xf>
    <xf numFmtId="37" fontId="5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37" fontId="0" fillId="34" borderId="19" xfId="0" applyNumberFormat="1" applyFill="1" applyBorder="1" applyAlignment="1">
      <alignment/>
    </xf>
    <xf numFmtId="0" fontId="5" fillId="0" borderId="0" xfId="0" applyFont="1" applyAlignment="1">
      <alignment horizontal="center"/>
    </xf>
    <xf numFmtId="168" fontId="0" fillId="0" borderId="0" xfId="0" applyNumberFormat="1" applyBorder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0" fillId="0" borderId="16" xfId="0" applyNumberFormat="1" applyBorder="1" applyAlignment="1" quotePrefix="1">
      <alignment horizontal="right"/>
    </xf>
    <xf numFmtId="5" fontId="7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15" fontId="0" fillId="0" borderId="0" xfId="0" applyNumberFormat="1" applyFont="1" applyAlignment="1">
      <alignment/>
    </xf>
    <xf numFmtId="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5" fontId="3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49" fontId="6" fillId="36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5" fontId="0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5" fontId="0" fillId="3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36" borderId="0" xfId="0" applyNumberFormat="1" applyFont="1" applyFill="1" applyAlignment="1">
      <alignment horizontal="center" wrapText="1"/>
    </xf>
    <xf numFmtId="171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5" fontId="16" fillId="0" borderId="1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" wrapText="1"/>
      <protection locked="0"/>
    </xf>
    <xf numFmtId="49" fontId="17" fillId="0" borderId="0" xfId="0" applyNumberFormat="1" applyFont="1" applyAlignment="1">
      <alignment horizontal="center" wrapText="1"/>
    </xf>
    <xf numFmtId="39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9" fontId="20" fillId="0" borderId="0" xfId="0" applyNumberFormat="1" applyFont="1" applyAlignment="1">
      <alignment horizontal="center" wrapText="1"/>
    </xf>
    <xf numFmtId="0" fontId="5" fillId="33" borderId="0" xfId="0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9" fontId="19" fillId="0" borderId="0" xfId="0" applyNumberFormat="1" applyFont="1" applyAlignment="1">
      <alignment horizontal="center" wrapText="1"/>
    </xf>
    <xf numFmtId="168" fontId="0" fillId="0" borderId="0" xfId="0" applyNumberFormat="1" applyBorder="1" applyAlignment="1">
      <alignment horizontal="right"/>
    </xf>
    <xf numFmtId="0" fontId="21" fillId="0" borderId="0" xfId="0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37" fontId="0" fillId="0" borderId="11" xfId="0" applyNumberFormat="1" applyBorder="1" applyAlignment="1">
      <alignment horizontal="center" wrapText="1"/>
    </xf>
    <xf numFmtId="167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69" fontId="7" fillId="0" borderId="0" xfId="0" applyNumberFormat="1" applyFont="1" applyAlignment="1">
      <alignment/>
    </xf>
    <xf numFmtId="0" fontId="21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10" fontId="7" fillId="0" borderId="0" xfId="0" applyNumberFormat="1" applyFont="1" applyAlignment="1">
      <alignment/>
    </xf>
    <xf numFmtId="49" fontId="0" fillId="0" borderId="0" xfId="62" applyNumberFormat="1" applyFont="1" applyAlignment="1" quotePrefix="1">
      <alignment horizontal="center"/>
    </xf>
    <xf numFmtId="49" fontId="0" fillId="0" borderId="0" xfId="61" applyNumberFormat="1" applyFont="1" applyAlignment="1">
      <alignment horizontal="center"/>
    </xf>
    <xf numFmtId="39" fontId="0" fillId="0" borderId="0" xfId="63" applyNumberFormat="1" applyFont="1" applyAlignment="1">
      <alignment/>
    </xf>
    <xf numFmtId="49" fontId="22" fillId="0" borderId="0" xfId="64" applyNumberFormat="1" applyBorder="1" applyAlignment="1">
      <alignment horizontal="center" wrapText="1"/>
      <protection/>
    </xf>
    <xf numFmtId="49" fontId="22" fillId="0" borderId="0" xfId="64" applyNumberFormat="1" applyFont="1" applyBorder="1" applyAlignment="1">
      <alignment horizontal="center" wrapText="1"/>
      <protection/>
    </xf>
    <xf numFmtId="39" fontId="22" fillId="0" borderId="0" xfId="64" applyNumberFormat="1" applyBorder="1" applyAlignment="1">
      <alignment horizontal="center" wrapText="1"/>
      <protection/>
    </xf>
    <xf numFmtId="5" fontId="10" fillId="0" borderId="0" xfId="0" applyNumberFormat="1" applyFont="1" applyBorder="1" applyAlignment="1">
      <alignment/>
    </xf>
    <xf numFmtId="10" fontId="3" fillId="0" borderId="16" xfId="0" applyNumberFormat="1" applyFont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7" fontId="0" fillId="0" borderId="9" xfId="0" applyNumberFormat="1" applyBorder="1" applyAlignment="1">
      <alignment horizontal="center"/>
    </xf>
    <xf numFmtId="5" fontId="0" fillId="0" borderId="23" xfId="0" applyNumberFormat="1" applyBorder="1" applyAlignment="1">
      <alignment/>
    </xf>
    <xf numFmtId="168" fontId="0" fillId="0" borderId="23" xfId="0" applyNumberFormat="1" applyBorder="1" applyAlignment="1" quotePrefix="1">
      <alignment horizontal="right"/>
    </xf>
    <xf numFmtId="5" fontId="4" fillId="0" borderId="23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5" fillId="0" borderId="0" xfId="0" applyFont="1" applyFill="1" applyBorder="1" applyAlignment="1">
      <alignment/>
    </xf>
    <xf numFmtId="49" fontId="24" fillId="0" borderId="0" xfId="61" applyNumberFormat="1" applyFont="1" applyAlignment="1">
      <alignment horizontal="center" wrapText="1"/>
    </xf>
    <xf numFmtId="39" fontId="22" fillId="0" borderId="0" xfId="63" applyNumberFormat="1" applyFont="1" applyAlignment="1">
      <alignment/>
    </xf>
    <xf numFmtId="39" fontId="22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33" borderId="12" xfId="0" applyNumberFormat="1" applyFill="1" applyBorder="1" applyAlignment="1">
      <alignment wrapText="1"/>
    </xf>
    <xf numFmtId="37" fontId="0" fillId="0" borderId="2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5" fontId="0" fillId="34" borderId="16" xfId="0" applyNumberFormat="1" applyFill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34" borderId="16" xfId="0" applyNumberFormat="1" applyFont="1" applyFill="1" applyBorder="1" applyAlignment="1">
      <alignment/>
    </xf>
    <xf numFmtId="5" fontId="0" fillId="0" borderId="28" xfId="0" applyNumberFormat="1" applyFont="1" applyBorder="1" applyAlignment="1">
      <alignment/>
    </xf>
    <xf numFmtId="5" fontId="0" fillId="0" borderId="29" xfId="0" applyNumberFormat="1" applyFont="1" applyBorder="1" applyAlignment="1">
      <alignment/>
    </xf>
    <xf numFmtId="5" fontId="1" fillId="34" borderId="16" xfId="0" applyNumberFormat="1" applyFont="1" applyFill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3" fillId="0" borderId="16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2" xfId="0" applyFill="1" applyBorder="1" applyAlignment="1">
      <alignment/>
    </xf>
    <xf numFmtId="5" fontId="0" fillId="0" borderId="24" xfId="0" applyNumberFormat="1" applyBorder="1" applyAlignment="1">
      <alignment/>
    </xf>
    <xf numFmtId="5" fontId="5" fillId="0" borderId="2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5" fontId="17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62" applyNumberFormat="1" applyFont="1" applyBorder="1" applyAlignment="1" quotePrefix="1">
      <alignment wrapText="1"/>
    </xf>
    <xf numFmtId="49" fontId="0" fillId="0" borderId="0" xfId="61" applyNumberFormat="1" applyFont="1" applyBorder="1" applyAlignment="1">
      <alignment wrapText="1"/>
    </xf>
    <xf numFmtId="49" fontId="0" fillId="0" borderId="0" xfId="62" applyNumberFormat="1" applyFont="1" applyAlignment="1" quotePrefix="1">
      <alignment horizontal="center" wrapText="1"/>
    </xf>
    <xf numFmtId="49" fontId="0" fillId="0" borderId="0" xfId="61" applyNumberFormat="1" applyFont="1" applyAlignment="1">
      <alignment horizontal="center" wrapText="1"/>
    </xf>
    <xf numFmtId="39" fontId="0" fillId="0" borderId="0" xfId="63" applyNumberFormat="1" applyFont="1" applyAlignment="1">
      <alignment wrapText="1"/>
    </xf>
    <xf numFmtId="49" fontId="0" fillId="0" borderId="0" xfId="62" applyNumberFormat="1" applyFont="1" applyAlignment="1" quotePrefix="1">
      <alignment wrapText="1"/>
    </xf>
    <xf numFmtId="49" fontId="0" fillId="0" borderId="0" xfId="61" applyNumberFormat="1" applyFont="1" applyAlignment="1">
      <alignment wrapText="1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 wrapText="1"/>
    </xf>
    <xf numFmtId="5" fontId="11" fillId="0" borderId="0" xfId="0" applyNumberFormat="1" applyFont="1" applyAlignment="1">
      <alignment/>
    </xf>
    <xf numFmtId="49" fontId="0" fillId="0" borderId="0" xfId="61" applyNumberFormat="1" applyFont="1" applyAlignment="1">
      <alignment horizontal="left" wrapText="1"/>
    </xf>
    <xf numFmtId="49" fontId="7" fillId="0" borderId="0" xfId="62" applyNumberFormat="1" applyFont="1" applyAlignment="1" quotePrefix="1">
      <alignment horizontal="center"/>
    </xf>
    <xf numFmtId="49" fontId="10" fillId="0" borderId="0" xfId="62" applyNumberFormat="1" applyFont="1" applyAlignment="1" quotePrefix="1">
      <alignment horizontal="center" wrapText="1"/>
    </xf>
    <xf numFmtId="39" fontId="3" fillId="0" borderId="0" xfId="63" applyNumberFormat="1" applyFont="1" applyAlignment="1">
      <alignment wrapText="1"/>
    </xf>
    <xf numFmtId="49" fontId="29" fillId="0" borderId="0" xfId="61" applyNumberFormat="1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5" fontId="19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49" fontId="7" fillId="0" borderId="0" xfId="62" applyNumberFormat="1" applyFont="1" applyAlignment="1" quotePrefix="1">
      <alignment horizontal="center" wrapText="1"/>
    </xf>
    <xf numFmtId="0" fontId="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wrapText="1"/>
    </xf>
    <xf numFmtId="10" fontId="5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167" fontId="10" fillId="0" borderId="0" xfId="0" applyNumberFormat="1" applyFont="1" applyBorder="1" applyAlignment="1">
      <alignment/>
    </xf>
    <xf numFmtId="39" fontId="0" fillId="0" borderId="0" xfId="63" applyNumberFormat="1" applyFont="1" applyAlignment="1">
      <alignment horizontal="right"/>
    </xf>
    <xf numFmtId="39" fontId="0" fillId="0" borderId="0" xfId="63" applyNumberFormat="1" applyFont="1" applyAlignment="1">
      <alignment horizontal="right" wrapText="1"/>
    </xf>
    <xf numFmtId="39" fontId="0" fillId="0" borderId="0" xfId="63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33" fillId="0" borderId="0" xfId="0" applyFont="1" applyAlignment="1">
      <alignment horizontal="center"/>
    </xf>
    <xf numFmtId="176" fontId="0" fillId="0" borderId="20" xfId="0" applyNumberFormat="1" applyBorder="1" applyAlignment="1">
      <alignment/>
    </xf>
    <xf numFmtId="49" fontId="10" fillId="0" borderId="0" xfId="62" applyNumberFormat="1" applyFont="1" applyAlignment="1" quotePrefix="1">
      <alignment wrapText="1"/>
    </xf>
    <xf numFmtId="37" fontId="10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15" xfId="0" applyNumberFormat="1" applyFont="1" applyBorder="1" applyAlignment="1">
      <alignment wrapText="1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3" fillId="0" borderId="0" xfId="0" applyNumberFormat="1" applyFont="1" applyAlignment="1">
      <alignment wrapText="1"/>
    </xf>
    <xf numFmtId="49" fontId="35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5" fontId="0" fillId="0" borderId="0" xfId="0" applyNumberFormat="1" applyFont="1" applyFill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5" fontId="7" fillId="0" borderId="19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37" fontId="7" fillId="0" borderId="9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15" fontId="0" fillId="0" borderId="0" xfId="62" applyFont="1" applyAlignment="1" quotePrefix="1">
      <alignment/>
    </xf>
    <xf numFmtId="0" fontId="0" fillId="0" borderId="0" xfId="61" applyFont="1" applyAlignment="1">
      <alignment/>
    </xf>
    <xf numFmtId="4" fontId="0" fillId="0" borderId="0" xfId="63" applyFont="1" applyAlignment="1">
      <alignment/>
    </xf>
    <xf numFmtId="15" fontId="10" fillId="0" borderId="0" xfId="62" applyFont="1" applyAlignment="1" quotePrefix="1">
      <alignment/>
    </xf>
    <xf numFmtId="0" fontId="0" fillId="0" borderId="0" xfId="61" applyFont="1" applyAlignment="1">
      <alignment horizontal="center"/>
    </xf>
    <xf numFmtId="7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77" fontId="0" fillId="0" borderId="23" xfId="42" applyNumberFormat="1" applyFont="1" applyBorder="1" applyAlignment="1">
      <alignment/>
    </xf>
    <xf numFmtId="168" fontId="0" fillId="0" borderId="24" xfId="6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/>
    </xf>
    <xf numFmtId="177" fontId="0" fillId="0" borderId="23" xfId="42" applyNumberFormat="1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49" fontId="0" fillId="0" borderId="18" xfId="61" applyNumberFormat="1" applyFont="1" applyBorder="1" applyAlignment="1">
      <alignment horizontal="center" wrapText="1"/>
    </xf>
    <xf numFmtId="0" fontId="0" fillId="33" borderId="19" xfId="61" applyFont="1" applyFill="1" applyBorder="1" applyAlignment="1">
      <alignment/>
    </xf>
    <xf numFmtId="0" fontId="0" fillId="33" borderId="12" xfId="61" applyFont="1" applyFill="1" applyBorder="1" applyAlignment="1">
      <alignment/>
    </xf>
    <xf numFmtId="0" fontId="0" fillId="0" borderId="19" xfId="61" applyFont="1" applyBorder="1" applyAlignment="1">
      <alignment horizontal="center"/>
    </xf>
    <xf numFmtId="0" fontId="0" fillId="0" borderId="12" xfId="61" applyFont="1" applyBorder="1" applyAlignment="1">
      <alignment/>
    </xf>
    <xf numFmtId="4" fontId="0" fillId="33" borderId="19" xfId="63" applyFont="1" applyFill="1" applyBorder="1" applyAlignment="1">
      <alignment/>
    </xf>
    <xf numFmtId="4" fontId="0" fillId="33" borderId="12" xfId="63" applyFont="1" applyFill="1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61" applyFont="1" applyAlignment="1">
      <alignment horizontal="left" wrapText="1"/>
    </xf>
    <xf numFmtId="0" fontId="0" fillId="0" borderId="0" xfId="61" applyFont="1" applyAlignment="1" quotePrefix="1">
      <alignment horizontal="center"/>
    </xf>
    <xf numFmtId="5" fontId="0" fillId="0" borderId="21" xfId="0" applyNumberFormat="1" applyBorder="1" applyAlignment="1">
      <alignment/>
    </xf>
    <xf numFmtId="37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5" fontId="0" fillId="37" borderId="0" xfId="0" applyNumberFormat="1" applyFill="1" applyAlignment="1">
      <alignment/>
    </xf>
    <xf numFmtId="0" fontId="0" fillId="0" borderId="0" xfId="61" applyFont="1" applyAlignment="1" quotePrefix="1">
      <alignment horizontal="center" wrapText="1"/>
    </xf>
    <xf numFmtId="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5" fontId="5" fillId="0" borderId="32" xfId="0" applyNumberFormat="1" applyFont="1" applyBorder="1" applyAlignment="1">
      <alignment/>
    </xf>
    <xf numFmtId="177" fontId="5" fillId="0" borderId="0" xfId="42" applyNumberFormat="1" applyFont="1" applyAlignment="1">
      <alignment/>
    </xf>
    <xf numFmtId="177" fontId="7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7" fontId="10" fillId="10" borderId="0" xfId="0" applyNumberFormat="1" applyFont="1" applyFill="1" applyBorder="1" applyAlignment="1">
      <alignment/>
    </xf>
    <xf numFmtId="5" fontId="10" fillId="10" borderId="0" xfId="0" applyNumberFormat="1" applyFont="1" applyFill="1" applyBorder="1" applyAlignment="1">
      <alignment/>
    </xf>
    <xf numFmtId="37" fontId="5" fillId="10" borderId="0" xfId="0" applyNumberFormat="1" applyFont="1" applyFill="1" applyBorder="1" applyAlignment="1">
      <alignment/>
    </xf>
    <xf numFmtId="5" fontId="5" fillId="10" borderId="0" xfId="0" applyNumberFormat="1" applyFont="1" applyFill="1" applyBorder="1" applyAlignment="1">
      <alignment/>
    </xf>
    <xf numFmtId="5" fontId="4" fillId="10" borderId="16" xfId="0" applyNumberFormat="1" applyFont="1" applyFill="1" applyBorder="1" applyAlignment="1">
      <alignment/>
    </xf>
    <xf numFmtId="5" fontId="2" fillId="10" borderId="16" xfId="0" applyNumberFormat="1" applyFont="1" applyFill="1" applyBorder="1" applyAlignment="1">
      <alignment/>
    </xf>
    <xf numFmtId="37" fontId="2" fillId="10" borderId="0" xfId="0" applyNumberFormat="1" applyFont="1" applyFill="1" applyBorder="1" applyAlignment="1">
      <alignment/>
    </xf>
    <xf numFmtId="168" fontId="2" fillId="10" borderId="0" xfId="0" applyNumberFormat="1" applyFont="1" applyFill="1" applyBorder="1" applyAlignment="1">
      <alignment/>
    </xf>
    <xf numFmtId="168" fontId="0" fillId="10" borderId="0" xfId="0" applyNumberFormat="1" applyFill="1" applyBorder="1" applyAlignment="1">
      <alignment/>
    </xf>
    <xf numFmtId="168" fontId="3" fillId="10" borderId="0" xfId="0" applyNumberFormat="1" applyFont="1" applyFill="1" applyBorder="1" applyAlignment="1">
      <alignment/>
    </xf>
    <xf numFmtId="0" fontId="0" fillId="0" borderId="21" xfId="61" applyFont="1" applyBorder="1" applyAlignment="1">
      <alignment/>
    </xf>
    <xf numFmtId="37" fontId="0" fillId="0" borderId="23" xfId="0" applyNumberFormat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0" fontId="0" fillId="38" borderId="0" xfId="0" applyFill="1" applyAlignment="1">
      <alignment/>
    </xf>
    <xf numFmtId="5" fontId="5" fillId="0" borderId="16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5" fontId="0" fillId="4" borderId="16" xfId="0" applyNumberFormat="1" applyFont="1" applyFill="1" applyBorder="1" applyAlignment="1">
      <alignment/>
    </xf>
    <xf numFmtId="168" fontId="0" fillId="0" borderId="16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8" fontId="0" fillId="0" borderId="0" xfId="0" applyNumberFormat="1" applyFont="1" applyAlignment="1">
      <alignment/>
    </xf>
    <xf numFmtId="10" fontId="3" fillId="0" borderId="0" xfId="60" applyNumberFormat="1" applyFont="1" applyAlignment="1">
      <alignment/>
    </xf>
    <xf numFmtId="8" fontId="3" fillId="0" borderId="0" xfId="0" applyNumberFormat="1" applyFont="1" applyAlignment="1">
      <alignment/>
    </xf>
    <xf numFmtId="177" fontId="3" fillId="0" borderId="0" xfId="42" applyNumberFormat="1" applyFont="1" applyAlignment="1">
      <alignment/>
    </xf>
    <xf numFmtId="170" fontId="10" fillId="0" borderId="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5" fontId="3" fillId="0" borderId="0" xfId="0" applyNumberFormat="1" applyFont="1" applyAlignment="1">
      <alignment/>
    </xf>
    <xf numFmtId="195" fontId="10" fillId="1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8" fontId="2" fillId="16" borderId="23" xfId="0" applyNumberFormat="1" applyFont="1" applyFill="1" applyBorder="1" applyAlignment="1">
      <alignment/>
    </xf>
    <xf numFmtId="5" fontId="4" fillId="16" borderId="23" xfId="0" applyNumberFormat="1" applyFont="1" applyFill="1" applyBorder="1" applyAlignment="1">
      <alignment/>
    </xf>
    <xf numFmtId="37" fontId="0" fillId="16" borderId="0" xfId="0" applyNumberFormat="1" applyFill="1" applyAlignment="1">
      <alignment/>
    </xf>
    <xf numFmtId="10" fontId="0" fillId="16" borderId="0" xfId="60" applyNumberFormat="1" applyFont="1" applyFill="1" applyAlignment="1">
      <alignment/>
    </xf>
    <xf numFmtId="8" fontId="3" fillId="7" borderId="0" xfId="0" applyNumberFormat="1" applyFont="1" applyFill="1" applyAlignment="1">
      <alignment/>
    </xf>
    <xf numFmtId="177" fontId="3" fillId="7" borderId="0" xfId="42" applyNumberFormat="1" applyFont="1" applyFill="1" applyAlignment="1">
      <alignment/>
    </xf>
    <xf numFmtId="37" fontId="0" fillId="7" borderId="0" xfId="0" applyNumberFormat="1" applyFill="1" applyAlignment="1">
      <alignment/>
    </xf>
    <xf numFmtId="195" fontId="0" fillId="16" borderId="0" xfId="44" applyNumberFormat="1" applyFont="1" applyFill="1" applyAlignment="1">
      <alignment/>
    </xf>
    <xf numFmtId="0" fontId="0" fillId="16" borderId="0" xfId="0" applyFill="1" applyAlignment="1">
      <alignment/>
    </xf>
    <xf numFmtId="7" fontId="0" fillId="0" borderId="0" xfId="0" applyNumberFormat="1" applyFill="1" applyAlignment="1">
      <alignment/>
    </xf>
    <xf numFmtId="7" fontId="0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7" fontId="3" fillId="10" borderId="0" xfId="0" applyNumberFormat="1" applyFont="1" applyFill="1" applyAlignment="1">
      <alignment/>
    </xf>
    <xf numFmtId="37" fontId="5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5" fontId="0" fillId="16" borderId="16" xfId="0" applyNumberFormat="1" applyFill="1" applyBorder="1" applyAlignment="1">
      <alignment/>
    </xf>
    <xf numFmtId="5" fontId="0" fillId="16" borderId="28" xfId="0" applyNumberFormat="1" applyFont="1" applyFill="1" applyBorder="1" applyAlignment="1">
      <alignment/>
    </xf>
    <xf numFmtId="5" fontId="0" fillId="16" borderId="29" xfId="0" applyNumberFormat="1" applyFill="1" applyBorder="1" applyAlignment="1">
      <alignment/>
    </xf>
    <xf numFmtId="37" fontId="0" fillId="3" borderId="0" xfId="0" applyNumberFormat="1" applyFill="1" applyAlignment="1">
      <alignment/>
    </xf>
    <xf numFmtId="10" fontId="0" fillId="3" borderId="0" xfId="60" applyNumberFormat="1" applyFont="1" applyFill="1" applyAlignment="1">
      <alignment/>
    </xf>
    <xf numFmtId="8" fontId="0" fillId="3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95" fontId="0" fillId="7" borderId="0" xfId="44" applyNumberFormat="1" applyFont="1" applyFill="1" applyAlignment="1">
      <alignment/>
    </xf>
    <xf numFmtId="195" fontId="2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37" fontId="17" fillId="0" borderId="0" xfId="0" applyNumberFormat="1" applyFont="1" applyBorder="1" applyAlignment="1">
      <alignment/>
    </xf>
    <xf numFmtId="37" fontId="0" fillId="16" borderId="0" xfId="57" applyNumberFormat="1" applyFont="1" applyFill="1">
      <alignment/>
      <protection/>
    </xf>
    <xf numFmtId="37" fontId="0" fillId="16" borderId="0" xfId="57" applyNumberFormat="1" applyFont="1" applyFill="1" applyAlignment="1">
      <alignment horizontal="right"/>
      <protection/>
    </xf>
    <xf numFmtId="37" fontId="1" fillId="16" borderId="0" xfId="57" applyNumberFormat="1" applyFont="1" applyFill="1" applyAlignment="1">
      <alignment horizontal="right"/>
      <protection/>
    </xf>
    <xf numFmtId="0" fontId="38" fillId="0" borderId="0" xfId="57" applyNumberFormat="1" applyFont="1" applyAlignment="1" applyProtection="1">
      <alignment/>
      <protection locked="0"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5" fontId="0" fillId="0" borderId="0" xfId="57" applyNumberFormat="1" applyFont="1">
      <alignment/>
      <protection/>
    </xf>
    <xf numFmtId="37" fontId="3" fillId="0" borderId="0" xfId="57" applyNumberFormat="1" applyFont="1">
      <alignment/>
      <protection/>
    </xf>
    <xf numFmtId="37" fontId="11" fillId="0" borderId="0" xfId="57" applyNumberFormat="1" applyFont="1">
      <alignment/>
      <protection/>
    </xf>
    <xf numFmtId="37" fontId="0" fillId="16" borderId="0" xfId="57" applyNumberFormat="1" applyFont="1" applyFill="1">
      <alignment/>
      <protection/>
    </xf>
    <xf numFmtId="37" fontId="0" fillId="16" borderId="0" xfId="57" applyNumberFormat="1" applyFont="1" applyFill="1" applyAlignment="1">
      <alignment horizontal="right"/>
      <protection/>
    </xf>
    <xf numFmtId="37" fontId="1" fillId="16" borderId="0" xfId="57" applyNumberFormat="1" applyFont="1" applyFill="1" applyAlignment="1">
      <alignment horizontal="right"/>
      <protection/>
    </xf>
    <xf numFmtId="49" fontId="0" fillId="0" borderId="0" xfId="57" applyNumberFormat="1" applyFont="1" applyAlignment="1">
      <alignment horizontal="left"/>
      <protection/>
    </xf>
    <xf numFmtId="37" fontId="0" fillId="16" borderId="0" xfId="57" applyNumberFormat="1" applyFont="1" applyFill="1">
      <alignment/>
      <protection/>
    </xf>
    <xf numFmtId="37" fontId="0" fillId="16" borderId="0" xfId="57" applyNumberFormat="1" applyFont="1" applyFill="1" applyAlignment="1">
      <alignment horizontal="right"/>
      <protection/>
    </xf>
    <xf numFmtId="37" fontId="1" fillId="16" borderId="0" xfId="57" applyNumberFormat="1" applyFont="1" applyFill="1" applyAlignment="1">
      <alignment horizontal="right"/>
      <protection/>
    </xf>
    <xf numFmtId="37" fontId="0" fillId="0" borderId="0" xfId="57" applyNumberFormat="1" applyFont="1">
      <alignment/>
      <protection/>
    </xf>
    <xf numFmtId="5" fontId="3" fillId="0" borderId="0" xfId="57" applyNumberFormat="1" applyFont="1">
      <alignment/>
      <protection/>
    </xf>
    <xf numFmtId="37" fontId="1" fillId="0" borderId="0" xfId="57" applyNumberFormat="1" applyFont="1" applyAlignment="1">
      <alignment horizontal="right"/>
      <protection/>
    </xf>
    <xf numFmtId="39" fontId="0" fillId="0" borderId="0" xfId="57" applyNumberFormat="1" applyFont="1">
      <alignment/>
      <protection/>
    </xf>
    <xf numFmtId="37" fontId="0" fillId="16" borderId="0" xfId="57" applyNumberFormat="1" applyFont="1" applyFill="1">
      <alignment/>
      <protection/>
    </xf>
    <xf numFmtId="37" fontId="0" fillId="16" borderId="0" xfId="57" applyNumberFormat="1" applyFont="1" applyFill="1" applyAlignment="1">
      <alignment horizontal="right"/>
      <protection/>
    </xf>
    <xf numFmtId="37" fontId="1" fillId="16" borderId="0" xfId="57" applyNumberFormat="1" applyFont="1" applyFill="1" applyAlignment="1">
      <alignment horizontal="right"/>
      <protection/>
    </xf>
    <xf numFmtId="7" fontId="0" fillId="10" borderId="0" xfId="0" applyNumberFormat="1" applyFill="1" applyAlignment="1">
      <alignment/>
    </xf>
    <xf numFmtId="0" fontId="0" fillId="39" borderId="0" xfId="0" applyFill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8" topLeftCell="A21" activePane="bottomLeft" state="frozen"/>
      <selection pane="topLeft" activeCell="H31" activeCellId="1" sqref="K25 H31"/>
      <selection pane="bottomLeft" activeCell="G20" sqref="G20"/>
    </sheetView>
  </sheetViews>
  <sheetFormatPr defaultColWidth="9.140625" defaultRowHeight="12.75"/>
  <cols>
    <col min="1" max="1" width="3.7109375" style="0" customWidth="1"/>
    <col min="2" max="2" width="5.00390625" style="0" bestFit="1" customWidth="1"/>
    <col min="3" max="3" width="3.57421875" style="3" bestFit="1" customWidth="1"/>
    <col min="4" max="4" width="0.5625" style="0" customWidth="1"/>
    <col min="5" max="5" width="57.8515625" style="0" customWidth="1"/>
    <col min="6" max="6" width="0.5625" style="0" customWidth="1"/>
    <col min="7" max="7" width="14.00390625" style="0" bestFit="1" customWidth="1"/>
    <col min="8" max="8" width="5.7109375" style="0" customWidth="1"/>
    <col min="10" max="10" width="9.7109375" style="0" bestFit="1" customWidth="1"/>
  </cols>
  <sheetData>
    <row r="1" spans="1:7" ht="12.75">
      <c r="A1" s="249"/>
      <c r="B1" s="249"/>
      <c r="C1" s="249"/>
      <c r="D1" s="249"/>
      <c r="E1" s="249"/>
      <c r="F1" s="249"/>
      <c r="G1" s="249"/>
    </row>
    <row r="2" spans="1:7" ht="12.75">
      <c r="A2" t="s">
        <v>118</v>
      </c>
      <c r="E2" s="150"/>
      <c r="G2" s="3" t="s">
        <v>77</v>
      </c>
    </row>
    <row r="3" ht="12.75">
      <c r="E3" s="284"/>
    </row>
    <row r="5" ht="12.75">
      <c r="E5" s="125" t="s">
        <v>346</v>
      </c>
    </row>
    <row r="6" ht="12.75">
      <c r="E6" s="3" t="s">
        <v>631</v>
      </c>
    </row>
    <row r="7" ht="12.75">
      <c r="E7" s="173" t="s">
        <v>809</v>
      </c>
    </row>
    <row r="8" ht="12.75">
      <c r="E8" s="173" t="s">
        <v>384</v>
      </c>
    </row>
    <row r="9" ht="13.5" thickBot="1"/>
    <row r="10" spans="2:7" ht="12.75">
      <c r="B10" s="99"/>
      <c r="C10" s="74"/>
      <c r="D10" s="6"/>
      <c r="E10" s="131" t="s">
        <v>632</v>
      </c>
      <c r="F10" s="6"/>
      <c r="G10" s="7"/>
    </row>
    <row r="11" spans="2:7" ht="12.75">
      <c r="B11" s="102"/>
      <c r="C11" s="29"/>
      <c r="D11" s="11"/>
      <c r="E11" s="11"/>
      <c r="F11" s="11"/>
      <c r="G11" s="15"/>
    </row>
    <row r="12" spans="2:7" ht="12.75">
      <c r="B12" s="102"/>
      <c r="C12" s="29"/>
      <c r="D12" s="11"/>
      <c r="E12" s="29" t="s">
        <v>633</v>
      </c>
      <c r="F12" s="11"/>
      <c r="G12" s="15"/>
    </row>
    <row r="13" spans="2:7" ht="13.5" thickBot="1">
      <c r="B13" s="132"/>
      <c r="C13" s="9"/>
      <c r="D13" s="16"/>
      <c r="E13" s="16"/>
      <c r="F13" s="16"/>
      <c r="G13" s="15"/>
    </row>
    <row r="14" spans="2:7" ht="15" customHeight="1">
      <c r="B14" s="5" t="s">
        <v>630</v>
      </c>
      <c r="C14" s="53">
        <v>1</v>
      </c>
      <c r="D14" s="126"/>
      <c r="E14" s="6" t="s">
        <v>78</v>
      </c>
      <c r="F14" s="18"/>
      <c r="G14" s="460">
        <f>'ES 3.00'!H45</f>
        <v>2788300.85695832</v>
      </c>
    </row>
    <row r="15" spans="2:7" ht="12.75">
      <c r="B15" s="102"/>
      <c r="C15" s="28"/>
      <c r="D15" s="47"/>
      <c r="E15" s="11"/>
      <c r="F15" s="20"/>
      <c r="G15" s="333"/>
    </row>
    <row r="16" spans="2:10" ht="12.75">
      <c r="B16" s="14" t="s">
        <v>630</v>
      </c>
      <c r="C16" s="28">
        <f>+C14+1</f>
        <v>2</v>
      </c>
      <c r="D16" s="47"/>
      <c r="E16" s="11" t="s">
        <v>568</v>
      </c>
      <c r="F16" s="20"/>
      <c r="G16" s="515">
        <v>3627274</v>
      </c>
      <c r="H16" s="156" t="s">
        <v>533</v>
      </c>
      <c r="J16" s="40"/>
    </row>
    <row r="17" spans="2:7" ht="12.75">
      <c r="B17" s="14"/>
      <c r="C17" s="28"/>
      <c r="D17" s="47"/>
      <c r="E17" s="11"/>
      <c r="F17" s="20"/>
      <c r="G17" s="333"/>
    </row>
    <row r="18" spans="2:7" ht="12.75">
      <c r="B18" s="14" t="s">
        <v>630</v>
      </c>
      <c r="C18" s="28">
        <f>+C16+1</f>
        <v>3</v>
      </c>
      <c r="D18" s="47"/>
      <c r="E18" s="11" t="s">
        <v>634</v>
      </c>
      <c r="F18" s="20"/>
      <c r="G18" s="333">
        <f>+G14-G16</f>
        <v>-838973.1430416801</v>
      </c>
    </row>
    <row r="19" spans="2:7" ht="12.75">
      <c r="B19" s="14"/>
      <c r="C19" s="28"/>
      <c r="D19" s="47"/>
      <c r="E19" s="11"/>
      <c r="F19" s="20"/>
      <c r="G19" s="461"/>
    </row>
    <row r="20" spans="2:7" ht="26.25">
      <c r="B20" s="14" t="s">
        <v>630</v>
      </c>
      <c r="C20" s="28">
        <f>+C18+1</f>
        <v>4</v>
      </c>
      <c r="D20" s="47"/>
      <c r="E20" s="128" t="s">
        <v>79</v>
      </c>
      <c r="F20" s="20"/>
      <c r="G20" s="337">
        <f>+'ES 3.30'!H15</f>
        <v>0.632</v>
      </c>
    </row>
    <row r="21" spans="2:7" ht="12.75">
      <c r="B21" s="14"/>
      <c r="C21" s="28"/>
      <c r="D21" s="47"/>
      <c r="E21" s="11"/>
      <c r="F21" s="20"/>
      <c r="G21" s="461"/>
    </row>
    <row r="22" spans="2:7" ht="12.75">
      <c r="B22" s="14" t="s">
        <v>630</v>
      </c>
      <c r="C22" s="28">
        <v>5</v>
      </c>
      <c r="D22" s="47"/>
      <c r="E22" s="11" t="s">
        <v>635</v>
      </c>
      <c r="F22" s="20"/>
      <c r="G22" s="369">
        <f>ROUND(G18*G20,0)</f>
        <v>-530231</v>
      </c>
    </row>
    <row r="23" spans="2:7" ht="12.75">
      <c r="B23" s="14"/>
      <c r="C23" s="28"/>
      <c r="D23" s="47"/>
      <c r="E23" s="11"/>
      <c r="F23" s="20"/>
      <c r="G23" s="369"/>
    </row>
    <row r="24" spans="2:7" ht="12.75">
      <c r="B24" s="14" t="s">
        <v>630</v>
      </c>
      <c r="C24" s="28">
        <f>C20+2</f>
        <v>6</v>
      </c>
      <c r="D24" s="47"/>
      <c r="E24" s="13" t="s">
        <v>562</v>
      </c>
      <c r="F24" s="20"/>
      <c r="G24" s="333">
        <f>+'ES 3.30'!H46*-1</f>
        <v>-37668.51529496</v>
      </c>
    </row>
    <row r="25" spans="2:7" ht="12.75">
      <c r="B25" s="14"/>
      <c r="C25" s="28"/>
      <c r="D25" s="47"/>
      <c r="E25" s="11"/>
      <c r="F25" s="20"/>
      <c r="G25" s="461"/>
    </row>
    <row r="26" spans="2:7" ht="13.5" thickBot="1">
      <c r="B26" s="8" t="s">
        <v>630</v>
      </c>
      <c r="C26" s="28">
        <f>+C24+1</f>
        <v>7</v>
      </c>
      <c r="D26" s="105"/>
      <c r="E26" s="16" t="s">
        <v>499</v>
      </c>
      <c r="F26" s="21"/>
      <c r="G26" s="368">
        <f>+G22+G24</f>
        <v>-567899.51529496</v>
      </c>
    </row>
    <row r="27" spans="2:7" ht="12.75">
      <c r="B27" s="5"/>
      <c r="C27" s="53"/>
      <c r="D27" s="126"/>
      <c r="E27" s="6"/>
      <c r="F27" s="18"/>
      <c r="G27" s="115"/>
    </row>
    <row r="28" spans="2:7" ht="12.75">
      <c r="B28" s="14"/>
      <c r="C28" s="28"/>
      <c r="D28" s="47"/>
      <c r="E28" s="129" t="s">
        <v>636</v>
      </c>
      <c r="F28" s="20"/>
      <c r="G28" s="115"/>
    </row>
    <row r="29" spans="2:7" ht="13.5" thickBot="1">
      <c r="B29" s="8"/>
      <c r="C29" s="332"/>
      <c r="D29" s="105"/>
      <c r="E29" s="16"/>
      <c r="F29" s="21"/>
      <c r="G29" s="130"/>
    </row>
    <row r="30" spans="2:7" ht="15" customHeight="1">
      <c r="B30" s="5" t="s">
        <v>630</v>
      </c>
      <c r="C30" s="28">
        <f>+C26+1</f>
        <v>8</v>
      </c>
      <c r="D30" s="126"/>
      <c r="E30" s="6" t="s">
        <v>637</v>
      </c>
      <c r="F30" s="18"/>
      <c r="G30" s="127">
        <f>+G26</f>
        <v>-567899.51529496</v>
      </c>
    </row>
    <row r="31" spans="2:7" ht="12.75">
      <c r="B31" s="14"/>
      <c r="C31" s="28"/>
      <c r="D31" s="47"/>
      <c r="E31" s="11"/>
      <c r="F31" s="20"/>
      <c r="G31" s="115"/>
    </row>
    <row r="32" spans="2:7" ht="12.75">
      <c r="B32" s="14" t="s">
        <v>630</v>
      </c>
      <c r="C32" s="28">
        <f>+C30+1</f>
        <v>9</v>
      </c>
      <c r="D32" s="47"/>
      <c r="E32" s="11" t="s">
        <v>80</v>
      </c>
      <c r="F32" s="20"/>
      <c r="G32" s="87">
        <f>+'ES 3.30'!F15</f>
        <v>45149929</v>
      </c>
    </row>
    <row r="33" spans="2:7" ht="12.75">
      <c r="B33" s="14"/>
      <c r="C33" s="28"/>
      <c r="D33" s="47"/>
      <c r="E33" s="11"/>
      <c r="F33" s="20"/>
      <c r="G33" s="115"/>
    </row>
    <row r="34" spans="2:8" ht="26.25">
      <c r="B34" s="14" t="s">
        <v>630</v>
      </c>
      <c r="C34" s="28">
        <f>+C32+1</f>
        <v>10</v>
      </c>
      <c r="D34" s="47"/>
      <c r="E34" s="189" t="s">
        <v>386</v>
      </c>
      <c r="F34" s="485"/>
      <c r="G34" s="491">
        <v>0</v>
      </c>
      <c r="H34" s="83" t="s">
        <v>772</v>
      </c>
    </row>
    <row r="35" spans="2:7" ht="12.75">
      <c r="B35" s="14"/>
      <c r="C35" s="28"/>
      <c r="D35" s="47"/>
      <c r="E35" s="11"/>
      <c r="F35" s="20"/>
      <c r="G35" s="115"/>
    </row>
    <row r="36" spans="2:7" ht="13.5" thickBot="1">
      <c r="B36" s="8"/>
      <c r="C36" s="332"/>
      <c r="D36" s="105"/>
      <c r="E36" s="16"/>
      <c r="F36" s="21"/>
      <c r="G36" s="130"/>
    </row>
    <row r="37" spans="2:4" ht="12.75">
      <c r="B37" s="3"/>
      <c r="C37" s="91"/>
      <c r="D37" s="62"/>
    </row>
    <row r="38" spans="1:10" ht="12.75">
      <c r="A38" s="83" t="s">
        <v>772</v>
      </c>
      <c r="B38" s="555" t="s">
        <v>773</v>
      </c>
      <c r="C38" s="556"/>
      <c r="D38" s="556"/>
      <c r="E38" s="556"/>
      <c r="F38" s="488"/>
      <c r="G38" s="489">
        <f>ROUND(G30/G32,6)</f>
        <v>-0.012578</v>
      </c>
      <c r="H38" s="11"/>
      <c r="I38" s="11"/>
      <c r="J38" s="11"/>
    </row>
    <row r="39" spans="2:10" ht="12.75">
      <c r="B39" s="554" t="s">
        <v>118</v>
      </c>
      <c r="C39" s="554"/>
      <c r="D39" s="554"/>
      <c r="E39" s="554"/>
      <c r="F39" s="554"/>
      <c r="G39" s="554"/>
      <c r="H39" s="11"/>
      <c r="I39" s="11"/>
      <c r="J39" s="11"/>
    </row>
    <row r="40" spans="2:10" ht="12.75">
      <c r="B40" s="554"/>
      <c r="C40" s="554"/>
      <c r="D40" s="554"/>
      <c r="E40" s="554"/>
      <c r="F40" s="554"/>
      <c r="G40" s="554"/>
      <c r="H40" s="11"/>
      <c r="I40" s="11"/>
      <c r="J40" s="11"/>
    </row>
    <row r="41" spans="2:10" ht="12.75">
      <c r="B41" s="554"/>
      <c r="C41" s="554"/>
      <c r="D41" s="554"/>
      <c r="E41" s="554"/>
      <c r="F41" s="554"/>
      <c r="G41" s="554"/>
      <c r="H41" s="11"/>
      <c r="I41" s="11"/>
      <c r="J41" s="11"/>
    </row>
    <row r="42" spans="2:10" ht="12.75">
      <c r="B42" s="554"/>
      <c r="C42" s="554"/>
      <c r="D42" s="554"/>
      <c r="E42" s="554"/>
      <c r="F42" s="554"/>
      <c r="G42" s="554"/>
      <c r="H42" s="11"/>
      <c r="I42" s="11"/>
      <c r="J42" s="11"/>
    </row>
    <row r="43" spans="2:10" ht="12.75">
      <c r="B43" s="3"/>
      <c r="E43" s="189"/>
      <c r="F43" s="488"/>
      <c r="G43" s="489"/>
      <c r="H43" s="11"/>
      <c r="I43" s="11"/>
      <c r="J43" s="11"/>
    </row>
    <row r="44" spans="2:10" ht="12.75">
      <c r="B44" s="3"/>
      <c r="E44" s="189"/>
      <c r="F44" s="488"/>
      <c r="G44" s="489"/>
      <c r="H44" s="11"/>
      <c r="I44" s="11"/>
      <c r="J44" s="11"/>
    </row>
    <row r="45" spans="5:6" ht="12.75">
      <c r="E45" s="83" t="s">
        <v>807</v>
      </c>
      <c r="F45" s="487"/>
    </row>
    <row r="46" ht="3" customHeight="1">
      <c r="E46" s="133" t="s">
        <v>641</v>
      </c>
    </row>
    <row r="50" ht="12.75">
      <c r="E50" t="s">
        <v>638</v>
      </c>
    </row>
    <row r="51" ht="3" customHeight="1">
      <c r="E51" s="133" t="s">
        <v>641</v>
      </c>
    </row>
    <row r="53" ht="12.75">
      <c r="E53" t="s">
        <v>796</v>
      </c>
    </row>
    <row r="55" ht="12.75" customHeight="1">
      <c r="E55" s="247" t="s">
        <v>808</v>
      </c>
    </row>
    <row r="56" ht="3" customHeight="1">
      <c r="E56" s="133" t="s">
        <v>641</v>
      </c>
    </row>
    <row r="59" spans="3:5" ht="12.75">
      <c r="C59" s="156" t="s">
        <v>533</v>
      </c>
      <c r="E59" t="s">
        <v>109</v>
      </c>
    </row>
  </sheetData>
  <sheetProtection/>
  <mergeCells count="2">
    <mergeCell ref="B39:G42"/>
    <mergeCell ref="B38:E38"/>
  </mergeCells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74"/>
  <sheetViews>
    <sheetView zoomScalePageLayoutView="0" workbookViewId="0" topLeftCell="A1">
      <pane ySplit="5" topLeftCell="A6" activePane="bottomLeft" state="frozen"/>
      <selection pane="topLeft" activeCell="H31" activeCellId="1" sqref="K25 H31"/>
      <selection pane="bottomLeft" activeCell="H26" sqref="H26"/>
    </sheetView>
  </sheetViews>
  <sheetFormatPr defaultColWidth="9.140625" defaultRowHeight="12.75"/>
  <cols>
    <col min="1" max="1" width="2.28125" style="3" customWidth="1"/>
    <col min="2" max="2" width="33.00390625" style="0" customWidth="1"/>
    <col min="3" max="3" width="2.28125" style="0" customWidth="1"/>
    <col min="4" max="4" width="12.7109375" style="0" customWidth="1"/>
    <col min="5" max="5" width="2.28125" style="0" customWidth="1"/>
    <col min="6" max="6" width="12.7109375" style="0" customWidth="1"/>
    <col min="7" max="7" width="2.28125" style="0" customWidth="1"/>
    <col min="8" max="8" width="12.7109375" style="0" customWidth="1"/>
    <col min="9" max="9" width="2.28125" style="0" customWidth="1"/>
    <col min="10" max="10" width="12.28125" style="0" bestFit="1" customWidth="1"/>
    <col min="11" max="11" width="2.28125" style="0" customWidth="1"/>
    <col min="14" max="14" width="10.28125" style="0" bestFit="1" customWidth="1"/>
  </cols>
  <sheetData>
    <row r="1" ht="12.75">
      <c r="E1" s="146" t="s">
        <v>238</v>
      </c>
    </row>
    <row r="2" ht="12.75">
      <c r="E2" s="249" t="s">
        <v>260</v>
      </c>
    </row>
    <row r="3" ht="12.75">
      <c r="E3" s="288" t="s">
        <v>812</v>
      </c>
    </row>
    <row r="4" ht="12.75">
      <c r="E4" s="285"/>
    </row>
    <row r="5" spans="1:10" ht="39">
      <c r="A5" s="156"/>
      <c r="B5" s="291" t="s">
        <v>249</v>
      </c>
      <c r="D5" s="156" t="s">
        <v>250</v>
      </c>
      <c r="F5" s="156" t="s">
        <v>251</v>
      </c>
      <c r="H5" s="156" t="s">
        <v>255</v>
      </c>
      <c r="J5" s="156" t="s">
        <v>252</v>
      </c>
    </row>
    <row r="6" spans="4:10" ht="12.75">
      <c r="D6" s="171"/>
      <c r="E6" s="171"/>
      <c r="F6" s="171"/>
      <c r="G6" s="171"/>
      <c r="H6" s="171"/>
      <c r="I6" s="171"/>
      <c r="J6" s="171"/>
    </row>
    <row r="7" spans="1:10" ht="12.75">
      <c r="A7" s="125"/>
      <c r="B7" s="426" t="s">
        <v>762</v>
      </c>
      <c r="D7" s="511">
        <v>0</v>
      </c>
      <c r="E7" s="511"/>
      <c r="F7" s="511">
        <v>0</v>
      </c>
      <c r="G7" s="511"/>
      <c r="H7" s="511">
        <v>0</v>
      </c>
      <c r="I7" s="171"/>
      <c r="J7" s="511">
        <f>+D7+F7+H7</f>
        <v>0</v>
      </c>
    </row>
    <row r="8" spans="1:10" ht="12.75">
      <c r="A8" s="125"/>
      <c r="B8" s="426"/>
      <c r="D8" s="511"/>
      <c r="E8" s="511"/>
      <c r="F8" s="511"/>
      <c r="G8" s="511"/>
      <c r="H8" s="511"/>
      <c r="I8" s="171"/>
      <c r="J8" s="511"/>
    </row>
    <row r="9" spans="1:10" ht="12.75">
      <c r="A9" s="125"/>
      <c r="B9" s="426" t="s">
        <v>761</v>
      </c>
      <c r="D9" s="511">
        <v>0</v>
      </c>
      <c r="E9" s="511"/>
      <c r="F9" s="511">
        <v>0</v>
      </c>
      <c r="G9" s="511"/>
      <c r="H9" s="511">
        <v>0</v>
      </c>
      <c r="I9" s="171"/>
      <c r="J9" s="511">
        <f>+D9+F9+H9</f>
        <v>0</v>
      </c>
    </row>
    <row r="10" spans="1:10" ht="12.75">
      <c r="A10" s="125"/>
      <c r="B10" s="426"/>
      <c r="D10" s="511"/>
      <c r="E10" s="511"/>
      <c r="F10" s="511"/>
      <c r="G10" s="511"/>
      <c r="H10" s="511"/>
      <c r="I10" s="171"/>
      <c r="J10" s="511"/>
    </row>
    <row r="11" spans="1:10" ht="12.75">
      <c r="A11" s="125"/>
      <c r="B11" s="426" t="s">
        <v>765</v>
      </c>
      <c r="D11" s="511">
        <v>446.14</v>
      </c>
      <c r="E11" s="511"/>
      <c r="F11" s="511">
        <v>7435.54</v>
      </c>
      <c r="G11" s="511"/>
      <c r="H11" s="511">
        <v>0</v>
      </c>
      <c r="I11" s="171"/>
      <c r="J11" s="511">
        <f>+D11+F11+H11</f>
        <v>7881.68</v>
      </c>
    </row>
    <row r="12" spans="1:15" ht="12.75">
      <c r="A12" s="125"/>
      <c r="B12" s="426"/>
      <c r="D12" s="511"/>
      <c r="E12" s="511"/>
      <c r="F12" s="511"/>
      <c r="G12" s="511"/>
      <c r="H12" s="511"/>
      <c r="I12" s="171"/>
      <c r="J12" s="511"/>
      <c r="O12" t="s">
        <v>118</v>
      </c>
    </row>
    <row r="13" spans="1:14" ht="12.75">
      <c r="A13" s="125"/>
      <c r="B13" s="427" t="s">
        <v>763</v>
      </c>
      <c r="D13" s="512">
        <v>0</v>
      </c>
      <c r="E13" s="511"/>
      <c r="F13" s="512">
        <v>0</v>
      </c>
      <c r="G13" s="511"/>
      <c r="H13" s="512">
        <v>0</v>
      </c>
      <c r="I13" s="171"/>
      <c r="J13" s="511">
        <f>+D13+F13+H13</f>
        <v>0</v>
      </c>
      <c r="N13" s="281"/>
    </row>
    <row r="14" spans="1:14" ht="12.75">
      <c r="A14" s="125"/>
      <c r="B14" s="427"/>
      <c r="D14" s="511"/>
      <c r="E14" s="511"/>
      <c r="F14" s="511"/>
      <c r="G14" s="511"/>
      <c r="H14" s="511" t="s">
        <v>118</v>
      </c>
      <c r="I14" s="171"/>
      <c r="J14" s="511"/>
      <c r="N14" s="281"/>
    </row>
    <row r="15" spans="1:10" ht="12.75">
      <c r="A15" s="125"/>
      <c r="B15" s="428" t="s">
        <v>764</v>
      </c>
      <c r="D15" s="512">
        <v>0</v>
      </c>
      <c r="E15" s="511"/>
      <c r="F15" s="512">
        <v>746.25</v>
      </c>
      <c r="G15" s="511"/>
      <c r="H15" s="512">
        <f>0.9+40.26+0.04+0.02+0.65+54.19+0.06+0.07</f>
        <v>96.19</v>
      </c>
      <c r="I15" s="171"/>
      <c r="J15" s="511">
        <f>+D15+F15+H15</f>
        <v>842.44</v>
      </c>
    </row>
    <row r="16" spans="1:10" ht="12.75">
      <c r="A16" s="125"/>
      <c r="B16" s="427"/>
      <c r="D16" s="511"/>
      <c r="E16" s="511"/>
      <c r="F16" s="511"/>
      <c r="G16" s="511"/>
      <c r="H16" s="511" t="s">
        <v>118</v>
      </c>
      <c r="I16" s="171"/>
      <c r="J16" s="511"/>
    </row>
    <row r="17" spans="1:10" ht="12.75">
      <c r="A17" s="125"/>
      <c r="B17" t="s">
        <v>604</v>
      </c>
      <c r="D17" s="512">
        <v>0</v>
      </c>
      <c r="E17" s="511"/>
      <c r="F17" s="511">
        <v>0</v>
      </c>
      <c r="G17" s="511"/>
      <c r="H17" s="511">
        <f>1269.22+13.1+0.01+0.01</f>
        <v>1282.34</v>
      </c>
      <c r="I17" s="171"/>
      <c r="J17" s="511">
        <f>+D17+F17+H17</f>
        <v>1282.34</v>
      </c>
    </row>
    <row r="18" spans="1:10" ht="12.75">
      <c r="A18" s="125"/>
      <c r="D18" s="511"/>
      <c r="E18" s="511"/>
      <c r="F18" s="511"/>
      <c r="G18" s="511"/>
      <c r="H18" s="511"/>
      <c r="I18" s="171"/>
      <c r="J18" s="511"/>
    </row>
    <row r="19" spans="1:10" ht="12.75">
      <c r="A19" s="125"/>
      <c r="B19" t="s">
        <v>159</v>
      </c>
      <c r="D19" s="511">
        <v>0</v>
      </c>
      <c r="E19" s="511"/>
      <c r="F19" s="511">
        <v>0</v>
      </c>
      <c r="G19" s="511"/>
      <c r="H19" s="511">
        <v>0.4</v>
      </c>
      <c r="I19" s="171"/>
      <c r="J19" s="511">
        <f>+D19+F19+H19</f>
        <v>0.4</v>
      </c>
    </row>
    <row r="20" spans="1:10" ht="12.75">
      <c r="A20" s="125"/>
      <c r="B20" s="428"/>
      <c r="D20" s="511"/>
      <c r="E20" s="511"/>
      <c r="F20" s="511"/>
      <c r="G20" s="511"/>
      <c r="H20" s="511"/>
      <c r="I20" s="171"/>
      <c r="J20" s="511"/>
    </row>
    <row r="21" spans="1:10" ht="39">
      <c r="A21" s="125"/>
      <c r="B21" s="156" t="s">
        <v>813</v>
      </c>
      <c r="D21" s="513">
        <f>SUM(D7:D20)</f>
        <v>446.14</v>
      </c>
      <c r="E21" s="511"/>
      <c r="F21" s="513">
        <f>SUM(F7:F20)</f>
        <v>8181.79</v>
      </c>
      <c r="G21" s="511"/>
      <c r="H21" s="513">
        <f>SUM(H7:H20)</f>
        <v>1378.93</v>
      </c>
      <c r="I21" s="171"/>
      <c r="J21" s="513">
        <f>SUM(J7:J20)</f>
        <v>10006.86</v>
      </c>
    </row>
    <row r="22" spans="1:12" ht="12.75">
      <c r="A22" s="125"/>
      <c r="D22" s="511"/>
      <c r="E22" s="511"/>
      <c r="F22" s="511"/>
      <c r="G22" s="511"/>
      <c r="H22" s="171"/>
      <c r="I22" s="171"/>
      <c r="J22" s="511"/>
      <c r="L22" t="s">
        <v>118</v>
      </c>
    </row>
    <row r="23" spans="1:10" ht="12.75">
      <c r="A23" s="125"/>
      <c r="D23" s="511"/>
      <c r="E23" s="511"/>
      <c r="F23" s="511"/>
      <c r="G23" s="511"/>
      <c r="H23" s="171"/>
      <c r="I23" s="171"/>
      <c r="J23" s="511"/>
    </row>
    <row r="24" spans="2:10" ht="26.25">
      <c r="B24" s="426" t="s">
        <v>263</v>
      </c>
      <c r="D24" s="511">
        <v>0</v>
      </c>
      <c r="E24" s="511"/>
      <c r="F24" s="511">
        <v>0</v>
      </c>
      <c r="G24" s="511"/>
      <c r="H24" s="511">
        <v>0</v>
      </c>
      <c r="I24" s="171"/>
      <c r="J24" s="552">
        <v>102.63</v>
      </c>
    </row>
    <row r="25" spans="1:10" ht="12.75">
      <c r="A25"/>
      <c r="B25" s="427"/>
      <c r="D25" s="511"/>
      <c r="E25" s="511"/>
      <c r="F25" s="511"/>
      <c r="G25" s="511"/>
      <c r="H25" s="171"/>
      <c r="I25" s="171"/>
      <c r="J25" s="511"/>
    </row>
    <row r="26" spans="1:10" ht="26.25">
      <c r="A26"/>
      <c r="B26" s="426" t="s">
        <v>296</v>
      </c>
      <c r="D26" s="512"/>
      <c r="E26" s="511"/>
      <c r="F26" s="512"/>
      <c r="G26" s="511"/>
      <c r="H26" s="512"/>
      <c r="I26" s="171"/>
      <c r="J26" s="512" t="s">
        <v>118</v>
      </c>
    </row>
    <row r="27" spans="1:10" ht="12.75">
      <c r="A27"/>
      <c r="B27" s="252" t="s">
        <v>297</v>
      </c>
      <c r="D27" s="511">
        <v>186.12</v>
      </c>
      <c r="E27" s="511"/>
      <c r="F27" s="511">
        <v>1200</v>
      </c>
      <c r="G27" s="511"/>
      <c r="H27" s="511">
        <f>1.65+113.15+0.12+0.8+21.84+967.34+1+3.33</f>
        <v>1109.23</v>
      </c>
      <c r="I27" s="171"/>
      <c r="J27" s="511">
        <f>+D27+F27+H27</f>
        <v>2495.35</v>
      </c>
    </row>
    <row r="28" spans="1:10" ht="12.75">
      <c r="A28"/>
      <c r="B28" s="252" t="s">
        <v>298</v>
      </c>
      <c r="D28" s="511">
        <v>8785.87</v>
      </c>
      <c r="E28" s="511"/>
      <c r="F28" s="511">
        <v>13324.8</v>
      </c>
      <c r="G28" s="511"/>
      <c r="H28" s="511">
        <f>40.64+1808.12+1.86+10.75+88.24+1.09+49.02+0.05-0.03</f>
        <v>1999.7399999999998</v>
      </c>
      <c r="I28" s="171" t="s">
        <v>118</v>
      </c>
      <c r="J28" s="511">
        <f>+D28+F28+H28</f>
        <v>24110.409999999996</v>
      </c>
    </row>
    <row r="29" spans="1:10" ht="12.75">
      <c r="A29"/>
      <c r="D29" s="511"/>
      <c r="E29" s="511"/>
      <c r="F29" s="511"/>
      <c r="G29" s="511"/>
      <c r="H29" s="171"/>
      <c r="I29" s="171"/>
      <c r="J29" s="511"/>
    </row>
    <row r="30" spans="1:10" ht="12.75">
      <c r="A30"/>
      <c r="D30" s="171"/>
      <c r="E30" s="171"/>
      <c r="F30" s="171"/>
      <c r="G30" s="171"/>
      <c r="H30" s="171"/>
      <c r="I30" s="171"/>
      <c r="J30" s="171"/>
    </row>
    <row r="31" spans="1:10" ht="26.25">
      <c r="A31"/>
      <c r="B31" s="156" t="s">
        <v>794</v>
      </c>
      <c r="D31" s="171"/>
      <c r="E31" s="171"/>
      <c r="F31" s="171"/>
      <c r="G31" s="171"/>
      <c r="H31" s="171"/>
      <c r="I31" s="171"/>
      <c r="J31" s="513">
        <f>+J21+J24+J27+J28</f>
        <v>36715.25</v>
      </c>
    </row>
    <row r="32" spans="1:10" ht="12.75">
      <c r="A32"/>
      <c r="D32" s="171"/>
      <c r="E32" s="171"/>
      <c r="F32" s="171"/>
      <c r="G32" s="171"/>
      <c r="H32" s="171"/>
      <c r="I32" s="171"/>
      <c r="J32" s="171"/>
    </row>
    <row r="33" spans="1:10" ht="12.75">
      <c r="A33"/>
      <c r="D33" s="171"/>
      <c r="E33" s="171"/>
      <c r="F33" s="171"/>
      <c r="G33" s="171"/>
      <c r="H33" s="171"/>
      <c r="I33" s="171"/>
      <c r="J33" s="171"/>
    </row>
    <row r="34" spans="1:10" ht="12.75">
      <c r="A34"/>
      <c r="D34" s="171"/>
      <c r="E34" s="171"/>
      <c r="F34" s="171"/>
      <c r="G34" s="171"/>
      <c r="H34" s="171"/>
      <c r="I34" s="171"/>
      <c r="J34" s="171"/>
    </row>
    <row r="35" spans="1:2" ht="12.75">
      <c r="A35"/>
      <c r="B35" s="146"/>
    </row>
    <row r="36" spans="1:2" ht="12.75">
      <c r="A36"/>
      <c r="B36" s="146"/>
    </row>
    <row r="37" spans="1:10" ht="12.75">
      <c r="A37"/>
      <c r="B37" s="285"/>
      <c r="D37" s="84"/>
      <c r="J37" s="84"/>
    </row>
    <row r="38" spans="1:10" ht="12.75">
      <c r="A38"/>
      <c r="B38" s="285"/>
      <c r="D38" s="84"/>
      <c r="J38" s="84"/>
    </row>
    <row r="39" spans="1:10" ht="12.75">
      <c r="A39"/>
      <c r="B39" s="249"/>
      <c r="D39" s="263"/>
      <c r="J39" s="153"/>
    </row>
    <row r="40" spans="1:10" ht="12.75">
      <c r="A40"/>
      <c r="B40" s="285"/>
      <c r="J40" s="84"/>
    </row>
    <row r="41" spans="1:10" ht="12.75">
      <c r="A41"/>
      <c r="B41" s="285"/>
      <c r="J41" s="84"/>
    </row>
    <row r="42" spans="1:10" ht="12.75">
      <c r="A42"/>
      <c r="B42" s="285"/>
      <c r="J42" s="84"/>
    </row>
    <row r="43" spans="1:10" ht="12.75">
      <c r="A43"/>
      <c r="B43" s="285"/>
      <c r="J43" s="84"/>
    </row>
    <row r="44" spans="1:10" ht="12.75">
      <c r="A44"/>
      <c r="B44" s="285"/>
      <c r="J44" s="84"/>
    </row>
    <row r="45" spans="1:10" ht="12.75">
      <c r="A45"/>
      <c r="B45" s="285"/>
      <c r="J45" s="84"/>
    </row>
    <row r="46" spans="1:10" ht="12.75">
      <c r="A46"/>
      <c r="B46" s="285"/>
      <c r="J46" s="84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spans="2:10" ht="12.75">
      <c r="B53" s="61"/>
      <c r="D53" s="281"/>
      <c r="E53" s="281"/>
      <c r="F53" s="281"/>
      <c r="G53" s="281"/>
      <c r="H53" s="281"/>
      <c r="I53" s="281"/>
      <c r="J53" s="281"/>
    </row>
    <row r="54" spans="2:10" ht="12.75">
      <c r="B54" s="61"/>
      <c r="D54" s="281"/>
      <c r="E54" s="281"/>
      <c r="F54" s="281"/>
      <c r="G54" s="281"/>
      <c r="H54" s="281"/>
      <c r="I54" s="281"/>
      <c r="J54" s="281"/>
    </row>
    <row r="55" spans="2:10" ht="12.75">
      <c r="B55" s="61"/>
      <c r="D55" s="281"/>
      <c r="E55" s="281"/>
      <c r="F55" s="281"/>
      <c r="G55" s="281"/>
      <c r="H55" s="281"/>
      <c r="I55" s="281"/>
      <c r="J55" s="281"/>
    </row>
    <row r="56" spans="2:10" ht="12.75">
      <c r="B56" s="61"/>
      <c r="D56" s="281"/>
      <c r="E56" s="281"/>
      <c r="F56" s="281"/>
      <c r="G56" s="281"/>
      <c r="H56" s="281"/>
      <c r="I56" s="281"/>
      <c r="J56" s="281"/>
    </row>
    <row r="57" spans="2:10" ht="12.75">
      <c r="B57" s="61"/>
      <c r="D57" s="281"/>
      <c r="E57" s="281"/>
      <c r="F57" s="281"/>
      <c r="G57" s="281"/>
      <c r="H57" s="281"/>
      <c r="I57" s="281"/>
      <c r="J57" s="281"/>
    </row>
    <row r="58" spans="4:10" ht="12.75">
      <c r="D58" s="281"/>
      <c r="E58" s="281"/>
      <c r="F58" s="281"/>
      <c r="G58" s="281"/>
      <c r="H58" s="281"/>
      <c r="I58" s="281"/>
      <c r="J58" s="281"/>
    </row>
    <row r="59" spans="4:10" ht="12.75">
      <c r="D59" s="281"/>
      <c r="E59" s="281"/>
      <c r="F59" s="281"/>
      <c r="G59" s="281"/>
      <c r="H59" s="281"/>
      <c r="I59" s="281"/>
      <c r="J59" s="281"/>
    </row>
    <row r="60" spans="4:10" ht="12.75">
      <c r="D60" s="281"/>
      <c r="E60" s="281"/>
      <c r="F60" s="281"/>
      <c r="G60" s="281"/>
      <c r="H60" s="281"/>
      <c r="I60" s="281"/>
      <c r="J60" s="281"/>
    </row>
    <row r="74" ht="12.75">
      <c r="S74" s="510"/>
    </row>
  </sheetData>
  <sheetProtection/>
  <printOptions horizontalCentered="1"/>
  <pageMargins left="0.5" right="0" top="1.5" bottom="0.5" header="0.5" footer="0"/>
  <pageSetup horizontalDpi="300" verticalDpi="300" orientation="portrait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75"/>
  <sheetViews>
    <sheetView zoomScalePageLayoutView="0" workbookViewId="0" topLeftCell="A1">
      <pane ySplit="8" topLeftCell="A18" activePane="bottomLeft" state="frozen"/>
      <selection pane="topLeft" activeCell="H31" activeCellId="1" sqref="K25 H31"/>
      <selection pane="bottomLeft" activeCell="K25" sqref="K25"/>
    </sheetView>
  </sheetViews>
  <sheetFormatPr defaultColWidth="9.140625" defaultRowHeight="12.75"/>
  <cols>
    <col min="1" max="1" width="10.7109375" style="0" customWidth="1"/>
    <col min="2" max="2" width="5.00390625" style="3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5" max="15" width="9.421875" style="0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9</v>
      </c>
    </row>
    <row r="4" ht="12.75">
      <c r="F4" s="1" t="s">
        <v>346</v>
      </c>
    </row>
    <row r="5" ht="12.75">
      <c r="H5" t="s">
        <v>552</v>
      </c>
    </row>
    <row r="6" ht="12.75">
      <c r="H6" t="s">
        <v>553</v>
      </c>
    </row>
    <row r="8" ht="12.75">
      <c r="J8" s="3" t="str">
        <f>+'ES 1.0'!E7</f>
        <v>For the Expense Month of June 2014</v>
      </c>
    </row>
    <row r="9" spans="2:20" ht="13.5" thickBot="1">
      <c r="B9" s="2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30" customHeight="1" thickBot="1">
      <c r="B10" s="204" t="s">
        <v>525</v>
      </c>
      <c r="C10" s="71"/>
      <c r="D10" s="36" t="s">
        <v>85</v>
      </c>
      <c r="E10" s="88"/>
      <c r="F10" s="37" t="s">
        <v>86</v>
      </c>
      <c r="G10" s="88"/>
      <c r="H10" s="37" t="s">
        <v>115</v>
      </c>
      <c r="I10" s="88"/>
      <c r="J10" s="37" t="s">
        <v>88</v>
      </c>
      <c r="K10" s="207"/>
      <c r="L10" s="88"/>
      <c r="M10" s="37" t="s">
        <v>116</v>
      </c>
      <c r="N10" s="113"/>
      <c r="O10" s="80" t="s">
        <v>532</v>
      </c>
      <c r="P10" s="79"/>
      <c r="Q10" s="123"/>
      <c r="R10" s="113"/>
      <c r="S10" s="39" t="s">
        <v>117</v>
      </c>
      <c r="T10" s="65"/>
    </row>
    <row r="11" spans="2:20" ht="30" customHeight="1" thickBot="1">
      <c r="B11" s="203"/>
      <c r="C11" s="64"/>
      <c r="D11" s="65"/>
      <c r="E11" s="64"/>
      <c r="F11" s="397" t="s">
        <v>798</v>
      </c>
      <c r="G11" s="64"/>
      <c r="H11" s="65"/>
      <c r="I11" s="64"/>
      <c r="J11" s="65"/>
      <c r="K11" s="208"/>
      <c r="L11" s="64"/>
      <c r="M11" s="65"/>
      <c r="N11" s="20"/>
      <c r="O11" s="29"/>
      <c r="P11" s="32"/>
      <c r="Q11" s="11"/>
      <c r="R11" s="20"/>
      <c r="S11" s="66"/>
      <c r="T11" s="65"/>
    </row>
    <row r="12" spans="2:20" ht="12.75" customHeight="1">
      <c r="B12" s="5"/>
      <c r="C12" s="18"/>
      <c r="D12" s="6"/>
      <c r="E12" s="18"/>
      <c r="F12" s="6"/>
      <c r="G12" s="18"/>
      <c r="H12" s="6"/>
      <c r="I12" s="18"/>
      <c r="J12" s="6"/>
      <c r="K12" s="209"/>
      <c r="L12" s="18"/>
      <c r="M12" s="6"/>
      <c r="N12" s="18"/>
      <c r="O12" s="6"/>
      <c r="P12" s="18"/>
      <c r="Q12" s="6"/>
      <c r="R12" s="18"/>
      <c r="S12" s="7"/>
      <c r="T12" s="11"/>
    </row>
    <row r="13" spans="2:20" ht="15" customHeight="1">
      <c r="B13" s="14">
        <v>1</v>
      </c>
      <c r="C13" s="20"/>
      <c r="D13" s="11" t="s">
        <v>524</v>
      </c>
      <c r="E13" s="20"/>
      <c r="F13" s="174">
        <v>550000000</v>
      </c>
      <c r="G13" s="20"/>
      <c r="H13" s="68">
        <f>F13/$F$18</f>
        <v>0.5056872377228432</v>
      </c>
      <c r="I13" s="20"/>
      <c r="J13" s="395">
        <v>0.0648</v>
      </c>
      <c r="K13" s="210"/>
      <c r="L13" s="20"/>
      <c r="M13" s="54">
        <f>ROUND(H13*J13,4)</f>
        <v>0.0328</v>
      </c>
      <c r="N13" s="20"/>
      <c r="O13" s="11"/>
      <c r="P13" s="20"/>
      <c r="Q13" s="11"/>
      <c r="R13" s="20"/>
      <c r="S13" s="205">
        <f>+M13</f>
        <v>0.0328</v>
      </c>
      <c r="T13" s="54"/>
    </row>
    <row r="14" spans="2:20" ht="12.75">
      <c r="B14" s="14">
        <f>+B13+1</f>
        <v>2</v>
      </c>
      <c r="C14" s="20"/>
      <c r="D14" s="11" t="s">
        <v>526</v>
      </c>
      <c r="E14" s="20"/>
      <c r="F14" s="174">
        <v>0</v>
      </c>
      <c r="G14" s="20"/>
      <c r="H14" s="68">
        <f>F14/$F$18</f>
        <v>0</v>
      </c>
      <c r="I14" s="20"/>
      <c r="J14" s="395">
        <v>0.0038</v>
      </c>
      <c r="K14" s="210"/>
      <c r="L14" s="20"/>
      <c r="M14" s="54">
        <f>ROUND(H14*J14,4)</f>
        <v>0</v>
      </c>
      <c r="N14" s="20"/>
      <c r="O14" s="11"/>
      <c r="P14" s="20"/>
      <c r="Q14" s="11"/>
      <c r="R14" s="20"/>
      <c r="S14" s="205">
        <f>+M14</f>
        <v>0</v>
      </c>
      <c r="T14" s="54"/>
    </row>
    <row r="15" spans="2:20" ht="26.25">
      <c r="B15" s="14">
        <f>+B14+1</f>
        <v>3</v>
      </c>
      <c r="C15" s="20"/>
      <c r="D15" s="189" t="s">
        <v>8</v>
      </c>
      <c r="E15" s="20"/>
      <c r="F15" s="174">
        <v>45261643</v>
      </c>
      <c r="G15" s="20"/>
      <c r="H15" s="68">
        <f>F15/$F$18</f>
        <v>0.041614973133577204</v>
      </c>
      <c r="I15" s="20"/>
      <c r="J15" s="395">
        <v>0.0113</v>
      </c>
      <c r="K15" s="210"/>
      <c r="L15" s="20"/>
      <c r="M15" s="54">
        <f>ROUND(H15*J15,4)</f>
        <v>0.0005</v>
      </c>
      <c r="N15" s="20"/>
      <c r="O15" s="11"/>
      <c r="P15" s="20"/>
      <c r="Q15" s="11"/>
      <c r="R15" s="20"/>
      <c r="S15" s="205">
        <f>+M15</f>
        <v>0.0005</v>
      </c>
      <c r="T15" s="54"/>
    </row>
    <row r="16" spans="2:20" ht="12.75">
      <c r="B16" s="14">
        <f>+B15+1</f>
        <v>4</v>
      </c>
      <c r="C16" s="20"/>
      <c r="D16" s="11" t="s">
        <v>528</v>
      </c>
      <c r="E16" s="20"/>
      <c r="F16" s="174">
        <v>492367150</v>
      </c>
      <c r="G16" s="20"/>
      <c r="H16" s="68">
        <f>F16/$F$18</f>
        <v>0.4526977891435796</v>
      </c>
      <c r="I16" s="20"/>
      <c r="J16" s="396">
        <v>0.105</v>
      </c>
      <c r="K16" s="212" t="s">
        <v>533</v>
      </c>
      <c r="L16" s="20"/>
      <c r="M16" s="54">
        <f>ROUND(H16*J16,4)</f>
        <v>0.0475</v>
      </c>
      <c r="N16" s="20"/>
      <c r="O16" s="398">
        <f>+O57</f>
        <v>1.5489</v>
      </c>
      <c r="P16" s="20"/>
      <c r="Q16" s="29" t="s">
        <v>534</v>
      </c>
      <c r="R16" s="20"/>
      <c r="S16" s="205">
        <f>ROUND(H16*J16*O16,5)</f>
        <v>0.07362</v>
      </c>
      <c r="T16" s="54"/>
    </row>
    <row r="17" spans="2:20" ht="12.75">
      <c r="B17" s="14"/>
      <c r="C17" s="20"/>
      <c r="D17" s="11"/>
      <c r="E17" s="20"/>
      <c r="F17" s="174"/>
      <c r="G17" s="20"/>
      <c r="H17" s="68"/>
      <c r="I17" s="20"/>
      <c r="J17" s="206"/>
      <c r="K17" s="210"/>
      <c r="L17" s="20"/>
      <c r="M17" s="68"/>
      <c r="N17" s="20"/>
      <c r="O17" s="11"/>
      <c r="P17" s="20"/>
      <c r="Q17" s="11"/>
      <c r="R17" s="20"/>
      <c r="S17" s="69"/>
      <c r="T17" s="67"/>
    </row>
    <row r="18" spans="2:20" ht="12.75">
      <c r="B18" s="14">
        <f>+B16+1</f>
        <v>5</v>
      </c>
      <c r="C18" s="20"/>
      <c r="D18" s="11" t="s">
        <v>529</v>
      </c>
      <c r="E18" s="20"/>
      <c r="F18" s="371">
        <f>SUM(F13:F16)</f>
        <v>1087628793</v>
      </c>
      <c r="G18" s="20"/>
      <c r="H18" s="370">
        <f>SUM(H13:H16)</f>
        <v>1</v>
      </c>
      <c r="I18" s="20"/>
      <c r="J18" s="206"/>
      <c r="K18" s="210"/>
      <c r="L18" s="20"/>
      <c r="M18" s="213">
        <f>SUM(M13:M16)</f>
        <v>0.08080000000000001</v>
      </c>
      <c r="N18" s="20"/>
      <c r="O18" s="11"/>
      <c r="P18" s="20"/>
      <c r="Q18" s="11"/>
      <c r="R18" s="20"/>
      <c r="S18" s="322">
        <f>SUM(S13:S17)</f>
        <v>0.10692000000000002</v>
      </c>
      <c r="T18" s="310"/>
    </row>
    <row r="19" spans="2:20" ht="12.75">
      <c r="B19" s="14"/>
      <c r="C19" s="20"/>
      <c r="D19" s="11"/>
      <c r="E19" s="20"/>
      <c r="F19" s="11"/>
      <c r="G19" s="20"/>
      <c r="H19" s="11"/>
      <c r="I19" s="20"/>
      <c r="J19" s="11"/>
      <c r="K19" s="210"/>
      <c r="L19" s="20"/>
      <c r="M19" s="11"/>
      <c r="N19" s="20"/>
      <c r="O19" s="11"/>
      <c r="P19" s="20"/>
      <c r="Q19" s="11"/>
      <c r="R19" s="20"/>
      <c r="S19" s="15"/>
      <c r="T19" s="11"/>
    </row>
    <row r="20" spans="2:20" ht="13.5" thickBot="1">
      <c r="B20" s="8"/>
      <c r="C20" s="21"/>
      <c r="D20" s="16"/>
      <c r="E20" s="21"/>
      <c r="F20" s="16"/>
      <c r="G20" s="21"/>
      <c r="H20" s="16"/>
      <c r="I20" s="21"/>
      <c r="J20" s="16"/>
      <c r="K20" s="211"/>
      <c r="L20" s="21"/>
      <c r="M20" s="16"/>
      <c r="N20" s="21"/>
      <c r="O20" s="16"/>
      <c r="P20" s="21"/>
      <c r="Q20" s="16"/>
      <c r="R20" s="21"/>
      <c r="S20" s="17"/>
      <c r="T20" s="11"/>
    </row>
    <row r="21" spans="2:20" ht="12.75">
      <c r="B21" s="14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32"/>
      <c r="Q21" s="11"/>
      <c r="R21" s="11"/>
      <c r="S21" s="15"/>
      <c r="T21" s="11"/>
    </row>
    <row r="22" spans="2:20" ht="12" customHeight="1">
      <c r="B22" s="14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32"/>
      <c r="Q22" s="11"/>
      <c r="R22" s="11"/>
      <c r="S22" s="15"/>
      <c r="T22" s="11"/>
    </row>
    <row r="23" spans="2:20" ht="12.75">
      <c r="B23" s="203" t="s">
        <v>533</v>
      </c>
      <c r="C23" s="31"/>
      <c r="D23" s="11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54"/>
      <c r="P23" s="32"/>
      <c r="Q23" s="11"/>
      <c r="R23" s="11"/>
      <c r="S23" s="15"/>
      <c r="T23" s="11"/>
    </row>
    <row r="24" spans="2:20" ht="12.75">
      <c r="B24" s="14"/>
      <c r="C24" s="31"/>
      <c r="D24" s="11" t="s">
        <v>802</v>
      </c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32"/>
      <c r="Q24" s="11"/>
      <c r="R24" s="11"/>
      <c r="S24" s="15"/>
      <c r="T24" s="11"/>
    </row>
    <row r="25" spans="2:20" ht="12.75">
      <c r="B25" s="10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0"/>
      <c r="O25" s="11"/>
      <c r="P25" s="32"/>
      <c r="Q25" s="11"/>
      <c r="R25" s="11"/>
      <c r="S25" s="15"/>
      <c r="T25" s="11"/>
    </row>
    <row r="26" spans="2:20" ht="12.75">
      <c r="B26" s="203" t="s">
        <v>534</v>
      </c>
      <c r="C26" s="31"/>
      <c r="D26" s="11" t="s">
        <v>114</v>
      </c>
      <c r="E26" s="11"/>
      <c r="F26" s="11"/>
      <c r="G26" s="11"/>
      <c r="H26" s="11"/>
      <c r="I26" s="11"/>
      <c r="J26" s="11"/>
      <c r="K26" s="11"/>
      <c r="L26" s="11"/>
      <c r="M26" s="11"/>
      <c r="N26" s="20"/>
      <c r="O26" s="11"/>
      <c r="P26" s="32"/>
      <c r="Q26" s="11"/>
      <c r="R26" s="11"/>
      <c r="S26" s="15"/>
      <c r="T26" s="11"/>
    </row>
    <row r="27" spans="2:20" ht="12.75">
      <c r="B27" s="203"/>
      <c r="C27" s="31"/>
      <c r="D27" s="63" t="s">
        <v>799</v>
      </c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1"/>
      <c r="P27" s="32"/>
      <c r="Q27" s="11"/>
      <c r="R27" s="11"/>
      <c r="S27" s="15"/>
      <c r="T27" s="11"/>
    </row>
    <row r="28" spans="2:20" ht="12.75">
      <c r="B28" s="10"/>
      <c r="C28" s="3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"/>
      <c r="O28" s="11"/>
      <c r="P28" s="32"/>
      <c r="Q28" s="11"/>
      <c r="R28" s="11"/>
      <c r="S28" s="15"/>
      <c r="T28" s="11"/>
    </row>
    <row r="29" spans="2:20" ht="12.75">
      <c r="B29" s="10">
        <v>1</v>
      </c>
      <c r="C29" s="31"/>
      <c r="D29" s="11" t="s">
        <v>535</v>
      </c>
      <c r="E29" s="11"/>
      <c r="F29" s="11"/>
      <c r="G29" s="11"/>
      <c r="H29" s="11"/>
      <c r="I29" s="11"/>
      <c r="J29" s="11"/>
      <c r="K29" s="11"/>
      <c r="L29" s="11"/>
      <c r="M29" s="11"/>
      <c r="N29" s="20"/>
      <c r="O29" s="67">
        <f>+O61</f>
        <v>100</v>
      </c>
      <c r="P29" s="32"/>
      <c r="Q29" s="11"/>
      <c r="R29" s="11"/>
      <c r="S29" s="15"/>
      <c r="T29" s="11"/>
    </row>
    <row r="30" spans="2:20" ht="12.75">
      <c r="B30" s="10">
        <f>+B29+1</f>
        <v>2</v>
      </c>
      <c r="C30" s="31"/>
      <c r="D30" s="352" t="s">
        <v>814</v>
      </c>
      <c r="E30" s="11"/>
      <c r="F30" s="11"/>
      <c r="G30" s="11"/>
      <c r="H30" s="11"/>
      <c r="I30" s="11"/>
      <c r="J30" s="11"/>
      <c r="K30" s="11"/>
      <c r="L30" s="11"/>
      <c r="M30" s="11"/>
      <c r="N30" s="20"/>
      <c r="O30" s="306">
        <f>+O62</f>
        <v>0.25</v>
      </c>
      <c r="P30" s="32"/>
      <c r="Q30" s="11"/>
      <c r="R30" s="11"/>
      <c r="S30" s="15"/>
      <c r="T30" s="11"/>
    </row>
    <row r="31" spans="2:20" ht="12.75">
      <c r="B31" s="10">
        <f>+B30+1</f>
        <v>3</v>
      </c>
      <c r="C31" s="31"/>
      <c r="D31" s="63" t="s">
        <v>767</v>
      </c>
      <c r="E31" s="11"/>
      <c r="F31" s="11"/>
      <c r="G31" s="11"/>
      <c r="H31" s="11"/>
      <c r="I31" s="11"/>
      <c r="J31" s="11"/>
      <c r="K31" s="11"/>
      <c r="L31" s="11"/>
      <c r="M31" s="11"/>
      <c r="N31" s="20"/>
      <c r="O31" s="308">
        <f>+O63</f>
        <v>0.18</v>
      </c>
      <c r="P31" s="32"/>
      <c r="Q31" s="11"/>
      <c r="R31" s="11"/>
      <c r="S31" s="15"/>
      <c r="T31" s="11"/>
    </row>
    <row r="32" spans="2:20" ht="12.75">
      <c r="B32" s="10"/>
      <c r="C32" s="31"/>
      <c r="D32" s="63"/>
      <c r="E32" s="11"/>
      <c r="F32" s="11"/>
      <c r="G32" s="11"/>
      <c r="H32" s="11"/>
      <c r="I32" s="11"/>
      <c r="J32" s="11"/>
      <c r="K32" s="11"/>
      <c r="L32" s="11"/>
      <c r="M32" s="11"/>
      <c r="N32" s="20"/>
      <c r="O32" s="305"/>
      <c r="P32" s="32"/>
      <c r="Q32" s="11"/>
      <c r="R32" s="11"/>
      <c r="S32" s="15"/>
      <c r="T32" s="11"/>
    </row>
    <row r="33" spans="2:20" ht="12.75">
      <c r="B33" s="10">
        <f>+B31+1</f>
        <v>4</v>
      </c>
      <c r="C33" s="31"/>
      <c r="D33" s="63" t="s">
        <v>425</v>
      </c>
      <c r="E33" s="11"/>
      <c r="F33" s="11"/>
      <c r="G33" s="11"/>
      <c r="H33" s="11"/>
      <c r="I33" s="11"/>
      <c r="J33" s="11"/>
      <c r="K33" s="11"/>
      <c r="L33" s="11"/>
      <c r="M33" s="11"/>
      <c r="N33" s="20"/>
      <c r="O33" s="306">
        <f>+O29-O30-O31</f>
        <v>99.57</v>
      </c>
      <c r="P33" s="32"/>
      <c r="Q33" s="11"/>
      <c r="R33" s="11"/>
      <c r="S33" s="15"/>
      <c r="T33" s="11"/>
    </row>
    <row r="34" spans="2:20" ht="12.75">
      <c r="B34" s="10">
        <f aca="true" t="shared" si="0" ref="B34:B40">+B33+1</f>
        <v>5</v>
      </c>
      <c r="C34" s="31"/>
      <c r="D34" s="63" t="s">
        <v>426</v>
      </c>
      <c r="E34" s="11"/>
      <c r="F34" s="11"/>
      <c r="G34" s="11"/>
      <c r="H34" s="11"/>
      <c r="I34" s="11"/>
      <c r="J34" s="11"/>
      <c r="K34" s="11"/>
      <c r="L34" s="11"/>
      <c r="M34" s="11"/>
      <c r="N34" s="20"/>
      <c r="O34" s="308">
        <f>+O71</f>
        <v>5.466036</v>
      </c>
      <c r="P34" s="32"/>
      <c r="Q34" s="11"/>
      <c r="R34" s="11"/>
      <c r="S34" s="15"/>
      <c r="T34" s="11"/>
    </row>
    <row r="35" spans="2:20" ht="12.75">
      <c r="B35" s="10"/>
      <c r="C35" s="31"/>
      <c r="D35" s="63"/>
      <c r="E35" s="11"/>
      <c r="F35" s="11"/>
      <c r="G35" s="11"/>
      <c r="H35" s="11"/>
      <c r="I35" s="11"/>
      <c r="J35" s="11"/>
      <c r="K35" s="11"/>
      <c r="L35" s="11"/>
      <c r="M35" s="11"/>
      <c r="N35" s="20"/>
      <c r="O35" s="67"/>
      <c r="P35" s="32"/>
      <c r="Q35" s="11"/>
      <c r="R35" s="11"/>
      <c r="S35" s="15"/>
      <c r="T35" s="11"/>
    </row>
    <row r="36" spans="2:20" ht="12.75">
      <c r="B36" s="10">
        <f>+B34+1</f>
        <v>6</v>
      </c>
      <c r="C36" s="31"/>
      <c r="D36" s="63" t="s">
        <v>427</v>
      </c>
      <c r="E36" s="11"/>
      <c r="F36" s="11"/>
      <c r="G36" s="11"/>
      <c r="H36" s="11"/>
      <c r="I36" s="11"/>
      <c r="J36" s="11"/>
      <c r="K36" s="11"/>
      <c r="L36" s="11"/>
      <c r="M36" s="11"/>
      <c r="N36" s="20"/>
      <c r="O36" s="306">
        <f>+O33-O34</f>
        <v>94.10396399999999</v>
      </c>
      <c r="P36" s="32"/>
      <c r="Q36" s="11"/>
      <c r="R36" s="11"/>
      <c r="S36" s="15"/>
      <c r="T36" s="11"/>
    </row>
    <row r="37" spans="2:20" ht="12.75">
      <c r="B37" s="10">
        <f t="shared" si="0"/>
        <v>7</v>
      </c>
      <c r="C37" s="31"/>
      <c r="D37" s="63" t="s">
        <v>428</v>
      </c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308">
        <f>+O66</f>
        <v>8.4694</v>
      </c>
      <c r="P37" s="32"/>
      <c r="Q37" s="11"/>
      <c r="R37" s="11"/>
      <c r="S37" s="15"/>
      <c r="T37" s="11"/>
    </row>
    <row r="38" spans="2:20" ht="12.75">
      <c r="B38" s="10"/>
      <c r="C38" s="31"/>
      <c r="D38" s="63"/>
      <c r="E38" s="11"/>
      <c r="F38" s="11"/>
      <c r="G38" s="11"/>
      <c r="H38" s="11"/>
      <c r="I38" s="11"/>
      <c r="J38" s="11"/>
      <c r="K38" s="11"/>
      <c r="L38" s="11"/>
      <c r="M38" s="11"/>
      <c r="N38" s="20"/>
      <c r="O38" s="305"/>
      <c r="P38" s="32"/>
      <c r="Q38" s="11"/>
      <c r="R38" s="11"/>
      <c r="S38" s="15"/>
      <c r="T38" s="11"/>
    </row>
    <row r="39" spans="2:20" ht="12.75">
      <c r="B39" s="10">
        <f>+B37+1</f>
        <v>8</v>
      </c>
      <c r="C39" s="32"/>
      <c r="D39" s="63" t="s">
        <v>429</v>
      </c>
      <c r="E39" s="11"/>
      <c r="F39" s="11"/>
      <c r="G39" s="11"/>
      <c r="H39" s="11"/>
      <c r="I39" s="11"/>
      <c r="J39" s="11"/>
      <c r="K39" s="11"/>
      <c r="L39" s="11"/>
      <c r="M39" s="11"/>
      <c r="N39" s="20"/>
      <c r="O39" s="67">
        <f>+O36-O37</f>
        <v>85.63456399999998</v>
      </c>
      <c r="P39" s="32"/>
      <c r="Q39" s="11"/>
      <c r="R39" s="11"/>
      <c r="S39" s="15"/>
      <c r="T39" s="11"/>
    </row>
    <row r="40" spans="2:20" ht="12.75">
      <c r="B40" s="10">
        <f t="shared" si="0"/>
        <v>9</v>
      </c>
      <c r="C40" s="32"/>
      <c r="D40" s="63" t="s">
        <v>430</v>
      </c>
      <c r="E40" s="11"/>
      <c r="F40" s="11"/>
      <c r="G40" s="11"/>
      <c r="H40" s="11"/>
      <c r="I40" s="11"/>
      <c r="J40" s="11"/>
      <c r="K40" s="11"/>
      <c r="L40" s="11"/>
      <c r="M40" s="11"/>
      <c r="N40" s="20"/>
      <c r="O40" s="308">
        <f>ROUND(O39*0.35,4)</f>
        <v>29.9721</v>
      </c>
      <c r="P40" s="32"/>
      <c r="Q40" s="11"/>
      <c r="R40" s="11"/>
      <c r="S40" s="15"/>
      <c r="T40" s="11"/>
    </row>
    <row r="41" spans="2:20" ht="12.75">
      <c r="B41" s="10"/>
      <c r="C41" s="3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20"/>
      <c r="O41" s="305"/>
      <c r="P41" s="32"/>
      <c r="Q41" s="11"/>
      <c r="R41" s="11"/>
      <c r="S41" s="15"/>
      <c r="T41" s="11"/>
    </row>
    <row r="42" spans="2:20" ht="13.5" thickBot="1">
      <c r="B42" s="10">
        <f>+B40+1</f>
        <v>10</v>
      </c>
      <c r="C42" s="32"/>
      <c r="D42" s="63" t="s">
        <v>431</v>
      </c>
      <c r="E42" s="11"/>
      <c r="F42" s="11"/>
      <c r="G42" s="11"/>
      <c r="H42" s="11"/>
      <c r="I42" s="11"/>
      <c r="J42" s="11"/>
      <c r="K42" s="11"/>
      <c r="L42" s="11"/>
      <c r="M42" s="11"/>
      <c r="N42" s="20"/>
      <c r="O42" s="307">
        <f>+O39-O40</f>
        <v>55.662463999999986</v>
      </c>
      <c r="P42" s="32"/>
      <c r="Q42" s="11"/>
      <c r="R42" s="11"/>
      <c r="S42" s="15"/>
      <c r="T42" s="11"/>
    </row>
    <row r="43" spans="2:20" ht="13.5" thickTop="1">
      <c r="B43" s="10"/>
      <c r="C43" s="32"/>
      <c r="D43" s="63"/>
      <c r="E43" s="11"/>
      <c r="F43" s="11"/>
      <c r="G43" s="11"/>
      <c r="H43" s="11"/>
      <c r="I43" s="11"/>
      <c r="J43" s="11"/>
      <c r="K43" s="11"/>
      <c r="L43" s="11"/>
      <c r="M43" s="11"/>
      <c r="N43" s="20"/>
      <c r="O43" s="306"/>
      <c r="P43" s="32"/>
      <c r="Q43" s="11"/>
      <c r="R43" s="11"/>
      <c r="S43" s="15"/>
      <c r="T43" s="11"/>
    </row>
    <row r="44" spans="2:20" ht="12.75">
      <c r="B44" s="10">
        <f>+B42+1</f>
        <v>11</v>
      </c>
      <c r="C44" s="32"/>
      <c r="D44" s="63" t="s">
        <v>432</v>
      </c>
      <c r="E44" s="11"/>
      <c r="F44" s="11"/>
      <c r="G44" s="11"/>
      <c r="H44" s="11"/>
      <c r="I44" s="11"/>
      <c r="J44" s="11"/>
      <c r="K44" s="11"/>
      <c r="L44" s="11"/>
      <c r="M44" s="11"/>
      <c r="N44" s="20"/>
      <c r="O44" s="305"/>
      <c r="P44" s="32"/>
      <c r="Q44" s="11"/>
      <c r="R44" s="11"/>
      <c r="S44" s="15"/>
      <c r="T44" s="11"/>
    </row>
    <row r="45" spans="2:20" ht="12.75">
      <c r="B45" s="10">
        <f>+B44+1</f>
        <v>12</v>
      </c>
      <c r="C45" s="32"/>
      <c r="D45" s="63" t="s">
        <v>433</v>
      </c>
      <c r="E45" s="11"/>
      <c r="F45" s="11"/>
      <c r="G45" s="11"/>
      <c r="H45" s="11"/>
      <c r="I45" s="11"/>
      <c r="J45" s="11"/>
      <c r="K45" s="11"/>
      <c r="L45" s="11"/>
      <c r="M45" s="11"/>
      <c r="N45" s="20"/>
      <c r="O45" s="306">
        <f>+O42</f>
        <v>55.662463999999986</v>
      </c>
      <c r="P45" s="32"/>
      <c r="Q45" s="11"/>
      <c r="R45" s="11"/>
      <c r="S45" s="15"/>
      <c r="T45" s="11"/>
    </row>
    <row r="46" spans="2:20" ht="12.75">
      <c r="B46" s="10">
        <f>+B45+1</f>
        <v>13</v>
      </c>
      <c r="C46" s="32"/>
      <c r="D46" s="63" t="s">
        <v>434</v>
      </c>
      <c r="E46" s="11"/>
      <c r="F46" s="11"/>
      <c r="G46" s="11"/>
      <c r="H46" s="11"/>
      <c r="I46" s="11"/>
      <c r="J46" s="11"/>
      <c r="K46" s="11"/>
      <c r="L46" s="11"/>
      <c r="M46" s="11"/>
      <c r="N46" s="20"/>
      <c r="O46" s="306">
        <f>+O66</f>
        <v>8.4694</v>
      </c>
      <c r="P46" s="32"/>
      <c r="Q46" s="11"/>
      <c r="R46" s="11"/>
      <c r="S46" s="15"/>
      <c r="T46" s="11"/>
    </row>
    <row r="47" spans="2:20" ht="12.75">
      <c r="B47" s="10">
        <f>+B46+1</f>
        <v>14</v>
      </c>
      <c r="C47" s="32"/>
      <c r="D47" s="63" t="s">
        <v>435</v>
      </c>
      <c r="E47" s="11"/>
      <c r="F47" s="11"/>
      <c r="G47" s="11"/>
      <c r="H47" s="11"/>
      <c r="I47" s="11"/>
      <c r="J47" s="11"/>
      <c r="K47" s="11"/>
      <c r="L47" s="11"/>
      <c r="M47" s="11"/>
      <c r="N47" s="20"/>
      <c r="O47" s="306">
        <f>+O62</f>
        <v>0.25</v>
      </c>
      <c r="P47" s="32"/>
      <c r="Q47" s="11"/>
      <c r="R47" s="11"/>
      <c r="S47" s="15"/>
      <c r="T47" s="11"/>
    </row>
    <row r="48" spans="2:20" ht="12.75">
      <c r="B48" s="10">
        <f>+B47+1</f>
        <v>15</v>
      </c>
      <c r="C48" s="32"/>
      <c r="D48" s="63" t="s">
        <v>766</v>
      </c>
      <c r="E48" s="11"/>
      <c r="F48" s="11"/>
      <c r="G48" s="11"/>
      <c r="H48" s="11"/>
      <c r="I48" s="11"/>
      <c r="J48" s="11"/>
      <c r="K48" s="11"/>
      <c r="L48" s="11"/>
      <c r="M48" s="11"/>
      <c r="N48" s="20"/>
      <c r="O48" s="308">
        <f>+O63</f>
        <v>0.18</v>
      </c>
      <c r="P48" s="32"/>
      <c r="Q48" s="11"/>
      <c r="R48" s="11"/>
      <c r="S48" s="15"/>
      <c r="T48" s="11"/>
    </row>
    <row r="49" spans="2:20" ht="12.75">
      <c r="B49" s="10"/>
      <c r="C49" s="32"/>
      <c r="D49" s="63"/>
      <c r="E49" s="11"/>
      <c r="F49" s="11"/>
      <c r="G49" s="11"/>
      <c r="H49" s="11"/>
      <c r="I49" s="11"/>
      <c r="J49" s="11"/>
      <c r="K49" s="11"/>
      <c r="L49" s="11"/>
      <c r="M49" s="11"/>
      <c r="N49" s="20"/>
      <c r="O49" s="305"/>
      <c r="P49" s="32"/>
      <c r="Q49" s="11"/>
      <c r="R49" s="11"/>
      <c r="S49" s="15"/>
      <c r="T49" s="11"/>
    </row>
    <row r="50" spans="2:20" ht="13.5" thickBot="1">
      <c r="B50" s="10">
        <f>+B48+1</f>
        <v>16</v>
      </c>
      <c r="C50" s="32"/>
      <c r="D50" s="63" t="s">
        <v>436</v>
      </c>
      <c r="E50" s="11"/>
      <c r="F50" s="11"/>
      <c r="G50" s="11"/>
      <c r="H50" s="11"/>
      <c r="I50" s="11"/>
      <c r="J50" s="11"/>
      <c r="K50" s="11"/>
      <c r="L50" s="11"/>
      <c r="M50" s="11"/>
      <c r="N50" s="20"/>
      <c r="O50" s="307">
        <f>SUM(O45:O49)</f>
        <v>64.56186399999999</v>
      </c>
      <c r="P50" s="32"/>
      <c r="Q50" s="11"/>
      <c r="R50" s="11"/>
      <c r="S50" s="15"/>
      <c r="T50" s="11"/>
    </row>
    <row r="51" spans="2:20" ht="13.5" thickTop="1">
      <c r="B51" s="10"/>
      <c r="C51" s="32"/>
      <c r="D51" s="63"/>
      <c r="E51" s="11"/>
      <c r="F51" s="11"/>
      <c r="G51" s="11"/>
      <c r="H51" s="11"/>
      <c r="I51" s="11"/>
      <c r="J51" s="11"/>
      <c r="K51" s="11"/>
      <c r="L51" s="11"/>
      <c r="M51" s="11"/>
      <c r="N51" s="20"/>
      <c r="O51" s="305"/>
      <c r="P51" s="32"/>
      <c r="Q51" s="11"/>
      <c r="R51" s="11"/>
      <c r="S51" s="15"/>
      <c r="T51" s="11"/>
    </row>
    <row r="52" spans="2:20" ht="12.75">
      <c r="B52" s="10">
        <f>+B50+1</f>
        <v>17</v>
      </c>
      <c r="C52" s="32"/>
      <c r="D52" s="63" t="s">
        <v>437</v>
      </c>
      <c r="E52" s="11"/>
      <c r="F52" s="11"/>
      <c r="G52" s="11"/>
      <c r="H52" s="11"/>
      <c r="I52" s="11"/>
      <c r="J52" s="11"/>
      <c r="K52" s="11"/>
      <c r="L52" s="11"/>
      <c r="M52" s="11"/>
      <c r="N52" s="20"/>
      <c r="O52" s="305"/>
      <c r="P52" s="32"/>
      <c r="Q52" s="11"/>
      <c r="R52" s="11"/>
      <c r="S52" s="15"/>
      <c r="T52" s="11"/>
    </row>
    <row r="53" spans="2:20" ht="12.75">
      <c r="B53" s="10">
        <f>+B52+1</f>
        <v>18</v>
      </c>
      <c r="C53" s="32"/>
      <c r="D53" s="63" t="s">
        <v>438</v>
      </c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306">
        <f>+O40</f>
        <v>29.9721</v>
      </c>
      <c r="P53" s="32"/>
      <c r="Q53" s="11"/>
      <c r="R53" s="11"/>
      <c r="S53" s="15"/>
      <c r="T53" s="11"/>
    </row>
    <row r="54" spans="2:20" ht="12.75">
      <c r="B54" s="10">
        <f>+B53+1</f>
        <v>19</v>
      </c>
      <c r="C54" s="32"/>
      <c r="D54" s="63" t="s">
        <v>439</v>
      </c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308">
        <f>+O34</f>
        <v>5.466036</v>
      </c>
      <c r="P54" s="32"/>
      <c r="Q54" s="11"/>
      <c r="R54" s="11"/>
      <c r="S54" s="15"/>
      <c r="T54" s="11"/>
    </row>
    <row r="55" spans="2:20" ht="13.5" thickBot="1">
      <c r="B55" s="10">
        <f>+B54+1</f>
        <v>20</v>
      </c>
      <c r="C55" s="32"/>
      <c r="D55" s="63" t="s">
        <v>440</v>
      </c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309">
        <f>SUM(O53:O54)</f>
        <v>35.438136</v>
      </c>
      <c r="P55" s="32"/>
      <c r="Q55" s="11"/>
      <c r="R55" s="11"/>
      <c r="S55" s="15"/>
      <c r="T55" s="11"/>
    </row>
    <row r="56" spans="2:20" ht="13.5" thickTop="1">
      <c r="B56" s="10"/>
      <c r="C56" s="32"/>
      <c r="D56" s="63"/>
      <c r="E56" s="11"/>
      <c r="F56" s="11"/>
      <c r="G56" s="11"/>
      <c r="H56" s="11"/>
      <c r="I56" s="11"/>
      <c r="J56" s="11"/>
      <c r="K56" s="11"/>
      <c r="L56" s="11"/>
      <c r="M56" s="11"/>
      <c r="N56" s="20"/>
      <c r="O56" s="305"/>
      <c r="P56" s="32"/>
      <c r="Q56" s="11"/>
      <c r="R56" s="11"/>
      <c r="S56" s="15"/>
      <c r="T56" s="11"/>
    </row>
    <row r="57" spans="2:20" ht="13.5" thickBot="1">
      <c r="B57" s="10">
        <f>+B55+1</f>
        <v>21</v>
      </c>
      <c r="C57" s="32"/>
      <c r="D57" s="63" t="s">
        <v>441</v>
      </c>
      <c r="E57" s="11"/>
      <c r="F57" s="11"/>
      <c r="G57" s="11"/>
      <c r="H57" s="11"/>
      <c r="I57" s="11"/>
      <c r="J57" s="11"/>
      <c r="K57" s="11"/>
      <c r="L57" s="11"/>
      <c r="M57" s="11"/>
      <c r="N57" s="20"/>
      <c r="O57" s="307">
        <f>ROUND(O29/O50,4)</f>
        <v>1.5489</v>
      </c>
      <c r="P57" s="32"/>
      <c r="Q57" s="11"/>
      <c r="R57" s="11"/>
      <c r="S57" s="15"/>
      <c r="T57" s="11"/>
    </row>
    <row r="58" spans="2:20" ht="13.5" thickTop="1">
      <c r="B58" s="10"/>
      <c r="C58" s="32"/>
      <c r="D58" s="63"/>
      <c r="E58" s="11"/>
      <c r="F58" s="11"/>
      <c r="G58" s="11"/>
      <c r="H58" s="11"/>
      <c r="I58" s="11"/>
      <c r="J58" s="11"/>
      <c r="K58" s="11"/>
      <c r="L58" s="11"/>
      <c r="M58" s="11"/>
      <c r="N58" s="20"/>
      <c r="O58" s="306"/>
      <c r="P58" s="32"/>
      <c r="Q58" s="11"/>
      <c r="R58" s="11"/>
      <c r="S58" s="15"/>
      <c r="T58" s="11"/>
    </row>
    <row r="59" spans="2:20" ht="12.75">
      <c r="B59" s="10"/>
      <c r="C59" s="32"/>
      <c r="D59" s="63"/>
      <c r="E59" s="11"/>
      <c r="F59" s="11"/>
      <c r="G59" s="11"/>
      <c r="H59" s="11"/>
      <c r="I59" s="11"/>
      <c r="J59" s="11"/>
      <c r="K59" s="11"/>
      <c r="L59" s="11"/>
      <c r="M59" s="11"/>
      <c r="N59" s="20"/>
      <c r="O59" s="305"/>
      <c r="P59" s="32"/>
      <c r="Q59" s="11"/>
      <c r="R59" s="11"/>
      <c r="S59" s="15"/>
      <c r="T59" s="11"/>
    </row>
    <row r="60" spans="2:20" ht="12.75">
      <c r="B60" s="10"/>
      <c r="C60" s="32"/>
      <c r="D60" s="63" t="s">
        <v>442</v>
      </c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305"/>
      <c r="P60" s="32"/>
      <c r="Q60" s="11"/>
      <c r="R60" s="11"/>
      <c r="S60" s="15"/>
      <c r="T60" s="11"/>
    </row>
    <row r="61" spans="2:20" ht="12.75">
      <c r="B61" s="10">
        <v>1</v>
      </c>
      <c r="C61" s="32"/>
      <c r="D61" s="63" t="s">
        <v>445</v>
      </c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67">
        <v>100</v>
      </c>
      <c r="P61" s="32"/>
      <c r="Q61" s="11"/>
      <c r="R61" s="11"/>
      <c r="S61" s="15"/>
      <c r="T61" s="11"/>
    </row>
    <row r="62" spans="2:20" ht="12.75">
      <c r="B62" s="10">
        <f>+B61+1</f>
        <v>2</v>
      </c>
      <c r="C62" s="32"/>
      <c r="D62" s="63" t="s">
        <v>800</v>
      </c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306">
        <v>0.25</v>
      </c>
      <c r="P62" s="32"/>
      <c r="Q62" s="11"/>
      <c r="R62" s="11"/>
      <c r="S62" s="15"/>
      <c r="T62" s="11"/>
    </row>
    <row r="63" spans="2:20" ht="12.75">
      <c r="B63" s="10">
        <f>+B62+1</f>
        <v>3</v>
      </c>
      <c r="C63" s="32"/>
      <c r="D63" s="63" t="s">
        <v>766</v>
      </c>
      <c r="E63" s="11"/>
      <c r="F63" s="11"/>
      <c r="G63" s="11"/>
      <c r="H63" s="11"/>
      <c r="I63" s="11"/>
      <c r="J63" s="11"/>
      <c r="K63" s="11"/>
      <c r="L63" s="11"/>
      <c r="M63" s="11"/>
      <c r="N63" s="20"/>
      <c r="O63" s="308">
        <v>0.18</v>
      </c>
      <c r="P63" s="32"/>
      <c r="Q63" s="11"/>
      <c r="R63" s="11"/>
      <c r="S63" s="15"/>
      <c r="T63" s="11"/>
    </row>
    <row r="64" spans="2:20" ht="12.75">
      <c r="B64" s="10"/>
      <c r="C64" s="32"/>
      <c r="D64" s="63"/>
      <c r="E64" s="11"/>
      <c r="F64" s="11"/>
      <c r="G64" s="11"/>
      <c r="H64" s="11"/>
      <c r="I64" s="11"/>
      <c r="J64" s="11"/>
      <c r="K64" s="11"/>
      <c r="L64" s="11"/>
      <c r="M64" s="11"/>
      <c r="N64" s="20"/>
      <c r="O64" s="305"/>
      <c r="P64" s="32"/>
      <c r="Q64" s="11"/>
      <c r="R64" s="11"/>
      <c r="S64" s="15"/>
      <c r="T64" s="11"/>
    </row>
    <row r="65" spans="2:20" ht="12.75">
      <c r="B65" s="10">
        <f>+B63+1</f>
        <v>4</v>
      </c>
      <c r="C65" s="32"/>
      <c r="D65" s="63" t="s">
        <v>452</v>
      </c>
      <c r="E65" s="11"/>
      <c r="F65" s="11"/>
      <c r="G65" s="11"/>
      <c r="H65" s="11"/>
      <c r="I65" s="11"/>
      <c r="J65" s="11"/>
      <c r="K65" s="11"/>
      <c r="L65" s="11"/>
      <c r="M65" s="11"/>
      <c r="N65" s="20"/>
      <c r="O65" s="306">
        <f>+O61-O62-O63</f>
        <v>99.57</v>
      </c>
      <c r="P65" s="32"/>
      <c r="Q65" s="11"/>
      <c r="R65" s="11"/>
      <c r="S65" s="15"/>
      <c r="T65" s="11"/>
    </row>
    <row r="66" spans="2:20" ht="12.75">
      <c r="B66" s="10">
        <f>+B65+1</f>
        <v>5</v>
      </c>
      <c r="C66" s="32"/>
      <c r="D66" s="63" t="s">
        <v>454</v>
      </c>
      <c r="E66" s="11"/>
      <c r="F66" s="11"/>
      <c r="G66" s="11"/>
      <c r="H66" s="11"/>
      <c r="I66" s="11"/>
      <c r="J66" s="11"/>
      <c r="K66" s="11"/>
      <c r="L66" s="11"/>
      <c r="M66" s="11"/>
      <c r="N66" s="20"/>
      <c r="O66" s="308">
        <v>8.4694</v>
      </c>
      <c r="P66" s="32"/>
      <c r="Q66" s="11"/>
      <c r="R66" s="11"/>
      <c r="S66" s="15"/>
      <c r="T66" s="11"/>
    </row>
    <row r="67" spans="2:20" ht="12.75">
      <c r="B67" s="10"/>
      <c r="C67" s="32"/>
      <c r="D67" s="63"/>
      <c r="E67" s="11"/>
      <c r="F67" s="11"/>
      <c r="G67" s="11"/>
      <c r="H67" s="11"/>
      <c r="I67" s="11"/>
      <c r="J67" s="11"/>
      <c r="K67" s="11"/>
      <c r="L67" s="11"/>
      <c r="M67" s="11"/>
      <c r="N67" s="20"/>
      <c r="O67" s="305"/>
      <c r="P67" s="32"/>
      <c r="Q67" s="11"/>
      <c r="R67" s="11"/>
      <c r="S67" s="15"/>
      <c r="T67" s="11"/>
    </row>
    <row r="68" spans="2:20" ht="12.75">
      <c r="B68" s="10">
        <f>+B66+1</f>
        <v>6</v>
      </c>
      <c r="C68" s="32"/>
      <c r="D68" s="63" t="s">
        <v>452</v>
      </c>
      <c r="E68" s="11"/>
      <c r="F68" s="11"/>
      <c r="G68" s="11"/>
      <c r="H68" s="11"/>
      <c r="I68" s="11"/>
      <c r="J68" s="11"/>
      <c r="K68" s="11"/>
      <c r="L68" s="11"/>
      <c r="M68" s="11"/>
      <c r="N68" s="20"/>
      <c r="O68" s="306">
        <f>+O65-O66</f>
        <v>91.10059999999999</v>
      </c>
      <c r="P68" s="32"/>
      <c r="Q68" s="11"/>
      <c r="R68" s="11"/>
      <c r="S68" s="15"/>
      <c r="T68" s="11"/>
    </row>
    <row r="69" spans="2:20" ht="12.75">
      <c r="B69" s="10">
        <f>+B68+1</f>
        <v>7</v>
      </c>
      <c r="C69" s="32"/>
      <c r="D69" s="63" t="s">
        <v>456</v>
      </c>
      <c r="E69" s="11"/>
      <c r="F69" s="11"/>
      <c r="G69" s="11"/>
      <c r="H69" s="11"/>
      <c r="I69" s="11"/>
      <c r="J69" s="11"/>
      <c r="K69" s="11"/>
      <c r="L69" s="11"/>
      <c r="M69" s="11"/>
      <c r="N69" s="20"/>
      <c r="O69" s="308">
        <v>6</v>
      </c>
      <c r="P69" s="32"/>
      <c r="Q69" s="11"/>
      <c r="R69" s="11"/>
      <c r="S69" s="15"/>
      <c r="T69" s="11"/>
    </row>
    <row r="70" spans="2:20" ht="12.75">
      <c r="B70" s="10"/>
      <c r="C70" s="32"/>
      <c r="D70" s="63"/>
      <c r="E70" s="11"/>
      <c r="F70" s="11"/>
      <c r="G70" s="11"/>
      <c r="H70" s="11"/>
      <c r="I70" s="11"/>
      <c r="J70" s="11"/>
      <c r="K70" s="11"/>
      <c r="L70" s="11"/>
      <c r="M70" s="11"/>
      <c r="N70" s="20"/>
      <c r="O70" s="305"/>
      <c r="P70" s="32"/>
      <c r="Q70" s="11"/>
      <c r="R70" s="11"/>
      <c r="S70" s="15"/>
      <c r="T70" s="11"/>
    </row>
    <row r="71" spans="2:20" ht="13.5" thickBot="1">
      <c r="B71" s="10">
        <f>+B69+1</f>
        <v>8</v>
      </c>
      <c r="C71" s="32"/>
      <c r="D71" s="63" t="s">
        <v>457</v>
      </c>
      <c r="E71" s="11"/>
      <c r="F71" s="11"/>
      <c r="G71" s="11"/>
      <c r="H71" s="11"/>
      <c r="I71" s="11"/>
      <c r="J71" s="11"/>
      <c r="K71" s="11"/>
      <c r="L71" s="11"/>
      <c r="M71" s="11"/>
      <c r="N71" s="20"/>
      <c r="O71" s="307">
        <f>ROUND(O68*O69,4)/100</f>
        <v>5.466036</v>
      </c>
      <c r="P71" s="32"/>
      <c r="Q71" s="11"/>
      <c r="R71" s="11"/>
      <c r="S71" s="15"/>
      <c r="T71" s="11"/>
    </row>
    <row r="72" spans="1:20" ht="14.25" thickBot="1" thickTop="1">
      <c r="A72" s="63"/>
      <c r="B72" s="76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1"/>
      <c r="O72" s="77"/>
      <c r="P72" s="19"/>
      <c r="Q72" s="16"/>
      <c r="R72" s="16"/>
      <c r="S72" s="17"/>
      <c r="T72" s="11"/>
    </row>
    <row r="74" ht="12.75">
      <c r="B74" t="s">
        <v>293</v>
      </c>
    </row>
    <row r="75" ht="12.75">
      <c r="B75" t="s">
        <v>801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5" ySplit="11" topLeftCell="F12" activePane="bottomRight" state="frozen"/>
      <selection pane="topLeft" activeCell="H31" activeCellId="1" sqref="K25 H31"/>
      <selection pane="topRight" activeCell="H31" activeCellId="1" sqref="K25 H31"/>
      <selection pane="bottomLeft" activeCell="H31" activeCellId="1" sqref="K25 H31"/>
      <selection pane="bottomRight" activeCell="F21" sqref="F21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2.7109375" style="0" customWidth="1"/>
    <col min="7" max="7" width="0.2890625" style="0" customWidth="1"/>
    <col min="8" max="11" width="13.8515625" style="0" bestFit="1" customWidth="1"/>
    <col min="12" max="12" width="13.8515625" style="0" customWidth="1"/>
    <col min="13" max="13" width="13.8515625" style="0" bestFit="1" customWidth="1"/>
    <col min="14" max="14" width="2.28125" style="0" customWidth="1"/>
    <col min="15" max="18" width="8.7109375" style="0" customWidth="1"/>
    <col min="19" max="19" width="9.00390625" style="0" bestFit="1" customWidth="1"/>
    <col min="20" max="20" width="8.8515625" style="0" customWidth="1"/>
    <col min="21" max="21" width="10.28125" style="0" bestFit="1" customWidth="1"/>
  </cols>
  <sheetData>
    <row r="1" spans="6:13" ht="12.75">
      <c r="F1" s="33"/>
      <c r="H1" s="33"/>
      <c r="I1" s="33"/>
      <c r="J1" s="33"/>
      <c r="K1" s="33"/>
      <c r="L1" s="33"/>
      <c r="M1" s="33" t="s">
        <v>6</v>
      </c>
    </row>
    <row r="2" spans="10:19" ht="12.75">
      <c r="J2" s="11"/>
      <c r="R2" s="149"/>
      <c r="S2" s="149"/>
    </row>
    <row r="3" spans="1:22" ht="12.75">
      <c r="A3" s="560" t="s">
        <v>346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156"/>
      <c r="O3" s="156"/>
      <c r="P3" s="146"/>
      <c r="R3" s="156"/>
      <c r="S3" s="156"/>
      <c r="T3" s="156"/>
      <c r="U3" s="156"/>
      <c r="V3" s="146"/>
    </row>
    <row r="4" spans="1:21" ht="12.75">
      <c r="A4" s="560" t="s">
        <v>552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61"/>
      <c r="O4" s="61"/>
      <c r="R4" s="61"/>
      <c r="S4" s="61"/>
      <c r="T4" s="61"/>
      <c r="U4" s="61"/>
    </row>
    <row r="5" spans="1:22" ht="12.75">
      <c r="A5" s="560" t="s">
        <v>15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62"/>
      <c r="O5" s="62"/>
      <c r="P5" s="62"/>
      <c r="R5" s="3"/>
      <c r="S5" s="125"/>
      <c r="T5" s="62"/>
      <c r="U5" s="62"/>
      <c r="V5" s="62"/>
    </row>
    <row r="6" spans="4:22" ht="12.75">
      <c r="D6" s="3"/>
      <c r="N6" s="62"/>
      <c r="O6" s="62"/>
      <c r="P6" s="62"/>
      <c r="R6" s="3"/>
      <c r="S6" s="125"/>
      <c r="T6" s="62"/>
      <c r="U6" s="62"/>
      <c r="V6" s="62"/>
    </row>
    <row r="7" spans="1:22" ht="12.75">
      <c r="A7" s="566" t="str">
        <f>+'ES 1.0'!E7</f>
        <v>For the Expense Month of June 2014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62"/>
      <c r="O7" s="62"/>
      <c r="P7" s="62"/>
      <c r="R7" s="3"/>
      <c r="S7" s="125"/>
      <c r="T7" s="62"/>
      <c r="U7" s="62"/>
      <c r="V7" s="62"/>
    </row>
    <row r="8" spans="14:22" ht="12.75">
      <c r="N8" s="62"/>
      <c r="O8" s="62"/>
      <c r="P8" s="62"/>
      <c r="R8" s="3"/>
      <c r="S8" s="125"/>
      <c r="T8" s="62"/>
      <c r="U8" s="62"/>
      <c r="V8" s="62"/>
    </row>
    <row r="9" spans="14:22" ht="13.5" thickBot="1">
      <c r="N9" s="62"/>
      <c r="O9" s="62"/>
      <c r="P9" s="62"/>
      <c r="R9" s="3"/>
      <c r="S9" s="125"/>
      <c r="T9" s="62"/>
      <c r="U9" s="62"/>
      <c r="V9" s="62"/>
    </row>
    <row r="10" spans="2:22" ht="54" customHeight="1" thickBot="1">
      <c r="B10" s="36" t="s">
        <v>525</v>
      </c>
      <c r="C10" s="88"/>
      <c r="D10" s="37" t="s">
        <v>558</v>
      </c>
      <c r="E10" s="88"/>
      <c r="F10" s="85"/>
      <c r="G10" s="88"/>
      <c r="H10" s="39" t="s">
        <v>507</v>
      </c>
      <c r="I10" s="39" t="s">
        <v>508</v>
      </c>
      <c r="J10" s="39" t="s">
        <v>509</v>
      </c>
      <c r="K10" s="39" t="s">
        <v>485</v>
      </c>
      <c r="L10" s="39" t="s">
        <v>507</v>
      </c>
      <c r="M10" s="39" t="s">
        <v>672</v>
      </c>
      <c r="N10" s="62"/>
      <c r="O10" s="62"/>
      <c r="P10" s="62"/>
      <c r="R10" s="3"/>
      <c r="S10" s="125"/>
      <c r="T10" s="62"/>
      <c r="U10" s="62"/>
      <c r="V10" s="62"/>
    </row>
    <row r="11" spans="2:22" ht="12.75" customHeight="1" thickBot="1">
      <c r="B11" s="304">
        <v>-1</v>
      </c>
      <c r="C11" s="71"/>
      <c r="D11" s="100">
        <f>+B11-1</f>
        <v>-2</v>
      </c>
      <c r="E11" s="71"/>
      <c r="F11" s="100">
        <f>+D11-1</f>
        <v>-3</v>
      </c>
      <c r="G11" s="353"/>
      <c r="H11" s="354">
        <f>+F11-1</f>
        <v>-4</v>
      </c>
      <c r="I11" s="354">
        <f>+H11-1</f>
        <v>-5</v>
      </c>
      <c r="J11" s="354">
        <f>+I11-1</f>
        <v>-6</v>
      </c>
      <c r="K11" s="354">
        <f>+J11-1</f>
        <v>-7</v>
      </c>
      <c r="L11" s="354">
        <f>+K11-1</f>
        <v>-8</v>
      </c>
      <c r="M11" s="354">
        <f>+L11-1</f>
        <v>-9</v>
      </c>
      <c r="N11" s="62"/>
      <c r="O11" s="62"/>
      <c r="P11" s="62"/>
      <c r="R11" s="3"/>
      <c r="S11" s="125"/>
      <c r="T11" s="62"/>
      <c r="U11" s="62"/>
      <c r="V11" s="62"/>
    </row>
    <row r="12" spans="2:22" ht="12.75">
      <c r="B12" s="70"/>
      <c r="C12" s="71"/>
      <c r="D12" s="72"/>
      <c r="E12" s="71"/>
      <c r="F12" s="73"/>
      <c r="G12" s="71"/>
      <c r="H12" s="324"/>
      <c r="I12" s="324"/>
      <c r="J12" s="324"/>
      <c r="K12" s="324"/>
      <c r="L12" s="324"/>
      <c r="M12" s="324"/>
      <c r="N12" s="62"/>
      <c r="O12" s="62"/>
      <c r="P12" s="62"/>
      <c r="R12" s="3"/>
      <c r="S12" s="125"/>
      <c r="T12" s="62"/>
      <c r="U12" s="62"/>
      <c r="V12" s="62"/>
    </row>
    <row r="13" spans="2:22" ht="12.75">
      <c r="B13" s="14"/>
      <c r="C13" s="20"/>
      <c r="D13" s="29" t="s">
        <v>559</v>
      </c>
      <c r="E13" s="20"/>
      <c r="F13" s="11"/>
      <c r="G13" s="20"/>
      <c r="H13" s="324"/>
      <c r="I13" s="324"/>
      <c r="J13" s="324"/>
      <c r="K13" s="324"/>
      <c r="L13" s="324"/>
      <c r="M13" s="324"/>
      <c r="N13" s="62"/>
      <c r="O13" s="62"/>
      <c r="P13" s="62"/>
      <c r="R13" s="3"/>
      <c r="S13" s="125"/>
      <c r="T13" s="62"/>
      <c r="U13" s="62"/>
      <c r="V13" s="62"/>
    </row>
    <row r="14" spans="2:22" ht="12.75">
      <c r="B14" s="14"/>
      <c r="C14" s="20"/>
      <c r="D14" s="355" t="s">
        <v>510</v>
      </c>
      <c r="E14" s="20"/>
      <c r="F14" s="108"/>
      <c r="G14" s="20"/>
      <c r="H14" s="324"/>
      <c r="I14" s="324"/>
      <c r="J14" s="324"/>
      <c r="K14" s="324"/>
      <c r="L14" s="324"/>
      <c r="M14" s="109"/>
      <c r="N14" s="62"/>
      <c r="O14" s="62"/>
      <c r="P14" s="62"/>
      <c r="R14" s="3"/>
      <c r="S14" s="125"/>
      <c r="T14" s="62"/>
      <c r="U14" s="62"/>
      <c r="V14" s="62"/>
    </row>
    <row r="15" spans="2:22" ht="12.75">
      <c r="B15" s="10">
        <v>1</v>
      </c>
      <c r="C15" s="20"/>
      <c r="D15" s="11" t="s">
        <v>629</v>
      </c>
      <c r="E15" s="20"/>
      <c r="F15" s="108"/>
      <c r="G15" s="26"/>
      <c r="H15" s="118">
        <f>1369721+2599+8503+329690+34105+32141+447-2448+1402</f>
        <v>1776160</v>
      </c>
      <c r="I15" s="118"/>
      <c r="J15" s="118"/>
      <c r="K15" s="118"/>
      <c r="L15" s="118"/>
      <c r="M15" s="356"/>
      <c r="N15" s="62"/>
      <c r="O15" s="62"/>
      <c r="P15" s="62"/>
      <c r="R15" s="3"/>
      <c r="S15" s="125"/>
      <c r="T15" s="62"/>
      <c r="U15" s="62"/>
      <c r="V15" s="62"/>
    </row>
    <row r="16" spans="2:22" ht="12.75">
      <c r="B16" s="10">
        <f aca="true" t="shared" si="0" ref="B16:B23">+B15+1</f>
        <v>2</v>
      </c>
      <c r="C16" s="20"/>
      <c r="D16" s="11" t="s">
        <v>511</v>
      </c>
      <c r="E16" s="20"/>
      <c r="F16" s="108"/>
      <c r="G16" s="26"/>
      <c r="H16" s="118"/>
      <c r="I16" s="118">
        <v>5272657</v>
      </c>
      <c r="J16" s="118">
        <f>8355717-2633</f>
        <v>8353084</v>
      </c>
      <c r="K16" s="118"/>
      <c r="L16" s="118"/>
      <c r="M16" s="356"/>
      <c r="N16" s="62"/>
      <c r="O16" s="62"/>
      <c r="P16" s="62"/>
      <c r="R16" s="3"/>
      <c r="S16" s="125"/>
      <c r="T16" s="62"/>
      <c r="U16" s="62"/>
      <c r="V16" s="62"/>
    </row>
    <row r="17" spans="2:22" ht="12.75">
      <c r="B17" s="10">
        <f t="shared" si="0"/>
        <v>3</v>
      </c>
      <c r="C17" s="20"/>
      <c r="D17" s="11" t="s">
        <v>155</v>
      </c>
      <c r="E17" s="20"/>
      <c r="F17" s="108"/>
      <c r="G17" s="26"/>
      <c r="H17" s="118"/>
      <c r="I17" s="118"/>
      <c r="J17" s="118"/>
      <c r="K17" s="118"/>
      <c r="L17" s="118">
        <f>1488211+486059+211022+325321</f>
        <v>2510613</v>
      </c>
      <c r="M17" s="356"/>
      <c r="N17" s="62"/>
      <c r="O17" s="62"/>
      <c r="P17" s="62"/>
      <c r="R17" s="3"/>
      <c r="S17" s="125"/>
      <c r="T17" s="62"/>
      <c r="U17" s="62"/>
      <c r="V17" s="62"/>
    </row>
    <row r="18" spans="2:22" ht="12.75">
      <c r="B18" s="10">
        <f t="shared" si="0"/>
        <v>4</v>
      </c>
      <c r="C18" s="20"/>
      <c r="D18" s="95" t="s">
        <v>560</v>
      </c>
      <c r="E18" s="20"/>
      <c r="F18" s="108"/>
      <c r="G18" s="26"/>
      <c r="H18" s="518">
        <f>-919488-1442-4593-121842-12100-9732</f>
        <v>-1069197</v>
      </c>
      <c r="I18" s="518">
        <v>-1961475</v>
      </c>
      <c r="J18" s="518">
        <v>-3988344</v>
      </c>
      <c r="K18" s="518"/>
      <c r="L18" s="518">
        <v>-392110</v>
      </c>
      <c r="M18" s="356"/>
      <c r="N18" s="62"/>
      <c r="O18" s="62"/>
      <c r="P18" s="62"/>
      <c r="R18" s="3"/>
      <c r="S18" s="125"/>
      <c r="T18" s="62"/>
      <c r="U18" s="62"/>
      <c r="V18" s="62"/>
    </row>
    <row r="19" spans="2:22" ht="12.75">
      <c r="B19" s="10">
        <f t="shared" si="0"/>
        <v>5</v>
      </c>
      <c r="C19" s="20"/>
      <c r="D19" s="11" t="s">
        <v>561</v>
      </c>
      <c r="E19" s="20"/>
      <c r="F19" s="108"/>
      <c r="G19" s="26"/>
      <c r="H19" s="519">
        <f>-148231-243-754-24518-2442-2036</f>
        <v>-178224</v>
      </c>
      <c r="I19" s="520">
        <v>-618994</v>
      </c>
      <c r="J19" s="520">
        <v>-976432</v>
      </c>
      <c r="K19" s="518"/>
      <c r="L19" s="520">
        <v>-145519</v>
      </c>
      <c r="M19" s="356"/>
      <c r="N19" s="62"/>
      <c r="O19" s="62"/>
      <c r="P19" s="62"/>
      <c r="R19" s="3"/>
      <c r="S19" s="125"/>
      <c r="T19" s="62"/>
      <c r="U19" s="62"/>
      <c r="V19" s="62"/>
    </row>
    <row r="20" spans="2:22" ht="12.75">
      <c r="B20" s="10">
        <f t="shared" si="0"/>
        <v>6</v>
      </c>
      <c r="C20" s="20"/>
      <c r="D20" s="11" t="s">
        <v>564</v>
      </c>
      <c r="E20" s="20"/>
      <c r="F20" s="108"/>
      <c r="G20" s="26"/>
      <c r="H20" s="118">
        <f>+H15+H18+H19</f>
        <v>528739</v>
      </c>
      <c r="I20" s="118">
        <f>+I16+I18+I19</f>
        <v>2692188</v>
      </c>
      <c r="J20" s="118">
        <f>+J16+J18+J19</f>
        <v>3388308</v>
      </c>
      <c r="K20" s="118">
        <f>+I20+J20</f>
        <v>6080496</v>
      </c>
      <c r="L20" s="118">
        <f>+L17+L18+L19</f>
        <v>1972984</v>
      </c>
      <c r="M20" s="356"/>
      <c r="N20" s="62"/>
      <c r="O20" s="62"/>
      <c r="P20" s="62"/>
      <c r="R20" s="3"/>
      <c r="S20" s="125"/>
      <c r="T20" s="62"/>
      <c r="U20" s="62"/>
      <c r="V20" s="62"/>
    </row>
    <row r="21" spans="2:22" ht="12.75">
      <c r="B21" s="10">
        <f t="shared" si="0"/>
        <v>7</v>
      </c>
      <c r="C21" s="20"/>
      <c r="D21" s="11" t="s">
        <v>83</v>
      </c>
      <c r="E21" s="20"/>
      <c r="F21" s="96">
        <f>+'ES 3.21'!T19</f>
        <v>0.104866</v>
      </c>
      <c r="G21" s="98"/>
      <c r="H21" s="324"/>
      <c r="I21" s="324"/>
      <c r="J21" s="324"/>
      <c r="K21" s="324"/>
      <c r="L21" s="324"/>
      <c r="M21" s="109"/>
      <c r="N21" s="62"/>
      <c r="O21" s="62"/>
      <c r="P21" s="62"/>
      <c r="R21" s="3"/>
      <c r="S21" s="125"/>
      <c r="T21" s="62"/>
      <c r="U21" s="62"/>
      <c r="V21" s="62"/>
    </row>
    <row r="22" spans="2:22" ht="12.75">
      <c r="B22" s="10">
        <f t="shared" si="0"/>
        <v>8</v>
      </c>
      <c r="C22" s="20"/>
      <c r="D22" s="11" t="s">
        <v>156</v>
      </c>
      <c r="E22" s="20"/>
      <c r="F22" s="108"/>
      <c r="G22" s="26"/>
      <c r="H22" s="357">
        <f>ROUND($F$21/12,6)</f>
        <v>0.008739</v>
      </c>
      <c r="I22" s="124"/>
      <c r="J22" s="124"/>
      <c r="K22" s="358">
        <f>ROUND($F$21/12,6)</f>
        <v>0.008739</v>
      </c>
      <c r="L22" s="358">
        <f>ROUND($F$21/12,6)</f>
        <v>0.008739</v>
      </c>
      <c r="M22" s="359"/>
      <c r="N22" s="148"/>
      <c r="O22" s="148"/>
      <c r="P22" s="148"/>
      <c r="R22" s="146"/>
      <c r="S22" s="146"/>
      <c r="T22" s="148"/>
      <c r="U22" s="148"/>
      <c r="V22" s="148"/>
    </row>
    <row r="23" spans="2:22" ht="12.75">
      <c r="B23" s="10">
        <f t="shared" si="0"/>
        <v>9</v>
      </c>
      <c r="C23" s="20"/>
      <c r="D23" s="11" t="s">
        <v>157</v>
      </c>
      <c r="E23" s="20"/>
      <c r="F23" s="110"/>
      <c r="G23" s="20"/>
      <c r="H23" s="87">
        <f>ROUND(H20*H22,0)</f>
        <v>4621</v>
      </c>
      <c r="I23" s="87"/>
      <c r="J23" s="87"/>
      <c r="K23" s="87">
        <f>ROUND(K20*K22,0)</f>
        <v>53137</v>
      </c>
      <c r="L23" s="87">
        <f>ROUND(L20*L22,0)</f>
        <v>17242</v>
      </c>
      <c r="M23" s="356"/>
      <c r="N23" s="62"/>
      <c r="O23" s="62"/>
      <c r="P23" s="62"/>
      <c r="T23" s="62"/>
      <c r="U23" s="62"/>
      <c r="V23" s="62"/>
    </row>
    <row r="24" spans="2:13" ht="12.75">
      <c r="B24" s="10"/>
      <c r="C24" s="20"/>
      <c r="D24" s="29" t="s">
        <v>567</v>
      </c>
      <c r="E24" s="20"/>
      <c r="F24" s="110"/>
      <c r="G24" s="20"/>
      <c r="H24" s="87"/>
      <c r="I24" s="87"/>
      <c r="J24" s="87"/>
      <c r="K24" s="87"/>
      <c r="L24" s="87"/>
      <c r="M24" s="356"/>
    </row>
    <row r="25" spans="2:22" ht="12.75">
      <c r="B25" s="10">
        <f>+B23+1</f>
        <v>10</v>
      </c>
      <c r="C25" s="20"/>
      <c r="D25" s="11" t="s">
        <v>590</v>
      </c>
      <c r="E25" s="20"/>
      <c r="F25" s="110"/>
      <c r="G25" s="20"/>
      <c r="H25" s="87">
        <f>ROUND(H15*0.0352/12,0)-1</f>
        <v>5209</v>
      </c>
      <c r="I25" s="87">
        <f>ROUND(I16*0.0352/12,0)</f>
        <v>15466</v>
      </c>
      <c r="J25" s="87">
        <f>ROUND(J16*0.0352/12,0)</f>
        <v>24502</v>
      </c>
      <c r="K25" s="87">
        <f>+I25+J25</f>
        <v>39968</v>
      </c>
      <c r="L25" s="87">
        <v>6410</v>
      </c>
      <c r="M25" s="356"/>
      <c r="U25" s="62"/>
      <c r="V25" s="62"/>
    </row>
    <row r="26" spans="2:13" ht="12.75">
      <c r="B26" s="10">
        <f>+B25+1</f>
        <v>11</v>
      </c>
      <c r="C26" s="20"/>
      <c r="D26" s="11" t="s">
        <v>591</v>
      </c>
      <c r="E26" s="20"/>
      <c r="F26" s="110"/>
      <c r="G26" s="20"/>
      <c r="H26" s="360">
        <f>ROUND(187500/12,0)</f>
        <v>15625</v>
      </c>
      <c r="I26" s="361">
        <v>0</v>
      </c>
      <c r="J26" s="361">
        <v>0</v>
      </c>
      <c r="K26" s="360">
        <f>+I26+J26</f>
        <v>0</v>
      </c>
      <c r="L26" s="361">
        <v>0</v>
      </c>
      <c r="M26" s="362"/>
    </row>
    <row r="27" spans="2:13" ht="12.75">
      <c r="B27" s="10">
        <f>+B26+1</f>
        <v>12</v>
      </c>
      <c r="C27" s="20"/>
      <c r="D27" s="11" t="s">
        <v>154</v>
      </c>
      <c r="E27" s="20"/>
      <c r="F27" s="110"/>
      <c r="G27" s="20"/>
      <c r="H27" s="87">
        <f>+H25+H26</f>
        <v>20834</v>
      </c>
      <c r="I27" s="87"/>
      <c r="J27" s="87"/>
      <c r="K27" s="87">
        <f>+K25+K26</f>
        <v>39968</v>
      </c>
      <c r="L27" s="87">
        <f>+L25+L26</f>
        <v>6410</v>
      </c>
      <c r="M27" s="362"/>
    </row>
    <row r="28" spans="2:13" ht="12.75">
      <c r="B28" s="10"/>
      <c r="C28" s="20"/>
      <c r="D28" s="11"/>
      <c r="E28" s="20"/>
      <c r="F28" s="110"/>
      <c r="G28" s="20"/>
      <c r="H28" s="97"/>
      <c r="I28" s="97"/>
      <c r="J28" s="97"/>
      <c r="K28" s="97"/>
      <c r="L28" s="97"/>
      <c r="M28" s="362"/>
    </row>
    <row r="29" spans="2:13" ht="12.75">
      <c r="B29" s="10"/>
      <c r="C29" s="20"/>
      <c r="D29" s="63" t="s">
        <v>512</v>
      </c>
      <c r="E29" s="20"/>
      <c r="F29" s="110"/>
      <c r="G29" s="20"/>
      <c r="H29" s="97"/>
      <c r="I29" s="97"/>
      <c r="J29" s="97"/>
      <c r="K29" s="97"/>
      <c r="L29" s="97"/>
      <c r="M29" s="362"/>
    </row>
    <row r="30" spans="2:13" ht="12.75">
      <c r="B30" s="10">
        <f>+B27+1</f>
        <v>13</v>
      </c>
      <c r="C30" s="20"/>
      <c r="D30" s="11" t="s">
        <v>158</v>
      </c>
      <c r="E30" s="20"/>
      <c r="F30" s="110"/>
      <c r="G30" s="20"/>
      <c r="H30" s="363">
        <f>+H23+H27</f>
        <v>25455</v>
      </c>
      <c r="I30" s="87"/>
      <c r="J30" s="87"/>
      <c r="K30" s="364">
        <f>+K23+K27</f>
        <v>93105</v>
      </c>
      <c r="L30" s="364">
        <f>+L23+L27</f>
        <v>23652</v>
      </c>
      <c r="M30" s="356"/>
    </row>
    <row r="31" spans="2:18" ht="12.75">
      <c r="B31" s="10">
        <f>+B30+1</f>
        <v>14</v>
      </c>
      <c r="C31" s="20"/>
      <c r="D31" s="11" t="s">
        <v>160</v>
      </c>
      <c r="E31" s="20"/>
      <c r="F31" s="110"/>
      <c r="G31" s="20"/>
      <c r="H31" s="87">
        <f>ROUND(H30*0.15,0)</f>
        <v>3818</v>
      </c>
      <c r="I31" s="87"/>
      <c r="J31" s="87"/>
      <c r="K31" s="87"/>
      <c r="L31" s="87"/>
      <c r="M31" s="356"/>
      <c r="R31" s="149"/>
    </row>
    <row r="32" spans="2:18" ht="12.75">
      <c r="B32" s="10">
        <f>+B31+1</f>
        <v>15</v>
      </c>
      <c r="C32" s="20"/>
      <c r="D32" s="11" t="s">
        <v>161</v>
      </c>
      <c r="E32" s="20"/>
      <c r="F32" s="110"/>
      <c r="G32" s="20"/>
      <c r="H32" s="87"/>
      <c r="I32" s="87"/>
      <c r="J32" s="87"/>
      <c r="K32" s="87">
        <f>ROUND(K30*0.3,0)</f>
        <v>27932</v>
      </c>
      <c r="L32" s="87">
        <f>ROUND(L30*0.3,0)</f>
        <v>7096</v>
      </c>
      <c r="M32" s="356"/>
      <c r="R32" s="149"/>
    </row>
    <row r="33" spans="2:22" ht="12.75">
      <c r="B33" s="10"/>
      <c r="C33" s="20"/>
      <c r="D33" s="11" t="s">
        <v>513</v>
      </c>
      <c r="E33" s="20"/>
      <c r="F33" s="110"/>
      <c r="G33" s="20"/>
      <c r="H33" s="87"/>
      <c r="I33" s="87"/>
      <c r="J33" s="87"/>
      <c r="K33" s="87"/>
      <c r="L33" s="87"/>
      <c r="M33" s="356"/>
      <c r="N33" s="156"/>
      <c r="O33" s="156"/>
      <c r="P33" s="146"/>
      <c r="R33" s="156"/>
      <c r="S33" s="156"/>
      <c r="T33" s="156"/>
      <c r="U33" s="156"/>
      <c r="V33" s="146"/>
    </row>
    <row r="34" spans="2:21" ht="12.75">
      <c r="B34" s="10"/>
      <c r="C34" s="20"/>
      <c r="D34" s="11" t="s">
        <v>162</v>
      </c>
      <c r="E34" s="20"/>
      <c r="F34" s="110"/>
      <c r="G34" s="20"/>
      <c r="H34" s="109"/>
      <c r="I34" s="109"/>
      <c r="J34" s="109"/>
      <c r="K34" s="109"/>
      <c r="L34" s="109"/>
      <c r="M34" s="109"/>
      <c r="N34" s="61"/>
      <c r="O34" s="61"/>
      <c r="R34" s="61"/>
      <c r="T34" s="61"/>
      <c r="U34" s="61"/>
    </row>
    <row r="35" spans="2:21" ht="12.75">
      <c r="B35" s="10"/>
      <c r="C35" s="20"/>
      <c r="D35" s="197" t="s">
        <v>163</v>
      </c>
      <c r="E35" s="20"/>
      <c r="F35" s="110"/>
      <c r="G35" s="20"/>
      <c r="H35" s="109"/>
      <c r="I35" s="109"/>
      <c r="J35" s="109"/>
      <c r="K35" s="109"/>
      <c r="L35" s="109"/>
      <c r="M35" s="15"/>
      <c r="N35" s="61"/>
      <c r="O35" s="61"/>
      <c r="R35" s="61"/>
      <c r="T35" s="61"/>
      <c r="U35" s="61"/>
    </row>
    <row r="36" spans="2:22" ht="12.75">
      <c r="B36" s="10">
        <f>+B32+1</f>
        <v>16</v>
      </c>
      <c r="C36" s="20"/>
      <c r="D36" s="11" t="s">
        <v>514</v>
      </c>
      <c r="E36" s="20"/>
      <c r="F36" s="110"/>
      <c r="G36" s="20"/>
      <c r="H36" s="356"/>
      <c r="I36" s="356"/>
      <c r="J36" s="356"/>
      <c r="K36" s="356"/>
      <c r="L36" s="356"/>
      <c r="M36" s="365">
        <f>+H31+K32+L32</f>
        <v>38846</v>
      </c>
      <c r="N36" s="62"/>
      <c r="O36" s="62"/>
      <c r="P36" s="62"/>
      <c r="R36" s="3"/>
      <c r="S36" s="125"/>
      <c r="T36" s="62"/>
      <c r="U36" s="62"/>
      <c r="V36" s="62"/>
    </row>
    <row r="37" spans="2:22" ht="12.75">
      <c r="B37" s="10"/>
      <c r="C37" s="20"/>
      <c r="D37" s="11"/>
      <c r="E37" s="20"/>
      <c r="F37" s="110"/>
      <c r="G37" s="20"/>
      <c r="H37" s="356"/>
      <c r="I37" s="356"/>
      <c r="J37" s="356"/>
      <c r="K37" s="356"/>
      <c r="L37" s="356"/>
      <c r="M37" s="87"/>
      <c r="N37" s="62"/>
      <c r="O37" s="62"/>
      <c r="P37" s="62"/>
      <c r="R37" s="3"/>
      <c r="S37" s="125"/>
      <c r="T37" s="62"/>
      <c r="U37" s="62"/>
      <c r="V37" s="62"/>
    </row>
    <row r="38" spans="2:22" ht="13.5" thickBot="1">
      <c r="B38" s="44"/>
      <c r="C38" s="21"/>
      <c r="D38" s="16"/>
      <c r="E38" s="21"/>
      <c r="F38" s="111"/>
      <c r="G38" s="21"/>
      <c r="H38" s="366"/>
      <c r="I38" s="366"/>
      <c r="J38" s="366"/>
      <c r="K38" s="366"/>
      <c r="L38" s="366"/>
      <c r="M38" s="366"/>
      <c r="N38" s="62"/>
      <c r="O38" s="62"/>
      <c r="P38" s="62"/>
      <c r="R38" s="3"/>
      <c r="S38" s="125"/>
      <c r="T38" s="62"/>
      <c r="U38" s="62"/>
      <c r="V38" s="62"/>
    </row>
    <row r="39" spans="2:22" ht="12.75">
      <c r="B39" s="91"/>
      <c r="N39" s="62"/>
      <c r="O39" s="62"/>
      <c r="P39" s="62"/>
      <c r="R39" s="3"/>
      <c r="S39" s="125"/>
      <c r="T39" s="62"/>
      <c r="U39" s="62"/>
      <c r="V39" s="62"/>
    </row>
    <row r="40" spans="14:22" ht="12.75">
      <c r="N40" s="62"/>
      <c r="O40" s="62"/>
      <c r="P40" s="62"/>
      <c r="R40" s="3"/>
      <c r="S40" s="125"/>
      <c r="T40" s="62"/>
      <c r="U40" s="62"/>
      <c r="V40" s="62"/>
    </row>
    <row r="41" spans="4:22" ht="12.75">
      <c r="D41" t="s">
        <v>592</v>
      </c>
      <c r="N41" s="62"/>
      <c r="O41" s="62"/>
      <c r="P41" s="62"/>
      <c r="R41" s="3"/>
      <c r="S41" s="125"/>
      <c r="T41" s="62"/>
      <c r="U41" s="62"/>
      <c r="V41" s="62"/>
    </row>
    <row r="42" spans="4:22" ht="12.75">
      <c r="D42" t="s">
        <v>593</v>
      </c>
      <c r="N42" s="62"/>
      <c r="O42" s="62"/>
      <c r="P42" s="62"/>
      <c r="R42" s="3"/>
      <c r="S42" s="125"/>
      <c r="T42" s="62"/>
      <c r="U42" s="62"/>
      <c r="V42" s="62"/>
    </row>
    <row r="43" spans="4:22" ht="12.75">
      <c r="D43" t="s">
        <v>595</v>
      </c>
      <c r="N43" s="62"/>
      <c r="O43" s="62"/>
      <c r="P43" s="62"/>
      <c r="R43" s="3"/>
      <c r="S43" s="125"/>
      <c r="T43" s="62"/>
      <c r="U43" s="62"/>
      <c r="V43" s="62"/>
    </row>
    <row r="44" spans="4:22" ht="12.75">
      <c r="D44" t="s">
        <v>596</v>
      </c>
      <c r="N44" s="62"/>
      <c r="O44" s="62"/>
      <c r="P44" s="62"/>
      <c r="R44" s="3"/>
      <c r="S44" s="125"/>
      <c r="T44" s="62"/>
      <c r="U44" s="62"/>
      <c r="V44" s="62"/>
    </row>
    <row r="45" spans="14:22" ht="12.75">
      <c r="N45" s="62"/>
      <c r="O45" s="62"/>
      <c r="P45" s="62"/>
      <c r="R45" s="3"/>
      <c r="S45" s="125"/>
      <c r="T45" s="62"/>
      <c r="U45" s="62"/>
      <c r="V45" s="62"/>
    </row>
    <row r="46" spans="14:22" ht="12.75">
      <c r="N46" s="62"/>
      <c r="O46" s="62"/>
      <c r="P46" s="62"/>
      <c r="R46" s="3"/>
      <c r="S46" s="125"/>
      <c r="T46" s="62"/>
      <c r="U46" s="62"/>
      <c r="V46" s="62"/>
    </row>
    <row r="47" spans="6:22" ht="12.75">
      <c r="F47" t="s">
        <v>118</v>
      </c>
      <c r="N47" s="62"/>
      <c r="O47" s="62"/>
      <c r="P47" s="62"/>
      <c r="R47" s="3"/>
      <c r="S47" s="125"/>
      <c r="T47" s="62"/>
      <c r="U47" s="62"/>
      <c r="V47" s="62"/>
    </row>
    <row r="48" spans="6:22" ht="12.75">
      <c r="F48" t="s">
        <v>118</v>
      </c>
      <c r="N48" s="62"/>
      <c r="O48" s="62"/>
      <c r="P48" s="62"/>
      <c r="R48" s="3"/>
      <c r="S48" s="125"/>
      <c r="T48" s="62"/>
      <c r="U48" s="62"/>
      <c r="V48" s="62"/>
    </row>
    <row r="49" spans="14:22" ht="12.75">
      <c r="N49" s="62"/>
      <c r="O49" s="62"/>
      <c r="P49" s="62"/>
      <c r="R49" s="3"/>
      <c r="T49" s="62"/>
      <c r="U49" s="62"/>
      <c r="V49" s="62"/>
    </row>
    <row r="50" spans="14:22" ht="12.75">
      <c r="N50" s="148"/>
      <c r="O50" s="148"/>
      <c r="P50" s="148"/>
      <c r="R50" s="146"/>
      <c r="T50" s="148"/>
      <c r="U50" s="148"/>
      <c r="V50" s="148"/>
    </row>
    <row r="51" spans="14:21" ht="12.75">
      <c r="N51" s="62"/>
      <c r="O51" s="62"/>
      <c r="P51" s="62"/>
      <c r="S51" s="62"/>
      <c r="T51" s="62"/>
      <c r="U51" s="62"/>
    </row>
    <row r="52" spans="14:21" ht="12.75">
      <c r="N52" s="148"/>
      <c r="O52" s="148"/>
      <c r="P52" s="148"/>
      <c r="R52" s="146"/>
      <c r="S52" s="148"/>
      <c r="T52" s="148"/>
      <c r="U52" s="148"/>
    </row>
    <row r="53" spans="14:16" ht="12.75">
      <c r="N53" s="62"/>
      <c r="O53" s="62"/>
      <c r="P53" s="62"/>
    </row>
  </sheetData>
  <sheetProtection/>
  <mergeCells count="4">
    <mergeCell ref="A7:M7"/>
    <mergeCell ref="A3:M3"/>
    <mergeCell ref="A4:M4"/>
    <mergeCell ref="A5:M5"/>
  </mergeCells>
  <printOptions horizontalCentered="1"/>
  <pageMargins left="0" right="0" top="1" bottom="0" header="0" footer="0"/>
  <pageSetup horizontalDpi="300" verticalDpi="3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P66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0.2890625" style="3" customWidth="1"/>
    <col min="4" max="4" width="15.8515625" style="0" customWidth="1"/>
    <col min="5" max="5" width="0.2890625" style="0" customWidth="1"/>
    <col min="6" max="6" width="12.7109375" style="0" customWidth="1"/>
    <col min="7" max="7" width="0.2890625" style="0" customWidth="1"/>
    <col min="8" max="8" width="12.7109375" style="0" customWidth="1"/>
    <col min="9" max="9" width="0.2890625" style="0" customWidth="1"/>
    <col min="10" max="10" width="12.7109375" style="0" customWidth="1"/>
    <col min="11" max="11" width="0.2890625" style="0" customWidth="1"/>
    <col min="12" max="12" width="2.57421875" style="0" bestFit="1" customWidth="1"/>
    <col min="13" max="13" width="0.2890625" style="0" customWidth="1"/>
    <col min="14" max="14" width="14.7109375" style="0" customWidth="1"/>
    <col min="15" max="15" width="0.2890625" style="0" customWidth="1"/>
    <col min="16" max="16" width="9.8515625" style="0" bestFit="1" customWidth="1"/>
    <col min="17" max="17" width="0.2890625" style="0" customWidth="1"/>
    <col min="18" max="18" width="2.57421875" style="0" bestFit="1" customWidth="1"/>
    <col min="19" max="19" width="0.2890625" style="0" customWidth="1"/>
    <col min="20" max="20" width="14.00390625" style="0" bestFit="1" customWidth="1"/>
    <col min="21" max="21" width="3.7109375" style="0" customWidth="1"/>
    <col min="22" max="22" width="8.7109375" style="0" customWidth="1"/>
    <col min="23" max="24" width="8.7109375" style="196" customWidth="1"/>
    <col min="25" max="42" width="8.7109375" style="63" customWidth="1"/>
    <col min="43" max="45" width="8.7109375" style="0" customWidth="1"/>
  </cols>
  <sheetData>
    <row r="2" ht="12.75">
      <c r="T2" t="s">
        <v>7</v>
      </c>
    </row>
    <row r="4" spans="2:29" ht="12.75">
      <c r="B4" s="560" t="s">
        <v>346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AB4" s="229"/>
      <c r="AC4" s="196"/>
    </row>
    <row r="5" spans="2:29" ht="12.75">
      <c r="B5" s="556" t="s">
        <v>552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AB5" s="229"/>
      <c r="AC5" s="196"/>
    </row>
    <row r="6" spans="2:29" ht="12.75">
      <c r="B6" s="556" t="s">
        <v>82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AC6" s="196"/>
    </row>
    <row r="7" spans="6:31" ht="12.75">
      <c r="F7" s="167"/>
      <c r="G7" s="35"/>
      <c r="H7" s="60"/>
      <c r="J7" s="33"/>
      <c r="AA7" s="230"/>
      <c r="AB7" s="231"/>
      <c r="AC7" s="232"/>
      <c r="AE7" s="233"/>
    </row>
    <row r="8" spans="2:29" ht="12.75">
      <c r="B8" s="566" t="str">
        <f>+'ES 1.0'!E7</f>
        <v>For the Expense Month of June 2014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AC8" s="234"/>
    </row>
    <row r="9" ht="13.5" thickBot="1"/>
    <row r="10" spans="2:42" ht="30" customHeight="1" thickBot="1">
      <c r="B10" s="36" t="s">
        <v>525</v>
      </c>
      <c r="C10" s="45"/>
      <c r="D10" s="37" t="s">
        <v>85</v>
      </c>
      <c r="E10" s="45"/>
      <c r="F10" s="37" t="s">
        <v>86</v>
      </c>
      <c r="G10" s="45"/>
      <c r="H10" s="37" t="s">
        <v>87</v>
      </c>
      <c r="I10" s="45"/>
      <c r="J10" s="38" t="s">
        <v>88</v>
      </c>
      <c r="K10" s="50"/>
      <c r="L10" s="37"/>
      <c r="M10" s="45"/>
      <c r="N10" s="38" t="s">
        <v>89</v>
      </c>
      <c r="O10" s="50"/>
      <c r="P10" s="37" t="s">
        <v>532</v>
      </c>
      <c r="Q10" s="45"/>
      <c r="R10" s="37"/>
      <c r="S10" s="45"/>
      <c r="T10" s="39" t="s">
        <v>90</v>
      </c>
      <c r="U10" s="4"/>
      <c r="W10" s="195"/>
      <c r="X10" s="195"/>
      <c r="Y10" s="195"/>
      <c r="Z10" s="195"/>
      <c r="AA10" s="195"/>
      <c r="AB10" s="195"/>
      <c r="AC10" s="195"/>
      <c r="AD10" s="195"/>
      <c r="AE10" s="235"/>
      <c r="AF10" s="235"/>
      <c r="AG10" s="195"/>
      <c r="AH10" s="195"/>
      <c r="AI10" s="235"/>
      <c r="AJ10" s="235"/>
      <c r="AK10" s="195"/>
      <c r="AL10" s="195"/>
      <c r="AM10" s="195"/>
      <c r="AN10" s="195"/>
      <c r="AO10" s="195"/>
      <c r="AP10" s="195"/>
    </row>
    <row r="11" spans="2:42" ht="30" customHeight="1" thickBot="1">
      <c r="B11" s="70"/>
      <c r="C11" s="214"/>
      <c r="D11" s="72"/>
      <c r="E11" s="214"/>
      <c r="F11" s="264" t="s">
        <v>811</v>
      </c>
      <c r="G11" s="214"/>
      <c r="H11" s="72"/>
      <c r="I11" s="214"/>
      <c r="J11" s="215"/>
      <c r="K11" s="216"/>
      <c r="L11" s="72"/>
      <c r="M11" s="214"/>
      <c r="N11" s="215"/>
      <c r="O11" s="216"/>
      <c r="P11" s="72"/>
      <c r="Q11" s="214"/>
      <c r="R11" s="72"/>
      <c r="S11" s="214"/>
      <c r="T11" s="75"/>
      <c r="U11" s="4"/>
      <c r="W11" s="195"/>
      <c r="X11" s="195"/>
      <c r="Y11" s="195"/>
      <c r="Z11" s="195"/>
      <c r="AA11" s="195"/>
      <c r="AB11" s="195"/>
      <c r="AC11" s="195"/>
      <c r="AD11" s="195"/>
      <c r="AE11" s="235"/>
      <c r="AF11" s="235"/>
      <c r="AG11" s="195"/>
      <c r="AH11" s="195"/>
      <c r="AI11" s="235"/>
      <c r="AJ11" s="235"/>
      <c r="AK11" s="195"/>
      <c r="AL11" s="195"/>
      <c r="AM11" s="195"/>
      <c r="AN11" s="195"/>
      <c r="AO11" s="195"/>
      <c r="AP11" s="195"/>
    </row>
    <row r="12" spans="2:20" ht="12.75">
      <c r="B12" s="5"/>
      <c r="C12" s="30"/>
      <c r="D12" s="6"/>
      <c r="E12" s="18"/>
      <c r="F12" s="6"/>
      <c r="G12" s="18"/>
      <c r="H12" s="6"/>
      <c r="I12" s="18"/>
      <c r="J12" s="6"/>
      <c r="K12" s="18"/>
      <c r="L12" s="6"/>
      <c r="M12" s="18"/>
      <c r="N12" s="6"/>
      <c r="O12" s="18"/>
      <c r="P12" s="6"/>
      <c r="Q12" s="18"/>
      <c r="R12" s="6"/>
      <c r="S12" s="18"/>
      <c r="T12" s="7"/>
    </row>
    <row r="13" spans="2:41" ht="12.75">
      <c r="B13" s="10">
        <v>1</v>
      </c>
      <c r="C13" s="31"/>
      <c r="D13" s="11" t="s">
        <v>524</v>
      </c>
      <c r="E13" s="20"/>
      <c r="F13" s="478">
        <v>64421495</v>
      </c>
      <c r="G13" s="47"/>
      <c r="H13" s="96">
        <f>F13/$F$19</f>
        <v>0.31614230285998696</v>
      </c>
      <c r="I13" s="49"/>
      <c r="J13" s="479">
        <v>0.028836</v>
      </c>
      <c r="K13" s="49"/>
      <c r="L13" s="11"/>
      <c r="M13" s="20"/>
      <c r="N13" s="242">
        <f>ROUND(H13*J13,6)</f>
        <v>0.009116</v>
      </c>
      <c r="O13" s="49"/>
      <c r="P13" s="11"/>
      <c r="Q13" s="20"/>
      <c r="R13" s="11"/>
      <c r="S13" s="20"/>
      <c r="T13" s="86">
        <f>+N13</f>
        <v>0.009116</v>
      </c>
      <c r="W13" s="198"/>
      <c r="X13" s="198"/>
      <c r="AA13" s="217"/>
      <c r="AB13" s="218"/>
      <c r="AC13" s="219"/>
      <c r="AD13" s="219"/>
      <c r="AE13" s="220"/>
      <c r="AF13" s="219"/>
      <c r="AI13" s="220"/>
      <c r="AJ13" s="219"/>
      <c r="AO13" s="219"/>
    </row>
    <row r="14" spans="2:41" ht="12.75">
      <c r="B14" s="10">
        <f>+B13+1</f>
        <v>2</v>
      </c>
      <c r="C14" s="31"/>
      <c r="D14" s="11" t="s">
        <v>526</v>
      </c>
      <c r="E14" s="20"/>
      <c r="F14" s="478">
        <v>44476401</v>
      </c>
      <c r="G14" s="47"/>
      <c r="H14" s="96">
        <f>F14/$F$19</f>
        <v>0.2182636685948413</v>
      </c>
      <c r="I14" s="49"/>
      <c r="J14" s="479">
        <v>0.002553</v>
      </c>
      <c r="K14" s="49"/>
      <c r="L14" s="11"/>
      <c r="M14" s="20"/>
      <c r="N14" s="242">
        <f>ROUND(H14*J14,6)</f>
        <v>0.000557</v>
      </c>
      <c r="O14" s="49"/>
      <c r="P14" s="11"/>
      <c r="Q14" s="20"/>
      <c r="R14" s="11"/>
      <c r="S14" s="20"/>
      <c r="T14" s="86">
        <f>+N14</f>
        <v>0.000557</v>
      </c>
      <c r="W14" s="198"/>
      <c r="X14" s="198"/>
      <c r="AA14" s="217"/>
      <c r="AB14" s="218"/>
      <c r="AC14" s="219"/>
      <c r="AD14" s="219"/>
      <c r="AE14" s="220"/>
      <c r="AF14" s="219"/>
      <c r="AI14" s="220"/>
      <c r="AJ14" s="219"/>
      <c r="AO14" s="219"/>
    </row>
    <row r="15" spans="2:41" ht="26.25">
      <c r="B15" s="10">
        <f>+B14+1</f>
        <v>3</v>
      </c>
      <c r="C15" s="31"/>
      <c r="D15" s="13" t="s">
        <v>383</v>
      </c>
      <c r="E15" s="20">
        <v>0</v>
      </c>
      <c r="F15" s="478">
        <v>0</v>
      </c>
      <c r="G15" s="47"/>
      <c r="H15" s="96">
        <v>0</v>
      </c>
      <c r="I15" s="49"/>
      <c r="J15" s="479">
        <v>0.018102</v>
      </c>
      <c r="K15" s="49"/>
      <c r="L15" s="11"/>
      <c r="M15" s="20"/>
      <c r="N15" s="242">
        <f>ROUND(H15*J15,6)</f>
        <v>0</v>
      </c>
      <c r="O15" s="49"/>
      <c r="P15" s="11"/>
      <c r="Q15" s="20"/>
      <c r="R15" s="11"/>
      <c r="S15" s="20"/>
      <c r="T15" s="86">
        <f>+N15</f>
        <v>0</v>
      </c>
      <c r="W15" s="198"/>
      <c r="X15" s="198"/>
      <c r="AA15" s="217"/>
      <c r="AB15" s="218"/>
      <c r="AC15" s="219"/>
      <c r="AD15" s="219"/>
      <c r="AE15" s="220"/>
      <c r="AF15" s="219"/>
      <c r="AI15" s="220"/>
      <c r="AJ15" s="219"/>
      <c r="AO15" s="219"/>
    </row>
    <row r="16" spans="2:41" ht="12.75">
      <c r="B16" s="10">
        <f>+B15+1</f>
        <v>4</v>
      </c>
      <c r="C16" s="31"/>
      <c r="D16" s="29" t="s">
        <v>527</v>
      </c>
      <c r="E16" s="32"/>
      <c r="F16" s="478"/>
      <c r="G16" s="47"/>
      <c r="H16" s="96">
        <f>F16/$F$19</f>
        <v>0</v>
      </c>
      <c r="I16" s="49"/>
      <c r="J16" s="480"/>
      <c r="K16" s="49"/>
      <c r="L16" s="11"/>
      <c r="M16" s="20"/>
      <c r="N16" s="96"/>
      <c r="O16" s="49"/>
      <c r="P16" s="11"/>
      <c r="Q16" s="20"/>
      <c r="R16" s="11"/>
      <c r="S16" s="20"/>
      <c r="T16" s="86"/>
      <c r="W16" s="198"/>
      <c r="X16" s="198"/>
      <c r="Y16" s="196"/>
      <c r="Z16" s="196"/>
      <c r="AA16" s="217"/>
      <c r="AB16" s="218"/>
      <c r="AC16" s="219"/>
      <c r="AD16" s="219"/>
      <c r="AE16" s="219"/>
      <c r="AF16" s="219"/>
      <c r="AI16" s="219"/>
      <c r="AJ16" s="219"/>
      <c r="AO16" s="219"/>
    </row>
    <row r="17" spans="2:41" ht="12.75">
      <c r="B17" s="10">
        <f>+B16+1</f>
        <v>5</v>
      </c>
      <c r="C17" s="31"/>
      <c r="D17" s="11" t="s">
        <v>528</v>
      </c>
      <c r="E17" s="20"/>
      <c r="F17" s="478">
        <v>94875830</v>
      </c>
      <c r="G17" s="47"/>
      <c r="H17" s="96">
        <f>F17/$F$19</f>
        <v>0.46559402854517173</v>
      </c>
      <c r="I17" s="49"/>
      <c r="J17" s="481">
        <v>0.1216</v>
      </c>
      <c r="K17" s="49"/>
      <c r="L17" s="42" t="s">
        <v>533</v>
      </c>
      <c r="M17" s="51"/>
      <c r="N17" s="242">
        <f>ROUND(H17*J17,6)</f>
        <v>0.056616</v>
      </c>
      <c r="O17" s="49"/>
      <c r="P17" s="41">
        <f>+P36</f>
        <v>1.6813787305590584</v>
      </c>
      <c r="Q17" s="49"/>
      <c r="R17" s="42" t="s">
        <v>534</v>
      </c>
      <c r="S17" s="51"/>
      <c r="T17" s="86">
        <f>ROUND(N17*P17,6)</f>
        <v>0.095193</v>
      </c>
      <c r="W17" s="198"/>
      <c r="X17" s="198"/>
      <c r="AA17" s="217"/>
      <c r="AB17" s="218"/>
      <c r="AC17" s="219"/>
      <c r="AD17" s="219"/>
      <c r="AE17" s="219"/>
      <c r="AF17" s="219"/>
      <c r="AG17" s="221"/>
      <c r="AH17" s="221"/>
      <c r="AI17" s="220"/>
      <c r="AJ17" s="219"/>
      <c r="AK17" s="219"/>
      <c r="AL17" s="219"/>
      <c r="AM17" s="221"/>
      <c r="AN17" s="221"/>
      <c r="AO17" s="219"/>
    </row>
    <row r="18" spans="2:41" ht="12.75">
      <c r="B18" s="10"/>
      <c r="C18" s="31"/>
      <c r="D18" s="11"/>
      <c r="E18" s="20"/>
      <c r="F18" s="43" t="s">
        <v>531</v>
      </c>
      <c r="G18" s="48"/>
      <c r="H18" s="241" t="s">
        <v>531</v>
      </c>
      <c r="I18" s="48"/>
      <c r="J18" s="41"/>
      <c r="K18" s="49"/>
      <c r="L18" s="11"/>
      <c r="M18" s="20"/>
      <c r="N18" s="241" t="s">
        <v>531</v>
      </c>
      <c r="O18" s="48"/>
      <c r="P18" s="11"/>
      <c r="Q18" s="20"/>
      <c r="R18" s="11"/>
      <c r="S18" s="20"/>
      <c r="T18" s="243" t="s">
        <v>531</v>
      </c>
      <c r="W18" s="198"/>
      <c r="X18" s="198"/>
      <c r="AA18" s="222"/>
      <c r="AB18" s="222"/>
      <c r="AC18" s="222"/>
      <c r="AD18" s="222"/>
      <c r="AE18" s="219"/>
      <c r="AF18" s="219"/>
      <c r="AI18" s="222"/>
      <c r="AJ18" s="222"/>
      <c r="AO18" s="222"/>
    </row>
    <row r="19" spans="2:41" ht="12.75">
      <c r="B19" s="10">
        <f>+B17+1</f>
        <v>6</v>
      </c>
      <c r="C19" s="31"/>
      <c r="D19" s="29" t="s">
        <v>529</v>
      </c>
      <c r="E19" s="20"/>
      <c r="F19" s="168">
        <f>SUM(F13:F17)</f>
        <v>203773726</v>
      </c>
      <c r="G19" s="47"/>
      <c r="H19" s="96">
        <f>SUM(H13:H17)</f>
        <v>1</v>
      </c>
      <c r="I19" s="49"/>
      <c r="J19" s="41"/>
      <c r="K19" s="49"/>
      <c r="L19" s="11"/>
      <c r="M19" s="20"/>
      <c r="N19" s="96">
        <f>SUM(N13:N18)</f>
        <v>0.066289</v>
      </c>
      <c r="O19" s="49"/>
      <c r="P19" s="11"/>
      <c r="Q19" s="20"/>
      <c r="R19" s="11"/>
      <c r="S19" s="20"/>
      <c r="T19" s="86">
        <f>SUM(T13:T18)</f>
        <v>0.104866</v>
      </c>
      <c r="W19" s="198"/>
      <c r="X19" s="198"/>
      <c r="Y19" s="196"/>
      <c r="AA19" s="223"/>
      <c r="AB19" s="218"/>
      <c r="AC19" s="219"/>
      <c r="AD19" s="219"/>
      <c r="AE19" s="219"/>
      <c r="AF19" s="219"/>
      <c r="AI19" s="219"/>
      <c r="AJ19" s="219"/>
      <c r="AO19" s="219"/>
    </row>
    <row r="20" spans="2:41" ht="12.75">
      <c r="B20" s="10"/>
      <c r="C20" s="31"/>
      <c r="D20" s="11"/>
      <c r="E20" s="20"/>
      <c r="F20" s="43" t="s">
        <v>530</v>
      </c>
      <c r="G20" s="48"/>
      <c r="H20" s="43" t="s">
        <v>530</v>
      </c>
      <c r="I20" s="48"/>
      <c r="J20" s="11"/>
      <c r="K20" s="20"/>
      <c r="L20" s="11"/>
      <c r="M20" s="20"/>
      <c r="N20" s="241" t="s">
        <v>530</v>
      </c>
      <c r="O20" s="48"/>
      <c r="P20" s="11"/>
      <c r="Q20" s="20"/>
      <c r="R20" s="11"/>
      <c r="S20" s="20"/>
      <c r="T20" s="243" t="s">
        <v>530</v>
      </c>
      <c r="W20" s="198"/>
      <c r="X20" s="198"/>
      <c r="AA20" s="222"/>
      <c r="AB20" s="222"/>
      <c r="AC20" s="222"/>
      <c r="AD20" s="222"/>
      <c r="AI20" s="222"/>
      <c r="AJ20" s="222"/>
      <c r="AO20" s="222"/>
    </row>
    <row r="21" spans="2:24" ht="13.5" thickBot="1">
      <c r="B21" s="44"/>
      <c r="C21" s="46"/>
      <c r="D21" s="16"/>
      <c r="E21" s="21"/>
      <c r="F21" s="16"/>
      <c r="G21" s="21"/>
      <c r="H21" s="16"/>
      <c r="I21" s="21"/>
      <c r="J21" s="16"/>
      <c r="K21" s="21"/>
      <c r="L21" s="16"/>
      <c r="M21" s="21"/>
      <c r="N21" s="16"/>
      <c r="O21" s="21"/>
      <c r="P21" s="16"/>
      <c r="Q21" s="21"/>
      <c r="R21" s="16"/>
      <c r="S21" s="21"/>
      <c r="T21" s="17"/>
      <c r="W21" s="198"/>
      <c r="X21" s="198"/>
    </row>
    <row r="22" spans="2:24" ht="12.75">
      <c r="B22" s="52"/>
      <c r="C22" s="5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6"/>
      <c r="Q22" s="18"/>
      <c r="R22" s="6"/>
      <c r="S22" s="6"/>
      <c r="T22" s="7"/>
      <c r="W22" s="198"/>
      <c r="X22" s="198"/>
    </row>
    <row r="23" spans="2:37" ht="12.75">
      <c r="B23" s="203"/>
      <c r="C23" s="28"/>
      <c r="D23" s="11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54"/>
      <c r="Q23" s="20"/>
      <c r="R23" s="11"/>
      <c r="S23" s="11"/>
      <c r="T23" s="15"/>
      <c r="W23" s="198"/>
      <c r="X23" s="198"/>
      <c r="AK23" s="224"/>
    </row>
    <row r="24" spans="2:24" ht="12.75">
      <c r="B24" s="203" t="s">
        <v>533</v>
      </c>
      <c r="C24" s="28"/>
      <c r="D24" s="11" t="s">
        <v>113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1"/>
      <c r="Q24" s="20"/>
      <c r="R24" s="11"/>
      <c r="S24" s="11"/>
      <c r="T24" s="15"/>
      <c r="W24" s="198"/>
      <c r="X24" s="198"/>
    </row>
    <row r="25" spans="2:24" ht="12.75">
      <c r="B25" s="10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20"/>
      <c r="R25" s="11"/>
      <c r="S25" s="11"/>
      <c r="T25" s="15"/>
      <c r="W25" s="198"/>
      <c r="X25" s="198"/>
    </row>
    <row r="26" spans="2:24" ht="12.75">
      <c r="B26" s="203" t="s">
        <v>534</v>
      </c>
      <c r="C26" s="28"/>
      <c r="D26" s="11" t="s">
        <v>114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1"/>
      <c r="Q26" s="20"/>
      <c r="R26" s="11"/>
      <c r="S26" s="11"/>
      <c r="T26" s="15"/>
      <c r="W26" s="198"/>
      <c r="X26" s="198"/>
    </row>
    <row r="27" spans="2:24" ht="12.75">
      <c r="B27" s="10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1"/>
      <c r="Q27" s="20"/>
      <c r="R27" s="11"/>
      <c r="S27" s="11"/>
      <c r="T27" s="15"/>
      <c r="W27" s="198"/>
      <c r="X27" s="198"/>
    </row>
    <row r="28" spans="2:37" ht="12.75">
      <c r="B28" s="10">
        <v>1</v>
      </c>
      <c r="C28" s="28"/>
      <c r="D28" s="11" t="s">
        <v>535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55">
        <v>100</v>
      </c>
      <c r="Q28" s="20"/>
      <c r="R28" s="11"/>
      <c r="S28" s="11"/>
      <c r="T28" s="15"/>
      <c r="W28" s="198"/>
      <c r="X28" s="198"/>
      <c r="AK28" s="225"/>
    </row>
    <row r="29" spans="2:24" ht="12.75">
      <c r="B29" s="10">
        <f>+B28+1</f>
        <v>2</v>
      </c>
      <c r="C29" s="28"/>
      <c r="D29" s="236" t="s">
        <v>120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1"/>
      <c r="Q29" s="20"/>
      <c r="R29" s="11"/>
      <c r="S29" s="11"/>
      <c r="T29" s="15"/>
      <c r="W29" s="198"/>
      <c r="X29" s="198"/>
    </row>
    <row r="30" spans="2:37" ht="12.75">
      <c r="B30" s="10">
        <f aca="true" t="shared" si="0" ref="B30:B36">+B29+1</f>
        <v>3</v>
      </c>
      <c r="C30" s="28"/>
      <c r="D30" s="236" t="s">
        <v>119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56">
        <f>ROUND(P28*0.085,3)</f>
        <v>8.5</v>
      </c>
      <c r="Q30" s="20"/>
      <c r="R30" s="11"/>
      <c r="S30" s="11"/>
      <c r="T30" s="15"/>
      <c r="W30" s="198"/>
      <c r="X30" s="198"/>
      <c r="AK30" s="226"/>
    </row>
    <row r="31" spans="2:37" ht="12.75">
      <c r="B31" s="10">
        <f t="shared" si="0"/>
        <v>4</v>
      </c>
      <c r="C31" s="28"/>
      <c r="D31" s="11" t="s">
        <v>546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57">
        <f>+P28-P30</f>
        <v>91.5</v>
      </c>
      <c r="Q31" s="20"/>
      <c r="R31" s="11"/>
      <c r="S31" s="11"/>
      <c r="T31" s="15"/>
      <c r="W31" s="198"/>
      <c r="X31" s="198"/>
      <c r="AK31" s="227"/>
    </row>
    <row r="32" spans="2:37" ht="12.75">
      <c r="B32" s="10">
        <f t="shared" si="0"/>
        <v>5</v>
      </c>
      <c r="C32" s="28"/>
      <c r="D32" s="11" t="s">
        <v>547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57"/>
      <c r="Q32" s="20"/>
      <c r="R32" s="11"/>
      <c r="S32" s="11"/>
      <c r="T32" s="15"/>
      <c r="W32" s="198"/>
      <c r="X32" s="198"/>
      <c r="AK32" s="227"/>
    </row>
    <row r="33" spans="2:37" ht="12.75">
      <c r="B33" s="10">
        <f t="shared" si="0"/>
        <v>6</v>
      </c>
      <c r="C33" s="28"/>
      <c r="D33" s="11" t="s">
        <v>551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56">
        <f>ROUND(P31*0.35,3)</f>
        <v>32.025</v>
      </c>
      <c r="Q33" s="20"/>
      <c r="R33" s="11"/>
      <c r="S33" s="11"/>
      <c r="T33" s="15"/>
      <c r="W33" s="198"/>
      <c r="X33" s="198"/>
      <c r="AK33" s="226"/>
    </row>
    <row r="34" spans="2:37" ht="12.75">
      <c r="B34" s="10">
        <f t="shared" si="0"/>
        <v>7</v>
      </c>
      <c r="C34" s="29"/>
      <c r="D34" s="11" t="s">
        <v>548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57">
        <f>+P31-P33</f>
        <v>59.475</v>
      </c>
      <c r="Q34" s="20"/>
      <c r="R34" s="11"/>
      <c r="S34" s="11"/>
      <c r="T34" s="15"/>
      <c r="W34" s="198"/>
      <c r="AK34" s="227"/>
    </row>
    <row r="35" spans="2:37" ht="12.75">
      <c r="B35" s="10">
        <f t="shared" si="0"/>
        <v>8</v>
      </c>
      <c r="C35" s="29"/>
      <c r="D35" s="11" t="s">
        <v>549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57"/>
      <c r="Q35" s="20"/>
      <c r="R35" s="11"/>
      <c r="S35" s="11"/>
      <c r="T35" s="15"/>
      <c r="W35" s="198"/>
      <c r="AK35" s="227"/>
    </row>
    <row r="36" spans="2:37" ht="12.75">
      <c r="B36" s="10">
        <f t="shared" si="0"/>
        <v>9</v>
      </c>
      <c r="C36" s="29"/>
      <c r="D36" s="11" t="s">
        <v>550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59">
        <f>100/P34</f>
        <v>1.6813787305590584</v>
      </c>
      <c r="Q36" s="20"/>
      <c r="R36" s="11"/>
      <c r="S36" s="11"/>
      <c r="T36" s="15"/>
      <c r="W36" s="198"/>
      <c r="AK36" s="228"/>
    </row>
    <row r="37" spans="2:37" ht="13.5" thickBot="1">
      <c r="B37" s="44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58"/>
      <c r="Q37" s="21"/>
      <c r="R37" s="16"/>
      <c r="S37" s="16"/>
      <c r="T37" s="17"/>
      <c r="W37" s="198"/>
      <c r="AK37" s="227"/>
    </row>
    <row r="40" ht="12.75">
      <c r="D40" t="s">
        <v>121</v>
      </c>
    </row>
    <row r="63" ht="12.75">
      <c r="D63" s="155" t="s">
        <v>124</v>
      </c>
    </row>
    <row r="65" spans="4:8" ht="12.75">
      <c r="D65" s="236" t="s">
        <v>123</v>
      </c>
      <c r="E65" s="11"/>
      <c r="F65" s="11"/>
      <c r="G65" s="11"/>
      <c r="H65" s="11"/>
    </row>
    <row r="66" spans="4:8" ht="12.75">
      <c r="D66" s="236"/>
      <c r="E66" s="11"/>
      <c r="F66" s="11"/>
      <c r="G66" s="11"/>
      <c r="H66" s="11"/>
    </row>
  </sheetData>
  <sheetProtection/>
  <mergeCells count="4">
    <mergeCell ref="B4:T4"/>
    <mergeCell ref="B5:T5"/>
    <mergeCell ref="B6:T6"/>
    <mergeCell ref="B8:T8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O63"/>
  <sheetViews>
    <sheetView zoomScalePageLayoutView="0" workbookViewId="0" topLeftCell="C1">
      <pane ySplit="12" topLeftCell="A33" activePane="bottomLeft" state="frozen"/>
      <selection pane="topLeft" activeCell="H31" activeCellId="1" sqref="K25 H31"/>
      <selection pane="bottomLeft" activeCell="H33" sqref="H33"/>
    </sheetView>
  </sheetViews>
  <sheetFormatPr defaultColWidth="9.140625" defaultRowHeight="12.75"/>
  <cols>
    <col min="1" max="1" width="3.7109375" style="0" customWidth="1"/>
    <col min="2" max="2" width="4.421875" style="3" bestFit="1" customWidth="1"/>
    <col min="3" max="3" width="0.2890625" style="3" customWidth="1"/>
    <col min="4" max="4" width="35.7109375" style="0" customWidth="1"/>
    <col min="5" max="5" width="0.2890625" style="0" customWidth="1"/>
    <col min="6" max="6" width="30.7109375" style="0" customWidth="1"/>
    <col min="7" max="7" width="0.2890625" style="0" customWidth="1"/>
    <col min="8" max="8" width="22.7109375" style="0" customWidth="1"/>
    <col min="9" max="9" width="3.7109375" style="0" customWidth="1"/>
    <col min="11" max="11" width="14.421875" style="0" bestFit="1" customWidth="1"/>
    <col min="12" max="12" width="14.28125" style="0" customWidth="1"/>
  </cols>
  <sheetData>
    <row r="2" ht="12.75">
      <c r="H2" s="33" t="s">
        <v>5</v>
      </c>
    </row>
    <row r="4" spans="5:13" ht="12.75">
      <c r="E4" s="1"/>
      <c r="F4" s="125" t="s">
        <v>346</v>
      </c>
      <c r="G4" s="1"/>
      <c r="H4" s="1"/>
      <c r="I4" s="1"/>
      <c r="J4" s="1"/>
      <c r="K4" s="1"/>
      <c r="L4" s="1"/>
      <c r="M4" s="1"/>
    </row>
    <row r="5" spans="5:13" ht="12.75">
      <c r="E5" s="1"/>
      <c r="F5" s="125" t="s">
        <v>552</v>
      </c>
      <c r="G5" s="1"/>
      <c r="H5" s="1"/>
      <c r="I5" s="1"/>
      <c r="J5" s="1"/>
      <c r="K5" s="1"/>
      <c r="L5" s="1"/>
      <c r="M5" s="1"/>
    </row>
    <row r="6" spans="5:13" ht="12.75">
      <c r="E6" s="1"/>
      <c r="F6" s="125" t="s">
        <v>12</v>
      </c>
      <c r="G6" s="1"/>
      <c r="H6" s="1"/>
      <c r="I6" s="1"/>
      <c r="J6" s="1"/>
      <c r="K6" s="1"/>
      <c r="L6" s="1"/>
      <c r="M6" s="1"/>
    </row>
    <row r="7" spans="5:13" ht="12.75">
      <c r="E7" s="1"/>
      <c r="F7" s="125" t="s">
        <v>13</v>
      </c>
      <c r="G7" s="1"/>
      <c r="H7" s="1"/>
      <c r="I7" s="1"/>
      <c r="J7" s="1"/>
      <c r="K7" s="1"/>
      <c r="L7" s="1"/>
      <c r="M7" s="1"/>
    </row>
    <row r="8" spans="5:13" ht="12.75">
      <c r="E8" s="1"/>
      <c r="F8" s="173"/>
      <c r="G8" s="1"/>
      <c r="H8" s="1"/>
      <c r="I8" s="1"/>
      <c r="J8" s="1"/>
      <c r="K8" s="1"/>
      <c r="L8" s="1"/>
      <c r="M8" s="1"/>
    </row>
    <row r="9" spans="5:13" ht="12.75">
      <c r="E9" s="1"/>
      <c r="F9" s="182" t="str">
        <f>+'ES 1.0'!E7</f>
        <v>For the Expense Month of June 2014</v>
      </c>
      <c r="G9" s="1"/>
      <c r="H9" s="1"/>
      <c r="I9" s="1"/>
      <c r="J9" s="1"/>
      <c r="K9" s="1"/>
      <c r="L9" s="1"/>
      <c r="M9" s="1"/>
    </row>
    <row r="10" spans="5:13" ht="12.75">
      <c r="E10" s="1"/>
      <c r="F10" s="125"/>
      <c r="G10" s="1"/>
      <c r="H10" s="1"/>
      <c r="I10" s="1"/>
      <c r="J10" s="1"/>
      <c r="K10" s="1"/>
      <c r="L10" s="1"/>
      <c r="M10" s="1"/>
    </row>
    <row r="11" spans="5:13" ht="12.75">
      <c r="E11" s="2"/>
      <c r="F11" s="190" t="s">
        <v>14</v>
      </c>
      <c r="G11" s="1"/>
      <c r="H11" s="1"/>
      <c r="I11" s="1"/>
      <c r="J11" s="1"/>
      <c r="K11" s="1"/>
      <c r="L11" s="1"/>
      <c r="M11" s="1"/>
    </row>
    <row r="12" ht="13.5" thickBot="1"/>
    <row r="13" spans="2:8" ht="30" customHeight="1" thickBot="1">
      <c r="B13" s="78" t="s">
        <v>523</v>
      </c>
      <c r="C13" s="79"/>
      <c r="D13" s="80" t="s">
        <v>516</v>
      </c>
      <c r="E13" s="81"/>
      <c r="F13" s="37" t="s">
        <v>521</v>
      </c>
      <c r="G13" s="45"/>
      <c r="H13" s="39" t="s">
        <v>522</v>
      </c>
    </row>
    <row r="14" spans="2:11" ht="12.75">
      <c r="B14" s="5"/>
      <c r="C14" s="30"/>
      <c r="D14" s="6"/>
      <c r="E14" s="22"/>
      <c r="F14" s="6"/>
      <c r="G14" s="18"/>
      <c r="H14" s="112"/>
      <c r="K14" s="84"/>
    </row>
    <row r="15" spans="2:8" ht="12.75">
      <c r="B15" s="10">
        <v>1</v>
      </c>
      <c r="C15" s="31"/>
      <c r="D15" s="11" t="s">
        <v>517</v>
      </c>
      <c r="E15" s="23"/>
      <c r="F15" s="143">
        <v>45149929</v>
      </c>
      <c r="G15" s="26"/>
      <c r="H15" s="336">
        <f>ROUND(F15/$F$20,3)</f>
        <v>0.632</v>
      </c>
    </row>
    <row r="16" spans="2:8" ht="12.75">
      <c r="B16" s="10">
        <f>+B15+1</f>
        <v>2</v>
      </c>
      <c r="C16" s="31"/>
      <c r="D16" s="11" t="s">
        <v>518</v>
      </c>
      <c r="E16" s="23"/>
      <c r="F16" s="143">
        <v>456260</v>
      </c>
      <c r="G16" s="26"/>
      <c r="H16" s="337">
        <f>ROUND(F16/$F$20,3)</f>
        <v>0.006</v>
      </c>
    </row>
    <row r="17" spans="2:8" ht="12.75">
      <c r="B17" s="10">
        <f>+B16+1</f>
        <v>3</v>
      </c>
      <c r="C17" s="31"/>
      <c r="D17" s="11" t="s">
        <v>519</v>
      </c>
      <c r="E17" s="23"/>
      <c r="F17" s="143">
        <v>0</v>
      </c>
      <c r="G17" s="26"/>
      <c r="H17" s="337">
        <f>ROUND(F17/$F$20,3)</f>
        <v>0</v>
      </c>
    </row>
    <row r="18" spans="2:8" ht="12.75">
      <c r="B18" s="10">
        <f>+B17+1</f>
        <v>4</v>
      </c>
      <c r="C18" s="31"/>
      <c r="D18" s="11" t="s">
        <v>520</v>
      </c>
      <c r="E18" s="23"/>
      <c r="F18" s="143">
        <v>25867803</v>
      </c>
      <c r="G18" s="26"/>
      <c r="H18" s="337">
        <f>ROUND(F18/$F$20,3)</f>
        <v>0.362</v>
      </c>
    </row>
    <row r="19" spans="2:8" ht="12.75" customHeight="1">
      <c r="B19" s="10"/>
      <c r="C19" s="31"/>
      <c r="D19" s="11"/>
      <c r="E19" s="23"/>
      <c r="F19" s="241" t="s">
        <v>531</v>
      </c>
      <c r="G19" s="27"/>
      <c r="H19" s="334" t="s">
        <v>531</v>
      </c>
    </row>
    <row r="20" spans="2:8" ht="12.75">
      <c r="B20" s="10">
        <f>+B18+1</f>
        <v>5</v>
      </c>
      <c r="C20" s="31"/>
      <c r="D20" s="13" t="s">
        <v>748</v>
      </c>
      <c r="E20" s="24"/>
      <c r="F20" s="12">
        <f>SUM(F15:F18)</f>
        <v>71473992</v>
      </c>
      <c r="G20" s="26"/>
      <c r="H20" s="337">
        <f>SUM(H15:H18)</f>
        <v>1</v>
      </c>
    </row>
    <row r="21" spans="2:8" ht="12.75">
      <c r="B21" s="10"/>
      <c r="C21" s="31"/>
      <c r="D21" s="13"/>
      <c r="E21" s="24"/>
      <c r="F21" s="12"/>
      <c r="G21" s="26"/>
      <c r="H21" s="337"/>
    </row>
    <row r="22" spans="2:8" ht="12.75">
      <c r="B22" s="10">
        <f>+B20+1</f>
        <v>6</v>
      </c>
      <c r="C22" s="31"/>
      <c r="D22" s="13" t="s">
        <v>746</v>
      </c>
      <c r="E22" s="24"/>
      <c r="F22" s="143">
        <v>376375</v>
      </c>
      <c r="G22" s="26"/>
      <c r="H22" s="337"/>
    </row>
    <row r="23" spans="2:8" ht="12.75">
      <c r="B23" s="14"/>
      <c r="C23" s="32"/>
      <c r="D23" s="11"/>
      <c r="E23" s="23"/>
      <c r="F23" s="299"/>
      <c r="G23" s="20"/>
      <c r="H23" s="330"/>
    </row>
    <row r="24" spans="2:8" ht="13.5" thickBot="1">
      <c r="B24" s="10">
        <f>+B22+1</f>
        <v>7</v>
      </c>
      <c r="C24" s="19"/>
      <c r="D24" s="11" t="s">
        <v>747</v>
      </c>
      <c r="E24" s="23"/>
      <c r="F24" s="12">
        <f>+F20+F22</f>
        <v>71850367</v>
      </c>
      <c r="G24" s="20"/>
      <c r="H24" s="330"/>
    </row>
    <row r="25" spans="2:8" ht="13.5" thickBot="1">
      <c r="B25" s="44"/>
      <c r="C25" s="19"/>
      <c r="D25" s="16"/>
      <c r="E25" s="25"/>
      <c r="F25" s="185"/>
      <c r="G25" s="21"/>
      <c r="H25" s="331"/>
    </row>
    <row r="26" ht="15" customHeight="1"/>
    <row r="28" ht="12.75">
      <c r="D28" t="s">
        <v>554</v>
      </c>
    </row>
    <row r="29" ht="12.75">
      <c r="D29" t="s">
        <v>67</v>
      </c>
    </row>
    <row r="30" ht="12.75">
      <c r="D30" t="s">
        <v>555</v>
      </c>
    </row>
    <row r="31" ht="12.75">
      <c r="D31" t="s">
        <v>125</v>
      </c>
    </row>
    <row r="34" spans="4:8" ht="12.75">
      <c r="D34" s="83" t="s">
        <v>556</v>
      </c>
      <c r="E34" s="83"/>
      <c r="F34" s="83"/>
      <c r="G34" s="83"/>
      <c r="H34" s="83"/>
    </row>
    <row r="35" ht="13.5" thickBot="1"/>
    <row r="36" spans="2:8" ht="30" customHeight="1" thickBot="1">
      <c r="B36" s="78" t="s">
        <v>523</v>
      </c>
      <c r="C36" s="37"/>
      <c r="D36" s="37" t="s">
        <v>516</v>
      </c>
      <c r="E36" s="85"/>
      <c r="F36" s="85"/>
      <c r="G36" s="88"/>
      <c r="H36" s="39" t="s">
        <v>557</v>
      </c>
    </row>
    <row r="37" spans="2:8" ht="12.75">
      <c r="B37" s="338"/>
      <c r="C37" s="340"/>
      <c r="D37" s="6"/>
      <c r="E37" s="6"/>
      <c r="F37" s="6"/>
      <c r="G37" s="18"/>
      <c r="H37" s="112"/>
    </row>
    <row r="38" spans="2:13" ht="12.75">
      <c r="B38" s="212">
        <v>1</v>
      </c>
      <c r="C38" s="341"/>
      <c r="D38" s="470" t="s">
        <v>810</v>
      </c>
      <c r="E38" s="11"/>
      <c r="F38" s="11"/>
      <c r="G38" s="20"/>
      <c r="H38" s="502">
        <v>-0.014261</v>
      </c>
      <c r="M38" s="171"/>
    </row>
    <row r="39" spans="2:8" ht="12.75">
      <c r="B39" s="212"/>
      <c r="C39" s="341"/>
      <c r="D39" s="11"/>
      <c r="E39" s="11"/>
      <c r="F39" s="11"/>
      <c r="G39" s="20"/>
      <c r="H39" s="330"/>
    </row>
    <row r="40" spans="2:14" ht="12.75">
      <c r="B40" s="212">
        <v>2</v>
      </c>
      <c r="C40" s="341"/>
      <c r="D40" s="11" t="s">
        <v>391</v>
      </c>
      <c r="E40" s="11"/>
      <c r="F40" s="11"/>
      <c r="G40" s="20"/>
      <c r="H40" s="333">
        <f>K42</f>
        <v>46598098.64</v>
      </c>
      <c r="K40" s="568" t="s">
        <v>787</v>
      </c>
      <c r="L40" s="568" t="s">
        <v>788</v>
      </c>
      <c r="N40" t="s">
        <v>118</v>
      </c>
    </row>
    <row r="41" spans="2:12" ht="12.75">
      <c r="B41" s="212"/>
      <c r="C41" s="341"/>
      <c r="D41" s="11"/>
      <c r="E41" s="11"/>
      <c r="F41" s="11"/>
      <c r="G41" s="20"/>
      <c r="H41" s="334" t="s">
        <v>531</v>
      </c>
      <c r="K41" s="568"/>
      <c r="L41" s="568"/>
    </row>
    <row r="42" spans="2:12" ht="12.75">
      <c r="B42" s="212">
        <v>3</v>
      </c>
      <c r="C42" s="341"/>
      <c r="D42" s="470" t="s">
        <v>789</v>
      </c>
      <c r="E42" s="11"/>
      <c r="F42" s="11"/>
      <c r="G42" s="20"/>
      <c r="H42" s="335">
        <f>L42</f>
        <v>-664535.48470504</v>
      </c>
      <c r="K42" s="514">
        <v>46598098.64</v>
      </c>
      <c r="L42" s="282">
        <f>H38*K42</f>
        <v>-664535.48470504</v>
      </c>
    </row>
    <row r="43" spans="2:8" ht="12.75">
      <c r="B43" s="212"/>
      <c r="C43" s="341"/>
      <c r="D43" s="11"/>
      <c r="E43" s="11"/>
      <c r="F43" s="11"/>
      <c r="G43" s="20"/>
      <c r="H43" s="335"/>
    </row>
    <row r="44" spans="2:8" ht="12.75">
      <c r="B44" s="212">
        <v>4</v>
      </c>
      <c r="C44" s="341"/>
      <c r="D44" s="11" t="s">
        <v>229</v>
      </c>
      <c r="E44" s="11"/>
      <c r="F44" s="11"/>
      <c r="G44" s="20"/>
      <c r="H44" s="503">
        <v>-702204</v>
      </c>
    </row>
    <row r="45" spans="2:11" ht="12.75">
      <c r="B45" s="212"/>
      <c r="C45" s="341"/>
      <c r="D45" s="11"/>
      <c r="E45" s="11"/>
      <c r="F45" s="11"/>
      <c r="G45" s="20"/>
      <c r="H45" s="334"/>
      <c r="J45" s="11"/>
      <c r="K45" s="241"/>
    </row>
    <row r="46" spans="2:8" ht="12.75">
      <c r="B46" s="212">
        <v>5</v>
      </c>
      <c r="C46" s="341"/>
      <c r="D46" s="11" t="s">
        <v>563</v>
      </c>
      <c r="E46" s="11"/>
      <c r="F46" s="11"/>
      <c r="G46" s="20"/>
      <c r="H46" s="333">
        <f>+H42-H44</f>
        <v>37668.51529496</v>
      </c>
    </row>
    <row r="47" spans="2:8" ht="13.5" thickBot="1">
      <c r="B47" s="339"/>
      <c r="C47" s="342"/>
      <c r="D47" s="16"/>
      <c r="E47" s="16"/>
      <c r="F47" s="16"/>
      <c r="G47" s="21"/>
      <c r="H47" s="331"/>
    </row>
    <row r="49" ht="12.75">
      <c r="D49" t="s">
        <v>72</v>
      </c>
    </row>
    <row r="51" ht="12.75">
      <c r="D51" s="145" t="s">
        <v>127</v>
      </c>
    </row>
    <row r="52" ht="12.75">
      <c r="D52" t="s">
        <v>126</v>
      </c>
    </row>
    <row r="63" ht="12.75">
      <c r="O63" t="s">
        <v>118</v>
      </c>
    </row>
  </sheetData>
  <sheetProtection/>
  <mergeCells count="2">
    <mergeCell ref="K40:K41"/>
    <mergeCell ref="L40:L41"/>
  </mergeCells>
  <printOptions horizontalCentered="1"/>
  <pageMargins left="0" right="0" top="0.5" bottom="0.5" header="0.5" footer="0"/>
  <pageSetup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2" max="2" width="8.7109375" style="0" customWidth="1"/>
    <col min="3" max="3" width="3.7109375" style="0" customWidth="1"/>
    <col min="4" max="4" width="19.140625" style="0" bestFit="1" customWidth="1"/>
    <col min="5" max="5" width="3.7109375" style="0" customWidth="1"/>
    <col min="6" max="6" width="13.421875" style="0" customWidth="1"/>
  </cols>
  <sheetData>
    <row r="1" spans="1:3" ht="12.75">
      <c r="A1" s="268"/>
      <c r="C1" s="146" t="s">
        <v>238</v>
      </c>
    </row>
    <row r="4" spans="1:6" ht="52.5">
      <c r="A4" s="146" t="s">
        <v>694</v>
      </c>
      <c r="B4" s="146" t="s">
        <v>693</v>
      </c>
      <c r="D4" s="156" t="s">
        <v>343</v>
      </c>
      <c r="F4" s="61"/>
    </row>
    <row r="6" spans="1:4" ht="12.75">
      <c r="A6" s="33" t="s">
        <v>660</v>
      </c>
      <c r="B6" s="125">
        <v>2003</v>
      </c>
      <c r="D6" s="158">
        <v>793478.57</v>
      </c>
    </row>
    <row r="7" spans="1:4" ht="12.75">
      <c r="A7" s="33" t="s">
        <v>661</v>
      </c>
      <c r="B7" s="125">
        <v>2003</v>
      </c>
      <c r="D7" s="158">
        <v>-1232455.94</v>
      </c>
    </row>
    <row r="8" spans="1:4" ht="12.75">
      <c r="A8" s="33" t="s">
        <v>662</v>
      </c>
      <c r="B8" s="125">
        <v>2003</v>
      </c>
      <c r="D8" s="158">
        <v>378156.15</v>
      </c>
    </row>
    <row r="9" spans="1:4" ht="12.75">
      <c r="A9" s="33" t="s">
        <v>663</v>
      </c>
      <c r="B9" s="125">
        <v>2003</v>
      </c>
      <c r="D9" s="158">
        <v>465603.94</v>
      </c>
    </row>
    <row r="10" spans="1:4" ht="12.75">
      <c r="A10" s="33" t="s">
        <v>664</v>
      </c>
      <c r="B10" s="125">
        <v>2003</v>
      </c>
      <c r="D10" s="158">
        <v>166549.74</v>
      </c>
    </row>
    <row r="11" spans="1:4" ht="12.75">
      <c r="A11" s="33" t="s">
        <v>665</v>
      </c>
      <c r="B11" s="125">
        <v>2003</v>
      </c>
      <c r="D11" s="158">
        <v>872894.65</v>
      </c>
    </row>
    <row r="12" spans="1:4" ht="12.75">
      <c r="A12" s="33" t="s">
        <v>666</v>
      </c>
      <c r="B12" s="125">
        <v>2003</v>
      </c>
      <c r="D12" s="158">
        <v>1547087.22</v>
      </c>
    </row>
    <row r="13" spans="1:4" ht="12.75">
      <c r="A13" s="33" t="s">
        <v>667</v>
      </c>
      <c r="B13" s="125">
        <v>2003</v>
      </c>
      <c r="D13" s="158">
        <v>1743717.39</v>
      </c>
    </row>
    <row r="14" spans="1:4" ht="12.75">
      <c r="A14" s="33" t="s">
        <v>668</v>
      </c>
      <c r="B14" s="125">
        <v>2003</v>
      </c>
      <c r="D14" s="158">
        <v>1531224.68</v>
      </c>
    </row>
    <row r="15" spans="1:4" ht="12.75">
      <c r="A15" s="33" t="s">
        <v>669</v>
      </c>
      <c r="B15" s="125">
        <v>2003</v>
      </c>
      <c r="D15" s="158">
        <v>1470171.3</v>
      </c>
    </row>
    <row r="16" spans="1:4" ht="12.75">
      <c r="A16" s="33" t="s">
        <v>670</v>
      </c>
      <c r="B16" s="125">
        <v>2003</v>
      </c>
      <c r="D16" s="158">
        <v>1922458.67</v>
      </c>
    </row>
    <row r="17" spans="1:4" ht="12.75">
      <c r="A17" s="33" t="s">
        <v>671</v>
      </c>
      <c r="B17" s="125">
        <v>2003</v>
      </c>
      <c r="D17" s="158">
        <v>2538331.2</v>
      </c>
    </row>
    <row r="18" ht="12.75">
      <c r="D18" s="158"/>
    </row>
    <row r="19" spans="1:4" ht="39">
      <c r="A19" s="156" t="s">
        <v>239</v>
      </c>
      <c r="D19" s="159">
        <f>SUM(D6:D17)</f>
        <v>12197217.57</v>
      </c>
    </row>
    <row r="20" ht="12.75">
      <c r="D20" s="158"/>
    </row>
    <row r="21" ht="12.75">
      <c r="D21" s="158"/>
    </row>
    <row r="22" spans="1:4" ht="12.75">
      <c r="A22" s="33" t="s">
        <v>660</v>
      </c>
      <c r="B22" s="125" t="s">
        <v>695</v>
      </c>
      <c r="D22" s="158">
        <v>2618806.86</v>
      </c>
    </row>
    <row r="23" spans="1:4" ht="12.75">
      <c r="A23" s="33" t="s">
        <v>661</v>
      </c>
      <c r="B23" s="125" t="s">
        <v>695</v>
      </c>
      <c r="D23" s="158">
        <v>938507.42</v>
      </c>
    </row>
    <row r="24" spans="1:4" ht="12.75">
      <c r="A24" s="33" t="s">
        <v>662</v>
      </c>
      <c r="B24" s="125" t="s">
        <v>695</v>
      </c>
      <c r="D24" s="158">
        <v>984974.68</v>
      </c>
    </row>
    <row r="25" spans="1:4" ht="12.75">
      <c r="A25" s="33" t="s">
        <v>663</v>
      </c>
      <c r="B25" s="125" t="s">
        <v>695</v>
      </c>
      <c r="D25" s="158">
        <v>1435884.73</v>
      </c>
    </row>
    <row r="26" spans="1:4" ht="12.75">
      <c r="A26" s="33" t="s">
        <v>664</v>
      </c>
      <c r="B26" s="125" t="s">
        <v>695</v>
      </c>
      <c r="D26" s="158">
        <v>1744572.06</v>
      </c>
    </row>
    <row r="27" spans="1:4" ht="12.75">
      <c r="A27" s="33" t="s">
        <v>665</v>
      </c>
      <c r="B27" s="125" t="s">
        <v>695</v>
      </c>
      <c r="D27" s="158">
        <v>1944982.12</v>
      </c>
    </row>
    <row r="28" spans="1:4" ht="12.75">
      <c r="A28" s="33" t="s">
        <v>666</v>
      </c>
      <c r="B28" s="125" t="s">
        <v>695</v>
      </c>
      <c r="D28" s="158">
        <v>2301093.42</v>
      </c>
    </row>
    <row r="29" spans="1:4" ht="12.75">
      <c r="A29" s="33" t="s">
        <v>667</v>
      </c>
      <c r="B29" s="125" t="s">
        <v>695</v>
      </c>
      <c r="D29" s="158">
        <v>1736824.39</v>
      </c>
    </row>
    <row r="30" spans="1:4" ht="12.75">
      <c r="A30" s="33" t="s">
        <v>668</v>
      </c>
      <c r="B30" s="125" t="s">
        <v>695</v>
      </c>
      <c r="D30" s="158">
        <v>1407513.95</v>
      </c>
    </row>
    <row r="31" spans="1:4" ht="12.75">
      <c r="A31" s="33" t="s">
        <v>669</v>
      </c>
      <c r="B31" s="125" t="s">
        <v>695</v>
      </c>
      <c r="D31" s="158">
        <v>1344272.95</v>
      </c>
    </row>
    <row r="32" spans="1:4" ht="12.75">
      <c r="A32" s="33" t="s">
        <v>670</v>
      </c>
      <c r="B32" s="125" t="s">
        <v>695</v>
      </c>
      <c r="D32" s="158">
        <v>1944904.53</v>
      </c>
    </row>
    <row r="33" spans="1:4" ht="12.75">
      <c r="A33" s="33" t="s">
        <v>671</v>
      </c>
      <c r="B33" s="125" t="s">
        <v>695</v>
      </c>
      <c r="D33" s="158">
        <v>2247438.4</v>
      </c>
    </row>
    <row r="34" ht="12.75">
      <c r="D34" s="158"/>
    </row>
    <row r="35" spans="1:4" ht="39">
      <c r="A35" s="156" t="s">
        <v>240</v>
      </c>
      <c r="D35" s="159">
        <f>SUM(D22:D33)</f>
        <v>20649775.509999998</v>
      </c>
    </row>
    <row r="38" spans="1:4" ht="12.75">
      <c r="A38" s="33" t="s">
        <v>660</v>
      </c>
      <c r="B38" s="125" t="s">
        <v>243</v>
      </c>
      <c r="D38" s="158">
        <v>2354286.26</v>
      </c>
    </row>
    <row r="39" spans="1:4" ht="12.75">
      <c r="A39" s="33" t="s">
        <v>661</v>
      </c>
      <c r="B39" s="125" t="s">
        <v>243</v>
      </c>
      <c r="D39" s="158">
        <v>243967.78</v>
      </c>
    </row>
    <row r="40" spans="1:4" ht="12.75">
      <c r="A40" s="33" t="s">
        <v>662</v>
      </c>
      <c r="B40" s="125" t="s">
        <v>243</v>
      </c>
      <c r="D40" s="158">
        <v>802024.13</v>
      </c>
    </row>
    <row r="41" spans="1:4" ht="12.75">
      <c r="A41" s="33" t="s">
        <v>663</v>
      </c>
      <c r="B41" s="125" t="s">
        <v>243</v>
      </c>
      <c r="D41" s="158">
        <v>1673924.03</v>
      </c>
    </row>
    <row r="42" spans="1:4" ht="12.75">
      <c r="A42" s="33" t="s">
        <v>664</v>
      </c>
      <c r="B42" s="125" t="s">
        <v>243</v>
      </c>
      <c r="D42" s="158">
        <v>1549230.01</v>
      </c>
    </row>
    <row r="43" spans="1:6" ht="12.75">
      <c r="A43" s="33" t="s">
        <v>665</v>
      </c>
      <c r="B43" s="125" t="s">
        <v>243</v>
      </c>
      <c r="D43" s="158">
        <v>1319769.54</v>
      </c>
      <c r="F43" s="159">
        <f>+D28+D29+D30+D31+D32+D33+D38+D39+D40+D41+D42+D43</f>
        <v>18925249.39</v>
      </c>
    </row>
    <row r="44" spans="1:4" ht="12.75">
      <c r="A44" s="33" t="s">
        <v>666</v>
      </c>
      <c r="B44" s="125" t="s">
        <v>243</v>
      </c>
      <c r="D44" s="158">
        <v>1132119.52</v>
      </c>
    </row>
    <row r="45" spans="1:4" ht="12.75">
      <c r="A45" s="33" t="s">
        <v>667</v>
      </c>
      <c r="B45" s="125" t="s">
        <v>243</v>
      </c>
      <c r="D45" s="158">
        <v>1520122.98</v>
      </c>
    </row>
    <row r="46" spans="1:4" ht="12.75">
      <c r="A46" s="33" t="s">
        <v>668</v>
      </c>
      <c r="B46" s="125" t="s">
        <v>243</v>
      </c>
      <c r="D46" s="158">
        <v>1768921.85</v>
      </c>
    </row>
    <row r="47" spans="1:4" ht="12.75">
      <c r="A47" s="33" t="s">
        <v>669</v>
      </c>
      <c r="B47" s="125" t="s">
        <v>243</v>
      </c>
      <c r="D47" s="158">
        <v>1484026.44</v>
      </c>
    </row>
    <row r="48" spans="1:4" ht="12.75">
      <c r="A48" s="33" t="s">
        <v>670</v>
      </c>
      <c r="B48" s="125" t="s">
        <v>243</v>
      </c>
      <c r="D48" s="158">
        <v>1242894.55</v>
      </c>
    </row>
    <row r="49" spans="1:4" ht="12.75">
      <c r="A49" s="33" t="s">
        <v>671</v>
      </c>
      <c r="B49" s="125" t="s">
        <v>243</v>
      </c>
      <c r="D49" s="158">
        <v>2168682.72</v>
      </c>
    </row>
    <row r="50" ht="12.75">
      <c r="D50" s="158"/>
    </row>
    <row r="51" spans="1:4" ht="39">
      <c r="A51" s="156" t="s">
        <v>453</v>
      </c>
      <c r="D51" s="159">
        <f>SUM(D38:D49)</f>
        <v>17259969.81</v>
      </c>
    </row>
    <row r="54" spans="1:4" ht="12.75">
      <c r="A54" s="33" t="s">
        <v>660</v>
      </c>
      <c r="B54" s="125" t="s">
        <v>332</v>
      </c>
      <c r="D54" s="158">
        <v>2624709.41</v>
      </c>
    </row>
    <row r="55" spans="1:4" ht="12.75">
      <c r="A55" s="33" t="s">
        <v>661</v>
      </c>
      <c r="B55" s="125" t="s">
        <v>332</v>
      </c>
      <c r="D55" s="158">
        <v>1315774.18</v>
      </c>
    </row>
    <row r="56" spans="1:4" ht="12.75">
      <c r="A56" s="33" t="s">
        <v>662</v>
      </c>
      <c r="B56" s="125" t="s">
        <v>332</v>
      </c>
      <c r="D56" s="158">
        <v>166250.64</v>
      </c>
    </row>
    <row r="57" spans="1:4" ht="12.75">
      <c r="A57" s="33" t="s">
        <v>663</v>
      </c>
      <c r="B57" s="125" t="s">
        <v>332</v>
      </c>
      <c r="D57" s="158">
        <v>595067.59</v>
      </c>
    </row>
    <row r="58" spans="1:4" ht="12.75">
      <c r="A58" s="33" t="s">
        <v>664</v>
      </c>
      <c r="B58" s="125" t="s">
        <v>332</v>
      </c>
      <c r="D58" s="158">
        <v>-220359.59</v>
      </c>
    </row>
    <row r="59" spans="1:4" ht="12.75">
      <c r="A59" s="33" t="s">
        <v>665</v>
      </c>
      <c r="B59" s="125" t="s">
        <v>332</v>
      </c>
      <c r="D59" s="158">
        <v>339865.59</v>
      </c>
    </row>
    <row r="60" spans="1:4" ht="12.75">
      <c r="A60" s="33" t="s">
        <v>666</v>
      </c>
      <c r="B60" s="125" t="s">
        <v>332</v>
      </c>
      <c r="D60" s="158">
        <v>926910.48</v>
      </c>
    </row>
    <row r="61" spans="1:4" ht="12.75">
      <c r="A61" s="33" t="s">
        <v>667</v>
      </c>
      <c r="B61" s="125" t="s">
        <v>332</v>
      </c>
      <c r="D61" s="158">
        <v>415893.41</v>
      </c>
    </row>
    <row r="62" spans="1:4" ht="12.75">
      <c r="A62" s="33" t="s">
        <v>668</v>
      </c>
      <c r="B62" s="125" t="s">
        <v>332</v>
      </c>
      <c r="D62" s="158">
        <v>-28824.24</v>
      </c>
    </row>
    <row r="63" spans="1:4" ht="12.75">
      <c r="A63" s="33" t="s">
        <v>669</v>
      </c>
      <c r="B63" s="125" t="s">
        <v>332</v>
      </c>
      <c r="D63" s="158">
        <v>398295.92</v>
      </c>
    </row>
    <row r="64" spans="1:4" ht="12.75">
      <c r="A64" s="33" t="s">
        <v>670</v>
      </c>
      <c r="B64" s="125" t="s">
        <v>332</v>
      </c>
      <c r="D64" s="158">
        <v>139316.75</v>
      </c>
    </row>
    <row r="65" spans="1:4" ht="12.75">
      <c r="A65" s="33" t="s">
        <v>671</v>
      </c>
      <c r="B65" s="125" t="s">
        <v>332</v>
      </c>
      <c r="D65" s="158">
        <v>686913.77</v>
      </c>
    </row>
    <row r="66" ht="12.75">
      <c r="D66" s="158"/>
    </row>
    <row r="67" spans="1:4" ht="39">
      <c r="A67" s="156" t="s">
        <v>333</v>
      </c>
      <c r="D67" s="159">
        <f>SUM(D54:D65)</f>
        <v>7359813.91</v>
      </c>
    </row>
    <row r="70" spans="1:4" ht="12.75">
      <c r="A70" s="33" t="s">
        <v>660</v>
      </c>
      <c r="B70" s="125" t="s">
        <v>566</v>
      </c>
      <c r="D70" s="158">
        <v>150096.54</v>
      </c>
    </row>
    <row r="71" spans="1:4" ht="12.75">
      <c r="A71" s="33" t="s">
        <v>661</v>
      </c>
      <c r="B71" s="125" t="s">
        <v>566</v>
      </c>
      <c r="D71" s="158">
        <v>56891.26</v>
      </c>
    </row>
    <row r="72" spans="1:4" ht="12.75">
      <c r="A72" s="33" t="s">
        <v>662</v>
      </c>
      <c r="B72" s="125" t="s">
        <v>566</v>
      </c>
      <c r="D72" s="158">
        <v>151651.28</v>
      </c>
    </row>
    <row r="73" spans="1:4" ht="12.75">
      <c r="A73" s="33" t="s">
        <v>663</v>
      </c>
      <c r="B73" s="125" t="s">
        <v>566</v>
      </c>
      <c r="D73" s="158">
        <v>-89074.33</v>
      </c>
    </row>
    <row r="74" spans="1:4" ht="12.75">
      <c r="A74" s="33" t="s">
        <v>664</v>
      </c>
      <c r="B74" s="125" t="s">
        <v>566</v>
      </c>
      <c r="D74" s="158">
        <v>-265169.88</v>
      </c>
    </row>
    <row r="75" spans="1:4" ht="12.75">
      <c r="A75" s="33" t="s">
        <v>665</v>
      </c>
      <c r="B75" s="125" t="s">
        <v>566</v>
      </c>
      <c r="D75" s="158">
        <v>342648.3</v>
      </c>
    </row>
    <row r="76" spans="1:4" ht="12.75">
      <c r="A76" s="33" t="s">
        <v>666</v>
      </c>
      <c r="B76" s="125" t="s">
        <v>566</v>
      </c>
      <c r="D76" s="158">
        <v>925166.46</v>
      </c>
    </row>
    <row r="77" spans="1:4" ht="12.75">
      <c r="A77" s="33" t="s">
        <v>667</v>
      </c>
      <c r="B77" s="125" t="s">
        <v>566</v>
      </c>
      <c r="D77" s="158">
        <v>755916.41</v>
      </c>
    </row>
    <row r="78" spans="1:4" ht="12.75">
      <c r="A78" s="33" t="s">
        <v>668</v>
      </c>
      <c r="B78" s="125" t="s">
        <v>566</v>
      </c>
      <c r="D78" s="158">
        <v>352552.17</v>
      </c>
    </row>
    <row r="79" spans="1:4" ht="12.75">
      <c r="A79" s="33" t="s">
        <v>669</v>
      </c>
      <c r="B79" s="125" t="s">
        <v>566</v>
      </c>
      <c r="D79" s="158">
        <v>365511.89</v>
      </c>
    </row>
    <row r="80" spans="1:4" ht="12.75">
      <c r="A80" s="33" t="s">
        <v>670</v>
      </c>
      <c r="B80" s="125" t="s">
        <v>566</v>
      </c>
      <c r="D80" s="158">
        <v>54497.25</v>
      </c>
    </row>
    <row r="81" spans="1:4" ht="12.75">
      <c r="A81" s="33" t="s">
        <v>671</v>
      </c>
      <c r="B81" s="125" t="s">
        <v>566</v>
      </c>
      <c r="D81" s="158">
        <v>524721.39</v>
      </c>
    </row>
    <row r="82" ht="12.75">
      <c r="D82" s="158"/>
    </row>
    <row r="83" spans="1:4" ht="39">
      <c r="A83" s="156" t="s">
        <v>91</v>
      </c>
      <c r="D83" s="159">
        <f>SUM(D70:D81)</f>
        <v>3325408.74</v>
      </c>
    </row>
    <row r="86" spans="1:4" ht="12.75">
      <c r="A86" s="33" t="s">
        <v>660</v>
      </c>
      <c r="B86" s="125" t="s">
        <v>500</v>
      </c>
      <c r="D86" s="158">
        <v>-154710.08</v>
      </c>
    </row>
    <row r="87" spans="1:4" ht="12.75">
      <c r="A87" s="33" t="s">
        <v>661</v>
      </c>
      <c r="B87" s="125" t="s">
        <v>500</v>
      </c>
      <c r="D87" s="158">
        <v>-152238.26</v>
      </c>
    </row>
    <row r="88" spans="1:4" ht="12.75">
      <c r="A88" s="33" t="s">
        <v>662</v>
      </c>
      <c r="B88" s="125" t="s">
        <v>500</v>
      </c>
      <c r="D88" s="158">
        <v>525977.49</v>
      </c>
    </row>
    <row r="89" spans="1:4" ht="12.75">
      <c r="A89" s="33" t="s">
        <v>663</v>
      </c>
      <c r="B89" s="125" t="s">
        <v>500</v>
      </c>
      <c r="D89" s="158">
        <v>378138.25</v>
      </c>
    </row>
    <row r="90" spans="1:4" ht="12.75">
      <c r="A90" s="33" t="s">
        <v>664</v>
      </c>
      <c r="B90" s="125" t="s">
        <v>500</v>
      </c>
      <c r="D90" s="158">
        <v>142905.07</v>
      </c>
    </row>
    <row r="91" spans="1:4" ht="12.75">
      <c r="A91" s="33" t="s">
        <v>665</v>
      </c>
      <c r="B91" s="125" t="s">
        <v>500</v>
      </c>
      <c r="D91" s="158">
        <v>819468.27</v>
      </c>
    </row>
    <row r="92" spans="1:4" ht="12.75">
      <c r="A92" s="33" t="s">
        <v>666</v>
      </c>
      <c r="B92" s="125" t="s">
        <v>500</v>
      </c>
      <c r="D92" s="158">
        <v>2028360.98</v>
      </c>
    </row>
    <row r="93" spans="1:4" ht="12.75">
      <c r="A93" s="33" t="s">
        <v>667</v>
      </c>
      <c r="B93" s="125" t="s">
        <v>500</v>
      </c>
      <c r="D93" s="158">
        <v>1233546.63</v>
      </c>
    </row>
    <row r="94" spans="1:4" ht="12.75">
      <c r="A94" s="33" t="s">
        <v>668</v>
      </c>
      <c r="B94" s="125" t="s">
        <v>500</v>
      </c>
      <c r="D94" s="158">
        <v>299337.99</v>
      </c>
    </row>
    <row r="95" spans="1:4" ht="12.75">
      <c r="A95" s="33" t="s">
        <v>669</v>
      </c>
      <c r="B95" s="125" t="s">
        <v>500</v>
      </c>
      <c r="D95" s="158">
        <v>957938.63</v>
      </c>
    </row>
    <row r="96" spans="1:4" ht="12.75">
      <c r="A96" s="33" t="s">
        <v>670</v>
      </c>
      <c r="B96" s="125" t="s">
        <v>500</v>
      </c>
      <c r="D96" s="158">
        <v>763402.45</v>
      </c>
    </row>
    <row r="97" spans="1:4" ht="12.75">
      <c r="A97" s="33" t="s">
        <v>671</v>
      </c>
      <c r="B97" s="125" t="s">
        <v>500</v>
      </c>
      <c r="D97" s="158">
        <v>1015587.44</v>
      </c>
    </row>
    <row r="98" ht="12.75">
      <c r="D98" s="158"/>
    </row>
    <row r="99" spans="1:4" ht="39">
      <c r="A99" s="156" t="s">
        <v>501</v>
      </c>
      <c r="D99" s="159">
        <f>SUM(D86:D97)</f>
        <v>7857714.859999999</v>
      </c>
    </row>
    <row r="102" spans="1:4" ht="12.75">
      <c r="A102" s="33" t="s">
        <v>660</v>
      </c>
      <c r="B102" s="125" t="s">
        <v>482</v>
      </c>
      <c r="D102" s="158">
        <v>264322.04</v>
      </c>
    </row>
    <row r="103" spans="1:4" ht="12.75">
      <c r="A103" s="33" t="s">
        <v>661</v>
      </c>
      <c r="B103" s="125" t="s">
        <v>482</v>
      </c>
      <c r="D103" s="158">
        <v>1763487.24</v>
      </c>
    </row>
    <row r="104" spans="1:4" ht="12.75">
      <c r="A104" s="33" t="s">
        <v>662</v>
      </c>
      <c r="B104" s="125" t="s">
        <v>482</v>
      </c>
      <c r="D104" s="158">
        <v>815045.12</v>
      </c>
    </row>
    <row r="105" spans="1:4" ht="12.75">
      <c r="A105" s="33" t="s">
        <v>663</v>
      </c>
      <c r="B105" s="125" t="s">
        <v>482</v>
      </c>
      <c r="D105" s="158">
        <v>577682.97</v>
      </c>
    </row>
    <row r="106" spans="1:4" ht="12.75">
      <c r="A106" s="33" t="s">
        <v>664</v>
      </c>
      <c r="B106" s="125" t="s">
        <v>482</v>
      </c>
      <c r="D106" s="158">
        <v>607288.54</v>
      </c>
    </row>
    <row r="107" spans="1:4" ht="12.75">
      <c r="A107" s="33" t="s">
        <v>665</v>
      </c>
      <c r="B107" s="125" t="s">
        <v>482</v>
      </c>
      <c r="D107" s="158">
        <v>1389547.13</v>
      </c>
    </row>
    <row r="108" spans="1:4" ht="12.75">
      <c r="A108" s="33" t="s">
        <v>666</v>
      </c>
      <c r="B108" s="125" t="s">
        <v>482</v>
      </c>
      <c r="D108" s="158">
        <v>2079009.58</v>
      </c>
    </row>
    <row r="109" spans="1:4" ht="12.75">
      <c r="A109" s="33" t="s">
        <v>667</v>
      </c>
      <c r="B109" s="125" t="s">
        <v>482</v>
      </c>
      <c r="D109" s="158">
        <v>1598506.71</v>
      </c>
    </row>
    <row r="110" spans="1:4" ht="12.75">
      <c r="A110" s="33" t="s">
        <v>668</v>
      </c>
      <c r="B110" s="125" t="s">
        <v>482</v>
      </c>
      <c r="D110" s="158">
        <v>504127.33</v>
      </c>
    </row>
    <row r="111" spans="1:4" ht="12.75">
      <c r="A111" s="33" t="s">
        <v>669</v>
      </c>
      <c r="B111" s="125" t="s">
        <v>482</v>
      </c>
      <c r="D111" s="158">
        <v>785472.29</v>
      </c>
    </row>
    <row r="112" spans="1:4" ht="12.75">
      <c r="A112" s="33" t="s">
        <v>670</v>
      </c>
      <c r="B112" s="125" t="s">
        <v>482</v>
      </c>
      <c r="D112" s="158">
        <v>771731.36</v>
      </c>
    </row>
    <row r="113" spans="1:4" ht="12.75">
      <c r="A113" s="33" t="s">
        <v>671</v>
      </c>
      <c r="B113" s="125" t="s">
        <v>482</v>
      </c>
      <c r="D113" s="158">
        <v>528995.96</v>
      </c>
    </row>
    <row r="114" ht="12.75">
      <c r="D114" s="158"/>
    </row>
    <row r="115" spans="1:4" ht="39">
      <c r="A115" s="156" t="s">
        <v>483</v>
      </c>
      <c r="D115" s="159">
        <f>SUM(D102:D113)</f>
        <v>11685216.27</v>
      </c>
    </row>
    <row r="118" spans="1:4" ht="12.75">
      <c r="A118" s="33" t="s">
        <v>660</v>
      </c>
      <c r="B118" s="125" t="s">
        <v>273</v>
      </c>
      <c r="D118" s="158">
        <v>1476414.05</v>
      </c>
    </row>
    <row r="119" spans="1:4" ht="12.75">
      <c r="A119" s="33" t="s">
        <v>661</v>
      </c>
      <c r="B119" s="125" t="s">
        <v>273</v>
      </c>
      <c r="D119" s="158">
        <v>2854552.75</v>
      </c>
    </row>
    <row r="120" spans="1:4" ht="12.75">
      <c r="A120" s="33" t="s">
        <v>662</v>
      </c>
      <c r="B120" s="125" t="s">
        <v>273</v>
      </c>
      <c r="D120" s="158">
        <v>1288816.3</v>
      </c>
    </row>
    <row r="121" spans="1:4" ht="12.75">
      <c r="A121" s="33" t="s">
        <v>663</v>
      </c>
      <c r="B121" s="125" t="s">
        <v>273</v>
      </c>
      <c r="D121" s="158">
        <v>478212.4</v>
      </c>
    </row>
    <row r="122" spans="1:4" ht="12.75">
      <c r="A122" s="33" t="s">
        <v>664</v>
      </c>
      <c r="B122" s="125" t="s">
        <v>273</v>
      </c>
      <c r="D122" s="158">
        <v>653587.8</v>
      </c>
    </row>
    <row r="123" spans="1:4" ht="12.75">
      <c r="A123" s="33" t="s">
        <v>665</v>
      </c>
      <c r="B123" s="125" t="s">
        <v>273</v>
      </c>
      <c r="D123" s="158">
        <v>1913666.54</v>
      </c>
    </row>
    <row r="124" spans="1:4" ht="12.75">
      <c r="A124" s="33" t="s">
        <v>666</v>
      </c>
      <c r="B124" s="125" t="s">
        <v>273</v>
      </c>
      <c r="D124" s="158">
        <v>3141025.4</v>
      </c>
    </row>
    <row r="125" spans="1:4" ht="12.75">
      <c r="A125" s="33" t="s">
        <v>667</v>
      </c>
      <c r="B125" s="125" t="s">
        <v>273</v>
      </c>
      <c r="D125" s="158">
        <v>2443020.96</v>
      </c>
    </row>
    <row r="126" spans="1:4" ht="12.75">
      <c r="A126" s="33" t="s">
        <v>668</v>
      </c>
      <c r="B126" s="125" t="s">
        <v>273</v>
      </c>
      <c r="D126" s="158">
        <v>556367</v>
      </c>
    </row>
    <row r="127" spans="1:4" ht="12.75">
      <c r="A127" s="33" t="s">
        <v>669</v>
      </c>
      <c r="B127" s="125" t="s">
        <v>273</v>
      </c>
      <c r="D127" s="158">
        <v>715652</v>
      </c>
    </row>
    <row r="128" spans="1:4" ht="12.75">
      <c r="A128" s="33" t="s">
        <v>670</v>
      </c>
      <c r="B128" s="125" t="s">
        <v>273</v>
      </c>
      <c r="D128" s="158">
        <v>534484</v>
      </c>
    </row>
    <row r="129" spans="1:4" ht="12.75">
      <c r="A129" s="33" t="s">
        <v>671</v>
      </c>
      <c r="B129" s="125" t="s">
        <v>273</v>
      </c>
      <c r="D129" s="158">
        <v>1839068</v>
      </c>
    </row>
    <row r="130" ht="12.75">
      <c r="D130" s="158"/>
    </row>
    <row r="131" spans="1:4" ht="39">
      <c r="A131" s="156" t="s">
        <v>274</v>
      </c>
      <c r="D131" s="159">
        <f>SUM(D118:D129)</f>
        <v>17894867.2</v>
      </c>
    </row>
    <row r="134" spans="1:4" ht="12.75">
      <c r="A134" s="33" t="s">
        <v>660</v>
      </c>
      <c r="B134" s="125" t="s">
        <v>359</v>
      </c>
      <c r="D134" s="158">
        <v>2405036</v>
      </c>
    </row>
    <row r="135" spans="1:4" ht="12.75">
      <c r="A135" s="33" t="s">
        <v>661</v>
      </c>
      <c r="B135" s="125" t="s">
        <v>359</v>
      </c>
      <c r="D135" s="158">
        <v>1406402</v>
      </c>
    </row>
    <row r="136" spans="1:4" ht="12.75">
      <c r="A136" s="33" t="s">
        <v>662</v>
      </c>
      <c r="B136" s="125" t="s">
        <v>359</v>
      </c>
      <c r="D136" s="158">
        <v>1334</v>
      </c>
    </row>
    <row r="137" spans="1:4" ht="12.75">
      <c r="A137" s="33" t="s">
        <v>663</v>
      </c>
      <c r="B137" s="125" t="s">
        <v>359</v>
      </c>
      <c r="D137" s="158">
        <v>1267425</v>
      </c>
    </row>
    <row r="138" spans="1:4" ht="12.75">
      <c r="A138" s="33" t="s">
        <v>664</v>
      </c>
      <c r="B138" s="125" t="s">
        <v>359</v>
      </c>
      <c r="D138" s="158">
        <v>1308381</v>
      </c>
    </row>
    <row r="139" spans="1:4" ht="12.75">
      <c r="A139" s="33" t="s">
        <v>665</v>
      </c>
      <c r="B139" s="125" t="s">
        <v>359</v>
      </c>
      <c r="D139" s="158">
        <v>2470524</v>
      </c>
    </row>
    <row r="140" spans="1:4" ht="12.75">
      <c r="A140" s="33" t="s">
        <v>666</v>
      </c>
      <c r="B140" s="125" t="s">
        <v>359</v>
      </c>
      <c r="D140" s="158">
        <v>1798104</v>
      </c>
    </row>
    <row r="141" spans="1:4" ht="12.75">
      <c r="A141" s="33" t="s">
        <v>667</v>
      </c>
      <c r="B141" s="125" t="s">
        <v>359</v>
      </c>
      <c r="D141" s="158">
        <v>1572564</v>
      </c>
    </row>
    <row r="142" spans="1:4" ht="12.75">
      <c r="A142" s="33" t="s">
        <v>668</v>
      </c>
      <c r="B142" s="125" t="s">
        <v>359</v>
      </c>
      <c r="D142" s="465">
        <v>146985</v>
      </c>
    </row>
    <row r="143" spans="1:4" ht="12.75">
      <c r="A143" s="33" t="s">
        <v>669</v>
      </c>
      <c r="B143" s="125" t="s">
        <v>359</v>
      </c>
      <c r="D143" s="158">
        <v>-57685</v>
      </c>
    </row>
    <row r="144" spans="1:4" ht="12.75">
      <c r="A144" s="33" t="s">
        <v>670</v>
      </c>
      <c r="B144" s="125" t="s">
        <v>359</v>
      </c>
      <c r="D144" s="158">
        <v>212503</v>
      </c>
    </row>
    <row r="145" spans="1:4" ht="12.75">
      <c r="A145" s="33" t="s">
        <v>671</v>
      </c>
      <c r="B145" s="125" t="s">
        <v>359</v>
      </c>
      <c r="D145" s="158">
        <v>521483</v>
      </c>
    </row>
    <row r="146" ht="12.75">
      <c r="D146" s="158"/>
    </row>
    <row r="147" spans="1:4" ht="39">
      <c r="A147" s="156" t="s">
        <v>360</v>
      </c>
      <c r="D147" s="159">
        <f>SUM(D134:D145)</f>
        <v>13053056</v>
      </c>
    </row>
    <row r="150" spans="1:4" ht="12.75">
      <c r="A150" s="33" t="s">
        <v>660</v>
      </c>
      <c r="B150" s="3">
        <v>2012</v>
      </c>
      <c r="D150" s="457">
        <v>825911</v>
      </c>
    </row>
    <row r="151" spans="1:4" ht="12.75">
      <c r="A151" s="33" t="s">
        <v>661</v>
      </c>
      <c r="B151" s="3">
        <v>2012</v>
      </c>
      <c r="D151" s="457">
        <v>544739</v>
      </c>
    </row>
    <row r="152" spans="1:4" ht="12.75">
      <c r="A152" s="33" t="s">
        <v>662</v>
      </c>
      <c r="B152" s="3">
        <v>2012</v>
      </c>
      <c r="D152" s="457">
        <v>-538648</v>
      </c>
    </row>
    <row r="153" spans="1:4" ht="12.75">
      <c r="A153" s="33" t="s">
        <v>663</v>
      </c>
      <c r="B153" s="3">
        <v>2012</v>
      </c>
      <c r="D153" s="457">
        <v>-203395</v>
      </c>
    </row>
    <row r="154" spans="1:4" ht="12.75">
      <c r="A154" s="33" t="s">
        <v>664</v>
      </c>
      <c r="B154" s="3">
        <v>2012</v>
      </c>
      <c r="D154" s="457">
        <v>-1019778</v>
      </c>
    </row>
    <row r="155" spans="1:4" ht="12.75">
      <c r="A155" s="33" t="s">
        <v>665</v>
      </c>
      <c r="B155" s="3">
        <v>2012</v>
      </c>
      <c r="D155" s="457">
        <v>-572180</v>
      </c>
    </row>
    <row r="156" spans="1:4" ht="12.75">
      <c r="A156" s="33" t="s">
        <v>666</v>
      </c>
      <c r="B156" s="3">
        <v>2012</v>
      </c>
      <c r="D156" s="457">
        <v>-1794611</v>
      </c>
    </row>
    <row r="157" spans="1:4" ht="12.75">
      <c r="A157" s="33" t="s">
        <v>667</v>
      </c>
      <c r="B157" s="3">
        <v>2012</v>
      </c>
      <c r="D157" s="457">
        <v>-745978</v>
      </c>
    </row>
    <row r="158" spans="1:4" ht="12.75">
      <c r="A158" s="33" t="s">
        <v>668</v>
      </c>
      <c r="B158" s="3">
        <v>2012</v>
      </c>
      <c r="D158" s="457">
        <v>-190301</v>
      </c>
    </row>
    <row r="159" spans="1:4" ht="12.75">
      <c r="A159" s="33" t="s">
        <v>669</v>
      </c>
      <c r="B159" s="3">
        <v>2012</v>
      </c>
      <c r="D159" s="457">
        <v>-384474</v>
      </c>
    </row>
    <row r="160" spans="1:4" ht="12.75">
      <c r="A160" s="33" t="s">
        <v>670</v>
      </c>
      <c r="B160" s="3">
        <v>2012</v>
      </c>
      <c r="D160" s="457">
        <v>-1000884</v>
      </c>
    </row>
    <row r="161" spans="1:4" ht="12.75">
      <c r="A161" s="33" t="s">
        <v>671</v>
      </c>
      <c r="B161" s="3">
        <v>2012</v>
      </c>
      <c r="D161" s="457">
        <v>-1137970</v>
      </c>
    </row>
    <row r="162" ht="12.75">
      <c r="D162" s="457"/>
    </row>
    <row r="163" spans="1:4" ht="39">
      <c r="A163" s="156" t="s">
        <v>481</v>
      </c>
      <c r="D163" s="159">
        <f>SUM(D150:D161)</f>
        <v>-6217569</v>
      </c>
    </row>
    <row r="166" spans="1:4" ht="12.75">
      <c r="A166" s="33" t="s">
        <v>660</v>
      </c>
      <c r="B166" s="3">
        <v>2013</v>
      </c>
      <c r="D166" s="457">
        <v>-1188450</v>
      </c>
    </row>
    <row r="167" spans="1:4" ht="12.75">
      <c r="A167" s="33" t="s">
        <v>661</v>
      </c>
      <c r="B167" s="3">
        <v>2013</v>
      </c>
      <c r="D167" s="457">
        <v>-954649</v>
      </c>
    </row>
    <row r="168" spans="1:4" ht="12.75">
      <c r="A168" s="33" t="s">
        <v>662</v>
      </c>
      <c r="B168" s="3">
        <v>2013</v>
      </c>
      <c r="D168" s="457">
        <v>-440223</v>
      </c>
    </row>
    <row r="169" spans="1:4" ht="12.75">
      <c r="A169" s="33" t="s">
        <v>663</v>
      </c>
      <c r="B169" s="3">
        <v>2013</v>
      </c>
      <c r="D169" s="457">
        <v>184504</v>
      </c>
    </row>
    <row r="170" spans="1:4" ht="12.75">
      <c r="A170" s="33" t="s">
        <v>664</v>
      </c>
      <c r="B170" s="3">
        <v>2013</v>
      </c>
      <c r="D170" s="457">
        <v>128733</v>
      </c>
    </row>
    <row r="171" spans="1:4" ht="12.75">
      <c r="A171" s="33" t="s">
        <v>665</v>
      </c>
      <c r="B171" s="3">
        <v>2013</v>
      </c>
      <c r="D171" s="457">
        <v>-581052</v>
      </c>
    </row>
    <row r="172" spans="1:4" ht="12.75">
      <c r="A172" s="33" t="s">
        <v>666</v>
      </c>
      <c r="B172" s="3">
        <v>2013</v>
      </c>
      <c r="D172" s="457">
        <v>-1480779</v>
      </c>
    </row>
    <row r="173" spans="1:4" ht="12.75">
      <c r="A173" s="33" t="s">
        <v>667</v>
      </c>
      <c r="B173" s="3">
        <v>2013</v>
      </c>
      <c r="D173" s="457">
        <v>-1122145</v>
      </c>
    </row>
    <row r="174" spans="1:4" ht="12.75">
      <c r="A174" s="33" t="s">
        <v>668</v>
      </c>
      <c r="B174" s="3">
        <v>2013</v>
      </c>
      <c r="D174" s="457">
        <v>-413763</v>
      </c>
    </row>
    <row r="175" spans="1:4" ht="12.75">
      <c r="A175" s="33" t="s">
        <v>669</v>
      </c>
      <c r="B175" s="3">
        <v>2013</v>
      </c>
      <c r="D175" s="457">
        <v>-829053</v>
      </c>
    </row>
    <row r="176" spans="1:4" ht="12.75">
      <c r="A176" s="33" t="s">
        <v>670</v>
      </c>
      <c r="B176" s="3">
        <v>2013</v>
      </c>
      <c r="D176" s="457">
        <v>-837830</v>
      </c>
    </row>
    <row r="177" spans="1:4" ht="12.75">
      <c r="A177" s="33" t="s">
        <v>671</v>
      </c>
      <c r="B177" s="3">
        <v>2013</v>
      </c>
      <c r="D177" s="457">
        <v>0</v>
      </c>
    </row>
    <row r="178" ht="12.75">
      <c r="D178" s="457"/>
    </row>
    <row r="179" spans="1:4" ht="39">
      <c r="A179" s="156" t="s">
        <v>455</v>
      </c>
      <c r="D179" s="159">
        <f>SUM(D166:D177)</f>
        <v>-7534707</v>
      </c>
    </row>
  </sheetData>
  <sheetProtection/>
  <printOptions gridLines="1" horizontalCentered="1" verticalCentered="1"/>
  <pageMargins left="0" right="0" top="0" bottom="0" header="0" footer="0"/>
  <pageSetup horizontalDpi="300" verticalDpi="300" orientation="portrait" r:id="rId1"/>
  <rowBreaks count="4" manualBreakCount="4">
    <brk id="36" max="255" man="1"/>
    <brk id="68" max="255" man="1"/>
    <brk id="100" max="255" man="1"/>
    <brk id="1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8" ySplit="1" topLeftCell="I2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M25" sqref="M25"/>
    </sheetView>
  </sheetViews>
  <sheetFormatPr defaultColWidth="9.140625" defaultRowHeight="12.75"/>
  <cols>
    <col min="1" max="1" width="10.140625" style="61" customWidth="1"/>
    <col min="2" max="3" width="5.140625" style="61" customWidth="1"/>
    <col min="4" max="4" width="9.421875" style="61" customWidth="1"/>
    <col min="5" max="5" width="31.421875" style="61" customWidth="1"/>
    <col min="6" max="6" width="11.00390625" style="61" customWidth="1"/>
    <col min="7" max="7" width="8.421875" style="61" customWidth="1"/>
    <col min="8" max="8" width="9.140625" style="61" customWidth="1"/>
    <col min="9" max="9" width="11.00390625" style="61" customWidth="1"/>
    <col min="10" max="10" width="6.00390625" style="61" customWidth="1"/>
    <col min="11" max="11" width="7.00390625" style="61" customWidth="1"/>
    <col min="12" max="12" width="12.7109375" style="402" customWidth="1"/>
    <col min="13" max="13" width="18.7109375" style="61" bestFit="1" customWidth="1"/>
    <col min="14" max="14" width="2.28125" style="61" customWidth="1"/>
    <col min="15" max="52" width="8.7109375" style="61" customWidth="1"/>
    <col min="53" max="16384" width="9.140625" style="61" customWidth="1"/>
  </cols>
  <sheetData>
    <row r="1" spans="1:13" ht="24.75">
      <c r="A1" s="318" t="s">
        <v>304</v>
      </c>
      <c r="B1" s="318" t="s">
        <v>536</v>
      </c>
      <c r="C1" s="318" t="s">
        <v>306</v>
      </c>
      <c r="D1" s="318" t="s">
        <v>537</v>
      </c>
      <c r="E1" s="318" t="s">
        <v>110</v>
      </c>
      <c r="F1" s="318" t="s">
        <v>538</v>
      </c>
      <c r="G1" s="318" t="s">
        <v>539</v>
      </c>
      <c r="H1" s="318" t="s">
        <v>279</v>
      </c>
      <c r="I1" s="318" t="s">
        <v>540</v>
      </c>
      <c r="J1" s="318" t="s">
        <v>541</v>
      </c>
      <c r="K1" s="318" t="s">
        <v>310</v>
      </c>
      <c r="L1" s="320" t="s">
        <v>311</v>
      </c>
      <c r="M1" s="319" t="s">
        <v>516</v>
      </c>
    </row>
    <row r="2" spans="1:13" s="13" customFormat="1" ht="12.75">
      <c r="A2" s="373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401"/>
      <c r="M2" s="374"/>
    </row>
    <row r="3" spans="1:13" ht="12.75">
      <c r="A3" s="315" t="s">
        <v>68</v>
      </c>
      <c r="B3" s="316" t="s">
        <v>542</v>
      </c>
      <c r="C3" s="316" t="s">
        <v>542</v>
      </c>
      <c r="D3" s="316" t="s">
        <v>69</v>
      </c>
      <c r="E3" s="316" t="s">
        <v>543</v>
      </c>
      <c r="F3" s="316" t="s">
        <v>70</v>
      </c>
      <c r="G3" s="316" t="s">
        <v>71</v>
      </c>
      <c r="H3" s="316" t="s">
        <v>282</v>
      </c>
      <c r="I3" s="316" t="s">
        <v>544</v>
      </c>
      <c r="J3" s="316" t="s">
        <v>545</v>
      </c>
      <c r="K3" s="316" t="s">
        <v>316</v>
      </c>
      <c r="L3" s="399">
        <v>362946.9</v>
      </c>
      <c r="M3" s="376" t="s">
        <v>111</v>
      </c>
    </row>
    <row r="4" spans="1:13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400"/>
      <c r="M4" s="379"/>
    </row>
    <row r="5" spans="1:13" ht="26.25">
      <c r="A5" s="375" t="s">
        <v>750</v>
      </c>
      <c r="B5" s="376" t="s">
        <v>542</v>
      </c>
      <c r="C5" s="376" t="s">
        <v>542</v>
      </c>
      <c r="D5" s="376" t="s">
        <v>751</v>
      </c>
      <c r="E5" s="376" t="s">
        <v>543</v>
      </c>
      <c r="F5" s="376" t="s">
        <v>752</v>
      </c>
      <c r="G5" s="376" t="s">
        <v>753</v>
      </c>
      <c r="H5" s="376" t="s">
        <v>282</v>
      </c>
      <c r="I5" s="376" t="s">
        <v>754</v>
      </c>
      <c r="J5" s="376" t="s">
        <v>545</v>
      </c>
      <c r="K5" s="376" t="s">
        <v>316</v>
      </c>
      <c r="L5" s="399">
        <v>378457.19</v>
      </c>
      <c r="M5" s="376" t="s">
        <v>111</v>
      </c>
    </row>
    <row r="7" spans="1:13" ht="26.25">
      <c r="A7" s="375" t="s">
        <v>471</v>
      </c>
      <c r="B7" s="376" t="s">
        <v>542</v>
      </c>
      <c r="C7" s="376" t="s">
        <v>542</v>
      </c>
      <c r="D7" s="376" t="s">
        <v>472</v>
      </c>
      <c r="E7" s="376" t="s">
        <v>543</v>
      </c>
      <c r="F7" s="376" t="s">
        <v>70</v>
      </c>
      <c r="G7" s="376" t="s">
        <v>473</v>
      </c>
      <c r="H7" s="376" t="s">
        <v>282</v>
      </c>
      <c r="I7" s="376" t="s">
        <v>474</v>
      </c>
      <c r="J7" s="376" t="s">
        <v>545</v>
      </c>
      <c r="K7" s="376" t="s">
        <v>316</v>
      </c>
      <c r="L7" s="377">
        <v>366611.47</v>
      </c>
      <c r="M7" s="379" t="s">
        <v>475</v>
      </c>
    </row>
    <row r="9" spans="1:13" ht="26.25">
      <c r="A9" s="375" t="s">
        <v>467</v>
      </c>
      <c r="B9" s="376" t="s">
        <v>542</v>
      </c>
      <c r="C9" s="376" t="s">
        <v>542</v>
      </c>
      <c r="D9" s="376" t="s">
        <v>468</v>
      </c>
      <c r="E9" s="376" t="s">
        <v>543</v>
      </c>
      <c r="F9" s="376" t="s">
        <v>752</v>
      </c>
      <c r="G9" s="376" t="s">
        <v>469</v>
      </c>
      <c r="H9" s="376" t="s">
        <v>282</v>
      </c>
      <c r="I9" s="376" t="s">
        <v>470</v>
      </c>
      <c r="J9" s="376" t="s">
        <v>545</v>
      </c>
      <c r="K9" s="376" t="s">
        <v>316</v>
      </c>
      <c r="L9" s="377">
        <v>380382.73</v>
      </c>
      <c r="M9" s="379" t="s">
        <v>475</v>
      </c>
    </row>
    <row r="11" spans="1:13" ht="26.25">
      <c r="A11" s="61" t="s">
        <v>35</v>
      </c>
      <c r="B11" s="61" t="s">
        <v>542</v>
      </c>
      <c r="C11" s="61" t="s">
        <v>542</v>
      </c>
      <c r="D11" s="61" t="s">
        <v>36</v>
      </c>
      <c r="E11" s="376" t="s">
        <v>543</v>
      </c>
      <c r="F11" s="376" t="s">
        <v>752</v>
      </c>
      <c r="G11" s="4" t="s">
        <v>38</v>
      </c>
      <c r="H11" s="4" t="s">
        <v>282</v>
      </c>
      <c r="I11" s="4" t="s">
        <v>39</v>
      </c>
      <c r="J11" s="4" t="s">
        <v>545</v>
      </c>
      <c r="K11" s="4" t="s">
        <v>316</v>
      </c>
      <c r="L11" s="402">
        <v>253357.54</v>
      </c>
      <c r="M11" s="379" t="s">
        <v>475</v>
      </c>
    </row>
    <row r="13" spans="1:13" ht="12.75">
      <c r="A13" s="429" t="s">
        <v>405</v>
      </c>
      <c r="B13" s="430" t="s">
        <v>542</v>
      </c>
      <c r="C13" s="430" t="s">
        <v>542</v>
      </c>
      <c r="D13" s="430" t="s">
        <v>406</v>
      </c>
      <c r="E13" s="430" t="s">
        <v>543</v>
      </c>
      <c r="F13" s="430" t="s">
        <v>752</v>
      </c>
      <c r="G13" s="433" t="s">
        <v>407</v>
      </c>
      <c r="H13" s="433" t="s">
        <v>282</v>
      </c>
      <c r="I13" s="430" t="s">
        <v>408</v>
      </c>
      <c r="J13" s="430" t="s">
        <v>545</v>
      </c>
      <c r="K13" s="433" t="s">
        <v>316</v>
      </c>
      <c r="L13" s="431">
        <v>471193.07</v>
      </c>
      <c r="M13" s="430" t="s">
        <v>475</v>
      </c>
    </row>
  </sheetData>
  <sheetProtection/>
  <printOptions gridLines="1" horizontalCentered="1" verticalCentered="1"/>
  <pageMargins left="0" right="0" top="1" bottom="0.5" header="1" footer="0"/>
  <pageSetup horizontalDpi="600" verticalDpi="600" orientation="landscape" scale="90" r:id="rId1"/>
  <headerFooter alignWithMargins="0">
    <oddHeader>&amp;CKentucky Air Emission Fee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xSplit="2" ySplit="3" topLeftCell="C13" activePane="bottomRight" state="frozen"/>
      <selection pane="topLeft" activeCell="O58" sqref="O58"/>
      <selection pane="topRight" activeCell="O58" sqref="O58"/>
      <selection pane="bottomLeft" activeCell="O58" sqref="O58"/>
      <selection pane="bottomRight" activeCell="A2" sqref="A2"/>
    </sheetView>
  </sheetViews>
  <sheetFormatPr defaultColWidth="9.140625" defaultRowHeight="12.75"/>
  <cols>
    <col min="1" max="1" width="11.140625" style="0" bestFit="1" customWidth="1"/>
    <col min="2" max="2" width="3.7109375" style="0" customWidth="1"/>
    <col min="3" max="4" width="12.7109375" style="0" customWidth="1"/>
    <col min="5" max="5" width="2.28125" style="0" customWidth="1"/>
    <col min="6" max="6" width="13.7109375" style="0" bestFit="1" customWidth="1"/>
    <col min="7" max="7" width="13.28125" style="0" bestFit="1" customWidth="1"/>
    <col min="8" max="8" width="3.7109375" style="0" customWidth="1"/>
    <col min="9" max="9" width="13.28125" style="0" bestFit="1" customWidth="1"/>
    <col min="10" max="10" width="12.7109375" style="0" customWidth="1"/>
    <col min="11" max="11" width="2.28125" style="0" customWidth="1"/>
    <col min="12" max="12" width="9.00390625" style="3" bestFit="1" customWidth="1"/>
    <col min="13" max="13" width="10.140625" style="3" bestFit="1" customWidth="1"/>
    <col min="14" max="14" width="8.28125" style="3" bestFit="1" customWidth="1"/>
    <col min="15" max="15" width="6.00390625" style="3" bestFit="1" customWidth="1"/>
    <col min="16" max="16" width="8.7109375" style="0" bestFit="1" customWidth="1"/>
    <col min="17" max="17" width="11.00390625" style="3" bestFit="1" customWidth="1"/>
    <col min="18" max="18" width="2.28125" style="0" customWidth="1"/>
    <col min="20" max="20" width="11.7109375" style="0" bestFit="1" customWidth="1"/>
  </cols>
  <sheetData>
    <row r="1" spans="1:17" ht="66">
      <c r="A1" s="156" t="s">
        <v>291</v>
      </c>
      <c r="C1" s="156" t="s">
        <v>420</v>
      </c>
      <c r="D1" s="156" t="s">
        <v>409</v>
      </c>
      <c r="F1" s="156" t="s">
        <v>410</v>
      </c>
      <c r="G1" s="156" t="s">
        <v>411</v>
      </c>
      <c r="I1" s="156" t="s">
        <v>422</v>
      </c>
      <c r="J1" s="156" t="s">
        <v>423</v>
      </c>
      <c r="L1" s="156" t="s">
        <v>277</v>
      </c>
      <c r="M1" s="156" t="s">
        <v>278</v>
      </c>
      <c r="N1" s="156" t="s">
        <v>279</v>
      </c>
      <c r="O1" s="156" t="s">
        <v>283</v>
      </c>
      <c r="P1" s="156" t="s">
        <v>280</v>
      </c>
      <c r="Q1" s="156" t="s">
        <v>281</v>
      </c>
    </row>
    <row r="2" spans="1:10" ht="12.75">
      <c r="A2" s="146"/>
      <c r="C2" s="156"/>
      <c r="D2" s="156"/>
      <c r="F2" s="156"/>
      <c r="G2" s="156" t="s">
        <v>412</v>
      </c>
      <c r="I2" s="156" t="s">
        <v>421</v>
      </c>
      <c r="J2" s="156" t="s">
        <v>424</v>
      </c>
    </row>
    <row r="3" spans="1:17" ht="12.75">
      <c r="A3" s="302">
        <v>-1</v>
      </c>
      <c r="B3" s="145"/>
      <c r="C3" s="301">
        <f>+A3-1</f>
        <v>-2</v>
      </c>
      <c r="D3" s="301">
        <f>+C3-1</f>
        <v>-3</v>
      </c>
      <c r="E3" s="145"/>
      <c r="F3" s="301">
        <f>+D3-1</f>
        <v>-4</v>
      </c>
      <c r="G3" s="301">
        <f>+F3-1</f>
        <v>-5</v>
      </c>
      <c r="I3" s="301">
        <f>+G3-1</f>
        <v>-6</v>
      </c>
      <c r="J3" s="301">
        <f>+I3-1</f>
        <v>-7</v>
      </c>
      <c r="L3" s="301">
        <f>+J3-1</f>
        <v>-8</v>
      </c>
      <c r="M3" s="301">
        <f>+L3-1</f>
        <v>-9</v>
      </c>
      <c r="N3" s="301">
        <f>+M3-1</f>
        <v>-10</v>
      </c>
      <c r="O3" s="301">
        <f>+N3-1</f>
        <v>-11</v>
      </c>
      <c r="P3" s="301">
        <f>+O3-1</f>
        <v>-12</v>
      </c>
      <c r="Q3" s="301">
        <f>+P3-1</f>
        <v>-13</v>
      </c>
    </row>
    <row r="4" spans="1:16" ht="12.75">
      <c r="A4" s="91"/>
      <c r="C4" s="301"/>
      <c r="D4" s="301"/>
      <c r="F4" s="301"/>
      <c r="G4" s="301"/>
      <c r="P4" s="61"/>
    </row>
    <row r="5" spans="1:20" ht="39">
      <c r="A5" s="11" t="s">
        <v>393</v>
      </c>
      <c r="C5" s="281">
        <v>282484.4</v>
      </c>
      <c r="D5" s="62">
        <v>867000</v>
      </c>
      <c r="E5" s="125" t="s">
        <v>392</v>
      </c>
      <c r="F5" s="62">
        <f>867000+2033000</f>
        <v>2900000</v>
      </c>
      <c r="G5" s="311">
        <v>0.29885</v>
      </c>
      <c r="H5" s="249" t="s">
        <v>533</v>
      </c>
      <c r="I5" s="84">
        <f>ROUND(C5*G5,0)</f>
        <v>84420</v>
      </c>
      <c r="J5" s="463">
        <f>ROUND(I5/12,0)</f>
        <v>7035</v>
      </c>
      <c r="L5" s="125" t="s">
        <v>46</v>
      </c>
      <c r="M5" s="125" t="s">
        <v>47</v>
      </c>
      <c r="N5" s="125" t="s">
        <v>477</v>
      </c>
      <c r="O5" s="125" t="s">
        <v>287</v>
      </c>
      <c r="P5" s="61" t="s">
        <v>288</v>
      </c>
      <c r="Q5" s="166" t="s">
        <v>594</v>
      </c>
      <c r="R5" s="285"/>
      <c r="S5" s="285"/>
      <c r="T5" s="281"/>
    </row>
    <row r="6" spans="1:20" ht="12.75">
      <c r="A6" s="11"/>
      <c r="C6" s="281"/>
      <c r="E6" s="285"/>
      <c r="F6" s="62"/>
      <c r="I6" s="84"/>
      <c r="J6" s="84"/>
      <c r="L6" s="125"/>
      <c r="M6" s="125"/>
      <c r="N6" s="125"/>
      <c r="O6" s="125"/>
      <c r="P6" s="61"/>
      <c r="Q6" s="125"/>
      <c r="R6" s="285"/>
      <c r="S6" s="285"/>
      <c r="T6" s="285"/>
    </row>
    <row r="7" spans="1:20" ht="12.75">
      <c r="A7" s="11" t="s">
        <v>394</v>
      </c>
      <c r="C7" s="281">
        <v>323528.16</v>
      </c>
      <c r="D7" s="62">
        <v>610000</v>
      </c>
      <c r="E7" s="125" t="s">
        <v>392</v>
      </c>
      <c r="F7" s="91">
        <v>1870000</v>
      </c>
      <c r="G7" s="311">
        <v>0.32619</v>
      </c>
      <c r="H7" s="249" t="s">
        <v>534</v>
      </c>
      <c r="I7" s="84">
        <f>ROUND(C7*G7,0)</f>
        <v>105532</v>
      </c>
      <c r="J7" s="463">
        <f>ROUND(I7/12,0)</f>
        <v>8794</v>
      </c>
      <c r="L7" s="1" t="s">
        <v>478</v>
      </c>
      <c r="M7" s="125"/>
      <c r="N7" s="125"/>
      <c r="O7" s="125"/>
      <c r="P7" s="61"/>
      <c r="Q7" s="125"/>
      <c r="R7" s="285"/>
      <c r="S7" s="285"/>
      <c r="T7" s="281"/>
    </row>
    <row r="8" spans="1:20" ht="12.75">
      <c r="A8" s="11"/>
      <c r="C8" s="281"/>
      <c r="D8" s="62"/>
      <c r="E8" s="125"/>
      <c r="F8" s="91"/>
      <c r="G8" s="311"/>
      <c r="I8" s="84"/>
      <c r="J8" s="84"/>
      <c r="L8" s="1" t="s">
        <v>479</v>
      </c>
      <c r="M8" s="125"/>
      <c r="N8" s="125"/>
      <c r="O8" s="125"/>
      <c r="P8" s="61"/>
      <c r="Q8" s="125"/>
      <c r="R8" s="285"/>
      <c r="S8" s="285"/>
      <c r="T8" s="285"/>
    </row>
    <row r="9" spans="1:20" ht="12.75">
      <c r="A9" s="11"/>
      <c r="C9" s="281"/>
      <c r="D9" s="62"/>
      <c r="E9" s="125"/>
      <c r="F9" s="91"/>
      <c r="G9" s="311"/>
      <c r="I9" s="84"/>
      <c r="J9" s="84"/>
      <c r="L9" s="1" t="s">
        <v>480</v>
      </c>
      <c r="M9" s="125"/>
      <c r="N9" s="125"/>
      <c r="O9" s="125"/>
      <c r="P9" s="61"/>
      <c r="Q9" s="125"/>
      <c r="R9" s="285"/>
      <c r="S9" s="285"/>
      <c r="T9" s="285"/>
    </row>
    <row r="10" spans="1:20" ht="52.5">
      <c r="A10" s="128" t="s">
        <v>565</v>
      </c>
      <c r="C10" s="281"/>
      <c r="D10" s="62"/>
      <c r="E10" s="125"/>
      <c r="F10" s="91"/>
      <c r="G10" s="311"/>
      <c r="I10" s="84"/>
      <c r="J10" s="84"/>
      <c r="L10" s="1" t="s">
        <v>48</v>
      </c>
      <c r="M10" s="255" t="s">
        <v>49</v>
      </c>
      <c r="N10" s="125" t="s">
        <v>282</v>
      </c>
      <c r="O10" s="125" t="s">
        <v>318</v>
      </c>
      <c r="P10" s="61" t="s">
        <v>289</v>
      </c>
      <c r="Q10" s="372" t="s">
        <v>385</v>
      </c>
      <c r="R10" s="285"/>
      <c r="S10" s="285"/>
      <c r="T10" s="285"/>
    </row>
    <row r="11" spans="3:20" ht="12.75">
      <c r="C11" s="281"/>
      <c r="E11" s="285"/>
      <c r="F11" s="62"/>
      <c r="I11" s="84"/>
      <c r="J11" s="84"/>
      <c r="L11" s="125"/>
      <c r="M11" s="125"/>
      <c r="N11" s="125"/>
      <c r="O11" s="125"/>
      <c r="P11" s="61"/>
      <c r="Q11" s="125"/>
      <c r="R11" s="285"/>
      <c r="S11" s="285"/>
      <c r="T11" s="285"/>
    </row>
    <row r="12" spans="1:20" ht="52.5">
      <c r="A12" t="s">
        <v>395</v>
      </c>
      <c r="C12" s="281">
        <v>422286.31</v>
      </c>
      <c r="D12" s="62">
        <v>2600000</v>
      </c>
      <c r="E12" s="125" t="s">
        <v>392</v>
      </c>
      <c r="F12" s="62">
        <v>2600000</v>
      </c>
      <c r="G12" s="152">
        <f>ROUND(D12/F12,4)</f>
        <v>1</v>
      </c>
      <c r="I12" s="84">
        <f>ROUND(C12*G12,0)</f>
        <v>422286</v>
      </c>
      <c r="J12" s="463">
        <f>ROUND(I12/12,0)</f>
        <v>35191</v>
      </c>
      <c r="L12" s="125" t="s">
        <v>50</v>
      </c>
      <c r="M12" s="255" t="s">
        <v>51</v>
      </c>
      <c r="N12" s="125" t="s">
        <v>52</v>
      </c>
      <c r="O12" s="125" t="s">
        <v>285</v>
      </c>
      <c r="P12" s="61" t="s">
        <v>289</v>
      </c>
      <c r="Q12" s="372" t="s">
        <v>505</v>
      </c>
      <c r="R12" s="285"/>
      <c r="S12" s="285"/>
      <c r="T12" s="285"/>
    </row>
    <row r="13" spans="3:20" ht="12.75">
      <c r="C13" s="281"/>
      <c r="E13" s="285"/>
      <c r="F13" s="62"/>
      <c r="I13" s="84"/>
      <c r="J13" s="84"/>
      <c r="L13" s="125"/>
      <c r="M13" s="125"/>
      <c r="N13" s="125"/>
      <c r="O13" s="125"/>
      <c r="P13" s="61"/>
      <c r="Q13" s="125"/>
      <c r="R13" s="285"/>
      <c r="S13" s="285"/>
      <c r="T13" s="285"/>
    </row>
    <row r="14" spans="1:20" ht="39">
      <c r="A14" t="s">
        <v>396</v>
      </c>
      <c r="C14" s="281">
        <v>257688.37</v>
      </c>
      <c r="D14" s="62">
        <v>630000</v>
      </c>
      <c r="E14" s="125" t="s">
        <v>392</v>
      </c>
      <c r="F14" s="62">
        <v>630000</v>
      </c>
      <c r="G14" s="152">
        <f>ROUND(D14/F14,4)</f>
        <v>1</v>
      </c>
      <c r="I14" s="84">
        <f>ROUND(C14*G14,0)</f>
        <v>257688</v>
      </c>
      <c r="J14" s="463">
        <f>ROUND(I14/12,0)</f>
        <v>21474</v>
      </c>
      <c r="L14" s="125" t="s">
        <v>58</v>
      </c>
      <c r="M14" s="125" t="s">
        <v>57</v>
      </c>
      <c r="N14" s="125" t="s">
        <v>282</v>
      </c>
      <c r="O14" s="125" t="s">
        <v>290</v>
      </c>
      <c r="P14" s="61" t="s">
        <v>288</v>
      </c>
      <c r="Q14" s="125" t="s">
        <v>286</v>
      </c>
      <c r="R14" s="285"/>
      <c r="S14" s="285"/>
      <c r="T14" s="285"/>
    </row>
    <row r="15" spans="3:20" ht="12.75">
      <c r="C15" s="281"/>
      <c r="E15" s="285"/>
      <c r="F15" s="62"/>
      <c r="I15" s="84"/>
      <c r="J15" s="84"/>
      <c r="L15" s="125"/>
      <c r="M15" s="125"/>
      <c r="N15" s="125"/>
      <c r="O15" s="125"/>
      <c r="P15" s="61"/>
      <c r="Q15" s="125"/>
      <c r="R15" s="285"/>
      <c r="S15" s="285"/>
      <c r="T15" s="285"/>
    </row>
    <row r="16" spans="1:20" ht="39">
      <c r="A16" t="s">
        <v>397</v>
      </c>
      <c r="C16" s="281">
        <v>233914.22</v>
      </c>
      <c r="D16" s="62">
        <v>1600000</v>
      </c>
      <c r="E16" s="125" t="s">
        <v>392</v>
      </c>
      <c r="F16" s="62">
        <v>1600000</v>
      </c>
      <c r="G16" s="152">
        <f>ROUND(D16/F16,4)</f>
        <v>1</v>
      </c>
      <c r="I16" s="84">
        <f>ROUND(C16*G16,0)</f>
        <v>233914</v>
      </c>
      <c r="J16" s="463">
        <f>ROUND(I16/12,0)</f>
        <v>19493</v>
      </c>
      <c r="L16" s="125" t="s">
        <v>59</v>
      </c>
      <c r="M16" s="125" t="s">
        <v>57</v>
      </c>
      <c r="N16" s="394" t="s">
        <v>60</v>
      </c>
      <c r="O16" s="388" t="s">
        <v>506</v>
      </c>
      <c r="P16" s="61" t="s">
        <v>288</v>
      </c>
      <c r="Q16" s="394" t="s">
        <v>476</v>
      </c>
      <c r="R16" s="285"/>
      <c r="S16" s="285"/>
      <c r="T16" s="285"/>
    </row>
    <row r="17" spans="3:20" ht="12.75">
      <c r="C17" s="281"/>
      <c r="E17" s="285"/>
      <c r="F17" s="62"/>
      <c r="I17" s="84"/>
      <c r="J17" s="84"/>
      <c r="L17" s="125"/>
      <c r="M17" s="125"/>
      <c r="N17" s="125"/>
      <c r="O17" s="125"/>
      <c r="P17" s="61"/>
      <c r="Q17" s="125"/>
      <c r="R17" s="285"/>
      <c r="S17" s="285"/>
      <c r="T17" s="285"/>
    </row>
    <row r="18" spans="1:20" ht="52.5">
      <c r="A18" t="s">
        <v>398</v>
      </c>
      <c r="C18" s="281">
        <v>408735.38</v>
      </c>
      <c r="D18" s="62">
        <v>1425000</v>
      </c>
      <c r="E18" s="125" t="s">
        <v>392</v>
      </c>
      <c r="F18" s="62">
        <v>1425000</v>
      </c>
      <c r="G18" s="152">
        <f>ROUND(D18/F18,4)</f>
        <v>1</v>
      </c>
      <c r="I18" s="84">
        <f>ROUND(C18*G18,0)</f>
        <v>408735</v>
      </c>
      <c r="J18" s="463">
        <f>ROUND(I18/12,0)</f>
        <v>34061</v>
      </c>
      <c r="L18" s="125" t="s">
        <v>53</v>
      </c>
      <c r="M18" s="125" t="s">
        <v>54</v>
      </c>
      <c r="N18" s="125" t="s">
        <v>282</v>
      </c>
      <c r="O18" s="125" t="s">
        <v>292</v>
      </c>
      <c r="P18" s="61" t="s">
        <v>289</v>
      </c>
      <c r="Q18" s="394" t="s">
        <v>55</v>
      </c>
      <c r="R18" s="285"/>
      <c r="S18" s="285"/>
      <c r="T18" s="285"/>
    </row>
    <row r="19" spans="3:20" ht="12.75">
      <c r="C19" s="281"/>
      <c r="E19" s="285"/>
      <c r="F19" s="62"/>
      <c r="I19" s="84"/>
      <c r="J19" s="84"/>
      <c r="L19" s="125"/>
      <c r="M19" s="125"/>
      <c r="N19" s="125"/>
      <c r="O19" s="125"/>
      <c r="P19" s="61"/>
      <c r="Q19" s="125"/>
      <c r="R19" s="285"/>
      <c r="S19" s="285"/>
      <c r="T19" s="285"/>
    </row>
    <row r="20" spans="1:20" ht="39">
      <c r="A20" t="s">
        <v>399</v>
      </c>
      <c r="C20" s="281">
        <v>216149.95</v>
      </c>
      <c r="D20" s="62">
        <v>750000</v>
      </c>
      <c r="E20" s="125" t="s">
        <v>392</v>
      </c>
      <c r="F20" s="62">
        <v>1050000</v>
      </c>
      <c r="G20" s="314">
        <f>ROUND(D20/F20,4)</f>
        <v>0.7143</v>
      </c>
      <c r="I20" s="84">
        <f>ROUND(C20*G20,0)</f>
        <v>154396</v>
      </c>
      <c r="J20" s="463">
        <f>ROUND(I20/12,0)</f>
        <v>12866</v>
      </c>
      <c r="L20" s="125" t="s">
        <v>56</v>
      </c>
      <c r="M20" s="125" t="s">
        <v>57</v>
      </c>
      <c r="N20" s="125" t="s">
        <v>282</v>
      </c>
      <c r="O20" s="125" t="s">
        <v>284</v>
      </c>
      <c r="P20" s="61" t="s">
        <v>288</v>
      </c>
      <c r="Q20" s="394" t="s">
        <v>476</v>
      </c>
      <c r="R20" s="285"/>
      <c r="S20" s="285"/>
      <c r="T20" s="285"/>
    </row>
    <row r="21" spans="5:20" ht="12.75">
      <c r="E21" s="285"/>
      <c r="L21" s="125"/>
      <c r="M21" s="125"/>
      <c r="N21" s="125"/>
      <c r="O21" s="125"/>
      <c r="P21" s="61"/>
      <c r="Q21" s="125"/>
      <c r="R21" s="285"/>
      <c r="S21" s="285"/>
      <c r="T21" s="285"/>
    </row>
    <row r="22" spans="5:20" ht="12.75">
      <c r="E22" s="285"/>
      <c r="L22" s="125"/>
      <c r="M22" s="125"/>
      <c r="N22" s="125"/>
      <c r="O22" s="125"/>
      <c r="P22" s="61"/>
      <c r="Q22" s="125"/>
      <c r="R22" s="285"/>
      <c r="S22" s="285"/>
      <c r="T22" s="285"/>
    </row>
    <row r="23" spans="2:20" ht="12.75">
      <c r="B23" s="249" t="s">
        <v>533</v>
      </c>
      <c r="C23" t="s">
        <v>61</v>
      </c>
      <c r="E23" s="285"/>
      <c r="L23" s="125"/>
      <c r="M23" s="125"/>
      <c r="N23" s="125"/>
      <c r="O23" s="125"/>
      <c r="P23" s="61"/>
      <c r="Q23" s="125"/>
      <c r="R23" s="285"/>
      <c r="S23" s="285"/>
      <c r="T23" s="285"/>
    </row>
    <row r="24" spans="5:20" ht="12.75">
      <c r="E24" s="285"/>
      <c r="L24" s="125"/>
      <c r="M24" s="125"/>
      <c r="N24" s="125"/>
      <c r="O24" s="125"/>
      <c r="P24" s="61"/>
      <c r="Q24" s="125"/>
      <c r="R24" s="285"/>
      <c r="S24" s="285"/>
      <c r="T24" s="285"/>
    </row>
    <row r="25" spans="2:20" ht="12.75">
      <c r="B25" s="146" t="s">
        <v>534</v>
      </c>
      <c r="C25" t="s">
        <v>73</v>
      </c>
      <c r="E25" s="285"/>
      <c r="L25" s="125"/>
      <c r="M25" s="125"/>
      <c r="N25" s="125"/>
      <c r="O25" s="125"/>
      <c r="P25" s="61"/>
      <c r="Q25" s="125"/>
      <c r="R25" s="285"/>
      <c r="S25" s="285"/>
      <c r="T25" s="285"/>
    </row>
    <row r="26" spans="3:20" ht="12.75">
      <c r="C26" s="3" t="s">
        <v>74</v>
      </c>
      <c r="D26" s="3" t="s">
        <v>683</v>
      </c>
      <c r="E26" s="285"/>
      <c r="F26" s="62">
        <v>600000</v>
      </c>
      <c r="L26" s="125"/>
      <c r="M26" s="125"/>
      <c r="N26" s="125"/>
      <c r="O26" s="125"/>
      <c r="P26" s="61"/>
      <c r="Q26" s="125"/>
      <c r="R26" s="285"/>
      <c r="S26" s="285"/>
      <c r="T26" s="285"/>
    </row>
    <row r="27" spans="3:20" ht="12.75">
      <c r="C27" s="3" t="s">
        <v>75</v>
      </c>
      <c r="D27" s="3" t="s">
        <v>684</v>
      </c>
      <c r="E27" s="285"/>
      <c r="F27" s="62">
        <v>600000</v>
      </c>
      <c r="L27" s="125"/>
      <c r="M27" s="125"/>
      <c r="N27" s="125"/>
      <c r="O27" s="125"/>
      <c r="P27" s="61"/>
      <c r="Q27" s="125"/>
      <c r="R27" s="285"/>
      <c r="S27" s="285"/>
      <c r="T27" s="285"/>
    </row>
    <row r="28" spans="3:20" ht="12.75">
      <c r="C28" s="3" t="s">
        <v>75</v>
      </c>
      <c r="D28" s="3" t="s">
        <v>76</v>
      </c>
      <c r="E28" s="285"/>
      <c r="F28" s="62">
        <v>670000</v>
      </c>
      <c r="L28" s="125"/>
      <c r="M28" s="125"/>
      <c r="N28" s="125"/>
      <c r="O28" s="125"/>
      <c r="P28" s="61"/>
      <c r="Q28" s="125"/>
      <c r="R28" s="285"/>
      <c r="S28" s="285"/>
      <c r="T28" s="285"/>
    </row>
    <row r="29" spans="3:20" ht="12.75">
      <c r="C29" s="146" t="s">
        <v>672</v>
      </c>
      <c r="E29" s="285"/>
      <c r="F29" s="148">
        <f>SUM(F26:F28)</f>
        <v>1870000</v>
      </c>
      <c r="L29" s="125"/>
      <c r="M29" s="125"/>
      <c r="N29" s="125"/>
      <c r="O29" s="125"/>
      <c r="P29" s="61"/>
      <c r="Q29" s="125"/>
      <c r="R29" s="285"/>
      <c r="S29" s="285"/>
      <c r="T29" s="285"/>
    </row>
    <row r="30" spans="5:20" ht="12.75">
      <c r="E30" s="285"/>
      <c r="L30" s="125"/>
      <c r="M30" s="125"/>
      <c r="N30" s="125"/>
      <c r="O30" s="125"/>
      <c r="P30" s="61"/>
      <c r="Q30" s="125"/>
      <c r="R30" s="285"/>
      <c r="S30" s="285"/>
      <c r="T30" s="285"/>
    </row>
    <row r="31" spans="5:20" ht="12.75">
      <c r="E31" s="285"/>
      <c r="L31" s="125"/>
      <c r="M31" s="125"/>
      <c r="N31" s="125"/>
      <c r="O31" s="125"/>
      <c r="P31" s="61"/>
      <c r="Q31" s="125"/>
      <c r="R31" s="285"/>
      <c r="S31" s="285"/>
      <c r="T31" s="285"/>
    </row>
    <row r="32" spans="12:20" ht="12.75">
      <c r="L32" s="125"/>
      <c r="M32" s="125"/>
      <c r="N32" s="125"/>
      <c r="O32" s="125"/>
      <c r="P32" s="61"/>
      <c r="Q32" s="125"/>
      <c r="R32" s="285"/>
      <c r="S32" s="285"/>
      <c r="T32" s="285"/>
    </row>
    <row r="33" ht="12.75">
      <c r="P33" s="61"/>
    </row>
  </sheetData>
  <sheetProtection/>
  <printOptions gridLines="1" horizontalCentered="1" verticalCentered="1"/>
  <pageMargins left="0" right="0" top="1" bottom="0" header="0.75" footer="0"/>
  <pageSetup horizontalDpi="600" verticalDpi="600" orientation="landscape" scale="8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ySplit="1" topLeftCell="A45" activePane="bottomLeft" state="frozen"/>
      <selection pane="topLeft" activeCell="O58" sqref="O58"/>
      <selection pane="bottomLeft" activeCell="O58" sqref="O58"/>
    </sheetView>
  </sheetViews>
  <sheetFormatPr defaultColWidth="9.140625" defaultRowHeight="12.75"/>
  <cols>
    <col min="1" max="1" width="10.140625" style="125" bestFit="1" customWidth="1"/>
    <col min="2" max="3" width="5.140625" style="125" customWidth="1"/>
    <col min="4" max="4" width="9.421875" style="125" customWidth="1"/>
    <col min="5" max="5" width="14.7109375" style="285" customWidth="1"/>
    <col min="6" max="6" width="17.00390625" style="285" bestFit="1" customWidth="1"/>
    <col min="7" max="7" width="11.00390625" style="125" customWidth="1"/>
    <col min="8" max="8" width="9.8515625" style="125" bestFit="1" customWidth="1"/>
    <col min="9" max="9" width="6.00390625" style="125" bestFit="1" customWidth="1"/>
    <col min="10" max="10" width="16.00390625" style="125" bestFit="1" customWidth="1"/>
    <col min="11" max="11" width="7.00390625" style="125" customWidth="1"/>
    <col min="12" max="12" width="14.8515625" style="158" bestFit="1" customWidth="1"/>
    <col min="13" max="13" width="2.28125" style="285" customWidth="1"/>
    <col min="14" max="66" width="8.7109375" style="285" customWidth="1"/>
    <col min="67" max="16384" width="9.140625" style="285" customWidth="1"/>
  </cols>
  <sheetData>
    <row r="1" spans="1:12" ht="24.75">
      <c r="A1" s="319" t="s">
        <v>98</v>
      </c>
      <c r="B1" s="318" t="s">
        <v>305</v>
      </c>
      <c r="C1" s="318" t="s">
        <v>306</v>
      </c>
      <c r="D1" s="318" t="s">
        <v>307</v>
      </c>
      <c r="E1" s="318" t="s">
        <v>308</v>
      </c>
      <c r="F1" s="318" t="s">
        <v>309</v>
      </c>
      <c r="G1" s="319" t="s">
        <v>129</v>
      </c>
      <c r="H1" s="319" t="s">
        <v>279</v>
      </c>
      <c r="I1" s="319" t="s">
        <v>130</v>
      </c>
      <c r="J1" s="319" t="s">
        <v>131</v>
      </c>
      <c r="K1" s="318" t="s">
        <v>310</v>
      </c>
      <c r="L1" s="320" t="s">
        <v>311</v>
      </c>
    </row>
    <row r="2" spans="1:12" s="178" customFormat="1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20"/>
    </row>
    <row r="3" spans="1:12" ht="26.25">
      <c r="A3" s="384" t="s">
        <v>132</v>
      </c>
      <c r="B3" s="316" t="s">
        <v>312</v>
      </c>
      <c r="C3" s="316" t="s">
        <v>312</v>
      </c>
      <c r="D3" s="316" t="s">
        <v>133</v>
      </c>
      <c r="E3" s="379" t="s">
        <v>332</v>
      </c>
      <c r="F3" s="379" t="s">
        <v>357</v>
      </c>
      <c r="G3" s="316" t="s">
        <v>134</v>
      </c>
      <c r="H3" s="316" t="s">
        <v>282</v>
      </c>
      <c r="I3" s="316" t="s">
        <v>315</v>
      </c>
      <c r="J3" s="383" t="s">
        <v>358</v>
      </c>
      <c r="K3" s="316" t="s">
        <v>316</v>
      </c>
      <c r="L3" s="317">
        <v>150000</v>
      </c>
    </row>
    <row r="4" spans="1:12" ht="12.75">
      <c r="A4" s="315"/>
      <c r="B4" s="316"/>
      <c r="C4" s="316"/>
      <c r="D4" s="316"/>
      <c r="E4" s="379"/>
      <c r="F4" s="379"/>
      <c r="G4" s="316"/>
      <c r="H4" s="316"/>
      <c r="I4" s="316"/>
      <c r="J4" s="376"/>
      <c r="K4" s="316"/>
      <c r="L4" s="317"/>
    </row>
    <row r="5" spans="1:12" ht="24.75">
      <c r="A5" s="315"/>
      <c r="B5" s="316"/>
      <c r="C5" s="316"/>
      <c r="D5" s="316"/>
      <c r="E5" s="379"/>
      <c r="F5" s="379"/>
      <c r="G5" s="316"/>
      <c r="H5" s="316"/>
      <c r="I5" s="316"/>
      <c r="J5" s="346" t="s">
        <v>135</v>
      </c>
      <c r="K5" s="316"/>
      <c r="L5" s="347">
        <f>SUM(L3:L4)</f>
        <v>150000</v>
      </c>
    </row>
    <row r="6" spans="1:12" ht="12.75">
      <c r="A6" s="315"/>
      <c r="B6" s="316"/>
      <c r="C6" s="316"/>
      <c r="D6" s="316"/>
      <c r="E6" s="379"/>
      <c r="F6" s="379"/>
      <c r="G6" s="316"/>
      <c r="H6" s="316"/>
      <c r="I6" s="316"/>
      <c r="J6" s="376"/>
      <c r="K6" s="316"/>
      <c r="L6" s="317"/>
    </row>
    <row r="7" spans="1:12" ht="26.25">
      <c r="A7" s="384" t="s">
        <v>136</v>
      </c>
      <c r="B7" s="316" t="s">
        <v>312</v>
      </c>
      <c r="C7" s="316" t="s">
        <v>312</v>
      </c>
      <c r="D7" s="316" t="s">
        <v>137</v>
      </c>
      <c r="E7" s="379" t="s">
        <v>355</v>
      </c>
      <c r="F7" s="383" t="s">
        <v>94</v>
      </c>
      <c r="G7" s="316" t="s">
        <v>314</v>
      </c>
      <c r="H7" s="316" t="s">
        <v>282</v>
      </c>
      <c r="I7" s="316" t="s">
        <v>317</v>
      </c>
      <c r="J7" s="379" t="s">
        <v>138</v>
      </c>
      <c r="K7" s="316" t="s">
        <v>316</v>
      </c>
      <c r="L7" s="317">
        <v>150000</v>
      </c>
    </row>
    <row r="8" spans="5:10" ht="12.75">
      <c r="E8" s="61"/>
      <c r="F8" s="61"/>
      <c r="J8" s="4"/>
    </row>
    <row r="9" spans="5:12" ht="24.75">
      <c r="E9" s="61"/>
      <c r="F9" s="61"/>
      <c r="J9" s="346" t="s">
        <v>138</v>
      </c>
      <c r="L9" s="348">
        <f>SUM(L7:L8)</f>
        <v>150000</v>
      </c>
    </row>
    <row r="10" spans="5:12" ht="12.75">
      <c r="E10" s="61"/>
      <c r="F10" s="61"/>
      <c r="J10" s="346"/>
      <c r="L10" s="348"/>
    </row>
    <row r="11" spans="1:12" ht="26.25">
      <c r="A11" s="385" t="s">
        <v>95</v>
      </c>
      <c r="B11" s="376" t="s">
        <v>312</v>
      </c>
      <c r="C11" s="376" t="s">
        <v>312</v>
      </c>
      <c r="D11" s="376" t="s">
        <v>96</v>
      </c>
      <c r="E11" s="379" t="s">
        <v>97</v>
      </c>
      <c r="F11" s="383" t="s">
        <v>94</v>
      </c>
      <c r="G11" s="376" t="s">
        <v>314</v>
      </c>
      <c r="H11" s="376" t="s">
        <v>282</v>
      </c>
      <c r="I11" s="376" t="s">
        <v>315</v>
      </c>
      <c r="J11" s="379" t="s">
        <v>135</v>
      </c>
      <c r="K11" s="376" t="s">
        <v>316</v>
      </c>
      <c r="L11" s="377">
        <v>187500</v>
      </c>
    </row>
    <row r="12" spans="5:10" ht="12.75">
      <c r="E12" s="61"/>
      <c r="F12" s="61"/>
      <c r="J12" s="4"/>
    </row>
    <row r="13" spans="5:12" ht="24.75">
      <c r="E13" s="61"/>
      <c r="F13" s="61"/>
      <c r="J13" s="387" t="s">
        <v>135</v>
      </c>
      <c r="L13" s="159">
        <f>SUM(L11:L12)</f>
        <v>187500</v>
      </c>
    </row>
    <row r="14" spans="5:10" ht="12.75">
      <c r="E14" s="61"/>
      <c r="F14" s="61"/>
      <c r="J14" s="4"/>
    </row>
    <row r="15" spans="1:12" ht="26.25">
      <c r="A15" s="385" t="s">
        <v>92</v>
      </c>
      <c r="B15" s="376" t="s">
        <v>312</v>
      </c>
      <c r="C15" s="376" t="s">
        <v>312</v>
      </c>
      <c r="D15" s="376" t="s">
        <v>93</v>
      </c>
      <c r="E15" s="379" t="s">
        <v>356</v>
      </c>
      <c r="F15" s="383" t="s">
        <v>94</v>
      </c>
      <c r="G15" s="376" t="s">
        <v>314</v>
      </c>
      <c r="H15" s="376" t="s">
        <v>282</v>
      </c>
      <c r="I15" s="376" t="s">
        <v>317</v>
      </c>
      <c r="J15" s="379" t="s">
        <v>138</v>
      </c>
      <c r="K15" s="376" t="s">
        <v>316</v>
      </c>
      <c r="L15" s="377">
        <v>187500</v>
      </c>
    </row>
    <row r="16" spans="1:12" ht="12.75">
      <c r="A16" s="375"/>
      <c r="B16" s="376"/>
      <c r="C16" s="376"/>
      <c r="D16" s="376"/>
      <c r="E16" s="379"/>
      <c r="F16" s="376"/>
      <c r="G16" s="376"/>
      <c r="H16" s="376"/>
      <c r="I16" s="376"/>
      <c r="J16" s="379"/>
      <c r="K16" s="376"/>
      <c r="L16" s="377"/>
    </row>
    <row r="17" spans="1:12" ht="24.75">
      <c r="A17" s="375"/>
      <c r="B17" s="376"/>
      <c r="C17" s="376"/>
      <c r="D17" s="376"/>
      <c r="E17" s="379"/>
      <c r="F17" s="376"/>
      <c r="G17" s="376"/>
      <c r="H17" s="376"/>
      <c r="I17" s="376"/>
      <c r="J17" s="387" t="s">
        <v>138</v>
      </c>
      <c r="K17" s="376"/>
      <c r="L17" s="386">
        <f>SUM(L15:L16)</f>
        <v>187500</v>
      </c>
    </row>
    <row r="18" spans="1:12" ht="12.75">
      <c r="A18" s="375"/>
      <c r="B18" s="376"/>
      <c r="C18" s="376"/>
      <c r="D18" s="376"/>
      <c r="E18" s="379"/>
      <c r="F18" s="376"/>
      <c r="G18" s="376"/>
      <c r="H18" s="376"/>
      <c r="I18" s="376"/>
      <c r="J18" s="379"/>
      <c r="K18" s="376"/>
      <c r="L18" s="377"/>
    </row>
    <row r="19" spans="1:12" ht="26.25">
      <c r="A19" s="392" t="s">
        <v>352</v>
      </c>
      <c r="B19" s="376" t="s">
        <v>312</v>
      </c>
      <c r="C19" s="376" t="s">
        <v>312</v>
      </c>
      <c r="D19" s="376" t="s">
        <v>353</v>
      </c>
      <c r="E19" s="379" t="s">
        <v>354</v>
      </c>
      <c r="F19" s="379" t="s">
        <v>351</v>
      </c>
      <c r="G19" s="379" t="s">
        <v>314</v>
      </c>
      <c r="H19" s="379" t="s">
        <v>282</v>
      </c>
      <c r="I19" s="379" t="s">
        <v>315</v>
      </c>
      <c r="J19" s="383" t="s">
        <v>358</v>
      </c>
      <c r="K19" s="379" t="s">
        <v>316</v>
      </c>
      <c r="L19" s="377">
        <v>187500</v>
      </c>
    </row>
    <row r="20" spans="5:10" ht="12.75">
      <c r="E20" s="61"/>
      <c r="F20" s="61"/>
      <c r="J20" s="4"/>
    </row>
    <row r="21" spans="5:12" ht="24.75">
      <c r="E21" s="61"/>
      <c r="F21" s="61"/>
      <c r="J21" s="346" t="s">
        <v>135</v>
      </c>
      <c r="L21" s="159">
        <f>SUM(L19:L20)</f>
        <v>187500</v>
      </c>
    </row>
    <row r="22" spans="1:12" ht="26.25">
      <c r="A22" s="392" t="s">
        <v>349</v>
      </c>
      <c r="B22" s="376" t="s">
        <v>312</v>
      </c>
      <c r="C22" s="376" t="s">
        <v>312</v>
      </c>
      <c r="D22" s="376" t="s">
        <v>350</v>
      </c>
      <c r="E22" s="379" t="s">
        <v>356</v>
      </c>
      <c r="F22" s="379" t="s">
        <v>351</v>
      </c>
      <c r="G22" s="379" t="s">
        <v>314</v>
      </c>
      <c r="H22" s="379" t="s">
        <v>282</v>
      </c>
      <c r="I22" s="379" t="s">
        <v>317</v>
      </c>
      <c r="J22" s="379" t="s">
        <v>138</v>
      </c>
      <c r="K22" s="379" t="s">
        <v>316</v>
      </c>
      <c r="L22" s="377">
        <v>187500</v>
      </c>
    </row>
    <row r="23" spans="6:10" ht="12.75">
      <c r="F23" s="61"/>
      <c r="J23" s="4"/>
    </row>
    <row r="24" spans="6:12" ht="24.75">
      <c r="F24" s="61"/>
      <c r="J24" s="346" t="s">
        <v>138</v>
      </c>
      <c r="L24" s="159">
        <f>SUM(L22:L23)</f>
        <v>187500</v>
      </c>
    </row>
    <row r="25" spans="6:12" ht="12.75">
      <c r="F25" s="61"/>
      <c r="J25" s="346"/>
      <c r="L25" s="159"/>
    </row>
    <row r="26" spans="1:12" ht="26.25">
      <c r="A26" s="405" t="s">
        <v>722</v>
      </c>
      <c r="B26" s="376" t="s">
        <v>312</v>
      </c>
      <c r="C26" s="376" t="s">
        <v>312</v>
      </c>
      <c r="D26" s="376" t="s">
        <v>725</v>
      </c>
      <c r="E26" s="376" t="s">
        <v>726</v>
      </c>
      <c r="F26" s="379" t="s">
        <v>351</v>
      </c>
      <c r="G26" s="376" t="s">
        <v>314</v>
      </c>
      <c r="H26" s="376" t="s">
        <v>282</v>
      </c>
      <c r="I26" s="376" t="s">
        <v>315</v>
      </c>
      <c r="J26" s="383" t="s">
        <v>358</v>
      </c>
      <c r="K26" s="376" t="s">
        <v>316</v>
      </c>
      <c r="L26" s="377">
        <v>187500</v>
      </c>
    </row>
    <row r="27" spans="6:12" ht="12.75">
      <c r="F27" s="61"/>
      <c r="J27" s="346"/>
      <c r="L27" s="159"/>
    </row>
    <row r="28" spans="6:12" ht="24.75">
      <c r="F28" s="61"/>
      <c r="J28" s="387" t="s">
        <v>135</v>
      </c>
      <c r="L28" s="159">
        <f>SUM(L26:L27)</f>
        <v>187500</v>
      </c>
    </row>
    <row r="29" spans="6:12" ht="12.75">
      <c r="F29" s="61"/>
      <c r="J29" s="346"/>
      <c r="L29" s="159"/>
    </row>
    <row r="30" spans="6:10" ht="12.75">
      <c r="F30" s="61"/>
      <c r="J30" s="4"/>
    </row>
    <row r="31" spans="1:12" s="61" customFormat="1" ht="26.25">
      <c r="A31" s="405" t="s">
        <v>722</v>
      </c>
      <c r="B31" s="376" t="s">
        <v>312</v>
      </c>
      <c r="C31" s="376" t="s">
        <v>312</v>
      </c>
      <c r="D31" s="376" t="s">
        <v>723</v>
      </c>
      <c r="E31" s="379" t="s">
        <v>724</v>
      </c>
      <c r="F31" s="379" t="s">
        <v>351</v>
      </c>
      <c r="G31" s="376" t="s">
        <v>314</v>
      </c>
      <c r="H31" s="376" t="s">
        <v>282</v>
      </c>
      <c r="I31" s="376" t="s">
        <v>317</v>
      </c>
      <c r="J31" s="379" t="s">
        <v>138</v>
      </c>
      <c r="K31" s="376" t="s">
        <v>316</v>
      </c>
      <c r="L31" s="377">
        <v>187500</v>
      </c>
    </row>
    <row r="32" spans="1:12" s="61" customFormat="1" ht="12.75">
      <c r="A32" s="405"/>
      <c r="B32" s="376"/>
      <c r="C32" s="376"/>
      <c r="D32" s="376"/>
      <c r="E32" s="379"/>
      <c r="F32" s="379"/>
      <c r="G32" s="376"/>
      <c r="H32" s="376"/>
      <c r="I32" s="376"/>
      <c r="J32" s="379"/>
      <c r="K32" s="376"/>
      <c r="L32" s="377"/>
    </row>
    <row r="33" spans="1:12" s="61" customFormat="1" ht="24.75">
      <c r="A33" s="405"/>
      <c r="B33" s="376"/>
      <c r="C33" s="376"/>
      <c r="D33" s="376"/>
      <c r="E33" s="379"/>
      <c r="F33" s="379"/>
      <c r="G33" s="376"/>
      <c r="H33" s="376"/>
      <c r="I33" s="376"/>
      <c r="J33" s="387" t="s">
        <v>138</v>
      </c>
      <c r="K33" s="376"/>
      <c r="L33" s="386">
        <f>SUM(L31:L32)</f>
        <v>187500</v>
      </c>
    </row>
    <row r="34" spans="1:12" s="61" customFormat="1" ht="12.75">
      <c r="A34" s="405"/>
      <c r="B34" s="376"/>
      <c r="C34" s="376"/>
      <c r="D34" s="376"/>
      <c r="E34" s="379"/>
      <c r="F34" s="379"/>
      <c r="G34" s="376"/>
      <c r="H34" s="376"/>
      <c r="I34" s="376"/>
      <c r="J34" s="379"/>
      <c r="K34" s="376"/>
      <c r="L34" s="377"/>
    </row>
    <row r="35" spans="1:12" s="61" customFormat="1" ht="12.75">
      <c r="A35" s="405"/>
      <c r="B35" s="376"/>
      <c r="C35" s="376"/>
      <c r="D35" s="376"/>
      <c r="E35" s="379"/>
      <c r="F35" s="379"/>
      <c r="G35" s="376"/>
      <c r="H35" s="376"/>
      <c r="I35" s="376"/>
      <c r="J35" s="379"/>
      <c r="K35" s="376"/>
      <c r="L35" s="377"/>
    </row>
    <row r="36" spans="1:12" s="61" customFormat="1" ht="26.25">
      <c r="A36" s="432" t="s">
        <v>489</v>
      </c>
      <c r="B36" s="433" t="s">
        <v>312</v>
      </c>
      <c r="C36" s="433" t="s">
        <v>312</v>
      </c>
      <c r="D36" s="433" t="s">
        <v>490</v>
      </c>
      <c r="E36" s="433" t="s">
        <v>491</v>
      </c>
      <c r="F36" s="383" t="s">
        <v>495</v>
      </c>
      <c r="G36" s="433" t="s">
        <v>492</v>
      </c>
      <c r="H36" s="433" t="s">
        <v>282</v>
      </c>
      <c r="I36" s="433" t="s">
        <v>315</v>
      </c>
      <c r="J36" s="383" t="s">
        <v>358</v>
      </c>
      <c r="K36" s="433" t="s">
        <v>316</v>
      </c>
      <c r="L36" s="431">
        <v>187500</v>
      </c>
    </row>
    <row r="37" spans="1:12" s="61" customFormat="1" ht="12.75">
      <c r="A37" s="429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1"/>
    </row>
    <row r="38" spans="1:12" s="61" customFormat="1" ht="24.75">
      <c r="A38" s="429"/>
      <c r="B38" s="430"/>
      <c r="C38" s="430"/>
      <c r="D38" s="430"/>
      <c r="E38" s="430"/>
      <c r="F38" s="430"/>
      <c r="G38" s="430"/>
      <c r="H38" s="430"/>
      <c r="I38" s="430"/>
      <c r="J38" s="387" t="s">
        <v>135</v>
      </c>
      <c r="K38" s="125"/>
      <c r="L38" s="159">
        <f>SUM(L36:L37)</f>
        <v>187500</v>
      </c>
    </row>
    <row r="39" spans="1:12" s="61" customFormat="1" ht="12.75">
      <c r="A39" s="429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1"/>
    </row>
    <row r="40" spans="1:12" s="61" customFormat="1" ht="12.75">
      <c r="A40" s="429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1"/>
    </row>
    <row r="41" spans="1:12" ht="26.25">
      <c r="A41" s="432" t="s">
        <v>493</v>
      </c>
      <c r="B41" s="433" t="s">
        <v>312</v>
      </c>
      <c r="C41" s="433" t="s">
        <v>312</v>
      </c>
      <c r="D41" s="433" t="s">
        <v>494</v>
      </c>
      <c r="E41" s="433" t="s">
        <v>724</v>
      </c>
      <c r="F41" s="379" t="s">
        <v>351</v>
      </c>
      <c r="G41" s="433" t="s">
        <v>314</v>
      </c>
      <c r="H41" s="433" t="s">
        <v>282</v>
      </c>
      <c r="I41" s="433" t="s">
        <v>317</v>
      </c>
      <c r="J41" s="379" t="s">
        <v>138</v>
      </c>
      <c r="K41" s="433" t="s">
        <v>316</v>
      </c>
      <c r="L41" s="431">
        <v>187500</v>
      </c>
    </row>
    <row r="43" spans="10:12" ht="24.75">
      <c r="J43" s="387" t="s">
        <v>138</v>
      </c>
      <c r="K43" s="376"/>
      <c r="L43" s="386">
        <f>SUM(L41:L42)</f>
        <v>187500</v>
      </c>
    </row>
    <row r="46" spans="1:12" ht="39">
      <c r="A46" s="432" t="s">
        <v>463</v>
      </c>
      <c r="B46" s="433" t="s">
        <v>312</v>
      </c>
      <c r="C46" s="433" t="s">
        <v>312</v>
      </c>
      <c r="D46" s="433">
        <v>255335</v>
      </c>
      <c r="E46" s="458" t="s">
        <v>464</v>
      </c>
      <c r="F46" s="383" t="s">
        <v>495</v>
      </c>
      <c r="G46" s="433" t="s">
        <v>492</v>
      </c>
      <c r="H46" s="433" t="s">
        <v>282</v>
      </c>
      <c r="I46" s="433" t="s">
        <v>315</v>
      </c>
      <c r="J46" s="383" t="s">
        <v>358</v>
      </c>
      <c r="K46" s="433" t="s">
        <v>316</v>
      </c>
      <c r="L46" s="431">
        <v>187500</v>
      </c>
    </row>
    <row r="47" spans="1:12" ht="12.75">
      <c r="A47" s="429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1"/>
    </row>
    <row r="48" spans="1:12" ht="24.75">
      <c r="A48" s="429"/>
      <c r="B48" s="430"/>
      <c r="C48" s="430"/>
      <c r="D48" s="430"/>
      <c r="E48" s="430"/>
      <c r="F48" s="430"/>
      <c r="G48" s="430"/>
      <c r="H48" s="430"/>
      <c r="I48" s="430"/>
      <c r="J48" s="387" t="s">
        <v>135</v>
      </c>
      <c r="L48" s="159">
        <f>SUM(L46:L47)</f>
        <v>187500</v>
      </c>
    </row>
    <row r="49" spans="1:12" ht="12.75">
      <c r="A49" s="429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1"/>
    </row>
    <row r="50" spans="1:12" ht="12.75">
      <c r="A50" s="429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1"/>
    </row>
    <row r="51" spans="1:12" ht="26.25">
      <c r="A51" s="432" t="s">
        <v>465</v>
      </c>
      <c r="B51" s="433" t="s">
        <v>312</v>
      </c>
      <c r="C51" s="433" t="s">
        <v>312</v>
      </c>
      <c r="D51" s="433">
        <v>255795</v>
      </c>
      <c r="E51" s="459" t="s">
        <v>466</v>
      </c>
      <c r="F51" s="379" t="s">
        <v>351</v>
      </c>
      <c r="G51" s="433" t="s">
        <v>314</v>
      </c>
      <c r="H51" s="433">
        <v>5060025</v>
      </c>
      <c r="I51" s="433" t="s">
        <v>317</v>
      </c>
      <c r="J51" s="379" t="s">
        <v>138</v>
      </c>
      <c r="K51" s="433" t="s">
        <v>316</v>
      </c>
      <c r="L51" s="431">
        <v>187500</v>
      </c>
    </row>
    <row r="53" spans="10:12" ht="24.75">
      <c r="J53" s="387" t="s">
        <v>138</v>
      </c>
      <c r="K53" s="376"/>
      <c r="L53" s="386">
        <f>SUM(L51:L52)</f>
        <v>187500</v>
      </c>
    </row>
    <row r="56" spans="1:12" ht="26.25">
      <c r="A56" s="432" t="s">
        <v>213</v>
      </c>
      <c r="B56" s="433" t="s">
        <v>312</v>
      </c>
      <c r="C56" s="433" t="s">
        <v>312</v>
      </c>
      <c r="D56" s="433">
        <v>280218</v>
      </c>
      <c r="E56" s="464" t="s">
        <v>214</v>
      </c>
      <c r="F56" s="383" t="s">
        <v>495</v>
      </c>
      <c r="G56" s="459" t="s">
        <v>134</v>
      </c>
      <c r="H56" s="433" t="s">
        <v>282</v>
      </c>
      <c r="I56" s="433" t="s">
        <v>315</v>
      </c>
      <c r="J56" s="383" t="s">
        <v>358</v>
      </c>
      <c r="K56" s="433" t="s">
        <v>316</v>
      </c>
      <c r="L56" s="431">
        <v>187500</v>
      </c>
    </row>
    <row r="57" spans="1:12" ht="12.75">
      <c r="A57" s="429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1"/>
    </row>
    <row r="58" spans="1:12" ht="24.75">
      <c r="A58" s="429"/>
      <c r="B58" s="430"/>
      <c r="C58" s="430"/>
      <c r="D58" s="430"/>
      <c r="E58" s="430"/>
      <c r="F58" s="430"/>
      <c r="G58" s="430"/>
      <c r="H58" s="430"/>
      <c r="I58" s="430"/>
      <c r="J58" s="387" t="s">
        <v>135</v>
      </c>
      <c r="L58" s="159">
        <f>SUM(L56:L57)</f>
        <v>187500</v>
      </c>
    </row>
    <row r="59" spans="1:12" ht="12.75">
      <c r="A59" s="429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1"/>
    </row>
    <row r="60" spans="1:12" ht="12.75">
      <c r="A60" s="429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1"/>
    </row>
    <row r="61" spans="1:12" ht="26.25">
      <c r="A61" s="432" t="s">
        <v>215</v>
      </c>
      <c r="B61" s="433" t="s">
        <v>312</v>
      </c>
      <c r="C61" s="433" t="s">
        <v>312</v>
      </c>
      <c r="D61" s="433">
        <v>280788</v>
      </c>
      <c r="E61" s="459" t="s">
        <v>216</v>
      </c>
      <c r="F61" s="379" t="s">
        <v>351</v>
      </c>
      <c r="G61" s="459" t="s">
        <v>134</v>
      </c>
      <c r="H61" s="433">
        <v>5060025</v>
      </c>
      <c r="I61" s="433" t="s">
        <v>317</v>
      </c>
      <c r="J61" s="379" t="s">
        <v>138</v>
      </c>
      <c r="K61" s="433" t="s">
        <v>316</v>
      </c>
      <c r="L61" s="431">
        <v>187500</v>
      </c>
    </row>
    <row r="63" spans="10:12" ht="24.75">
      <c r="J63" s="387" t="s">
        <v>138</v>
      </c>
      <c r="K63" s="376"/>
      <c r="L63" s="386">
        <f>SUM(L61:L62)</f>
        <v>187500</v>
      </c>
    </row>
    <row r="66" spans="1:12" ht="26.25">
      <c r="A66" s="432" t="s">
        <v>40</v>
      </c>
      <c r="B66" s="433" t="s">
        <v>312</v>
      </c>
      <c r="C66" s="433" t="s">
        <v>312</v>
      </c>
      <c r="D66" s="459" t="s">
        <v>41</v>
      </c>
      <c r="E66" s="464" t="s">
        <v>42</v>
      </c>
      <c r="F66" s="383" t="s">
        <v>495</v>
      </c>
      <c r="G66" s="459" t="s">
        <v>134</v>
      </c>
      <c r="H66" s="433" t="s">
        <v>282</v>
      </c>
      <c r="I66" s="433" t="s">
        <v>315</v>
      </c>
      <c r="J66" s="383" t="s">
        <v>358</v>
      </c>
      <c r="K66" s="433" t="s">
        <v>316</v>
      </c>
      <c r="L66" s="431">
        <v>187500</v>
      </c>
    </row>
    <row r="67" spans="1:12" ht="12.75">
      <c r="A67" s="429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1"/>
    </row>
    <row r="68" spans="1:12" ht="24.75">
      <c r="A68" s="429"/>
      <c r="B68" s="430"/>
      <c r="C68" s="430"/>
      <c r="D68" s="430"/>
      <c r="E68" s="430"/>
      <c r="F68" s="430"/>
      <c r="G68" s="430"/>
      <c r="H68" s="430"/>
      <c r="I68" s="430"/>
      <c r="J68" s="387" t="s">
        <v>135</v>
      </c>
      <c r="L68" s="159">
        <f>SUM(L66:L67)</f>
        <v>187500</v>
      </c>
    </row>
    <row r="69" spans="1:12" ht="12.75">
      <c r="A69" s="429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1"/>
    </row>
    <row r="70" spans="1:12" ht="12.75">
      <c r="A70" s="429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1"/>
    </row>
    <row r="71" spans="1:12" ht="26.25">
      <c r="A71" s="432" t="s">
        <v>43</v>
      </c>
      <c r="B71" s="433" t="s">
        <v>312</v>
      </c>
      <c r="C71" s="433" t="s">
        <v>312</v>
      </c>
      <c r="D71" s="459" t="s">
        <v>44</v>
      </c>
      <c r="E71" s="464" t="s">
        <v>45</v>
      </c>
      <c r="F71" s="379" t="s">
        <v>351</v>
      </c>
      <c r="G71" s="459" t="s">
        <v>134</v>
      </c>
      <c r="H71" s="433">
        <v>5060025</v>
      </c>
      <c r="I71" s="433" t="s">
        <v>317</v>
      </c>
      <c r="J71" s="379" t="s">
        <v>138</v>
      </c>
      <c r="K71" s="433" t="s">
        <v>316</v>
      </c>
      <c r="L71" s="431">
        <v>187500</v>
      </c>
    </row>
    <row r="73" spans="10:12" ht="24.75">
      <c r="J73" s="387" t="s">
        <v>138</v>
      </c>
      <c r="K73" s="376"/>
      <c r="L73" s="386">
        <f>SUM(L71:L72)</f>
        <v>187500</v>
      </c>
    </row>
  </sheetData>
  <sheetProtection/>
  <printOptions gridLines="1" horizontalCentered="1" verticalCentered="1"/>
  <pageMargins left="0" right="0" top="1.25" bottom="0.5" header="0.75" footer="0"/>
  <pageSetup fitToHeight="3" fitToWidth="1" horizontalDpi="600" verticalDpi="600" orientation="landscape" r:id="rId1"/>
  <headerFooter alignWithMargins="0">
    <oddHeader>&amp;C&amp;A</oddHeader>
  </headerFooter>
  <rowBreaks count="1" manualBreakCount="1">
    <brk id="4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62.00390625" style="0" customWidth="1"/>
    <col min="4" max="4" width="13.7109375" style="0" bestFit="1" customWidth="1"/>
    <col min="5" max="5" width="3.57421875" style="0" customWidth="1"/>
  </cols>
  <sheetData>
    <row r="2" spans="1:12" s="3" customFormat="1" ht="15">
      <c r="A2"/>
      <c r="B2"/>
      <c r="C2" s="448" t="s">
        <v>107</v>
      </c>
      <c r="D2"/>
      <c r="E2"/>
      <c r="F2"/>
      <c r="G2"/>
      <c r="H2"/>
      <c r="I2"/>
      <c r="J2"/>
      <c r="K2"/>
      <c r="L2"/>
    </row>
    <row r="3" spans="1:12" s="3" customFormat="1" ht="13.5" thickBot="1">
      <c r="A3"/>
      <c r="B3"/>
      <c r="C3"/>
      <c r="D3"/>
      <c r="E3"/>
      <c r="F3"/>
      <c r="G3"/>
      <c r="H3"/>
      <c r="I3"/>
      <c r="J3"/>
      <c r="K3"/>
      <c r="L3"/>
    </row>
    <row r="4" spans="1:12" ht="27" thickBot="1" thickTop="1">
      <c r="A4" s="3"/>
      <c r="B4" s="436" t="s">
        <v>99</v>
      </c>
      <c r="C4" s="438" t="s">
        <v>516</v>
      </c>
      <c r="D4" s="440" t="s">
        <v>311</v>
      </c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37"/>
      <c r="C5" s="444"/>
      <c r="D5" s="439"/>
      <c r="E5" s="3"/>
      <c r="F5" s="3"/>
      <c r="G5" s="3"/>
      <c r="H5" s="3"/>
      <c r="I5" s="3"/>
      <c r="J5" s="3"/>
      <c r="K5" s="3"/>
      <c r="L5" s="3"/>
    </row>
    <row r="6" spans="2:13" ht="25.5" customHeight="1">
      <c r="B6" s="212">
        <v>1</v>
      </c>
      <c r="C6" s="445" t="s">
        <v>100</v>
      </c>
      <c r="D6" s="333">
        <f>'ES 3.30'!F15</f>
        <v>45149929</v>
      </c>
      <c r="M6" s="435"/>
    </row>
    <row r="7" spans="2:13" ht="12.75">
      <c r="B7" s="441"/>
      <c r="C7" s="445"/>
      <c r="D7" s="333"/>
      <c r="M7" s="435"/>
    </row>
    <row r="8" spans="2:13" ht="12.75" customHeight="1">
      <c r="B8" s="441">
        <v>2</v>
      </c>
      <c r="C8" s="102" t="s">
        <v>101</v>
      </c>
      <c r="D8" s="442">
        <v>5173782.63</v>
      </c>
      <c r="F8" s="569" t="s">
        <v>106</v>
      </c>
      <c r="G8" s="569"/>
      <c r="H8" s="569"/>
      <c r="I8" s="569"/>
      <c r="J8" s="569"/>
      <c r="K8" s="569"/>
      <c r="L8" s="569"/>
      <c r="M8" s="569"/>
    </row>
    <row r="9" spans="2:13" ht="12.75">
      <c r="B9" s="441"/>
      <c r="C9" s="102"/>
      <c r="D9" s="447" t="s">
        <v>531</v>
      </c>
      <c r="F9" s="569"/>
      <c r="G9" s="569"/>
      <c r="H9" s="569"/>
      <c r="I9" s="569"/>
      <c r="J9" s="569"/>
      <c r="K9" s="569"/>
      <c r="L9" s="569"/>
      <c r="M9" s="569"/>
    </row>
    <row r="10" spans="2:4" ht="12.75">
      <c r="B10" s="441">
        <v>3</v>
      </c>
      <c r="C10" s="102" t="s">
        <v>634</v>
      </c>
      <c r="D10" s="333">
        <f>D6-D8</f>
        <v>39976146.37</v>
      </c>
    </row>
    <row r="11" spans="2:4" ht="12.75">
      <c r="B11" s="212"/>
      <c r="C11" s="102"/>
      <c r="D11" s="330"/>
    </row>
    <row r="12" spans="2:4" ht="26.25">
      <c r="B12" s="212">
        <v>4</v>
      </c>
      <c r="C12" s="445" t="s">
        <v>108</v>
      </c>
      <c r="D12" s="333">
        <f>'ES 3.30'!H42</f>
        <v>-664535.48470504</v>
      </c>
    </row>
    <row r="13" spans="2:4" ht="12.75">
      <c r="B13" s="212"/>
      <c r="C13" s="102"/>
      <c r="D13" s="447" t="s">
        <v>531</v>
      </c>
    </row>
    <row r="14" spans="2:4" ht="12.75">
      <c r="B14" s="212">
        <v>5</v>
      </c>
      <c r="C14" s="102" t="s">
        <v>102</v>
      </c>
      <c r="D14" s="333">
        <f>D10-D12</f>
        <v>40640681.854705036</v>
      </c>
    </row>
    <row r="15" spans="2:4" ht="12.75">
      <c r="B15" s="212"/>
      <c r="C15" s="102"/>
      <c r="D15" s="330"/>
    </row>
    <row r="16" spans="2:4" ht="12.75">
      <c r="B16" s="212"/>
      <c r="C16" s="446" t="s">
        <v>636</v>
      </c>
      <c r="D16" s="330"/>
    </row>
    <row r="17" spans="2:4" ht="12.75">
      <c r="B17" s="212"/>
      <c r="C17" s="102"/>
      <c r="D17" s="330"/>
    </row>
    <row r="18" spans="2:4" ht="12.75">
      <c r="B18" s="212">
        <v>6</v>
      </c>
      <c r="C18" s="102" t="s">
        <v>103</v>
      </c>
      <c r="D18" s="333">
        <f>D14</f>
        <v>40640681.854705036</v>
      </c>
    </row>
    <row r="19" spans="2:4" ht="12.75">
      <c r="B19" s="212"/>
      <c r="C19" s="102"/>
      <c r="D19" s="330"/>
    </row>
    <row r="20" spans="2:4" ht="12.75">
      <c r="B20" s="212">
        <v>7</v>
      </c>
      <c r="C20" s="102" t="s">
        <v>104</v>
      </c>
      <c r="D20" s="333">
        <f>D12</f>
        <v>-664535.48470504</v>
      </c>
    </row>
    <row r="21" spans="2:4" ht="12.75">
      <c r="B21" s="212"/>
      <c r="C21" s="102"/>
      <c r="D21" s="447" t="s">
        <v>531</v>
      </c>
    </row>
    <row r="22" spans="2:4" ht="13.5" thickBot="1">
      <c r="B22" s="339">
        <v>8</v>
      </c>
      <c r="C22" s="76" t="s">
        <v>105</v>
      </c>
      <c r="D22" s="443">
        <f>D20/D18</f>
        <v>-0.016351484630125753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sheetProtection/>
  <mergeCells count="1">
    <mergeCell ref="F8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8.57421875" style="0" bestFit="1" customWidth="1"/>
    <col min="4" max="4" width="0.5625" style="0" customWidth="1"/>
    <col min="5" max="5" width="15.00390625" style="0" bestFit="1" customWidth="1"/>
    <col min="6" max="6" width="0.5625" style="0" customWidth="1"/>
    <col min="7" max="7" width="3.7109375" style="0" customWidth="1"/>
    <col min="8" max="8" width="12.57421875" style="0" bestFit="1" customWidth="1"/>
    <col min="9" max="9" width="2.28125" style="0" customWidth="1"/>
  </cols>
  <sheetData>
    <row r="1" spans="5:7" ht="12.75">
      <c r="E1" s="3"/>
      <c r="G1" s="4"/>
    </row>
    <row r="2" spans="5:7" ht="12.75">
      <c r="E2" s="33" t="s">
        <v>574</v>
      </c>
      <c r="G2" s="4"/>
    </row>
    <row r="4" ht="12.75">
      <c r="C4" s="125" t="s">
        <v>346</v>
      </c>
    </row>
    <row r="5" ht="12.75">
      <c r="C5" s="1" t="s">
        <v>642</v>
      </c>
    </row>
    <row r="6" ht="12.75">
      <c r="C6" s="3" t="str">
        <f>+'ES 1.0'!E7</f>
        <v>For the Expense Month of June 2014</v>
      </c>
    </row>
    <row r="8" spans="3:8" ht="12.75">
      <c r="C8" s="175" t="s">
        <v>569</v>
      </c>
      <c r="H8" s="300"/>
    </row>
    <row r="9" spans="3:8" ht="12.75">
      <c r="C9" s="175"/>
      <c r="H9" s="300"/>
    </row>
    <row r="10" spans="1:8" ht="13.5" thickBot="1">
      <c r="A10" s="63"/>
      <c r="B10" s="63"/>
      <c r="C10" s="63"/>
      <c r="D10" s="63"/>
      <c r="E10" s="63"/>
      <c r="F10" s="63"/>
      <c r="G10" s="63"/>
      <c r="H10" s="423"/>
    </row>
    <row r="11" spans="1:8" ht="39.75" thickBot="1">
      <c r="A11" s="63"/>
      <c r="B11" s="325"/>
      <c r="C11" s="327" t="s">
        <v>576</v>
      </c>
      <c r="D11" s="329"/>
      <c r="E11" s="328" t="s">
        <v>575</v>
      </c>
      <c r="F11" s="326"/>
      <c r="G11" s="63"/>
      <c r="H11" s="195"/>
    </row>
    <row r="12" spans="1:8" ht="12.75">
      <c r="A12" s="63"/>
      <c r="B12" s="323"/>
      <c r="C12" s="63"/>
      <c r="D12" s="210"/>
      <c r="E12" s="63"/>
      <c r="F12" s="324"/>
      <c r="G12" s="63"/>
      <c r="H12" s="11"/>
    </row>
    <row r="13" spans="1:8" ht="12.75">
      <c r="A13" s="63"/>
      <c r="B13" s="323"/>
      <c r="C13" s="352" t="s">
        <v>577</v>
      </c>
      <c r="D13" s="501"/>
      <c r="E13" s="417">
        <v>3991163</v>
      </c>
      <c r="F13" s="324"/>
      <c r="G13" s="63"/>
      <c r="H13" s="417"/>
    </row>
    <row r="14" spans="1:8" ht="12.75">
      <c r="A14" s="63"/>
      <c r="B14" s="323"/>
      <c r="C14" s="352" t="s">
        <v>578</v>
      </c>
      <c r="D14" s="501"/>
      <c r="E14" s="391">
        <v>3590810</v>
      </c>
      <c r="F14" s="324"/>
      <c r="G14" s="63"/>
      <c r="H14" s="391"/>
    </row>
    <row r="15" spans="1:8" s="83" customFormat="1" ht="12.75">
      <c r="A15" s="352"/>
      <c r="B15" s="516"/>
      <c r="C15" s="352" t="s">
        <v>579</v>
      </c>
      <c r="D15" s="501"/>
      <c r="E15" s="391">
        <v>3651374</v>
      </c>
      <c r="F15" s="517"/>
      <c r="G15" s="352"/>
      <c r="H15" s="391"/>
    </row>
    <row r="16" spans="1:8" ht="12.75">
      <c r="A16" s="63"/>
      <c r="B16" s="323"/>
      <c r="C16" s="345" t="s">
        <v>580</v>
      </c>
      <c r="D16" s="501"/>
      <c r="E16" s="223">
        <v>3647040</v>
      </c>
      <c r="F16" s="324"/>
      <c r="G16" s="63"/>
      <c r="H16" s="223"/>
    </row>
    <row r="17" spans="1:8" ht="12.75">
      <c r="A17" s="63"/>
      <c r="B17" s="323"/>
      <c r="C17" s="345" t="s">
        <v>581</v>
      </c>
      <c r="D17" s="501"/>
      <c r="E17" s="223">
        <v>3922590</v>
      </c>
      <c r="F17" s="324"/>
      <c r="G17" s="63"/>
      <c r="H17" s="223"/>
    </row>
    <row r="18" spans="2:8" ht="12.75">
      <c r="B18" s="102"/>
      <c r="C18" s="524" t="s">
        <v>582</v>
      </c>
      <c r="D18" s="527"/>
      <c r="E18" s="528">
        <v>3627274</v>
      </c>
      <c r="F18" s="15"/>
      <c r="H18" s="168"/>
    </row>
    <row r="19" spans="2:8" ht="12.75">
      <c r="B19" s="102"/>
      <c r="C19" s="352" t="s">
        <v>583</v>
      </c>
      <c r="D19" s="471"/>
      <c r="E19" s="351">
        <v>3805325</v>
      </c>
      <c r="F19" s="15"/>
      <c r="H19" s="351"/>
    </row>
    <row r="20" spans="2:8" ht="12.75">
      <c r="B20" s="102"/>
      <c r="C20" s="352" t="s">
        <v>584</v>
      </c>
      <c r="D20" s="471"/>
      <c r="E20" s="351">
        <v>4088830</v>
      </c>
      <c r="F20" s="15"/>
      <c r="H20" s="351"/>
    </row>
    <row r="21" spans="2:8" ht="12.75">
      <c r="B21" s="102"/>
      <c r="C21" s="352" t="s">
        <v>585</v>
      </c>
      <c r="D21" s="471"/>
      <c r="E21" s="351">
        <v>3740010</v>
      </c>
      <c r="F21" s="15"/>
      <c r="H21" s="351"/>
    </row>
    <row r="22" spans="2:8" ht="12.75">
      <c r="B22" s="102"/>
      <c r="C22" s="352" t="s">
        <v>586</v>
      </c>
      <c r="D22" s="471"/>
      <c r="E22" s="351">
        <v>3260302</v>
      </c>
      <c r="F22" s="15"/>
      <c r="H22" s="351"/>
    </row>
    <row r="23" spans="2:8" ht="12.75">
      <c r="B23" s="102"/>
      <c r="C23" s="352" t="s">
        <v>587</v>
      </c>
      <c r="D23" s="471"/>
      <c r="E23" s="351">
        <v>2786040</v>
      </c>
      <c r="F23" s="15"/>
      <c r="H23" s="351"/>
    </row>
    <row r="24" spans="2:8" ht="12.75">
      <c r="B24" s="102"/>
      <c r="C24" s="352" t="s">
        <v>588</v>
      </c>
      <c r="D24" s="471"/>
      <c r="E24" s="351">
        <v>4074321</v>
      </c>
      <c r="F24" s="15"/>
      <c r="H24" s="351"/>
    </row>
    <row r="25" spans="2:8" ht="12.75">
      <c r="B25" s="102"/>
      <c r="C25" s="11"/>
      <c r="D25" s="330"/>
      <c r="E25" s="120" t="s">
        <v>589</v>
      </c>
      <c r="F25" s="15"/>
      <c r="H25" s="120"/>
    </row>
    <row r="26" spans="2:8" ht="12.75">
      <c r="B26" s="102"/>
      <c r="C26" s="11" t="s">
        <v>529</v>
      </c>
      <c r="D26" s="330"/>
      <c r="E26" s="12">
        <f>SUM(E13:E25)</f>
        <v>44185079</v>
      </c>
      <c r="F26" s="15"/>
      <c r="H26" s="12"/>
    </row>
    <row r="27" spans="2:8" ht="12.75">
      <c r="B27" s="102"/>
      <c r="C27" s="11"/>
      <c r="D27" s="330"/>
      <c r="E27" s="120" t="s">
        <v>530</v>
      </c>
      <c r="F27" s="15"/>
      <c r="H27" s="120"/>
    </row>
    <row r="28" spans="2:6" ht="13.5" thickBot="1">
      <c r="B28" s="76"/>
      <c r="C28" s="16"/>
      <c r="D28" s="331"/>
      <c r="E28" s="106"/>
      <c r="F28" s="17"/>
    </row>
    <row r="29" ht="12.75">
      <c r="E29" s="62"/>
    </row>
    <row r="30" ht="12.75">
      <c r="E30" s="62"/>
    </row>
    <row r="31" ht="12.75">
      <c r="E31" s="62"/>
    </row>
    <row r="39" ht="12.75">
      <c r="E39" s="83"/>
    </row>
    <row r="49" ht="12.75">
      <c r="E49" s="83"/>
    </row>
  </sheetData>
  <sheetProtection/>
  <printOptions horizontalCentered="1"/>
  <pageMargins left="0" right="0" top="1" bottom="0.5" header="1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9" topLeftCell="A10" activePane="bottomLeft" state="frozen"/>
      <selection pane="topLeft" activeCell="H31" activeCellId="1" sqref="K25 H31"/>
      <selection pane="bottomLeft" activeCell="D50" sqref="D5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5625" style="0" customWidth="1"/>
    <col min="4" max="4" width="60.7109375" style="0" customWidth="1"/>
    <col min="5" max="5" width="0.5625" style="0" customWidth="1"/>
    <col min="6" max="6" width="15.7109375" style="0" customWidth="1"/>
    <col min="7" max="7" width="0.5625" style="0" customWidth="1"/>
    <col min="8" max="8" width="15.7109375" style="0" customWidth="1"/>
  </cols>
  <sheetData>
    <row r="1" spans="4:8" ht="12.75">
      <c r="D1" s="150"/>
      <c r="H1" s="3"/>
    </row>
    <row r="2" spans="4:8" ht="12.75">
      <c r="D2" s="150"/>
      <c r="H2" s="3" t="s">
        <v>11</v>
      </c>
    </row>
    <row r="3" spans="4:8" ht="12.75">
      <c r="D3" s="146"/>
      <c r="H3" s="3"/>
    </row>
    <row r="4" ht="12.75">
      <c r="D4" s="125" t="s">
        <v>346</v>
      </c>
    </row>
    <row r="5" ht="12.75">
      <c r="D5" s="125" t="s">
        <v>552</v>
      </c>
    </row>
    <row r="6" ht="12.75">
      <c r="D6" s="3" t="str">
        <f>+'ES 1.0'!E7</f>
        <v>For the Expense Month of June 2014</v>
      </c>
    </row>
    <row r="7" ht="12.75">
      <c r="D7" s="60"/>
    </row>
    <row r="8" ht="12.75">
      <c r="D8" s="175" t="s">
        <v>702</v>
      </c>
    </row>
    <row r="10" ht="13.5" thickBot="1"/>
    <row r="11" spans="2:13" ht="30" customHeight="1" thickBot="1">
      <c r="B11" s="36" t="s">
        <v>525</v>
      </c>
      <c r="C11" s="88"/>
      <c r="D11" s="37" t="s">
        <v>624</v>
      </c>
      <c r="E11" s="88"/>
      <c r="F11" s="85"/>
      <c r="G11" s="88"/>
      <c r="H11" s="93"/>
      <c r="I11" s="61"/>
      <c r="J11" s="61"/>
      <c r="K11" s="61"/>
      <c r="L11" s="61"/>
      <c r="M11" s="61"/>
    </row>
    <row r="12" spans="2:8" ht="12.75">
      <c r="B12" s="52"/>
      <c r="C12" s="18"/>
      <c r="D12" s="6"/>
      <c r="E12" s="18"/>
      <c r="F12" s="6"/>
      <c r="G12" s="18"/>
      <c r="H12" s="7"/>
    </row>
    <row r="13" spans="2:8" ht="12.75">
      <c r="B13" s="10"/>
      <c r="C13" s="20"/>
      <c r="D13" s="176" t="s">
        <v>703</v>
      </c>
      <c r="E13" s="20"/>
      <c r="F13" s="11"/>
      <c r="G13" s="20"/>
      <c r="H13" s="15"/>
    </row>
    <row r="14" spans="2:8" ht="12.75">
      <c r="B14" s="10"/>
      <c r="C14" s="20"/>
      <c r="D14" s="179" t="s">
        <v>704</v>
      </c>
      <c r="E14" s="20"/>
      <c r="F14" s="11"/>
      <c r="G14" s="20"/>
      <c r="H14" s="87"/>
    </row>
    <row r="15" spans="2:8" ht="12.75">
      <c r="B15" s="10">
        <v>1</v>
      </c>
      <c r="C15" s="20"/>
      <c r="D15" s="180" t="s">
        <v>498</v>
      </c>
      <c r="E15" s="20"/>
      <c r="F15" s="11"/>
      <c r="G15" s="20"/>
      <c r="H15" s="87">
        <f>+'ES 3.10'!H34</f>
        <v>2749454.85695832</v>
      </c>
    </row>
    <row r="16" spans="2:8" ht="12.75">
      <c r="B16" s="10"/>
      <c r="C16" s="20"/>
      <c r="D16" s="180"/>
      <c r="E16" s="20"/>
      <c r="F16" s="11"/>
      <c r="G16" s="20"/>
      <c r="H16" s="15"/>
    </row>
    <row r="17" spans="2:8" ht="12.75">
      <c r="B17" s="10"/>
      <c r="C17" s="20"/>
      <c r="D17" s="176" t="s">
        <v>706</v>
      </c>
      <c r="E17" s="20"/>
      <c r="F17" s="11"/>
      <c r="G17" s="20"/>
      <c r="H17" s="15"/>
    </row>
    <row r="18" spans="2:8" ht="12.75">
      <c r="B18" s="10"/>
      <c r="C18" s="20"/>
      <c r="D18" s="179" t="s">
        <v>705</v>
      </c>
      <c r="E18" s="20"/>
      <c r="F18" s="11"/>
      <c r="G18" s="20"/>
      <c r="H18" s="15"/>
    </row>
    <row r="19" spans="2:8" ht="12.75">
      <c r="B19" s="10">
        <v>2</v>
      </c>
      <c r="C19" s="20"/>
      <c r="D19" s="180" t="s">
        <v>164</v>
      </c>
      <c r="E19" s="20"/>
      <c r="F19" s="11"/>
      <c r="G19" s="20"/>
      <c r="H19" s="87">
        <f>+'ES 3.20'!M36</f>
        <v>38846</v>
      </c>
    </row>
    <row r="20" spans="2:8" ht="12.75">
      <c r="B20" s="10"/>
      <c r="C20" s="20"/>
      <c r="D20" s="11"/>
      <c r="E20" s="20"/>
      <c r="F20" s="11"/>
      <c r="G20" s="20"/>
      <c r="H20" s="87"/>
    </row>
    <row r="21" spans="2:8" ht="12.75">
      <c r="B21" s="10"/>
      <c r="C21" s="20"/>
      <c r="D21" s="11"/>
      <c r="E21" s="20"/>
      <c r="F21" s="11"/>
      <c r="G21" s="20"/>
      <c r="H21" s="87"/>
    </row>
    <row r="22" spans="2:8" ht="12.75">
      <c r="B22" s="10">
        <v>4</v>
      </c>
      <c r="C22" s="20"/>
      <c r="D22" s="177" t="s">
        <v>775</v>
      </c>
      <c r="E22" s="20"/>
      <c r="F22" s="11"/>
      <c r="G22" s="20"/>
      <c r="H22" s="15"/>
    </row>
    <row r="23" spans="2:8" ht="12.75">
      <c r="B23" s="10"/>
      <c r="C23" s="20"/>
      <c r="D23" s="128" t="s">
        <v>707</v>
      </c>
      <c r="E23" s="20"/>
      <c r="F23" s="11"/>
      <c r="G23" s="20"/>
      <c r="H23" s="15"/>
    </row>
    <row r="24" spans="2:8" ht="12.75">
      <c r="B24" s="10"/>
      <c r="C24" s="20"/>
      <c r="D24" s="13" t="s">
        <v>710</v>
      </c>
      <c r="E24" s="20"/>
      <c r="F24" s="12"/>
      <c r="G24" s="20"/>
      <c r="H24" s="15"/>
    </row>
    <row r="25" spans="2:8" ht="12.75">
      <c r="B25" s="10"/>
      <c r="C25" s="20"/>
      <c r="D25" s="11" t="s">
        <v>708</v>
      </c>
      <c r="E25" s="20"/>
      <c r="F25" s="12">
        <v>0</v>
      </c>
      <c r="G25" s="20"/>
      <c r="H25" s="15"/>
    </row>
    <row r="26" spans="2:8" ht="12.75">
      <c r="B26" s="10"/>
      <c r="C26" s="20"/>
      <c r="D26" s="11"/>
      <c r="E26" s="20"/>
      <c r="F26" s="12"/>
      <c r="G26" s="20"/>
      <c r="H26" s="15"/>
    </row>
    <row r="27" spans="2:8" ht="12.75">
      <c r="B27" s="10"/>
      <c r="C27" s="20"/>
      <c r="D27" s="11" t="s">
        <v>236</v>
      </c>
      <c r="E27" s="20"/>
      <c r="F27" s="12"/>
      <c r="G27" s="20"/>
      <c r="H27" s="15"/>
    </row>
    <row r="28" spans="2:8" ht="12.75">
      <c r="B28" s="10"/>
      <c r="C28" s="20"/>
      <c r="D28" s="11" t="s">
        <v>625</v>
      </c>
      <c r="E28" s="20"/>
      <c r="F28" s="12"/>
      <c r="G28" s="20"/>
      <c r="H28" s="15"/>
    </row>
    <row r="29" spans="2:8" ht="12.75">
      <c r="B29" s="10"/>
      <c r="C29" s="20"/>
      <c r="D29" s="11" t="s">
        <v>626</v>
      </c>
      <c r="E29" s="20"/>
      <c r="F29" s="321">
        <v>0</v>
      </c>
      <c r="G29" s="20"/>
      <c r="H29" s="15"/>
    </row>
    <row r="30" spans="2:8" ht="12.75">
      <c r="B30" s="10"/>
      <c r="C30" s="20"/>
      <c r="D30" s="11"/>
      <c r="E30" s="20"/>
      <c r="F30" s="12"/>
      <c r="G30" s="20"/>
      <c r="H30" s="15"/>
    </row>
    <row r="31" spans="2:8" ht="12.75">
      <c r="B31" s="10"/>
      <c r="C31" s="20"/>
      <c r="D31" s="11" t="s">
        <v>714</v>
      </c>
      <c r="E31" s="20"/>
      <c r="F31" s="181">
        <f>+F25+F29</f>
        <v>0</v>
      </c>
      <c r="G31" s="20"/>
      <c r="H31" s="15"/>
    </row>
    <row r="32" spans="2:8" ht="12.75">
      <c r="B32" s="10"/>
      <c r="C32" s="20"/>
      <c r="D32" s="11"/>
      <c r="E32" s="20"/>
      <c r="F32" s="12"/>
      <c r="G32" s="20"/>
      <c r="H32" s="15"/>
    </row>
    <row r="33" spans="2:8" ht="12.75">
      <c r="B33" s="10"/>
      <c r="C33" s="20"/>
      <c r="D33" s="13" t="s">
        <v>303</v>
      </c>
      <c r="E33" s="20"/>
      <c r="F33" s="12">
        <v>0</v>
      </c>
      <c r="G33" s="20"/>
      <c r="H33" s="15"/>
    </row>
    <row r="34" spans="2:8" ht="12.75">
      <c r="B34" s="10"/>
      <c r="C34" s="20"/>
      <c r="D34" s="11"/>
      <c r="E34" s="20"/>
      <c r="F34" s="12"/>
      <c r="G34" s="20"/>
      <c r="H34" s="15"/>
    </row>
    <row r="35" spans="2:8" ht="12.75">
      <c r="B35" s="10"/>
      <c r="C35" s="20"/>
      <c r="D35" s="11" t="s">
        <v>711</v>
      </c>
      <c r="E35" s="20"/>
      <c r="F35" s="12">
        <v>0</v>
      </c>
      <c r="G35" s="20"/>
      <c r="H35" s="15"/>
    </row>
    <row r="36" spans="2:8" ht="12.75">
      <c r="B36" s="10"/>
      <c r="C36" s="20"/>
      <c r="D36" s="11"/>
      <c r="E36" s="20"/>
      <c r="F36" s="12"/>
      <c r="G36" s="20"/>
      <c r="H36" s="15"/>
    </row>
    <row r="37" spans="2:8" ht="12.75">
      <c r="B37" s="10"/>
      <c r="C37" s="20"/>
      <c r="D37" s="178" t="s">
        <v>712</v>
      </c>
      <c r="E37" s="20"/>
      <c r="F37" s="12" t="s">
        <v>118</v>
      </c>
      <c r="G37" s="20"/>
      <c r="H37" s="15"/>
    </row>
    <row r="38" spans="2:8" ht="12.75">
      <c r="B38" s="10"/>
      <c r="C38" s="20"/>
      <c r="D38" s="63" t="s">
        <v>713</v>
      </c>
      <c r="E38" s="20"/>
      <c r="F38" s="321">
        <v>0</v>
      </c>
      <c r="G38" s="20"/>
      <c r="H38" s="15"/>
    </row>
    <row r="39" spans="2:8" ht="12" customHeight="1">
      <c r="B39" s="10"/>
      <c r="C39" s="20"/>
      <c r="D39" s="11"/>
      <c r="E39" s="20"/>
      <c r="F39" s="12" t="s">
        <v>118</v>
      </c>
      <c r="G39" s="20"/>
      <c r="H39" s="15"/>
    </row>
    <row r="40" spans="2:8" ht="12" customHeight="1">
      <c r="B40" s="10"/>
      <c r="C40" s="20"/>
      <c r="D40" s="11" t="s">
        <v>715</v>
      </c>
      <c r="E40" s="23" t="s">
        <v>37</v>
      </c>
      <c r="F40" s="181">
        <f>+F33+F35+F38</f>
        <v>0</v>
      </c>
      <c r="G40" s="20"/>
      <c r="H40" s="15"/>
    </row>
    <row r="41" spans="2:8" ht="12.75">
      <c r="B41" s="10"/>
      <c r="C41" s="20"/>
      <c r="D41" s="11"/>
      <c r="E41" s="20"/>
      <c r="F41" s="120" t="s">
        <v>628</v>
      </c>
      <c r="G41" s="20"/>
      <c r="H41" s="15"/>
    </row>
    <row r="42" spans="2:8" ht="12.75">
      <c r="B42" s="10">
        <v>5</v>
      </c>
      <c r="C42" s="20"/>
      <c r="D42" s="11" t="s">
        <v>237</v>
      </c>
      <c r="E42" s="20"/>
      <c r="F42" s="11"/>
      <c r="G42" s="20"/>
      <c r="H42" s="87">
        <f>+F31+F40</f>
        <v>0</v>
      </c>
    </row>
    <row r="43" spans="2:8" ht="12.75">
      <c r="B43" s="10"/>
      <c r="C43" s="20"/>
      <c r="D43" s="11"/>
      <c r="E43" s="20"/>
      <c r="F43" s="11"/>
      <c r="G43" s="20"/>
      <c r="H43" s="121" t="s">
        <v>628</v>
      </c>
    </row>
    <row r="44" spans="2:8" ht="12.75">
      <c r="B44" s="10">
        <v>6</v>
      </c>
      <c r="C44" s="20"/>
      <c r="D44" s="11" t="s">
        <v>627</v>
      </c>
      <c r="E44" s="20"/>
      <c r="F44" s="11"/>
      <c r="G44" s="20"/>
      <c r="H44" s="15"/>
    </row>
    <row r="45" spans="2:8" ht="12.75">
      <c r="B45" s="10"/>
      <c r="C45" s="20"/>
      <c r="D45" s="11" t="s">
        <v>81</v>
      </c>
      <c r="E45" s="20"/>
      <c r="F45" s="11"/>
      <c r="G45" s="20"/>
      <c r="H45" s="87">
        <f>+H15+H19-H42</f>
        <v>2788300.85695832</v>
      </c>
    </row>
    <row r="46" spans="2:8" ht="12.75">
      <c r="B46" s="10"/>
      <c r="C46" s="20"/>
      <c r="D46" s="11"/>
      <c r="E46" s="20"/>
      <c r="F46" s="11"/>
      <c r="G46" s="20"/>
      <c r="H46" s="15"/>
    </row>
    <row r="47" spans="2:8" ht="13.5" thickBot="1">
      <c r="B47" s="44"/>
      <c r="C47" s="21"/>
      <c r="D47" s="16"/>
      <c r="E47" s="21"/>
      <c r="F47" s="16"/>
      <c r="G47" s="21"/>
      <c r="H47" s="17"/>
    </row>
    <row r="48" ht="12.75">
      <c r="B48" s="91"/>
    </row>
    <row r="49" ht="12.75">
      <c r="B49" s="91"/>
    </row>
    <row r="50" spans="2:5" ht="12.75">
      <c r="B50" s="91"/>
      <c r="E50" s="83"/>
    </row>
    <row r="51" ht="12.75">
      <c r="B51" s="91"/>
    </row>
    <row r="52" ht="12.75">
      <c r="B52" s="91"/>
    </row>
    <row r="53" ht="12.75">
      <c r="B53" s="91"/>
    </row>
    <row r="54" ht="12.75">
      <c r="B54" s="91"/>
    </row>
    <row r="55" ht="12.75">
      <c r="B55" s="91"/>
    </row>
    <row r="56" ht="12.75">
      <c r="B56" s="91"/>
    </row>
    <row r="57" ht="12.75">
      <c r="B57" s="91"/>
    </row>
    <row r="58" ht="12.75">
      <c r="B58" s="91"/>
    </row>
    <row r="59" ht="12.75">
      <c r="B59" s="91"/>
    </row>
  </sheetData>
  <sheetProtection/>
  <printOptions horizontalCentered="1"/>
  <pageMargins left="0" right="0" top="0.5" bottom="0.5" header="0.5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C1">
      <pane ySplit="11" topLeftCell="A12" activePane="bottomLeft" state="frozen"/>
      <selection pane="topLeft" activeCell="H31" activeCellId="1" sqref="K25 H31"/>
      <selection pane="bottomLeft" activeCell="F14" sqref="F14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5.7109375" style="0" customWidth="1"/>
    <col min="9" max="9" width="10.7109375" style="0" customWidth="1"/>
    <col min="10" max="10" width="3.00390625" style="0" bestFit="1" customWidth="1"/>
    <col min="11" max="11" width="20.28125" style="0" customWidth="1"/>
    <col min="12" max="12" width="2.28125" style="0" customWidth="1"/>
    <col min="13" max="13" width="10.7109375" style="0" bestFit="1" customWidth="1"/>
    <col min="14" max="14" width="13.8515625" style="0" bestFit="1" customWidth="1"/>
    <col min="15" max="15" width="11.7109375" style="0" bestFit="1" customWidth="1"/>
    <col min="16" max="16" width="15.57421875" style="0" bestFit="1" customWidth="1"/>
    <col min="17" max="17" width="12.7109375" style="0" customWidth="1"/>
    <col min="18" max="21" width="11.7109375" style="0" customWidth="1"/>
    <col min="22" max="22" width="2.28125" style="0" customWidth="1"/>
    <col min="23" max="32" width="12.7109375" style="0" customWidth="1"/>
    <col min="33" max="33" width="17.28125" style="0" bestFit="1" customWidth="1"/>
    <col min="34" max="34" width="11.7109375" style="0" bestFit="1" customWidth="1"/>
    <col min="35" max="35" width="3.7109375" style="0" customWidth="1"/>
    <col min="36" max="36" width="30.7109375" style="0" customWidth="1"/>
    <col min="37" max="37" width="12.7109375" style="0" customWidth="1"/>
  </cols>
  <sheetData>
    <row r="1" spans="4:10" ht="12.75">
      <c r="D1" s="150"/>
      <c r="J1" s="3"/>
    </row>
    <row r="2" spans="4:14" ht="12.75">
      <c r="D2" s="150"/>
      <c r="H2" s="3" t="s">
        <v>623</v>
      </c>
      <c r="I2" s="3"/>
      <c r="J2" s="3"/>
      <c r="K2" s="150"/>
      <c r="N2" s="135"/>
    </row>
    <row r="3" spans="4:14" ht="12.75">
      <c r="D3" s="146"/>
      <c r="H3" s="3"/>
      <c r="I3" s="3"/>
      <c r="J3" s="3"/>
      <c r="K3" s="150"/>
      <c r="N3" s="135"/>
    </row>
    <row r="4" spans="4:11" ht="12.75">
      <c r="D4" s="125" t="s">
        <v>346</v>
      </c>
      <c r="E4" s="1"/>
      <c r="F4" s="1"/>
      <c r="G4" s="1"/>
      <c r="H4" s="1"/>
      <c r="I4" s="1"/>
      <c r="J4" s="3"/>
      <c r="K4" s="1"/>
    </row>
    <row r="5" spans="4:11" ht="12.75">
      <c r="D5" s="125" t="s">
        <v>552</v>
      </c>
      <c r="E5" s="1"/>
      <c r="F5" s="1"/>
      <c r="G5" s="1"/>
      <c r="H5" s="1"/>
      <c r="I5" s="1"/>
      <c r="J5" s="3"/>
      <c r="K5" s="1"/>
    </row>
    <row r="6" spans="4:10" ht="12.75">
      <c r="D6" s="3" t="s">
        <v>716</v>
      </c>
      <c r="J6" s="3"/>
    </row>
    <row r="7" ht="12.75">
      <c r="J7" s="3"/>
    </row>
    <row r="8" spans="4:11" ht="12.75">
      <c r="D8" s="182" t="str">
        <f>+'ES 1.0'!E7</f>
        <v>For the Expense Month of June 2014</v>
      </c>
      <c r="J8" s="3"/>
      <c r="K8" s="155"/>
    </row>
    <row r="9" ht="12.75">
      <c r="J9" s="3"/>
    </row>
    <row r="10" spans="10:32" ht="13.5" thickBot="1">
      <c r="J10" s="4"/>
      <c r="M10" s="3"/>
      <c r="N10" s="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2:32" ht="30" customHeight="1" thickBot="1">
      <c r="B11" s="70" t="s">
        <v>525</v>
      </c>
      <c r="C11" s="71"/>
      <c r="D11" s="72" t="s">
        <v>558</v>
      </c>
      <c r="E11" s="71"/>
      <c r="F11" s="73"/>
      <c r="G11" s="71"/>
      <c r="H11" s="94"/>
      <c r="I11" s="13"/>
      <c r="J11" s="3"/>
      <c r="M11" s="3"/>
      <c r="N11" s="4"/>
      <c r="O11" s="4"/>
      <c r="P11" s="4"/>
      <c r="Q11" s="4"/>
      <c r="R11" s="4"/>
      <c r="T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</row>
    <row r="12" spans="2:17" ht="12.75">
      <c r="B12" s="70"/>
      <c r="C12" s="71"/>
      <c r="D12" s="72"/>
      <c r="E12" s="71"/>
      <c r="F12" s="73"/>
      <c r="G12" s="71"/>
      <c r="H12" s="94"/>
      <c r="I12" s="13"/>
      <c r="J12" s="3"/>
      <c r="M12" s="3"/>
      <c r="N12" s="4"/>
      <c r="O12" s="3"/>
      <c r="P12" s="3"/>
      <c r="Q12" s="3"/>
    </row>
    <row r="13" spans="2:32" ht="12.75">
      <c r="B13" s="14"/>
      <c r="C13" s="20"/>
      <c r="D13" s="29" t="s">
        <v>559</v>
      </c>
      <c r="E13" s="20"/>
      <c r="F13" s="11"/>
      <c r="G13" s="20"/>
      <c r="H13" s="15"/>
      <c r="I13" s="11"/>
      <c r="X13" s="84"/>
      <c r="Y13" s="84"/>
      <c r="Z13" s="84"/>
      <c r="AA13" s="84"/>
      <c r="AB13" s="84"/>
      <c r="AC13" s="84"/>
      <c r="AD13" s="84"/>
      <c r="AE13" s="84"/>
      <c r="AF13" s="84"/>
    </row>
    <row r="14" spans="2:32" ht="12.75">
      <c r="B14" s="10">
        <v>1</v>
      </c>
      <c r="C14" s="20"/>
      <c r="D14" s="11" t="s">
        <v>629</v>
      </c>
      <c r="E14" s="20"/>
      <c r="F14" s="122">
        <f>'Sch 3.10'!R61</f>
        <v>193185550</v>
      </c>
      <c r="G14" s="26"/>
      <c r="H14" s="109"/>
      <c r="I14" s="63"/>
      <c r="J14" s="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2:32" ht="12.75">
      <c r="B15" s="10">
        <f aca="true" t="shared" si="0" ref="B15:B24">+B14+1</f>
        <v>2</v>
      </c>
      <c r="C15" s="20"/>
      <c r="D15" s="95" t="s">
        <v>560</v>
      </c>
      <c r="E15" s="20"/>
      <c r="F15" s="122">
        <f>+'Sch 3.10'!R62</f>
        <v>-87231039</v>
      </c>
      <c r="G15" s="26"/>
      <c r="H15" s="109"/>
      <c r="I15" s="63"/>
      <c r="J15" s="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92"/>
      <c r="Y15" s="92"/>
      <c r="Z15" s="92"/>
      <c r="AA15" s="92"/>
      <c r="AB15" s="92"/>
      <c r="AC15" s="92"/>
      <c r="AD15" s="92"/>
      <c r="AE15" s="92"/>
      <c r="AF15" s="92"/>
    </row>
    <row r="16" spans="2:32" ht="12.75">
      <c r="B16" s="10">
        <f t="shared" si="0"/>
        <v>3</v>
      </c>
      <c r="C16" s="20"/>
      <c r="D16" s="11" t="s">
        <v>561</v>
      </c>
      <c r="E16" s="20"/>
      <c r="F16" s="122">
        <f>+'Sch 3.10'!R63</f>
        <v>-28457121</v>
      </c>
      <c r="G16" s="26"/>
      <c r="H16" s="109"/>
      <c r="I16" s="63"/>
      <c r="J16" s="3"/>
      <c r="M16" s="137"/>
      <c r="N16" s="92"/>
      <c r="O16" s="92"/>
      <c r="P16" s="92"/>
      <c r="Q16" s="92"/>
      <c r="R16" s="92"/>
      <c r="S16" s="92"/>
      <c r="T16" s="92"/>
      <c r="U16" s="92"/>
      <c r="V16" s="92"/>
      <c r="W16" s="84"/>
      <c r="X16" s="92"/>
      <c r="Y16" s="92"/>
      <c r="Z16" s="92"/>
      <c r="AA16" s="92"/>
      <c r="AB16" s="92"/>
      <c r="AC16" s="92"/>
      <c r="AD16" s="92"/>
      <c r="AE16" s="92"/>
      <c r="AF16" s="92"/>
    </row>
    <row r="17" spans="2:23" ht="12.75">
      <c r="B17" s="10">
        <f t="shared" si="0"/>
        <v>4</v>
      </c>
      <c r="C17" s="20"/>
      <c r="D17" s="11" t="s">
        <v>620</v>
      </c>
      <c r="E17" s="20"/>
      <c r="F17" s="108"/>
      <c r="G17" s="26"/>
      <c r="H17" s="87">
        <f>SUM(F14:F16)</f>
        <v>77497390</v>
      </c>
      <c r="I17" s="141"/>
      <c r="J17" s="3"/>
      <c r="K17" s="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2:32" ht="12.75">
      <c r="B18" s="10">
        <f t="shared" si="0"/>
        <v>5</v>
      </c>
      <c r="C18" s="20"/>
      <c r="D18" s="63" t="s">
        <v>734</v>
      </c>
      <c r="E18" s="20"/>
      <c r="F18" s="108"/>
      <c r="G18" s="26"/>
      <c r="H18" s="118">
        <f>+'ES 3.11'!L33</f>
        <v>12653425</v>
      </c>
      <c r="I18" s="141"/>
      <c r="J18" s="3"/>
      <c r="M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2:32" ht="12.75">
      <c r="B19" s="10">
        <f>+B18+1</f>
        <v>6</v>
      </c>
      <c r="C19" s="20"/>
      <c r="D19" s="63" t="s">
        <v>735</v>
      </c>
      <c r="E19" s="20"/>
      <c r="F19" s="108"/>
      <c r="G19" s="26"/>
      <c r="H19" s="118">
        <f>+'ES 3.12 A'!J27+'ES 3.12 B'!J28</f>
        <v>-55486</v>
      </c>
      <c r="I19" s="141"/>
      <c r="J19" s="3"/>
      <c r="M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2:32" ht="12.75">
      <c r="B20" s="10">
        <f t="shared" si="0"/>
        <v>7</v>
      </c>
      <c r="C20" s="20"/>
      <c r="D20" s="63" t="s">
        <v>345</v>
      </c>
      <c r="E20" s="20"/>
      <c r="F20" s="108"/>
      <c r="G20" s="26"/>
      <c r="H20" s="118">
        <f>+'ES 3.13'!G47</f>
        <v>1347276</v>
      </c>
      <c r="I20" s="141"/>
      <c r="J20" s="3"/>
      <c r="M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2:32" ht="12.75">
      <c r="B21" s="10">
        <f t="shared" si="0"/>
        <v>8</v>
      </c>
      <c r="C21" s="20"/>
      <c r="D21" s="11" t="s">
        <v>564</v>
      </c>
      <c r="E21" s="20"/>
      <c r="F21" s="108"/>
      <c r="G21" s="26"/>
      <c r="H21" s="87">
        <f>+H17+H18+H19+H20</f>
        <v>91442605</v>
      </c>
      <c r="I21" s="141"/>
      <c r="J21" s="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2:32" ht="12.75">
      <c r="B22" s="10">
        <f t="shared" si="0"/>
        <v>9</v>
      </c>
      <c r="C22" s="20"/>
      <c r="D22" s="11" t="s">
        <v>84</v>
      </c>
      <c r="E22" s="20"/>
      <c r="F22" s="422">
        <v>0.1069</v>
      </c>
      <c r="G22" s="98"/>
      <c r="H22" s="109"/>
      <c r="I22" s="63"/>
      <c r="J22" s="3"/>
      <c r="M22" s="84"/>
      <c r="N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23" ht="12.75">
      <c r="B23" s="10">
        <f t="shared" si="0"/>
        <v>10</v>
      </c>
      <c r="C23" s="20"/>
      <c r="D23" s="11" t="s">
        <v>570</v>
      </c>
      <c r="E23" s="20"/>
      <c r="F23" s="108"/>
      <c r="G23" s="26"/>
      <c r="H23" s="151">
        <f>ROUND(F22/12,4)</f>
        <v>0.0089</v>
      </c>
      <c r="I23" s="142"/>
      <c r="J23" s="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2:11" ht="12.75">
      <c r="B24" s="10">
        <f t="shared" si="0"/>
        <v>11</v>
      </c>
      <c r="C24" s="20"/>
      <c r="D24" s="11" t="s">
        <v>571</v>
      </c>
      <c r="E24" s="20"/>
      <c r="F24" s="110"/>
      <c r="G24" s="20"/>
      <c r="H24" s="87">
        <f>ROUND(H21*H23,0)</f>
        <v>813839</v>
      </c>
      <c r="I24" s="12"/>
      <c r="J24" s="3"/>
      <c r="K24" s="153"/>
    </row>
    <row r="25" spans="2:14" ht="12.75">
      <c r="B25" s="10"/>
      <c r="C25" s="20"/>
      <c r="D25" s="29" t="s">
        <v>567</v>
      </c>
      <c r="E25" s="20"/>
      <c r="F25" s="110"/>
      <c r="G25" s="20"/>
      <c r="H25" s="87"/>
      <c r="I25" s="12"/>
      <c r="J25" s="3"/>
      <c r="M25" s="138"/>
      <c r="N25" s="138"/>
    </row>
    <row r="26" spans="2:32" ht="12.75">
      <c r="B26" s="10">
        <f>+B24+1</f>
        <v>12</v>
      </c>
      <c r="C26" s="20"/>
      <c r="D26" s="11" t="s">
        <v>590</v>
      </c>
      <c r="E26" s="20"/>
      <c r="F26" s="110"/>
      <c r="G26" s="20"/>
      <c r="H26" s="87">
        <f>+'Sch 3.10'!R66-H27</f>
        <v>577252</v>
      </c>
      <c r="I26" s="12"/>
      <c r="J26" s="3"/>
      <c r="K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2:32" ht="12.75">
      <c r="B27" s="10">
        <f aca="true" t="shared" si="1" ref="B27:B33">+B26+1</f>
        <v>13</v>
      </c>
      <c r="C27" s="20"/>
      <c r="D27" s="11" t="s">
        <v>147</v>
      </c>
      <c r="E27" s="20"/>
      <c r="F27" s="110"/>
      <c r="G27" s="20"/>
      <c r="H27" s="87">
        <f>+'Sch 3.10'!H101</f>
        <v>46030</v>
      </c>
      <c r="I27" s="12"/>
      <c r="J27" s="3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ht="12.75">
      <c r="B28" s="10">
        <f t="shared" si="1"/>
        <v>14</v>
      </c>
      <c r="C28" s="20"/>
      <c r="D28" s="11" t="s">
        <v>622</v>
      </c>
      <c r="E28" s="20"/>
      <c r="F28" s="110"/>
      <c r="G28" s="20"/>
      <c r="H28" s="490">
        <v>12771</v>
      </c>
      <c r="I28" s="143"/>
      <c r="J28" s="3"/>
      <c r="M28" s="84"/>
      <c r="N28" s="84"/>
      <c r="W28" s="84"/>
      <c r="X28" s="163"/>
      <c r="Y28" s="163"/>
      <c r="Z28" s="163"/>
      <c r="AA28" s="163"/>
      <c r="AB28" s="163"/>
      <c r="AC28" s="163"/>
      <c r="AD28" s="163"/>
      <c r="AE28" s="163"/>
      <c r="AF28" s="163"/>
    </row>
    <row r="29" spans="2:32" ht="12.75">
      <c r="B29" s="10">
        <f>+B28+1</f>
        <v>15</v>
      </c>
      <c r="C29" s="20"/>
      <c r="D29" s="11" t="s">
        <v>621</v>
      </c>
      <c r="E29" s="20"/>
      <c r="F29" s="110"/>
      <c r="G29" s="20"/>
      <c r="H29" s="119">
        <f>'ES 3.13'!F14</f>
        <v>39266</v>
      </c>
      <c r="I29" s="143"/>
      <c r="J29" s="3"/>
      <c r="M29" s="82"/>
      <c r="N29" s="82"/>
      <c r="W29" s="163"/>
      <c r="X29" s="140"/>
      <c r="Y29" s="140"/>
      <c r="Z29" s="140"/>
      <c r="AA29" s="140"/>
      <c r="AB29" s="140"/>
      <c r="AC29" s="140"/>
      <c r="AD29" s="140"/>
      <c r="AE29" s="140"/>
      <c r="AF29" s="140"/>
    </row>
    <row r="30" spans="2:32" ht="12.75">
      <c r="B30" s="10">
        <f>B29+1</f>
        <v>16</v>
      </c>
      <c r="C30" s="20"/>
      <c r="D30" s="63" t="s">
        <v>736</v>
      </c>
      <c r="E30" s="20"/>
      <c r="F30" s="110"/>
      <c r="G30" s="20"/>
      <c r="H30" s="119">
        <f>+'ES 3.13'!G25</f>
        <v>432843.8801596819</v>
      </c>
      <c r="I30" s="143"/>
      <c r="J30" s="3"/>
      <c r="M30" s="84"/>
      <c r="N30" s="84"/>
      <c r="W30" s="140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2:32" ht="12.75">
      <c r="B31" s="10">
        <f t="shared" si="1"/>
        <v>17</v>
      </c>
      <c r="C31" s="20"/>
      <c r="D31" s="11" t="s">
        <v>737</v>
      </c>
      <c r="E31" s="20"/>
      <c r="F31" s="110"/>
      <c r="G31" s="20"/>
      <c r="H31" s="119">
        <f>+'ES 3.11'!J31+'ES 3.11'!J29</f>
        <v>827452.9767986379</v>
      </c>
      <c r="I31" s="144"/>
      <c r="J31" s="3"/>
      <c r="W31" s="164"/>
      <c r="X31" s="84"/>
      <c r="Y31" s="84"/>
      <c r="Z31" s="84"/>
      <c r="AA31" s="84"/>
      <c r="AB31" s="84"/>
      <c r="AC31" s="84"/>
      <c r="AD31" s="84"/>
      <c r="AE31" s="84"/>
      <c r="AF31" s="84"/>
    </row>
    <row r="32" spans="2:32" ht="12.75">
      <c r="B32" s="10">
        <f t="shared" si="1"/>
        <v>18</v>
      </c>
      <c r="C32" s="20"/>
      <c r="D32" s="63" t="s">
        <v>738</v>
      </c>
      <c r="E32" s="20"/>
      <c r="F32" s="110"/>
      <c r="G32" s="20"/>
      <c r="H32" s="97">
        <f>SUM(H26:H31)</f>
        <v>1935615.85695832</v>
      </c>
      <c r="I32" s="144"/>
      <c r="J32" s="3"/>
      <c r="M32" s="139"/>
      <c r="N32" s="139"/>
      <c r="W32" s="84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2:32" ht="12.75">
      <c r="B33" s="10">
        <f t="shared" si="1"/>
        <v>19</v>
      </c>
      <c r="C33" s="20"/>
      <c r="D33" s="11" t="s">
        <v>743</v>
      </c>
      <c r="E33" s="20"/>
      <c r="F33" s="110"/>
      <c r="G33" s="20"/>
      <c r="H33" s="87"/>
      <c r="I33" s="12"/>
      <c r="J33" s="3"/>
      <c r="M33" s="92"/>
      <c r="N33" s="92"/>
      <c r="W33" s="165"/>
      <c r="X33" s="84"/>
      <c r="Y33" s="84"/>
      <c r="Z33" s="84"/>
      <c r="AA33" s="84"/>
      <c r="AB33" s="84"/>
      <c r="AC33" s="84"/>
      <c r="AD33" s="84"/>
      <c r="AE33" s="84"/>
      <c r="AF33" s="84"/>
    </row>
    <row r="34" spans="2:32" ht="12.75">
      <c r="B34" s="10"/>
      <c r="C34" s="20"/>
      <c r="D34" s="11" t="s">
        <v>744</v>
      </c>
      <c r="E34" s="20"/>
      <c r="F34" s="110"/>
      <c r="G34" s="20"/>
      <c r="H34" s="87">
        <f>+H24+H32</f>
        <v>2749454.85695832</v>
      </c>
      <c r="I34" s="12"/>
      <c r="J34" s="3"/>
      <c r="K34" s="145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2:23" ht="13.5" thickBot="1">
      <c r="B35" s="44"/>
      <c r="C35" s="21"/>
      <c r="D35" s="16"/>
      <c r="E35" s="21"/>
      <c r="F35" s="111"/>
      <c r="G35" s="21"/>
      <c r="H35" s="17"/>
      <c r="I35" s="11"/>
      <c r="J35" s="3"/>
      <c r="M35" s="84"/>
      <c r="N35" s="140"/>
      <c r="W35" s="84"/>
    </row>
    <row r="36" spans="2:10" ht="12.75">
      <c r="B36" s="91"/>
      <c r="J36" s="3"/>
    </row>
    <row r="37" ht="12.75">
      <c r="J37" s="3"/>
    </row>
    <row r="38" spans="5:10" ht="12.75">
      <c r="E38" s="83"/>
      <c r="J38" s="3"/>
    </row>
    <row r="39" ht="12.75">
      <c r="J39" s="3"/>
    </row>
    <row r="40" spans="10:34" ht="12.75">
      <c r="J40" s="3"/>
      <c r="M40" s="3"/>
      <c r="N40" s="3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4"/>
      <c r="AH40" s="136"/>
    </row>
    <row r="41" spans="10:22" ht="12.75">
      <c r="J41" s="3"/>
      <c r="O41" s="147"/>
      <c r="P41" s="147"/>
      <c r="Q41" s="147"/>
      <c r="R41" s="147"/>
      <c r="S41" s="147"/>
      <c r="T41" s="147"/>
      <c r="U41" s="147"/>
      <c r="V41" s="147"/>
    </row>
    <row r="42" spans="10:34" ht="12.75">
      <c r="J42" s="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0:33" ht="12.75">
      <c r="J43" s="3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AG43" s="152"/>
    </row>
    <row r="44" ht="12.75">
      <c r="J44" s="3"/>
    </row>
    <row r="45" spans="13:34" ht="12.75"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84"/>
      <c r="AH45" s="153"/>
    </row>
    <row r="46" spans="15:34" ht="12.75">
      <c r="O46" s="33"/>
      <c r="P46" s="33"/>
      <c r="Q46" s="33"/>
      <c r="R46" s="33"/>
      <c r="S46" s="33"/>
      <c r="T46" s="33"/>
      <c r="U46" s="33"/>
      <c r="V46" s="33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0"/>
      <c r="AH46" s="60"/>
    </row>
    <row r="47" spans="15:34" ht="12.75">
      <c r="O47" s="33"/>
      <c r="P47" s="33"/>
      <c r="Q47" s="33"/>
      <c r="R47" s="33"/>
      <c r="S47" s="33"/>
      <c r="T47" s="33"/>
      <c r="U47" s="33"/>
      <c r="V47" s="33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0"/>
      <c r="AH47" s="60"/>
    </row>
    <row r="48" spans="5:32" ht="12.75">
      <c r="E48" s="83"/>
      <c r="O48" s="33"/>
      <c r="P48" s="33"/>
      <c r="Q48" s="33"/>
      <c r="R48" s="33"/>
      <c r="S48" s="33"/>
      <c r="T48" s="33"/>
      <c r="U48" s="33"/>
      <c r="V48" s="33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5:32" ht="12.75">
      <c r="O49" s="33"/>
      <c r="P49" s="33"/>
      <c r="Q49" s="33"/>
      <c r="R49" s="33"/>
      <c r="S49" s="33"/>
      <c r="T49" s="33"/>
      <c r="U49" s="33"/>
      <c r="V49" s="33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5:32" ht="12.75">
      <c r="O50" s="33"/>
      <c r="P50" s="33"/>
      <c r="Q50" s="33"/>
      <c r="R50" s="33"/>
      <c r="S50" s="33"/>
      <c r="T50" s="33"/>
      <c r="U50" s="33"/>
      <c r="V50" s="33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5:32" ht="12.75">
      <c r="O51" s="33"/>
      <c r="P51" s="33"/>
      <c r="Q51" s="33"/>
      <c r="R51" s="33"/>
      <c r="S51" s="33"/>
      <c r="T51" s="33"/>
      <c r="U51" s="33"/>
      <c r="V51" s="33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5:32" ht="12.75">
      <c r="O52" s="33"/>
      <c r="P52" s="33"/>
      <c r="Q52" s="33"/>
      <c r="R52" s="33"/>
      <c r="S52" s="33"/>
      <c r="T52" s="33"/>
      <c r="U52" s="33"/>
      <c r="V52" s="33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5:32" ht="12.75">
      <c r="O53" s="33"/>
      <c r="P53" s="33"/>
      <c r="Q53" s="33"/>
      <c r="R53" s="33"/>
      <c r="S53" s="33"/>
      <c r="T53" s="33"/>
      <c r="U53" s="33"/>
      <c r="V53" s="33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5:32" ht="12.75">
      <c r="O54" s="33"/>
      <c r="P54" s="33"/>
      <c r="Q54" s="33"/>
      <c r="R54" s="33"/>
      <c r="S54" s="33"/>
      <c r="T54" s="33"/>
      <c r="U54" s="33"/>
      <c r="V54" s="33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5:32" ht="12.75">
      <c r="O55" s="33"/>
      <c r="P55" s="33"/>
      <c r="Q55" s="33"/>
      <c r="R55" s="33"/>
      <c r="S55" s="33"/>
      <c r="T55" s="33"/>
      <c r="U55" s="33"/>
      <c r="V55" s="33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5:32" ht="12.75">
      <c r="O56" s="33"/>
      <c r="P56" s="33"/>
      <c r="Q56" s="33"/>
      <c r="R56" s="33"/>
      <c r="S56" s="33"/>
      <c r="T56" s="33"/>
      <c r="U56" s="33"/>
      <c r="V56" s="33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8" spans="15:32" ht="12.75">
      <c r="O58" s="146"/>
      <c r="P58" s="146"/>
      <c r="Q58" s="146"/>
      <c r="R58" s="146"/>
      <c r="S58" s="146"/>
      <c r="T58" s="146"/>
      <c r="U58" s="146"/>
      <c r="V58" s="146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</sheetData>
  <sheetProtection/>
  <printOptions horizontalCentered="1"/>
  <pageMargins left="0.5" right="0" top="0.5" bottom="0" header="0.5" footer="0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121"/>
  <sheetViews>
    <sheetView zoomScalePageLayoutView="0" workbookViewId="0" topLeftCell="A1">
      <pane xSplit="3" ySplit="7" topLeftCell="D29" activePane="bottomRight" state="frozen"/>
      <selection pane="topLeft" activeCell="H31" activeCellId="1" sqref="K25 H31"/>
      <selection pane="topRight" activeCell="H31" activeCellId="1" sqref="K25 H31"/>
      <selection pane="bottomLeft" activeCell="H31" activeCellId="1" sqref="K25 H31"/>
      <selection pane="bottomRight" activeCell="E113" sqref="E113"/>
    </sheetView>
  </sheetViews>
  <sheetFormatPr defaultColWidth="9.140625" defaultRowHeight="12.75"/>
  <cols>
    <col min="1" max="1" width="3.00390625" style="83" bestFit="1" customWidth="1"/>
    <col min="2" max="2" width="18.7109375" style="83" customWidth="1"/>
    <col min="3" max="3" width="2.28125" style="83" customWidth="1"/>
    <col min="4" max="4" width="11.7109375" style="83" bestFit="1" customWidth="1"/>
    <col min="5" max="5" width="13.8515625" style="83" bestFit="1" customWidth="1"/>
    <col min="6" max="6" width="13.8515625" style="83" customWidth="1"/>
    <col min="7" max="7" width="2.28125" style="83" customWidth="1"/>
    <col min="8" max="8" width="16.421875" style="83" customWidth="1"/>
    <col min="9" max="10" width="12.7109375" style="83" customWidth="1"/>
    <col min="11" max="11" width="12.57421875" style="83" bestFit="1" customWidth="1"/>
    <col min="12" max="12" width="15.7109375" style="83" customWidth="1"/>
    <col min="13" max="13" width="13.57421875" style="83" bestFit="1" customWidth="1"/>
    <col min="14" max="15" width="12.7109375" style="83" customWidth="1"/>
    <col min="16" max="16" width="15.00390625" style="83" bestFit="1" customWidth="1"/>
    <col min="17" max="17" width="3.7109375" style="83" customWidth="1"/>
    <col min="18" max="18" width="12.7109375" style="83" customWidth="1"/>
    <col min="19" max="19" width="3.7109375" style="83" customWidth="1"/>
    <col min="20" max="20" width="14.140625" style="83" customWidth="1"/>
    <col min="21" max="16384" width="9.140625" style="83" customWidth="1"/>
  </cols>
  <sheetData>
    <row r="1" spans="1:17" ht="12.75">
      <c r="A1" s="136" t="s">
        <v>118</v>
      </c>
      <c r="B1" s="312" t="s">
        <v>709</v>
      </c>
      <c r="E1" s="135"/>
      <c r="O1" s="312" t="s">
        <v>709</v>
      </c>
      <c r="P1" s="150"/>
      <c r="Q1" s="150"/>
    </row>
    <row r="2" spans="1:8" ht="12.75">
      <c r="A2" s="136"/>
      <c r="H2" s="125" t="s">
        <v>346</v>
      </c>
    </row>
    <row r="3" spans="1:8" ht="12.75">
      <c r="A3" s="136"/>
      <c r="H3" s="254" t="s">
        <v>17</v>
      </c>
    </row>
    <row r="4" spans="1:18" ht="12.75">
      <c r="A4" s="136"/>
      <c r="B4" s="183" t="s">
        <v>733</v>
      </c>
      <c r="H4" s="136" t="s">
        <v>692</v>
      </c>
      <c r="P4" s="183" t="s">
        <v>733</v>
      </c>
      <c r="R4" s="183"/>
    </row>
    <row r="5" ht="12.75">
      <c r="A5" s="136"/>
    </row>
    <row r="6" spans="1:18" ht="12.75">
      <c r="A6" s="136"/>
      <c r="B6" s="150" t="s">
        <v>623</v>
      </c>
      <c r="H6" s="393" t="str">
        <f>+'ES 1.0'!E7</f>
        <v>For the Expense Month of June 2014</v>
      </c>
      <c r="P6" s="150" t="s">
        <v>623</v>
      </c>
      <c r="R6" s="150"/>
    </row>
    <row r="7" ht="12.75">
      <c r="A7" s="136"/>
    </row>
    <row r="8" spans="1:17" ht="12.75">
      <c r="A8" s="166"/>
      <c r="D8" s="136"/>
      <c r="E8" s="256" t="s">
        <v>683</v>
      </c>
      <c r="F8" s="136" t="s">
        <v>684</v>
      </c>
      <c r="G8" s="136"/>
      <c r="H8" s="146" t="s">
        <v>683</v>
      </c>
      <c r="I8" s="146" t="s">
        <v>683</v>
      </c>
      <c r="J8" s="146" t="s">
        <v>683</v>
      </c>
      <c r="K8" s="146" t="s">
        <v>683</v>
      </c>
      <c r="L8" s="136" t="s">
        <v>684</v>
      </c>
      <c r="M8" s="136" t="s">
        <v>684</v>
      </c>
      <c r="N8" s="136" t="s">
        <v>684</v>
      </c>
      <c r="O8" s="183" t="s">
        <v>684</v>
      </c>
      <c r="P8" s="136" t="s">
        <v>684</v>
      </c>
      <c r="Q8" s="136"/>
    </row>
    <row r="9" spans="1:17" ht="52.5">
      <c r="A9" s="136"/>
      <c r="B9" s="259" t="s">
        <v>194</v>
      </c>
      <c r="D9" s="136" t="s">
        <v>653</v>
      </c>
      <c r="E9" s="166" t="s">
        <v>718</v>
      </c>
      <c r="F9" s="166" t="s">
        <v>718</v>
      </c>
      <c r="G9" s="166"/>
      <c r="H9" s="166" t="s">
        <v>719</v>
      </c>
      <c r="I9" s="166" t="s">
        <v>717</v>
      </c>
      <c r="J9" s="290" t="s">
        <v>276</v>
      </c>
      <c r="K9" s="253" t="s">
        <v>299</v>
      </c>
      <c r="L9" s="136" t="s">
        <v>720</v>
      </c>
      <c r="M9" s="166" t="s">
        <v>721</v>
      </c>
      <c r="N9" s="166" t="s">
        <v>222</v>
      </c>
      <c r="O9" s="259" t="s">
        <v>143</v>
      </c>
      <c r="P9" s="166" t="s">
        <v>149</v>
      </c>
      <c r="Q9" s="146"/>
    </row>
    <row r="10" spans="1:17" ht="12.75">
      <c r="A10" s="136"/>
      <c r="B10" s="257" t="s">
        <v>189</v>
      </c>
      <c r="D10" s="254"/>
      <c r="E10" s="166"/>
      <c r="F10" s="166"/>
      <c r="G10" s="166"/>
      <c r="H10" s="166" t="s">
        <v>190</v>
      </c>
      <c r="I10" s="166" t="s">
        <v>190</v>
      </c>
      <c r="J10" s="166" t="s">
        <v>190</v>
      </c>
      <c r="K10" s="253" t="s">
        <v>190</v>
      </c>
      <c r="L10" s="254" t="s">
        <v>191</v>
      </c>
      <c r="M10" s="166" t="s">
        <v>192</v>
      </c>
      <c r="N10" s="166" t="s">
        <v>192</v>
      </c>
      <c r="O10" s="166" t="s">
        <v>192</v>
      </c>
      <c r="P10" s="166" t="s">
        <v>192</v>
      </c>
      <c r="Q10" s="146"/>
    </row>
    <row r="11" spans="1:17" ht="66">
      <c r="A11" s="136"/>
      <c r="B11" s="257" t="s">
        <v>172</v>
      </c>
      <c r="D11" s="254"/>
      <c r="E11" s="254"/>
      <c r="F11" s="254"/>
      <c r="G11" s="254"/>
      <c r="H11" s="166" t="s">
        <v>261</v>
      </c>
      <c r="I11" s="416" t="s">
        <v>387</v>
      </c>
      <c r="J11" s="166" t="s">
        <v>265</v>
      </c>
      <c r="K11" s="286" t="s">
        <v>294</v>
      </c>
      <c r="L11" s="298" t="s">
        <v>328</v>
      </c>
      <c r="M11" s="166" t="s">
        <v>342</v>
      </c>
      <c r="N11" s="166" t="s">
        <v>227</v>
      </c>
      <c r="O11" s="252" t="s">
        <v>173</v>
      </c>
      <c r="P11" s="254" t="s">
        <v>176</v>
      </c>
      <c r="Q11" s="146"/>
    </row>
    <row r="12" spans="1:17" ht="26.25">
      <c r="A12" s="136"/>
      <c r="B12" s="156" t="s">
        <v>226</v>
      </c>
      <c r="D12" s="166" t="s">
        <v>234</v>
      </c>
      <c r="E12" s="166" t="s">
        <v>235</v>
      </c>
      <c r="F12" s="166" t="s">
        <v>329</v>
      </c>
      <c r="G12" s="166"/>
      <c r="H12" s="166" t="s">
        <v>330</v>
      </c>
      <c r="I12" s="166" t="s">
        <v>262</v>
      </c>
      <c r="J12" s="166" t="s">
        <v>275</v>
      </c>
      <c r="K12" s="253" t="s">
        <v>295</v>
      </c>
      <c r="L12" s="166" t="s">
        <v>122</v>
      </c>
      <c r="M12" s="166" t="s">
        <v>142</v>
      </c>
      <c r="N12" s="166" t="s">
        <v>142</v>
      </c>
      <c r="O12" s="252" t="s">
        <v>142</v>
      </c>
      <c r="P12" s="166" t="s">
        <v>150</v>
      </c>
      <c r="Q12" s="166"/>
    </row>
    <row r="13" spans="1:17" ht="12.75">
      <c r="A13" s="136"/>
      <c r="D13" s="136" t="s">
        <v>654</v>
      </c>
      <c r="E13" s="166" t="s">
        <v>644</v>
      </c>
      <c r="F13" s="136" t="s">
        <v>643</v>
      </c>
      <c r="G13" s="136"/>
      <c r="H13" s="136" t="s">
        <v>655</v>
      </c>
      <c r="I13" s="136" t="s">
        <v>645</v>
      </c>
      <c r="J13" s="136" t="s">
        <v>728</v>
      </c>
      <c r="K13" s="136" t="s">
        <v>730</v>
      </c>
      <c r="L13" s="136" t="s">
        <v>731</v>
      </c>
      <c r="M13" s="136" t="s">
        <v>732</v>
      </c>
      <c r="N13" s="166" t="s">
        <v>197</v>
      </c>
      <c r="O13" s="262" t="s">
        <v>198</v>
      </c>
      <c r="P13" s="166" t="s">
        <v>267</v>
      </c>
      <c r="Q13" s="136"/>
    </row>
    <row r="14" ht="12.75">
      <c r="P14" s="263"/>
    </row>
    <row r="15" spans="1:17" ht="12.75">
      <c r="A15" s="136">
        <v>1</v>
      </c>
      <c r="B15" s="83" t="s">
        <v>652</v>
      </c>
      <c r="D15" s="263">
        <v>1074750</v>
      </c>
      <c r="E15" s="263">
        <f>3784872+473617</f>
        <v>4258489</v>
      </c>
      <c r="F15" s="263">
        <f>10251842+38543-41162-5851+6506</f>
        <v>10249878</v>
      </c>
      <c r="G15" s="263"/>
      <c r="H15" s="263">
        <f>2724088+106039</f>
        <v>2830127</v>
      </c>
      <c r="I15" s="263">
        <v>85718</v>
      </c>
      <c r="J15" s="263">
        <v>19270</v>
      </c>
      <c r="K15" s="263">
        <v>121443</v>
      </c>
      <c r="L15" s="263">
        <f>10953624+2146491</f>
        <v>13100115</v>
      </c>
      <c r="M15" s="263">
        <v>120522014</v>
      </c>
      <c r="N15" s="263">
        <v>185886</v>
      </c>
      <c r="O15" s="263">
        <f>+H100</f>
        <v>9156034</v>
      </c>
      <c r="P15" s="263">
        <f>347549-4205</f>
        <v>343344</v>
      </c>
      <c r="Q15" s="263"/>
    </row>
    <row r="16" spans="1:20" ht="12.75">
      <c r="A16" s="136">
        <f>+A15+1</f>
        <v>2</v>
      </c>
      <c r="B16" s="83" t="s">
        <v>646</v>
      </c>
      <c r="D16" s="529">
        <v>-865895</v>
      </c>
      <c r="E16" s="529">
        <v>-2549139</v>
      </c>
      <c r="F16" s="529">
        <v>-7558097</v>
      </c>
      <c r="G16" s="529"/>
      <c r="H16" s="529">
        <v>-1283547</v>
      </c>
      <c r="I16" s="529">
        <v>-32766</v>
      </c>
      <c r="J16" s="529">
        <v>-7320</v>
      </c>
      <c r="K16" s="529">
        <v>-45194</v>
      </c>
      <c r="L16" s="530">
        <v>-5676921</v>
      </c>
      <c r="M16" s="529">
        <v>-50320397</v>
      </c>
      <c r="N16" s="529">
        <v>-77925</v>
      </c>
      <c r="O16" s="529">
        <v>-6113712</v>
      </c>
      <c r="P16" s="529">
        <v>-154656</v>
      </c>
      <c r="Q16" s="265"/>
      <c r="R16" s="265"/>
      <c r="S16" s="265"/>
      <c r="T16" s="265"/>
    </row>
    <row r="17" spans="1:20" ht="12.75">
      <c r="A17" s="136">
        <f>+A16+1</f>
        <v>3</v>
      </c>
      <c r="B17" s="83" t="s">
        <v>647</v>
      </c>
      <c r="D17" s="531">
        <v>-69952</v>
      </c>
      <c r="E17" s="531">
        <v>-327664</v>
      </c>
      <c r="F17" s="531">
        <v>-870606</v>
      </c>
      <c r="G17" s="531"/>
      <c r="H17" s="531">
        <v>-292662</v>
      </c>
      <c r="I17" s="531">
        <v>-9163</v>
      </c>
      <c r="J17" s="531">
        <v>-2076</v>
      </c>
      <c r="K17" s="531">
        <v>-13891</v>
      </c>
      <c r="L17" s="531">
        <v>-2082623</v>
      </c>
      <c r="M17" s="531">
        <v>-19827973</v>
      </c>
      <c r="N17" s="531">
        <v>-30472</v>
      </c>
      <c r="O17" s="531">
        <v>-582867</v>
      </c>
      <c r="P17" s="531">
        <v>-52530</v>
      </c>
      <c r="Q17" s="266"/>
      <c r="R17" s="266"/>
      <c r="S17" s="266"/>
      <c r="T17" s="266"/>
    </row>
    <row r="18" spans="1:17" ht="12.75">
      <c r="A18" s="136">
        <f>+A17+1</f>
        <v>4</v>
      </c>
      <c r="B18" s="136" t="s">
        <v>620</v>
      </c>
      <c r="D18" s="92">
        <f>+D15+D16+D17</f>
        <v>138903</v>
      </c>
      <c r="E18" s="92">
        <f>+E15+E16+E17</f>
        <v>1381686</v>
      </c>
      <c r="F18" s="92">
        <f>+F15+F16+F17</f>
        <v>1821175</v>
      </c>
      <c r="G18" s="92"/>
      <c r="H18" s="92">
        <f>+H15+H16+H17</f>
        <v>1253918</v>
      </c>
      <c r="I18" s="92">
        <f aca="true" t="shared" si="0" ref="I18:P18">+I15+I16+I17</f>
        <v>43789</v>
      </c>
      <c r="J18" s="92">
        <f t="shared" si="0"/>
        <v>9874</v>
      </c>
      <c r="K18" s="92">
        <f t="shared" si="0"/>
        <v>62358</v>
      </c>
      <c r="L18" s="92">
        <f t="shared" si="0"/>
        <v>5340571</v>
      </c>
      <c r="M18" s="92">
        <f t="shared" si="0"/>
        <v>50373644</v>
      </c>
      <c r="N18" s="92">
        <f t="shared" si="0"/>
        <v>77489</v>
      </c>
      <c r="O18" s="92">
        <f t="shared" si="0"/>
        <v>2459455</v>
      </c>
      <c r="P18" s="92">
        <f t="shared" si="0"/>
        <v>136158</v>
      </c>
      <c r="Q18" s="92"/>
    </row>
    <row r="19" spans="1:16" ht="12.75">
      <c r="A19" s="136"/>
      <c r="D19" s="263"/>
      <c r="P19" s="263"/>
    </row>
    <row r="20" spans="1:17" ht="26.25">
      <c r="A20" s="136">
        <f>+A18+1</f>
        <v>5</v>
      </c>
      <c r="B20" s="166" t="s">
        <v>648</v>
      </c>
      <c r="D20" s="263">
        <v>3639</v>
      </c>
      <c r="E20" s="263">
        <f>11922+1492</f>
        <v>13414</v>
      </c>
      <c r="F20" s="263">
        <f>32145+122</f>
        <v>32267</v>
      </c>
      <c r="G20" s="263"/>
      <c r="H20" s="251">
        <f>8581+334</f>
        <v>8915</v>
      </c>
      <c r="I20" s="263">
        <v>270</v>
      </c>
      <c r="J20" s="263">
        <v>61</v>
      </c>
      <c r="K20" s="263">
        <v>383</v>
      </c>
      <c r="L20" s="251">
        <f>34504+6761</f>
        <v>41265</v>
      </c>
      <c r="M20" s="263">
        <v>378222</v>
      </c>
      <c r="N20" s="263">
        <v>586</v>
      </c>
      <c r="O20" s="258">
        <f>+H101</f>
        <v>46030</v>
      </c>
      <c r="P20" s="263">
        <f>1095-13</f>
        <v>1082</v>
      </c>
      <c r="Q20" s="263"/>
    </row>
    <row r="21" spans="1:17" ht="12.75">
      <c r="A21" s="136"/>
      <c r="B21" s="166"/>
      <c r="D21" s="263"/>
      <c r="E21" s="263"/>
      <c r="F21" s="263"/>
      <c r="G21" s="263"/>
      <c r="H21" s="244"/>
      <c r="I21" s="263"/>
      <c r="J21" s="263"/>
      <c r="K21" s="244"/>
      <c r="L21" s="263"/>
      <c r="M21" s="263"/>
      <c r="N21" s="156"/>
      <c r="O21" s="156"/>
      <c r="P21" s="153"/>
      <c r="Q21" s="263"/>
    </row>
    <row r="22" spans="1:17" ht="12.75">
      <c r="A22" s="136"/>
      <c r="B22" s="166"/>
      <c r="D22" s="136" t="s">
        <v>684</v>
      </c>
      <c r="E22" s="136" t="s">
        <v>684</v>
      </c>
      <c r="F22" s="136" t="s">
        <v>684</v>
      </c>
      <c r="G22" s="136"/>
      <c r="H22" s="136" t="s">
        <v>684</v>
      </c>
      <c r="I22" s="136" t="s">
        <v>684</v>
      </c>
      <c r="J22" s="136" t="s">
        <v>684</v>
      </c>
      <c r="K22" s="136" t="s">
        <v>684</v>
      </c>
      <c r="L22" s="136" t="s">
        <v>684</v>
      </c>
      <c r="M22" s="136" t="s">
        <v>684</v>
      </c>
      <c r="N22" s="136" t="s">
        <v>684</v>
      </c>
      <c r="O22" s="136" t="s">
        <v>684</v>
      </c>
      <c r="P22" s="136" t="s">
        <v>684</v>
      </c>
      <c r="Q22" s="263"/>
    </row>
    <row r="23" spans="1:18" ht="66">
      <c r="A23" s="136"/>
      <c r="B23" s="166"/>
      <c r="D23" s="166" t="s">
        <v>188</v>
      </c>
      <c r="E23" s="166" t="s">
        <v>175</v>
      </c>
      <c r="F23" s="252" t="s">
        <v>151</v>
      </c>
      <c r="G23" s="252"/>
      <c r="H23" s="252" t="s">
        <v>165</v>
      </c>
      <c r="I23" s="252" t="s">
        <v>167</v>
      </c>
      <c r="J23" s="252" t="s">
        <v>174</v>
      </c>
      <c r="K23" s="252" t="s">
        <v>168</v>
      </c>
      <c r="L23" s="166" t="s">
        <v>169</v>
      </c>
      <c r="M23" s="166" t="s">
        <v>171</v>
      </c>
      <c r="N23" s="252" t="s">
        <v>228</v>
      </c>
      <c r="O23" s="252" t="s">
        <v>247</v>
      </c>
      <c r="P23" s="252" t="s">
        <v>248</v>
      </c>
      <c r="Q23" s="263"/>
      <c r="R23" s="146"/>
    </row>
    <row r="24" spans="1:18" ht="12.75">
      <c r="A24" s="136"/>
      <c r="B24" s="257" t="s">
        <v>189</v>
      </c>
      <c r="D24" s="166" t="s">
        <v>192</v>
      </c>
      <c r="E24" s="166" t="s">
        <v>192</v>
      </c>
      <c r="F24" s="166" t="s">
        <v>192</v>
      </c>
      <c r="G24" s="166"/>
      <c r="H24" s="166" t="s">
        <v>192</v>
      </c>
      <c r="I24" s="166" t="s">
        <v>192</v>
      </c>
      <c r="J24" s="166" t="s">
        <v>192</v>
      </c>
      <c r="K24" s="166" t="s">
        <v>192</v>
      </c>
      <c r="L24" s="166" t="s">
        <v>192</v>
      </c>
      <c r="M24" s="166" t="s">
        <v>192</v>
      </c>
      <c r="N24" s="166" t="s">
        <v>192</v>
      </c>
      <c r="O24" s="166" t="s">
        <v>192</v>
      </c>
      <c r="P24" s="166" t="s">
        <v>192</v>
      </c>
      <c r="Q24" s="263"/>
      <c r="R24" s="249"/>
    </row>
    <row r="25" spans="1:18" ht="12.75">
      <c r="A25" s="136"/>
      <c r="B25" s="257" t="s">
        <v>172</v>
      </c>
      <c r="D25" s="254" t="s">
        <v>177</v>
      </c>
      <c r="E25" s="254" t="s">
        <v>178</v>
      </c>
      <c r="F25" s="255" t="s">
        <v>179</v>
      </c>
      <c r="G25" s="255"/>
      <c r="H25" s="254" t="s">
        <v>180</v>
      </c>
      <c r="I25" s="254" t="s">
        <v>181</v>
      </c>
      <c r="J25" s="255" t="s">
        <v>182</v>
      </c>
      <c r="K25" s="254" t="s">
        <v>183</v>
      </c>
      <c r="L25" s="254" t="s">
        <v>184</v>
      </c>
      <c r="M25" s="254" t="s">
        <v>185</v>
      </c>
      <c r="N25" s="254" t="s">
        <v>223</v>
      </c>
      <c r="O25" s="254" t="s">
        <v>231</v>
      </c>
      <c r="P25" s="254" t="s">
        <v>244</v>
      </c>
      <c r="Q25" s="263"/>
      <c r="R25" s="249"/>
    </row>
    <row r="26" spans="1:18" ht="26.25">
      <c r="A26" s="136"/>
      <c r="B26" s="156" t="s">
        <v>186</v>
      </c>
      <c r="D26" s="166" t="s">
        <v>142</v>
      </c>
      <c r="E26" s="166" t="s">
        <v>142</v>
      </c>
      <c r="F26" s="166" t="s">
        <v>152</v>
      </c>
      <c r="G26" s="166"/>
      <c r="H26" s="166" t="s">
        <v>153</v>
      </c>
      <c r="I26" s="166" t="s">
        <v>166</v>
      </c>
      <c r="J26" s="166" t="s">
        <v>152</v>
      </c>
      <c r="K26" s="166" t="s">
        <v>170</v>
      </c>
      <c r="L26" s="166" t="s">
        <v>225</v>
      </c>
      <c r="M26" s="166" t="s">
        <v>225</v>
      </c>
      <c r="N26" s="166" t="s">
        <v>224</v>
      </c>
      <c r="O26" s="166" t="s">
        <v>232</v>
      </c>
      <c r="P26" s="166" t="s">
        <v>245</v>
      </c>
      <c r="Q26" s="263"/>
      <c r="R26" s="250"/>
    </row>
    <row r="27" spans="1:18" ht="12.75">
      <c r="A27" s="136"/>
      <c r="D27" s="262" t="s">
        <v>199</v>
      </c>
      <c r="E27" s="262" t="s">
        <v>200</v>
      </c>
      <c r="F27" s="262" t="s">
        <v>201</v>
      </c>
      <c r="G27" s="262"/>
      <c r="H27" s="262" t="s">
        <v>202</v>
      </c>
      <c r="I27" s="262" t="s">
        <v>203</v>
      </c>
      <c r="J27" s="262" t="s">
        <v>204</v>
      </c>
      <c r="K27" s="262" t="s">
        <v>205</v>
      </c>
      <c r="L27" s="262" t="s">
        <v>206</v>
      </c>
      <c r="M27" s="166" t="s">
        <v>207</v>
      </c>
      <c r="N27" s="166" t="s">
        <v>208</v>
      </c>
      <c r="O27" s="166" t="s">
        <v>209</v>
      </c>
      <c r="P27" s="166" t="s">
        <v>268</v>
      </c>
      <c r="Q27" s="263"/>
      <c r="R27" s="262"/>
    </row>
    <row r="28" spans="1:18" ht="12.75">
      <c r="A28" s="136"/>
      <c r="D28" s="263"/>
      <c r="E28" s="263"/>
      <c r="F28" s="244"/>
      <c r="G28" s="244"/>
      <c r="H28" s="263"/>
      <c r="I28" s="263"/>
      <c r="J28" s="244"/>
      <c r="K28" s="263"/>
      <c r="M28" s="263"/>
      <c r="N28" s="156"/>
      <c r="O28" s="156"/>
      <c r="P28" s="156"/>
      <c r="Q28" s="263"/>
      <c r="R28" s="153"/>
    </row>
    <row r="29" spans="1:18" ht="12.75">
      <c r="A29" s="136">
        <v>6</v>
      </c>
      <c r="B29" s="83" t="s">
        <v>652</v>
      </c>
      <c r="D29" s="263">
        <v>1079651</v>
      </c>
      <c r="E29" s="263">
        <v>1240</v>
      </c>
      <c r="F29" s="263">
        <v>367827</v>
      </c>
      <c r="G29" s="263"/>
      <c r="H29" s="263">
        <v>220324</v>
      </c>
      <c r="I29" s="263">
        <v>313802</v>
      </c>
      <c r="J29" s="263">
        <v>10093324</v>
      </c>
      <c r="K29" s="263">
        <v>5669966</v>
      </c>
      <c r="L29" s="263">
        <v>2093847</v>
      </c>
      <c r="M29" s="263">
        <v>2132481</v>
      </c>
      <c r="N29" s="263">
        <v>4317037</v>
      </c>
      <c r="O29" s="263">
        <v>1634904</v>
      </c>
      <c r="P29" s="263">
        <v>18019</v>
      </c>
      <c r="Q29" s="263"/>
      <c r="R29" s="153"/>
    </row>
    <row r="30" spans="1:18" ht="15">
      <c r="A30" s="534">
        <v>7</v>
      </c>
      <c r="B30" s="533" t="s">
        <v>646</v>
      </c>
      <c r="C30" s="532"/>
      <c r="D30" s="538">
        <v>-452330</v>
      </c>
      <c r="E30" s="538">
        <v>-532</v>
      </c>
      <c r="F30" s="538">
        <v>-154100</v>
      </c>
      <c r="G30" s="538"/>
      <c r="H30" s="538">
        <v>-92293</v>
      </c>
      <c r="I30" s="538">
        <v>-131390</v>
      </c>
      <c r="J30" s="538">
        <v>-4227333</v>
      </c>
      <c r="K30" s="538">
        <v>-2375167</v>
      </c>
      <c r="L30" s="539">
        <v>-864076</v>
      </c>
      <c r="M30" s="538">
        <v>-879927</v>
      </c>
      <c r="N30" s="538">
        <v>-1728744</v>
      </c>
      <c r="O30" s="538">
        <v>-660761</v>
      </c>
      <c r="P30" s="538">
        <v>-9715</v>
      </c>
      <c r="Q30" s="535"/>
      <c r="R30" s="536"/>
    </row>
    <row r="31" spans="1:18" ht="15">
      <c r="A31" s="534">
        <v>8</v>
      </c>
      <c r="B31" s="533" t="s">
        <v>647</v>
      </c>
      <c r="C31" s="532"/>
      <c r="D31" s="540">
        <v>-177078</v>
      </c>
      <c r="E31" s="540">
        <v>-199</v>
      </c>
      <c r="F31" s="540">
        <v>-60329</v>
      </c>
      <c r="G31" s="540"/>
      <c r="H31" s="540">
        <v>-36142</v>
      </c>
      <c r="I31" s="540">
        <v>-51497</v>
      </c>
      <c r="J31" s="540">
        <v>-1655920</v>
      </c>
      <c r="K31" s="540">
        <v>-930064</v>
      </c>
      <c r="L31" s="540">
        <v>-224435</v>
      </c>
      <c r="M31" s="540">
        <v>-228609</v>
      </c>
      <c r="N31" s="540">
        <v>-481209</v>
      </c>
      <c r="O31" s="540">
        <v>-155509</v>
      </c>
      <c r="P31" s="540">
        <v>-937</v>
      </c>
      <c r="Q31" s="535"/>
      <c r="R31" s="537"/>
    </row>
    <row r="32" spans="1:18" ht="12.75">
      <c r="A32" s="136">
        <f>+A31+1</f>
        <v>9</v>
      </c>
      <c r="B32" s="136" t="s">
        <v>620</v>
      </c>
      <c r="D32" s="92">
        <f aca="true" t="shared" si="1" ref="D32:P32">+D29+D30+D31</f>
        <v>450243</v>
      </c>
      <c r="E32" s="92">
        <f t="shared" si="1"/>
        <v>509</v>
      </c>
      <c r="F32" s="92">
        <f t="shared" si="1"/>
        <v>153398</v>
      </c>
      <c r="G32" s="92"/>
      <c r="H32" s="92">
        <f t="shared" si="1"/>
        <v>91889</v>
      </c>
      <c r="I32" s="92">
        <f t="shared" si="1"/>
        <v>130915</v>
      </c>
      <c r="J32" s="92">
        <f t="shared" si="1"/>
        <v>4210071</v>
      </c>
      <c r="K32" s="92">
        <f t="shared" si="1"/>
        <v>2364735</v>
      </c>
      <c r="L32" s="92">
        <f t="shared" si="1"/>
        <v>1005336</v>
      </c>
      <c r="M32" s="92">
        <f t="shared" si="1"/>
        <v>1023945</v>
      </c>
      <c r="N32" s="92">
        <f t="shared" si="1"/>
        <v>2107084</v>
      </c>
      <c r="O32" s="92">
        <f t="shared" si="1"/>
        <v>818634</v>
      </c>
      <c r="P32" s="92">
        <f t="shared" si="1"/>
        <v>7367</v>
      </c>
      <c r="Q32" s="263"/>
      <c r="R32" s="153"/>
    </row>
    <row r="33" spans="1:17" ht="12.75">
      <c r="A33" s="136"/>
      <c r="D33" s="263"/>
      <c r="E33" s="263"/>
      <c r="F33" s="244"/>
      <c r="G33" s="244"/>
      <c r="H33" s="263"/>
      <c r="I33" s="263"/>
      <c r="J33" s="244"/>
      <c r="K33" s="263"/>
      <c r="M33" s="263"/>
      <c r="N33" s="263"/>
      <c r="P33" s="263"/>
      <c r="Q33" s="263"/>
    </row>
    <row r="34" spans="1:17" ht="26.25">
      <c r="A34" s="136">
        <f>+A32+1</f>
        <v>10</v>
      </c>
      <c r="B34" s="166" t="s">
        <v>648</v>
      </c>
      <c r="D34" s="263">
        <v>3401</v>
      </c>
      <c r="E34" s="263">
        <v>4</v>
      </c>
      <c r="F34" s="263">
        <v>1159</v>
      </c>
      <c r="G34" s="263"/>
      <c r="H34" s="263">
        <v>694</v>
      </c>
      <c r="I34" s="263">
        <v>988</v>
      </c>
      <c r="J34" s="263">
        <v>31794</v>
      </c>
      <c r="K34" s="263">
        <v>17860</v>
      </c>
      <c r="L34" s="263">
        <v>6596</v>
      </c>
      <c r="M34" s="263">
        <v>6717</v>
      </c>
      <c r="N34" s="263">
        <v>13599</v>
      </c>
      <c r="O34" s="263">
        <v>5150</v>
      </c>
      <c r="P34" s="263">
        <v>57</v>
      </c>
      <c r="Q34" s="263"/>
    </row>
    <row r="35" spans="1:20" ht="12.75">
      <c r="A35" s="136"/>
      <c r="B35" s="166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153"/>
      <c r="T35" s="2"/>
    </row>
    <row r="36" spans="1:20" ht="12.75">
      <c r="A36" s="136"/>
      <c r="B36" s="166"/>
      <c r="D36" s="240" t="s">
        <v>684</v>
      </c>
      <c r="E36" s="240" t="s">
        <v>684</v>
      </c>
      <c r="F36" s="240" t="s">
        <v>684</v>
      </c>
      <c r="G36" s="240"/>
      <c r="H36" s="256" t="s">
        <v>683</v>
      </c>
      <c r="I36" s="263"/>
      <c r="J36" s="263"/>
      <c r="K36" s="240" t="s">
        <v>684</v>
      </c>
      <c r="L36" s="240" t="s">
        <v>684</v>
      </c>
      <c r="M36" s="240" t="s">
        <v>684</v>
      </c>
      <c r="N36" s="240" t="s">
        <v>684</v>
      </c>
      <c r="O36" s="240" t="s">
        <v>684</v>
      </c>
      <c r="P36" s="240" t="s">
        <v>684</v>
      </c>
      <c r="Q36" s="263"/>
      <c r="R36" s="153"/>
      <c r="T36" s="2"/>
    </row>
    <row r="37" spans="1:20" ht="26.25">
      <c r="A37" s="136"/>
      <c r="B37" s="166"/>
      <c r="D37" s="294" t="s">
        <v>302</v>
      </c>
      <c r="E37" s="294" t="s">
        <v>331</v>
      </c>
      <c r="F37" s="294" t="s">
        <v>335</v>
      </c>
      <c r="G37" s="294"/>
      <c r="H37" s="298" t="s">
        <v>696</v>
      </c>
      <c r="I37" s="136" t="s">
        <v>653</v>
      </c>
      <c r="J37" s="166" t="s">
        <v>718</v>
      </c>
      <c r="K37" s="262" t="s">
        <v>721</v>
      </c>
      <c r="L37" s="262" t="s">
        <v>721</v>
      </c>
      <c r="M37" s="262" t="s">
        <v>721</v>
      </c>
      <c r="N37" s="298" t="s">
        <v>462</v>
      </c>
      <c r="O37" s="262" t="s">
        <v>720</v>
      </c>
      <c r="P37" s="166" t="s">
        <v>446</v>
      </c>
      <c r="Q37" s="263"/>
      <c r="R37" s="153"/>
      <c r="T37" s="2"/>
    </row>
    <row r="38" spans="1:20" ht="12.75">
      <c r="A38" s="136"/>
      <c r="B38" s="257" t="s">
        <v>189</v>
      </c>
      <c r="D38" s="252" t="s">
        <v>192</v>
      </c>
      <c r="E38" s="252" t="s">
        <v>192</v>
      </c>
      <c r="F38" s="252" t="s">
        <v>192</v>
      </c>
      <c r="G38" s="252"/>
      <c r="H38" s="166" t="s">
        <v>190</v>
      </c>
      <c r="I38" s="166" t="s">
        <v>347</v>
      </c>
      <c r="J38" s="166" t="s">
        <v>347</v>
      </c>
      <c r="K38" s="166" t="s">
        <v>347</v>
      </c>
      <c r="L38" s="166" t="s">
        <v>347</v>
      </c>
      <c r="M38" s="166" t="s">
        <v>347</v>
      </c>
      <c r="N38" s="166" t="s">
        <v>347</v>
      </c>
      <c r="O38" s="166" t="s">
        <v>347</v>
      </c>
      <c r="P38" s="166" t="s">
        <v>347</v>
      </c>
      <c r="Q38" s="263"/>
      <c r="R38" s="153"/>
      <c r="T38" s="2"/>
    </row>
    <row r="39" spans="1:20" ht="18">
      <c r="A39" s="136"/>
      <c r="B39" s="257" t="s">
        <v>172</v>
      </c>
      <c r="D39" s="255" t="s">
        <v>300</v>
      </c>
      <c r="E39" s="255" t="s">
        <v>697</v>
      </c>
      <c r="F39" s="255" t="s">
        <v>698</v>
      </c>
      <c r="G39" s="255"/>
      <c r="H39" s="166" t="s">
        <v>699</v>
      </c>
      <c r="I39" s="166" t="s">
        <v>348</v>
      </c>
      <c r="J39" s="166" t="s">
        <v>362</v>
      </c>
      <c r="K39" s="166" t="s">
        <v>364</v>
      </c>
      <c r="L39" s="166" t="s">
        <v>367</v>
      </c>
      <c r="M39" s="349" t="s">
        <v>368</v>
      </c>
      <c r="N39" s="349" t="s">
        <v>447</v>
      </c>
      <c r="O39" s="298" t="s">
        <v>504</v>
      </c>
      <c r="P39" s="350" t="s">
        <v>448</v>
      </c>
      <c r="Q39" s="263"/>
      <c r="R39" s="153"/>
      <c r="T39" s="2"/>
    </row>
    <row r="40" spans="1:20" ht="26.25">
      <c r="A40" s="136"/>
      <c r="B40" s="166"/>
      <c r="D40" s="252" t="s">
        <v>301</v>
      </c>
      <c r="E40" s="252" t="s">
        <v>334</v>
      </c>
      <c r="F40" s="252" t="s">
        <v>336</v>
      </c>
      <c r="G40" s="252"/>
      <c r="H40" s="166" t="s">
        <v>700</v>
      </c>
      <c r="I40" s="166" t="s">
        <v>361</v>
      </c>
      <c r="J40" s="166" t="s">
        <v>363</v>
      </c>
      <c r="K40" s="166" t="s">
        <v>363</v>
      </c>
      <c r="L40" s="166" t="s">
        <v>365</v>
      </c>
      <c r="M40" s="166" t="s">
        <v>366</v>
      </c>
      <c r="N40" s="166" t="s">
        <v>369</v>
      </c>
      <c r="O40" s="166" t="s">
        <v>497</v>
      </c>
      <c r="P40" s="350" t="s">
        <v>449</v>
      </c>
      <c r="Q40" s="263"/>
      <c r="R40" s="245"/>
      <c r="T40" s="2"/>
    </row>
    <row r="41" spans="1:20" ht="12.75">
      <c r="A41" s="136"/>
      <c r="B41" s="166"/>
      <c r="D41" s="136" t="s">
        <v>370</v>
      </c>
      <c r="E41" s="262" t="s">
        <v>210</v>
      </c>
      <c r="F41" s="262" t="s">
        <v>211</v>
      </c>
      <c r="G41" s="262"/>
      <c r="H41" s="262" t="s">
        <v>496</v>
      </c>
      <c r="I41" s="262" t="s">
        <v>212</v>
      </c>
      <c r="J41" s="262" t="s">
        <v>218</v>
      </c>
      <c r="K41" s="262" t="s">
        <v>219</v>
      </c>
      <c r="L41" s="262" t="s">
        <v>220</v>
      </c>
      <c r="M41" s="262" t="s">
        <v>221</v>
      </c>
      <c r="N41" s="262" t="s">
        <v>233</v>
      </c>
      <c r="O41" s="262" t="s">
        <v>246</v>
      </c>
      <c r="P41" s="262" t="s">
        <v>269</v>
      </c>
      <c r="Q41" s="263"/>
      <c r="R41" s="262"/>
      <c r="T41" s="2"/>
    </row>
    <row r="42" spans="1:20" ht="12.75">
      <c r="A42" s="136"/>
      <c r="B42" s="166"/>
      <c r="D42" s="262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153"/>
      <c r="T42" s="2"/>
    </row>
    <row r="43" spans="1:20" ht="12.75">
      <c r="A43" s="136">
        <f>+A34+1</f>
        <v>11</v>
      </c>
      <c r="B43" s="83" t="s">
        <v>652</v>
      </c>
      <c r="D43" s="263">
        <v>221319</v>
      </c>
      <c r="E43" s="263">
        <v>1607806</v>
      </c>
      <c r="F43" s="263">
        <v>63911</v>
      </c>
      <c r="G43" s="263"/>
      <c r="H43" s="263">
        <v>229987</v>
      </c>
      <c r="I43" s="263">
        <f>26012+2916+88098</f>
        <v>117026</v>
      </c>
      <c r="J43" s="263">
        <f>211</f>
        <v>211</v>
      </c>
      <c r="K43" s="263">
        <f>42542</f>
        <v>42542</v>
      </c>
      <c r="L43" s="263">
        <v>23282</v>
      </c>
      <c r="M43" s="263">
        <v>20360</v>
      </c>
      <c r="N43" s="153">
        <v>0</v>
      </c>
      <c r="O43" s="263">
        <f>6947+434+293432</f>
        <v>300813</v>
      </c>
      <c r="P43" s="263">
        <f>99460+13030</f>
        <v>112490</v>
      </c>
      <c r="Q43" s="263"/>
      <c r="T43" s="2"/>
    </row>
    <row r="44" spans="1:20" ht="15">
      <c r="A44" s="534">
        <v>12</v>
      </c>
      <c r="B44" s="533" t="s">
        <v>646</v>
      </c>
      <c r="C44" s="532"/>
      <c r="D44" s="542">
        <v>-81549</v>
      </c>
      <c r="E44" s="542">
        <v>-566671</v>
      </c>
      <c r="F44" s="542">
        <v>-22120</v>
      </c>
      <c r="G44" s="542"/>
      <c r="H44" s="542">
        <v>-73124</v>
      </c>
      <c r="I44" s="542">
        <v>-12886</v>
      </c>
      <c r="J44" s="542">
        <v>-107</v>
      </c>
      <c r="K44" s="542">
        <v>-14338</v>
      </c>
      <c r="L44" s="543">
        <v>-7738</v>
      </c>
      <c r="M44" s="542">
        <v>-6592</v>
      </c>
      <c r="N44" s="542">
        <v>0</v>
      </c>
      <c r="O44" s="542">
        <v>-17822</v>
      </c>
      <c r="P44" s="542">
        <v>-30973</v>
      </c>
      <c r="Q44" s="535"/>
      <c r="R44" s="532"/>
      <c r="S44" s="532"/>
      <c r="T44" s="541"/>
    </row>
    <row r="45" spans="1:20" ht="15">
      <c r="A45" s="534">
        <v>13</v>
      </c>
      <c r="B45" s="533" t="s">
        <v>647</v>
      </c>
      <c r="C45" s="532"/>
      <c r="D45" s="544">
        <v>-24728</v>
      </c>
      <c r="E45" s="544">
        <v>-107749</v>
      </c>
      <c r="F45" s="544">
        <v>-4425</v>
      </c>
      <c r="G45" s="544"/>
      <c r="H45" s="544">
        <v>-54902</v>
      </c>
      <c r="I45" s="544">
        <v>-14527</v>
      </c>
      <c r="J45" s="544">
        <v>0</v>
      </c>
      <c r="K45" s="544">
        <v>-2564</v>
      </c>
      <c r="L45" s="544">
        <v>-1441</v>
      </c>
      <c r="M45" s="544">
        <v>-1321</v>
      </c>
      <c r="N45" s="544">
        <v>0</v>
      </c>
      <c r="O45" s="544">
        <v>-42679</v>
      </c>
      <c r="P45" s="544">
        <v>-7453</v>
      </c>
      <c r="Q45" s="535"/>
      <c r="R45" s="532"/>
      <c r="S45" s="532"/>
      <c r="T45" s="541"/>
    </row>
    <row r="46" spans="1:20" ht="12.75">
      <c r="A46" s="136">
        <f>+A45+1</f>
        <v>14</v>
      </c>
      <c r="B46" s="136" t="s">
        <v>620</v>
      </c>
      <c r="D46" s="92">
        <f>+D43+D44+D45</f>
        <v>115042</v>
      </c>
      <c r="E46" s="92">
        <f>+E43+E44+E45</f>
        <v>933386</v>
      </c>
      <c r="F46" s="92">
        <f>+F43+F44+F45</f>
        <v>37366</v>
      </c>
      <c r="G46" s="92"/>
      <c r="H46" s="92">
        <f aca="true" t="shared" si="2" ref="H46:P46">+H43+H44+H45</f>
        <v>101961</v>
      </c>
      <c r="I46" s="92">
        <f t="shared" si="2"/>
        <v>89613</v>
      </c>
      <c r="J46" s="92">
        <f t="shared" si="2"/>
        <v>104</v>
      </c>
      <c r="K46" s="92">
        <f t="shared" si="2"/>
        <v>25640</v>
      </c>
      <c r="L46" s="92">
        <f t="shared" si="2"/>
        <v>14103</v>
      </c>
      <c r="M46" s="92">
        <f t="shared" si="2"/>
        <v>12447</v>
      </c>
      <c r="N46" s="382">
        <f t="shared" si="2"/>
        <v>0</v>
      </c>
      <c r="O46" s="92">
        <f t="shared" si="2"/>
        <v>240312</v>
      </c>
      <c r="P46" s="92">
        <f t="shared" si="2"/>
        <v>74064</v>
      </c>
      <c r="Q46" s="263"/>
      <c r="T46" s="289"/>
    </row>
    <row r="47" spans="1:20" ht="12.75">
      <c r="A47" s="136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153"/>
      <c r="O47" s="263"/>
      <c r="P47" s="263"/>
      <c r="Q47" s="263"/>
      <c r="T47" s="289"/>
    </row>
    <row r="48" spans="1:20" ht="26.25">
      <c r="A48" s="136">
        <f>+A46+1</f>
        <v>15</v>
      </c>
      <c r="B48" s="166" t="s">
        <v>648</v>
      </c>
      <c r="D48" s="263">
        <v>697</v>
      </c>
      <c r="E48" s="263">
        <v>5065</v>
      </c>
      <c r="F48" s="263">
        <v>201</v>
      </c>
      <c r="G48" s="263"/>
      <c r="H48" s="263">
        <v>724</v>
      </c>
      <c r="I48" s="263">
        <v>82</v>
      </c>
      <c r="J48" s="263">
        <v>1</v>
      </c>
      <c r="K48" s="263">
        <v>134</v>
      </c>
      <c r="L48" s="263">
        <v>73</v>
      </c>
      <c r="M48" s="263">
        <v>64</v>
      </c>
      <c r="N48" s="153">
        <v>0</v>
      </c>
      <c r="O48" s="263">
        <v>22</v>
      </c>
      <c r="P48" s="263">
        <v>313</v>
      </c>
      <c r="Q48" s="263"/>
      <c r="T48" s="2"/>
    </row>
    <row r="49" spans="1:20" ht="12.75">
      <c r="A49" s="136"/>
      <c r="B49" s="166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T49" s="2"/>
    </row>
    <row r="50" spans="1:20" ht="12.75">
      <c r="A50" s="136"/>
      <c r="B50" s="166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T50" s="2"/>
    </row>
    <row r="51" spans="1:20" ht="12.75">
      <c r="A51" s="136"/>
      <c r="B51" s="166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T51" s="2"/>
    </row>
    <row r="52" spans="1:20" ht="12.75">
      <c r="A52" s="136"/>
      <c r="B52" s="166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T52" s="2"/>
    </row>
    <row r="53" spans="1:20" ht="12.75">
      <c r="A53" s="136"/>
      <c r="B53" s="166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153"/>
      <c r="T53" s="2"/>
    </row>
    <row r="54" spans="1:20" ht="21">
      <c r="A54" s="136"/>
      <c r="B54" s="166"/>
      <c r="D54" s="240" t="s">
        <v>684</v>
      </c>
      <c r="E54" s="294" t="s">
        <v>653</v>
      </c>
      <c r="F54" s="294" t="s">
        <v>653</v>
      </c>
      <c r="G54" s="263"/>
      <c r="H54" s="294" t="s">
        <v>413</v>
      </c>
      <c r="I54" s="294" t="s">
        <v>653</v>
      </c>
      <c r="J54" s="294" t="s">
        <v>502</v>
      </c>
      <c r="K54" s="389" t="s">
        <v>720</v>
      </c>
      <c r="L54" s="294" t="s">
        <v>337</v>
      </c>
      <c r="M54" s="294" t="s">
        <v>33</v>
      </c>
      <c r="N54" s="263"/>
      <c r="O54" s="263"/>
      <c r="P54" s="263"/>
      <c r="Q54" s="263"/>
      <c r="R54" s="153"/>
      <c r="T54" s="2"/>
    </row>
    <row r="55" spans="1:20" ht="12.75">
      <c r="A55" s="136"/>
      <c r="B55" s="166"/>
      <c r="D55" s="294" t="s">
        <v>720</v>
      </c>
      <c r="E55" s="381" t="s">
        <v>388</v>
      </c>
      <c r="F55" s="263"/>
      <c r="G55" s="263"/>
      <c r="H55" s="263"/>
      <c r="J55" s="263"/>
      <c r="K55" s="263"/>
      <c r="L55" s="263"/>
      <c r="M55" s="263"/>
      <c r="N55" s="263"/>
      <c r="O55" s="263"/>
      <c r="P55" s="263"/>
      <c r="Q55" s="263"/>
      <c r="R55" s="153"/>
      <c r="T55" s="2"/>
    </row>
    <row r="56" spans="1:20" ht="12.75">
      <c r="A56" s="136"/>
      <c r="B56" s="257" t="s">
        <v>189</v>
      </c>
      <c r="D56" s="252" t="s">
        <v>347</v>
      </c>
      <c r="E56" s="252" t="s">
        <v>347</v>
      </c>
      <c r="F56" s="252" t="s">
        <v>347</v>
      </c>
      <c r="G56" s="263"/>
      <c r="H56" s="252" t="s">
        <v>347</v>
      </c>
      <c r="I56" s="252" t="s">
        <v>347</v>
      </c>
      <c r="J56" s="252" t="s">
        <v>347</v>
      </c>
      <c r="K56" s="252" t="s">
        <v>347</v>
      </c>
      <c r="L56" s="252" t="s">
        <v>347</v>
      </c>
      <c r="M56" s="252" t="s">
        <v>347</v>
      </c>
      <c r="N56" s="263"/>
      <c r="O56" s="263"/>
      <c r="P56" s="263"/>
      <c r="Q56" s="263"/>
      <c r="R56" s="153"/>
      <c r="T56" s="2"/>
    </row>
    <row r="57" spans="1:20" ht="26.25">
      <c r="A57" s="136"/>
      <c r="B57" s="257" t="s">
        <v>172</v>
      </c>
      <c r="D57" s="255" t="s">
        <v>450</v>
      </c>
      <c r="E57" s="255" t="s">
        <v>389</v>
      </c>
      <c r="F57" s="255" t="s">
        <v>256</v>
      </c>
      <c r="G57" s="263"/>
      <c r="H57" s="255" t="s">
        <v>257</v>
      </c>
      <c r="I57" s="252" t="s">
        <v>414</v>
      </c>
      <c r="J57" s="390" t="s">
        <v>415</v>
      </c>
      <c r="K57" s="252" t="s">
        <v>416</v>
      </c>
      <c r="L57" s="252" t="s">
        <v>338</v>
      </c>
      <c r="M57" s="252" t="s">
        <v>33</v>
      </c>
      <c r="N57" s="263"/>
      <c r="O57" s="263"/>
      <c r="P57" s="263"/>
      <c r="Q57" s="263"/>
      <c r="R57" s="153"/>
      <c r="T57" s="2"/>
    </row>
    <row r="58" spans="1:20" ht="12.75">
      <c r="A58" s="136"/>
      <c r="B58" s="166"/>
      <c r="D58" s="252" t="s">
        <v>451</v>
      </c>
      <c r="E58" s="252" t="s">
        <v>390</v>
      </c>
      <c r="F58" s="252" t="s">
        <v>258</v>
      </c>
      <c r="G58" s="263"/>
      <c r="H58" s="252" t="s">
        <v>259</v>
      </c>
      <c r="I58" s="252" t="s">
        <v>417</v>
      </c>
      <c r="J58" s="252" t="s">
        <v>418</v>
      </c>
      <c r="K58" s="252" t="s">
        <v>419</v>
      </c>
      <c r="L58" s="252" t="s">
        <v>339</v>
      </c>
      <c r="M58" s="252" t="s">
        <v>34</v>
      </c>
      <c r="N58" s="263"/>
      <c r="O58" s="263"/>
      <c r="P58" s="263"/>
      <c r="Q58" s="263"/>
      <c r="R58" s="245" t="s">
        <v>529</v>
      </c>
      <c r="T58" s="2"/>
    </row>
    <row r="59" spans="1:20" ht="12.75">
      <c r="A59" s="136"/>
      <c r="B59" s="166"/>
      <c r="D59" s="262" t="s">
        <v>270</v>
      </c>
      <c r="E59" s="262" t="s">
        <v>271</v>
      </c>
      <c r="F59" s="262" t="s">
        <v>272</v>
      </c>
      <c r="G59" s="263"/>
      <c r="H59" s="262" t="s">
        <v>371</v>
      </c>
      <c r="I59" s="262" t="s">
        <v>372</v>
      </c>
      <c r="J59" s="262" t="s">
        <v>373</v>
      </c>
      <c r="K59" s="262" t="s">
        <v>374</v>
      </c>
      <c r="L59" s="262" t="s">
        <v>373</v>
      </c>
      <c r="M59" s="262" t="s">
        <v>376</v>
      </c>
      <c r="N59" s="263"/>
      <c r="O59" s="263"/>
      <c r="P59" s="263"/>
      <c r="Q59" s="263"/>
      <c r="R59" s="153"/>
      <c r="T59" s="2"/>
    </row>
    <row r="60" spans="1:20" ht="12.75">
      <c r="A60" s="136"/>
      <c r="B60" s="166"/>
      <c r="D60" s="262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153"/>
      <c r="T60" s="2"/>
    </row>
    <row r="61" spans="1:20" ht="12.75">
      <c r="A61" s="136">
        <f>+A48+1</f>
        <v>16</v>
      </c>
      <c r="B61" s="83" t="s">
        <v>652</v>
      </c>
      <c r="D61" s="263">
        <v>8902</v>
      </c>
      <c r="E61" s="263">
        <v>119331</v>
      </c>
      <c r="F61" s="263">
        <v>93336</v>
      </c>
      <c r="G61" s="263"/>
      <c r="H61" s="263">
        <v>45950</v>
      </c>
      <c r="I61" s="263">
        <f>94161-64455-16067+37417-23239</f>
        <v>27817</v>
      </c>
      <c r="J61" s="263">
        <f>-33367</f>
        <v>-33367</v>
      </c>
      <c r="K61" s="263">
        <f>222446-42338-1-944+85</f>
        <v>179248</v>
      </c>
      <c r="L61" s="263">
        <f>25884-25585+17813</f>
        <v>18112</v>
      </c>
      <c r="M61" s="263">
        <v>96984</v>
      </c>
      <c r="N61" s="263"/>
      <c r="O61" s="263"/>
      <c r="P61" s="263"/>
      <c r="Q61" s="263"/>
      <c r="R61" s="153">
        <f>+D15+E15+F15+H15+I15+J15+K15+L15+M15+N15+O15+P15+D29+E29+F29+H29+I29+J29+K29+L29+M29+N29+O29+P29+D43+E43+F43+H43+I43+J43+K43+L43+M43+N43+O43+P43+D61+E61+F61+H61+I61+J61+K61+L61+M61</f>
        <v>193185550</v>
      </c>
      <c r="T61" s="2"/>
    </row>
    <row r="62" spans="1:21" ht="15">
      <c r="A62" s="534">
        <v>17</v>
      </c>
      <c r="B62" s="533" t="s">
        <v>646</v>
      </c>
      <c r="C62" s="532"/>
      <c r="D62" s="549">
        <v>-2706</v>
      </c>
      <c r="E62" s="549">
        <v>-32712</v>
      </c>
      <c r="F62" s="549">
        <v>-24402</v>
      </c>
      <c r="G62" s="549"/>
      <c r="H62" s="549">
        <v>-12035</v>
      </c>
      <c r="I62" s="549">
        <v>-7491</v>
      </c>
      <c r="J62" s="549">
        <v>9030</v>
      </c>
      <c r="K62" s="549">
        <v>-44634</v>
      </c>
      <c r="L62" s="550">
        <v>-3762</v>
      </c>
      <c r="M62" s="549">
        <v>-16470</v>
      </c>
      <c r="N62" s="545"/>
      <c r="O62" s="545"/>
      <c r="P62" s="545"/>
      <c r="Q62" s="535"/>
      <c r="R62" s="546">
        <v>-87231039</v>
      </c>
      <c r="S62" s="532"/>
      <c r="T62" s="541"/>
      <c r="U62" s="535"/>
    </row>
    <row r="63" spans="1:21" ht="15">
      <c r="A63" s="534">
        <v>18</v>
      </c>
      <c r="B63" s="533" t="s">
        <v>647</v>
      </c>
      <c r="C63" s="532"/>
      <c r="D63" s="551">
        <v>-501</v>
      </c>
      <c r="E63" s="551">
        <v>-6080</v>
      </c>
      <c r="F63" s="551">
        <v>-5170</v>
      </c>
      <c r="G63" s="551"/>
      <c r="H63" s="551">
        <v>-2537</v>
      </c>
      <c r="I63" s="551">
        <v>-1464</v>
      </c>
      <c r="J63" s="551">
        <v>1741</v>
      </c>
      <c r="K63" s="551">
        <v>-10709</v>
      </c>
      <c r="L63" s="551">
        <v>-1046</v>
      </c>
      <c r="M63" s="551">
        <v>-5159</v>
      </c>
      <c r="N63" s="547"/>
      <c r="O63" s="547"/>
      <c r="P63" s="547"/>
      <c r="Q63" s="535"/>
      <c r="R63" s="546">
        <v>-28457121</v>
      </c>
      <c r="S63" s="532"/>
      <c r="T63" s="533" t="s">
        <v>118</v>
      </c>
      <c r="U63" s="548"/>
    </row>
    <row r="64" spans="1:20" ht="12.75">
      <c r="A64" s="136">
        <f>+A63+1</f>
        <v>19</v>
      </c>
      <c r="B64" s="136" t="s">
        <v>620</v>
      </c>
      <c r="D64" s="92">
        <f>+D61+D62+D63</f>
        <v>5695</v>
      </c>
      <c r="E64" s="92">
        <f>+E61+E62+E63</f>
        <v>80539</v>
      </c>
      <c r="F64" s="92">
        <f>+F61+F62+F63</f>
        <v>63764</v>
      </c>
      <c r="G64" s="263"/>
      <c r="H64" s="92">
        <f aca="true" t="shared" si="3" ref="H64:M64">+H61+H62+H63</f>
        <v>31378</v>
      </c>
      <c r="I64" s="92">
        <f t="shared" si="3"/>
        <v>18862</v>
      </c>
      <c r="J64" s="92">
        <f t="shared" si="3"/>
        <v>-22596</v>
      </c>
      <c r="K64" s="92">
        <f t="shared" si="3"/>
        <v>123905</v>
      </c>
      <c r="L64" s="92">
        <f t="shared" si="3"/>
        <v>13304</v>
      </c>
      <c r="M64" s="92">
        <f t="shared" si="3"/>
        <v>75355</v>
      </c>
      <c r="N64" s="263"/>
      <c r="O64" s="263"/>
      <c r="P64" s="263"/>
      <c r="Q64" s="263"/>
      <c r="R64" s="153">
        <f>+R61+R62+R63</f>
        <v>77497390</v>
      </c>
      <c r="T64" s="2"/>
    </row>
    <row r="65" spans="1:20" ht="12.75">
      <c r="A65" s="136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153"/>
      <c r="T65" s="2"/>
    </row>
    <row r="66" spans="1:20" ht="26.25">
      <c r="A66" s="136">
        <f>+A64+1</f>
        <v>20</v>
      </c>
      <c r="B66" s="166" t="s">
        <v>648</v>
      </c>
      <c r="D66" s="263">
        <v>28</v>
      </c>
      <c r="E66" s="263">
        <v>376</v>
      </c>
      <c r="F66" s="263">
        <v>294</v>
      </c>
      <c r="G66" s="263"/>
      <c r="H66" s="263">
        <v>145</v>
      </c>
      <c r="I66" s="263">
        <v>88</v>
      </c>
      <c r="J66" s="263">
        <v>-105</v>
      </c>
      <c r="K66" s="263">
        <v>565</v>
      </c>
      <c r="L66" s="263">
        <v>57</v>
      </c>
      <c r="M66" s="263">
        <v>305</v>
      </c>
      <c r="N66" s="263"/>
      <c r="O66" s="263"/>
      <c r="P66" s="263"/>
      <c r="Q66" s="263"/>
      <c r="R66" s="153">
        <f>+D20+E20+F20+H20+I20+J20+K20+L20+M20+N20+O20+P20+D34+E34+F34+H34+I34+J34+K34+L34+M34+N34+O34+P34+D48+E48+F48+H48+I48+J48+K48+L48+M48+N48+O48+P48+D66+E66+F66+H66+I66+J66+K66+L66+M66</f>
        <v>623282</v>
      </c>
      <c r="T66" s="2"/>
    </row>
    <row r="67" spans="1:20" ht="12.75">
      <c r="A67" s="136"/>
      <c r="B67" s="166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153"/>
      <c r="T67" s="2"/>
    </row>
    <row r="68" spans="1:17" ht="12.75">
      <c r="A68" s="136"/>
      <c r="B68" s="260"/>
      <c r="D68" s="263"/>
      <c r="E68" s="263"/>
      <c r="F68" s="263"/>
      <c r="G68" s="263"/>
      <c r="H68" s="244"/>
      <c r="I68" s="263"/>
      <c r="J68" s="263"/>
      <c r="K68" s="244"/>
      <c r="L68" s="263"/>
      <c r="M68" s="263"/>
      <c r="N68" s="156"/>
      <c r="O68" s="156"/>
      <c r="P68" s="136"/>
      <c r="Q68" s="263"/>
    </row>
    <row r="69" spans="1:17" ht="52.5">
      <c r="A69" s="136"/>
      <c r="B69" s="259" t="s">
        <v>195</v>
      </c>
      <c r="D69" s="136" t="s">
        <v>653</v>
      </c>
      <c r="E69" s="166" t="s">
        <v>718</v>
      </c>
      <c r="F69" s="166" t="s">
        <v>718</v>
      </c>
      <c r="G69" s="166"/>
      <c r="H69" s="166" t="s">
        <v>719</v>
      </c>
      <c r="I69" s="166" t="s">
        <v>717</v>
      </c>
      <c r="J69" s="290" t="s">
        <v>264</v>
      </c>
      <c r="K69" s="166" t="s">
        <v>299</v>
      </c>
      <c r="L69" s="83" t="s">
        <v>720</v>
      </c>
      <c r="M69" s="166" t="s">
        <v>721</v>
      </c>
      <c r="N69" s="166" t="s">
        <v>727</v>
      </c>
      <c r="O69" s="166" t="s">
        <v>143</v>
      </c>
      <c r="P69" s="166" t="s">
        <v>149</v>
      </c>
      <c r="Q69" s="146"/>
    </row>
    <row r="70" spans="1:16" ht="12.75">
      <c r="A70" s="136"/>
      <c r="D70" s="136" t="s">
        <v>654</v>
      </c>
      <c r="E70" s="166" t="s">
        <v>644</v>
      </c>
      <c r="F70" s="136" t="s">
        <v>643</v>
      </c>
      <c r="G70" s="136"/>
      <c r="H70" s="136" t="s">
        <v>655</v>
      </c>
      <c r="I70" s="136" t="s">
        <v>645</v>
      </c>
      <c r="J70" s="136" t="s">
        <v>728</v>
      </c>
      <c r="K70" s="136" t="s">
        <v>730</v>
      </c>
      <c r="L70" s="136" t="s">
        <v>731</v>
      </c>
      <c r="M70" s="136" t="s">
        <v>732</v>
      </c>
      <c r="N70" s="166" t="s">
        <v>197</v>
      </c>
      <c r="O70" s="262" t="s">
        <v>198</v>
      </c>
      <c r="P70" s="136" t="s">
        <v>266</v>
      </c>
    </row>
    <row r="71" spans="1:17" ht="12.75">
      <c r="A71" s="136">
        <f>+A66+1</f>
        <v>21</v>
      </c>
      <c r="B71" s="271" t="s">
        <v>620</v>
      </c>
      <c r="D71" s="263">
        <f aca="true" t="shared" si="4" ref="D71:P71">+D18</f>
        <v>138903</v>
      </c>
      <c r="E71" s="263">
        <f t="shared" si="4"/>
        <v>1381686</v>
      </c>
      <c r="F71" s="263">
        <f t="shared" si="4"/>
        <v>1821175</v>
      </c>
      <c r="G71" s="263"/>
      <c r="H71" s="263">
        <f t="shared" si="4"/>
        <v>1253918</v>
      </c>
      <c r="I71" s="263">
        <f t="shared" si="4"/>
        <v>43789</v>
      </c>
      <c r="J71" s="263">
        <f t="shared" si="4"/>
        <v>9874</v>
      </c>
      <c r="K71" s="263">
        <f t="shared" si="4"/>
        <v>62358</v>
      </c>
      <c r="L71" s="263">
        <f t="shared" si="4"/>
        <v>5340571</v>
      </c>
      <c r="M71" s="263">
        <f t="shared" si="4"/>
        <v>50373644</v>
      </c>
      <c r="N71" s="263">
        <f t="shared" si="4"/>
        <v>77489</v>
      </c>
      <c r="O71" s="263">
        <f t="shared" si="4"/>
        <v>2459455</v>
      </c>
      <c r="P71" s="263">
        <f t="shared" si="4"/>
        <v>136158</v>
      </c>
      <c r="Q71" s="263"/>
    </row>
    <row r="72" spans="1:16" ht="26.25">
      <c r="A72" s="136">
        <f>+A71+1</f>
        <v>22</v>
      </c>
      <c r="B72" s="270" t="s">
        <v>187</v>
      </c>
      <c r="D72" s="272">
        <v>0.0083</v>
      </c>
      <c r="E72" s="272">
        <f aca="true" t="shared" si="5" ref="E72:P72">+$D$72</f>
        <v>0.0083</v>
      </c>
      <c r="F72" s="272">
        <f t="shared" si="5"/>
        <v>0.0083</v>
      </c>
      <c r="G72" s="272"/>
      <c r="H72" s="272">
        <f t="shared" si="5"/>
        <v>0.0083</v>
      </c>
      <c r="I72" s="272">
        <f t="shared" si="5"/>
        <v>0.0083</v>
      </c>
      <c r="J72" s="272">
        <f t="shared" si="5"/>
        <v>0.0083</v>
      </c>
      <c r="K72" s="272">
        <f t="shared" si="5"/>
        <v>0.0083</v>
      </c>
      <c r="L72" s="272">
        <f t="shared" si="5"/>
        <v>0.0083</v>
      </c>
      <c r="M72" s="272">
        <f t="shared" si="5"/>
        <v>0.0083</v>
      </c>
      <c r="N72" s="272">
        <f t="shared" si="5"/>
        <v>0.0083</v>
      </c>
      <c r="O72" s="272">
        <f t="shared" si="5"/>
        <v>0.0083</v>
      </c>
      <c r="P72" s="272">
        <f t="shared" si="5"/>
        <v>0.0083</v>
      </c>
    </row>
    <row r="73" spans="1:17" ht="26.25">
      <c r="A73" s="136">
        <f>+A72+1</f>
        <v>23</v>
      </c>
      <c r="B73" s="270" t="s">
        <v>141</v>
      </c>
      <c r="D73" s="263">
        <f aca="true" t="shared" si="6" ref="D73:P73">ROUND(D71*D72,0)</f>
        <v>1153</v>
      </c>
      <c r="E73" s="263">
        <f t="shared" si="6"/>
        <v>11468</v>
      </c>
      <c r="F73" s="263">
        <f t="shared" si="6"/>
        <v>15116</v>
      </c>
      <c r="G73" s="263"/>
      <c r="H73" s="263">
        <f t="shared" si="6"/>
        <v>10408</v>
      </c>
      <c r="I73" s="263">
        <f t="shared" si="6"/>
        <v>363</v>
      </c>
      <c r="J73" s="263">
        <f t="shared" si="6"/>
        <v>82</v>
      </c>
      <c r="K73" s="263">
        <f t="shared" si="6"/>
        <v>518</v>
      </c>
      <c r="L73" s="263">
        <f t="shared" si="6"/>
        <v>44327</v>
      </c>
      <c r="M73" s="263">
        <f t="shared" si="6"/>
        <v>418101</v>
      </c>
      <c r="N73" s="263">
        <f t="shared" si="6"/>
        <v>643</v>
      </c>
      <c r="O73" s="263">
        <f t="shared" si="6"/>
        <v>20413</v>
      </c>
      <c r="P73" s="263">
        <f t="shared" si="6"/>
        <v>1130</v>
      </c>
      <c r="Q73" s="263"/>
    </row>
    <row r="74" spans="2:17" ht="12.75">
      <c r="B74" s="271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</row>
    <row r="75" spans="2:17" ht="12.75">
      <c r="B75" s="146"/>
      <c r="H75" s="166"/>
      <c r="I75" s="166"/>
      <c r="J75" s="166"/>
      <c r="K75" s="263"/>
      <c r="P75" s="245"/>
      <c r="Q75" s="245"/>
    </row>
    <row r="76" spans="4:18" ht="66">
      <c r="D76" s="166" t="s">
        <v>148</v>
      </c>
      <c r="E76" s="166" t="s">
        <v>175</v>
      </c>
      <c r="F76" s="252" t="s">
        <v>151</v>
      </c>
      <c r="G76" s="252"/>
      <c r="H76" s="252" t="s">
        <v>165</v>
      </c>
      <c r="I76" s="252" t="s">
        <v>167</v>
      </c>
      <c r="J76" s="252" t="s">
        <v>174</v>
      </c>
      <c r="K76" s="252" t="s">
        <v>168</v>
      </c>
      <c r="L76" s="166" t="s">
        <v>169</v>
      </c>
      <c r="M76" s="166" t="s">
        <v>171</v>
      </c>
      <c r="N76" s="252" t="s">
        <v>228</v>
      </c>
      <c r="O76" s="252" t="s">
        <v>230</v>
      </c>
      <c r="P76" s="252" t="s">
        <v>230</v>
      </c>
      <c r="Q76" s="263"/>
      <c r="R76" s="262"/>
    </row>
    <row r="77" spans="4:18" ht="12.75">
      <c r="D77" s="262" t="s">
        <v>199</v>
      </c>
      <c r="E77" s="262" t="s">
        <v>200</v>
      </c>
      <c r="F77" s="262" t="s">
        <v>201</v>
      </c>
      <c r="G77" s="262"/>
      <c r="H77" s="262" t="s">
        <v>202</v>
      </c>
      <c r="I77" s="262" t="s">
        <v>203</v>
      </c>
      <c r="J77" s="262" t="s">
        <v>204</v>
      </c>
      <c r="K77" s="262" t="s">
        <v>205</v>
      </c>
      <c r="L77" s="262" t="s">
        <v>206</v>
      </c>
      <c r="M77" s="166" t="s">
        <v>207</v>
      </c>
      <c r="N77" s="166" t="s">
        <v>208</v>
      </c>
      <c r="O77" s="166" t="s">
        <v>209</v>
      </c>
      <c r="P77" s="166" t="s">
        <v>268</v>
      </c>
      <c r="Q77" s="263"/>
      <c r="R77" s="262"/>
    </row>
    <row r="78" spans="1:18" ht="12.75">
      <c r="A78" s="136">
        <f>+A73+1</f>
        <v>24</v>
      </c>
      <c r="B78" s="271" t="s">
        <v>620</v>
      </c>
      <c r="D78" s="263">
        <f aca="true" t="shared" si="7" ref="D78:P78">+D32</f>
        <v>450243</v>
      </c>
      <c r="E78" s="263">
        <f t="shared" si="7"/>
        <v>509</v>
      </c>
      <c r="F78" s="263">
        <f t="shared" si="7"/>
        <v>153398</v>
      </c>
      <c r="G78" s="263"/>
      <c r="H78" s="263">
        <f t="shared" si="7"/>
        <v>91889</v>
      </c>
      <c r="I78" s="263">
        <f t="shared" si="7"/>
        <v>130915</v>
      </c>
      <c r="J78" s="263">
        <f t="shared" si="7"/>
        <v>4210071</v>
      </c>
      <c r="K78" s="263">
        <f t="shared" si="7"/>
        <v>2364735</v>
      </c>
      <c r="L78" s="263">
        <f t="shared" si="7"/>
        <v>1005336</v>
      </c>
      <c r="M78" s="263">
        <f t="shared" si="7"/>
        <v>1023945</v>
      </c>
      <c r="N78" s="263">
        <f t="shared" si="7"/>
        <v>2107084</v>
      </c>
      <c r="O78" s="263">
        <f t="shared" si="7"/>
        <v>818634</v>
      </c>
      <c r="P78" s="263">
        <f t="shared" si="7"/>
        <v>7367</v>
      </c>
      <c r="Q78" s="153"/>
      <c r="R78" s="263"/>
    </row>
    <row r="79" spans="1:18" ht="26.25">
      <c r="A79" s="136">
        <f>+A78+1</f>
        <v>25</v>
      </c>
      <c r="B79" s="270" t="s">
        <v>187</v>
      </c>
      <c r="D79" s="272">
        <f>+$D$72</f>
        <v>0.0083</v>
      </c>
      <c r="E79" s="272">
        <f>+$D$72</f>
        <v>0.0083</v>
      </c>
      <c r="F79" s="272">
        <f aca="true" t="shared" si="8" ref="F79:P79">+$D$72</f>
        <v>0.0083</v>
      </c>
      <c r="G79" s="272"/>
      <c r="H79" s="272">
        <f t="shared" si="8"/>
        <v>0.0083</v>
      </c>
      <c r="I79" s="272">
        <f t="shared" si="8"/>
        <v>0.0083</v>
      </c>
      <c r="J79" s="272">
        <f t="shared" si="8"/>
        <v>0.0083</v>
      </c>
      <c r="K79" s="272">
        <f t="shared" si="8"/>
        <v>0.0083</v>
      </c>
      <c r="L79" s="272">
        <f t="shared" si="8"/>
        <v>0.0083</v>
      </c>
      <c r="M79" s="272">
        <f t="shared" si="8"/>
        <v>0.0083</v>
      </c>
      <c r="N79" s="272">
        <f t="shared" si="8"/>
        <v>0.0083</v>
      </c>
      <c r="O79" s="272">
        <f t="shared" si="8"/>
        <v>0.0083</v>
      </c>
      <c r="P79" s="272">
        <f t="shared" si="8"/>
        <v>0.0083</v>
      </c>
      <c r="Q79" s="263"/>
      <c r="R79" s="263"/>
    </row>
    <row r="80" spans="1:18" ht="26.25">
      <c r="A80" s="136">
        <f>+A79+1</f>
        <v>26</v>
      </c>
      <c r="B80" s="270" t="s">
        <v>141</v>
      </c>
      <c r="D80" s="263">
        <f>ROUND(D78*D79,0)</f>
        <v>3737</v>
      </c>
      <c r="E80" s="263">
        <f aca="true" t="shared" si="9" ref="E80:P80">ROUND(E78*E79,0)</f>
        <v>4</v>
      </c>
      <c r="F80" s="263">
        <f t="shared" si="9"/>
        <v>1273</v>
      </c>
      <c r="G80" s="263"/>
      <c r="H80" s="263">
        <f t="shared" si="9"/>
        <v>763</v>
      </c>
      <c r="I80" s="263">
        <f t="shared" si="9"/>
        <v>1087</v>
      </c>
      <c r="J80" s="263">
        <f t="shared" si="9"/>
        <v>34944</v>
      </c>
      <c r="K80" s="263">
        <f t="shared" si="9"/>
        <v>19627</v>
      </c>
      <c r="L80" s="263">
        <f t="shared" si="9"/>
        <v>8344</v>
      </c>
      <c r="M80" s="263">
        <f t="shared" si="9"/>
        <v>8499</v>
      </c>
      <c r="N80" s="263">
        <f t="shared" si="9"/>
        <v>17489</v>
      </c>
      <c r="O80" s="263">
        <f t="shared" si="9"/>
        <v>6795</v>
      </c>
      <c r="P80" s="263">
        <f t="shared" si="9"/>
        <v>61</v>
      </c>
      <c r="Q80" s="153"/>
      <c r="R80" s="263"/>
    </row>
    <row r="81" spans="1:18" ht="12.75">
      <c r="A81" s="136"/>
      <c r="B81" s="270"/>
      <c r="H81" s="273"/>
      <c r="I81" s="273"/>
      <c r="J81" s="273"/>
      <c r="K81" s="273"/>
      <c r="L81" s="263"/>
      <c r="M81" s="263"/>
      <c r="N81" s="263"/>
      <c r="O81" s="263"/>
      <c r="Q81" s="153"/>
      <c r="R81" s="153"/>
    </row>
    <row r="82" spans="1:18" ht="52.5">
      <c r="A82" s="136"/>
      <c r="B82" s="270"/>
      <c r="D82" s="252" t="s">
        <v>341</v>
      </c>
      <c r="E82" s="252" t="s">
        <v>340</v>
      </c>
      <c r="F82" s="252" t="s">
        <v>335</v>
      </c>
      <c r="G82" s="252"/>
      <c r="H82" s="166" t="s">
        <v>701</v>
      </c>
      <c r="I82" s="136" t="s">
        <v>653</v>
      </c>
      <c r="J82" s="166" t="s">
        <v>718</v>
      </c>
      <c r="K82" s="262" t="s">
        <v>721</v>
      </c>
      <c r="L82" s="262" t="s">
        <v>721</v>
      </c>
      <c r="M82" s="262" t="s">
        <v>721</v>
      </c>
      <c r="N82" s="262" t="s">
        <v>720</v>
      </c>
      <c r="O82" s="136" t="s">
        <v>720</v>
      </c>
      <c r="P82" s="166" t="s">
        <v>446</v>
      </c>
      <c r="Q82" s="153"/>
      <c r="R82" s="146" t="s">
        <v>382</v>
      </c>
    </row>
    <row r="83" spans="1:18" ht="12.75">
      <c r="A83" s="136"/>
      <c r="B83" s="270"/>
      <c r="D83" s="136" t="s">
        <v>370</v>
      </c>
      <c r="E83" s="262" t="s">
        <v>210</v>
      </c>
      <c r="F83" s="262" t="s">
        <v>211</v>
      </c>
      <c r="G83" s="262"/>
      <c r="H83" s="262" t="s">
        <v>496</v>
      </c>
      <c r="I83" s="262" t="s">
        <v>212</v>
      </c>
      <c r="J83" s="262" t="s">
        <v>218</v>
      </c>
      <c r="K83" s="262" t="s">
        <v>219</v>
      </c>
      <c r="L83" s="262" t="s">
        <v>220</v>
      </c>
      <c r="M83" s="262" t="s">
        <v>221</v>
      </c>
      <c r="N83" s="262" t="s">
        <v>233</v>
      </c>
      <c r="O83" s="262" t="s">
        <v>246</v>
      </c>
      <c r="P83" s="262" t="s">
        <v>269</v>
      </c>
      <c r="Q83" s="263"/>
      <c r="R83" s="262" t="s">
        <v>270</v>
      </c>
    </row>
    <row r="84" spans="1:20" ht="12.75">
      <c r="A84" s="136">
        <f>+A80+1</f>
        <v>27</v>
      </c>
      <c r="B84" s="271" t="s">
        <v>620</v>
      </c>
      <c r="D84" s="263">
        <f>+D46</f>
        <v>115042</v>
      </c>
      <c r="E84" s="263">
        <f>+E46</f>
        <v>933386</v>
      </c>
      <c r="F84" s="263">
        <f>+F46</f>
        <v>37366</v>
      </c>
      <c r="G84" s="263"/>
      <c r="H84" s="273">
        <f>+H46</f>
        <v>101961</v>
      </c>
      <c r="I84" s="273">
        <f aca="true" t="shared" si="10" ref="I84:N84">+I46</f>
        <v>89613</v>
      </c>
      <c r="J84" s="273">
        <f t="shared" si="10"/>
        <v>104</v>
      </c>
      <c r="K84" s="273">
        <f t="shared" si="10"/>
        <v>25640</v>
      </c>
      <c r="L84" s="273">
        <f t="shared" si="10"/>
        <v>14103</v>
      </c>
      <c r="M84" s="273">
        <f t="shared" si="10"/>
        <v>12447</v>
      </c>
      <c r="N84" s="273">
        <f t="shared" si="10"/>
        <v>0</v>
      </c>
      <c r="O84" s="273">
        <f>+O46</f>
        <v>240312</v>
      </c>
      <c r="P84" s="273">
        <f>+P46</f>
        <v>74064</v>
      </c>
      <c r="Q84" s="153"/>
      <c r="R84" s="153">
        <f>+D71+E71+F71+H71+I71+J71+K71+L71+M71+N71+O71+P71+D78+E78+F78+H78+I78+J78+K78+L78+M78+N78+O78+P78+D84+E84+F84+H84+I84+J84+K84+L84+M84+N84+O84+P84</f>
        <v>77107184</v>
      </c>
      <c r="T84" s="2"/>
    </row>
    <row r="85" spans="1:20" ht="26.25">
      <c r="A85" s="136">
        <f>+A84+1</f>
        <v>28</v>
      </c>
      <c r="B85" s="270" t="s">
        <v>187</v>
      </c>
      <c r="D85" s="272">
        <f>+$D$72</f>
        <v>0.0083</v>
      </c>
      <c r="E85" s="272">
        <f>+$D$72</f>
        <v>0.0083</v>
      </c>
      <c r="F85" s="272">
        <f>+$D$72</f>
        <v>0.0083</v>
      </c>
      <c r="G85" s="272"/>
      <c r="H85" s="272">
        <f>+$D$72</f>
        <v>0.0083</v>
      </c>
      <c r="I85" s="272">
        <f aca="true" t="shared" si="11" ref="I85:P85">+$D$72</f>
        <v>0.0083</v>
      </c>
      <c r="J85" s="272">
        <f t="shared" si="11"/>
        <v>0.0083</v>
      </c>
      <c r="K85" s="272">
        <f t="shared" si="11"/>
        <v>0.0083</v>
      </c>
      <c r="L85" s="272">
        <f t="shared" si="11"/>
        <v>0.0083</v>
      </c>
      <c r="M85" s="272">
        <f t="shared" si="11"/>
        <v>0.0083</v>
      </c>
      <c r="N85" s="272">
        <f t="shared" si="11"/>
        <v>0.0083</v>
      </c>
      <c r="O85" s="272">
        <f t="shared" si="11"/>
        <v>0.0083</v>
      </c>
      <c r="P85" s="272">
        <f t="shared" si="11"/>
        <v>0.0083</v>
      </c>
      <c r="Q85" s="153"/>
      <c r="R85" s="153"/>
      <c r="T85" s="2"/>
    </row>
    <row r="86" spans="1:20" ht="26.25">
      <c r="A86" s="136">
        <f>+A85+1</f>
        <v>29</v>
      </c>
      <c r="B86" s="270" t="s">
        <v>141</v>
      </c>
      <c r="D86" s="263">
        <f>ROUND(D84*D85,0)</f>
        <v>955</v>
      </c>
      <c r="E86" s="263">
        <f>ROUND(E84*E85,0)</f>
        <v>7747</v>
      </c>
      <c r="F86" s="263">
        <f>ROUND(F84*F85,0)</f>
        <v>310</v>
      </c>
      <c r="G86" s="263"/>
      <c r="H86" s="263">
        <f>ROUND(H84*H85,0)</f>
        <v>846</v>
      </c>
      <c r="I86" s="263">
        <f aca="true" t="shared" si="12" ref="I86:P86">ROUND(I84*I85,0)</f>
        <v>744</v>
      </c>
      <c r="J86" s="263">
        <f t="shared" si="12"/>
        <v>1</v>
      </c>
      <c r="K86" s="263">
        <f t="shared" si="12"/>
        <v>213</v>
      </c>
      <c r="L86" s="263">
        <f t="shared" si="12"/>
        <v>117</v>
      </c>
      <c r="M86" s="263">
        <f t="shared" si="12"/>
        <v>103</v>
      </c>
      <c r="N86" s="263">
        <f t="shared" si="12"/>
        <v>0</v>
      </c>
      <c r="O86" s="263">
        <f t="shared" si="12"/>
        <v>1995</v>
      </c>
      <c r="P86" s="263">
        <f t="shared" si="12"/>
        <v>615</v>
      </c>
      <c r="Q86" s="153"/>
      <c r="R86" s="153">
        <f>+D73+E73+F73+H73+I73+J73+K73+L73+M73+N73+O73+P73+D80+E80+F80+H80+I80+J80+K80+L80+M80+N80+O80+P80+D86+E86+F86+H86+I86+J86+K86+L86+M86+N86+O86+P86</f>
        <v>639991</v>
      </c>
      <c r="T86" s="2"/>
    </row>
    <row r="87" spans="1:20" ht="12.75">
      <c r="A87" s="136"/>
      <c r="B87" s="270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153"/>
      <c r="R87" s="153"/>
      <c r="T87" s="2"/>
    </row>
    <row r="88" spans="1:20" ht="52.5">
      <c r="A88" s="136"/>
      <c r="B88" s="270"/>
      <c r="D88" s="294" t="s">
        <v>720</v>
      </c>
      <c r="E88" s="294" t="s">
        <v>515</v>
      </c>
      <c r="F88" s="294" t="s">
        <v>653</v>
      </c>
      <c r="G88" s="263"/>
      <c r="H88" s="294" t="s">
        <v>413</v>
      </c>
      <c r="I88" s="294" t="s">
        <v>653</v>
      </c>
      <c r="J88" s="294" t="s">
        <v>502</v>
      </c>
      <c r="K88" s="389" t="s">
        <v>720</v>
      </c>
      <c r="L88" s="294" t="s">
        <v>337</v>
      </c>
      <c r="M88" s="294" t="s">
        <v>33</v>
      </c>
      <c r="N88" s="166" t="s">
        <v>128</v>
      </c>
      <c r="O88" s="166" t="s">
        <v>139</v>
      </c>
      <c r="P88" s="166" t="s">
        <v>140</v>
      </c>
      <c r="Q88" s="153"/>
      <c r="R88" s="146" t="s">
        <v>672</v>
      </c>
      <c r="T88" s="2"/>
    </row>
    <row r="89" spans="1:20" ht="12.75">
      <c r="A89" s="136"/>
      <c r="B89" s="270"/>
      <c r="D89" s="254" t="s">
        <v>271</v>
      </c>
      <c r="E89" s="254" t="s">
        <v>272</v>
      </c>
      <c r="F89" s="254" t="s">
        <v>371</v>
      </c>
      <c r="G89" s="263"/>
      <c r="H89" s="254" t="s">
        <v>372</v>
      </c>
      <c r="I89" s="254" t="s">
        <v>373</v>
      </c>
      <c r="J89" s="254" t="s">
        <v>374</v>
      </c>
      <c r="K89" s="254" t="s">
        <v>375</v>
      </c>
      <c r="L89" s="254" t="s">
        <v>376</v>
      </c>
      <c r="M89" s="254" t="s">
        <v>377</v>
      </c>
      <c r="N89" s="254" t="s">
        <v>378</v>
      </c>
      <c r="O89" s="254" t="s">
        <v>379</v>
      </c>
      <c r="P89" s="254" t="s">
        <v>380</v>
      </c>
      <c r="Q89" s="153"/>
      <c r="R89" s="254" t="s">
        <v>381</v>
      </c>
      <c r="T89" s="2"/>
    </row>
    <row r="90" spans="1:20" ht="12.75">
      <c r="A90" s="136">
        <f>+A86+1</f>
        <v>30</v>
      </c>
      <c r="B90" s="271" t="s">
        <v>620</v>
      </c>
      <c r="D90" s="263">
        <f>+D64</f>
        <v>5695</v>
      </c>
      <c r="E90" s="263">
        <f>+E64</f>
        <v>80539</v>
      </c>
      <c r="F90" s="263">
        <f>+F64</f>
        <v>63764</v>
      </c>
      <c r="G90" s="263"/>
      <c r="H90" s="263">
        <f aca="true" t="shared" si="13" ref="H90:M90">+H64</f>
        <v>31378</v>
      </c>
      <c r="I90" s="263">
        <f t="shared" si="13"/>
        <v>18862</v>
      </c>
      <c r="J90" s="263">
        <f t="shared" si="13"/>
        <v>-22596</v>
      </c>
      <c r="K90" s="263">
        <f t="shared" si="13"/>
        <v>123905</v>
      </c>
      <c r="L90" s="263">
        <f t="shared" si="13"/>
        <v>13304</v>
      </c>
      <c r="M90" s="263">
        <f t="shared" si="13"/>
        <v>75355</v>
      </c>
      <c r="N90" s="263">
        <f>+'ES 3.11'!L33</f>
        <v>12653425</v>
      </c>
      <c r="O90" s="263">
        <f>+'ES 3.12 A'!J27+'ES 3.12 B'!J28</f>
        <v>-55486</v>
      </c>
      <c r="P90" s="263">
        <f>+'ES 3.13'!G32</f>
        <v>162738</v>
      </c>
      <c r="Q90" s="153"/>
      <c r="R90" s="153">
        <f>+R84+D90+E90+F90+H90+I90+J90+K90+L90+M90+N90+O90+P90</f>
        <v>90258067</v>
      </c>
      <c r="T90" s="2"/>
    </row>
    <row r="91" spans="1:20" ht="26.25">
      <c r="A91" s="136">
        <f>+A90+1</f>
        <v>31</v>
      </c>
      <c r="B91" s="270" t="s">
        <v>187</v>
      </c>
      <c r="D91" s="272">
        <f>+$D$72</f>
        <v>0.0083</v>
      </c>
      <c r="E91" s="272">
        <f>+$D$72</f>
        <v>0.0083</v>
      </c>
      <c r="F91" s="272">
        <f>+$D$72</f>
        <v>0.0083</v>
      </c>
      <c r="G91" s="263"/>
      <c r="H91" s="272">
        <f aca="true" t="shared" si="14" ref="H91:P91">+$D$72</f>
        <v>0.0083</v>
      </c>
      <c r="I91" s="272">
        <f t="shared" si="14"/>
        <v>0.0083</v>
      </c>
      <c r="J91" s="272">
        <f t="shared" si="14"/>
        <v>0.0083</v>
      </c>
      <c r="K91" s="272">
        <f t="shared" si="14"/>
        <v>0.0083</v>
      </c>
      <c r="L91" s="272">
        <f t="shared" si="14"/>
        <v>0.0083</v>
      </c>
      <c r="M91" s="272">
        <f t="shared" si="14"/>
        <v>0.0083</v>
      </c>
      <c r="N91" s="272">
        <f t="shared" si="14"/>
        <v>0.0083</v>
      </c>
      <c r="O91" s="272">
        <f t="shared" si="14"/>
        <v>0.0083</v>
      </c>
      <c r="P91" s="272">
        <f t="shared" si="14"/>
        <v>0.0083</v>
      </c>
      <c r="Q91" s="153"/>
      <c r="R91" s="153"/>
      <c r="T91" s="2"/>
    </row>
    <row r="92" spans="1:20" ht="26.25">
      <c r="A92" s="136">
        <f>+A91+1</f>
        <v>32</v>
      </c>
      <c r="B92" s="270" t="s">
        <v>141</v>
      </c>
      <c r="D92" s="263">
        <f>ROUND(D90*D91,0)</f>
        <v>47</v>
      </c>
      <c r="E92" s="263">
        <f>ROUND(E90*E91,0)</f>
        <v>668</v>
      </c>
      <c r="F92" s="263">
        <f>ROUND(F90*F91,0)</f>
        <v>529</v>
      </c>
      <c r="G92" s="263"/>
      <c r="H92" s="263">
        <f aca="true" t="shared" si="15" ref="H92:P92">ROUND(H90*H91,0)</f>
        <v>260</v>
      </c>
      <c r="I92" s="263">
        <f t="shared" si="15"/>
        <v>157</v>
      </c>
      <c r="J92" s="263">
        <f t="shared" si="15"/>
        <v>-188</v>
      </c>
      <c r="K92" s="263">
        <f t="shared" si="15"/>
        <v>1028</v>
      </c>
      <c r="L92" s="263">
        <f t="shared" si="15"/>
        <v>110</v>
      </c>
      <c r="M92" s="263">
        <f t="shared" si="15"/>
        <v>625</v>
      </c>
      <c r="N92" s="263">
        <f t="shared" si="15"/>
        <v>105023</v>
      </c>
      <c r="O92" s="263">
        <f t="shared" si="15"/>
        <v>-461</v>
      </c>
      <c r="P92" s="263">
        <f t="shared" si="15"/>
        <v>1351</v>
      </c>
      <c r="Q92" s="153"/>
      <c r="R92" s="153">
        <f>+R86+D92+E92+F92+H92+I92+J92+K92+L92+M92+N92+O92+P92</f>
        <v>749140</v>
      </c>
      <c r="T92" s="2"/>
    </row>
    <row r="93" spans="1:20" ht="12.75">
      <c r="A93" s="136"/>
      <c r="B93" s="270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153"/>
      <c r="R93" s="153"/>
      <c r="T93" s="2"/>
    </row>
    <row r="94" spans="1:20" ht="12.75">
      <c r="A94" s="136"/>
      <c r="B94" s="270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153"/>
      <c r="R94" s="153"/>
      <c r="T94" s="2"/>
    </row>
    <row r="95" spans="2:18" ht="12.75">
      <c r="B95" s="274"/>
      <c r="D95" s="263"/>
      <c r="E95" s="263"/>
      <c r="F95" s="263"/>
      <c r="G95" s="263"/>
      <c r="H95" s="273"/>
      <c r="I95" s="273"/>
      <c r="J95" s="273"/>
      <c r="K95" s="273"/>
      <c r="L95" s="273"/>
      <c r="M95" s="273"/>
      <c r="N95" s="275"/>
      <c r="O95" s="275"/>
      <c r="P95" s="153"/>
      <c r="Q95" s="153"/>
      <c r="R95" s="246"/>
    </row>
    <row r="96" spans="1:18" ht="54.75" customHeight="1">
      <c r="A96" s="276"/>
      <c r="B96" s="261" t="s">
        <v>196</v>
      </c>
      <c r="C96" s="276"/>
      <c r="D96" s="263"/>
      <c r="E96" s="263"/>
      <c r="F96" s="263"/>
      <c r="G96" s="263"/>
      <c r="H96" s="273"/>
      <c r="I96" s="273"/>
      <c r="J96" s="273"/>
      <c r="K96" s="273"/>
      <c r="L96" s="273"/>
      <c r="M96" s="273"/>
      <c r="N96" s="275"/>
      <c r="O96" s="275"/>
      <c r="P96" s="153"/>
      <c r="Q96" s="153"/>
      <c r="R96" s="246"/>
    </row>
    <row r="97" spans="2:18" ht="12.75">
      <c r="B97" s="263"/>
      <c r="D97" s="263"/>
      <c r="E97" s="263"/>
      <c r="F97" s="263"/>
      <c r="G97" s="263"/>
      <c r="H97" s="273"/>
      <c r="I97" s="273"/>
      <c r="J97" s="273"/>
      <c r="K97" s="273"/>
      <c r="L97" s="273"/>
      <c r="M97" s="273"/>
      <c r="N97" s="275"/>
      <c r="O97" s="275"/>
      <c r="P97" s="153"/>
      <c r="Q97" s="153"/>
      <c r="R97" s="246"/>
    </row>
    <row r="98" spans="2:18" ht="12.75">
      <c r="B98" s="263"/>
      <c r="D98" s="245" t="s">
        <v>144</v>
      </c>
      <c r="E98" s="245" t="s">
        <v>145</v>
      </c>
      <c r="F98" s="245" t="s">
        <v>146</v>
      </c>
      <c r="G98" s="245"/>
      <c r="H98" s="245" t="s">
        <v>672</v>
      </c>
      <c r="I98" s="273"/>
      <c r="J98" s="273"/>
      <c r="K98" s="273"/>
      <c r="L98" s="273"/>
      <c r="M98" s="273"/>
      <c r="N98" s="275"/>
      <c r="O98" s="275"/>
      <c r="P98" s="153"/>
      <c r="Q98" s="153"/>
      <c r="R98" s="246"/>
    </row>
    <row r="99" spans="2:18" ht="12.75">
      <c r="B99" s="263"/>
      <c r="D99" s="136" t="s">
        <v>654</v>
      </c>
      <c r="E99" s="166" t="s">
        <v>644</v>
      </c>
      <c r="F99" s="136" t="s">
        <v>643</v>
      </c>
      <c r="G99" s="136"/>
      <c r="H99" s="136" t="s">
        <v>655</v>
      </c>
      <c r="I99" s="273"/>
      <c r="J99" s="273"/>
      <c r="K99" s="273"/>
      <c r="L99" s="273"/>
      <c r="M99" s="273"/>
      <c r="N99" s="275"/>
      <c r="O99" s="275"/>
      <c r="P99" s="153"/>
      <c r="Q99" s="153"/>
      <c r="R99" s="246"/>
    </row>
    <row r="100" spans="1:18" ht="12.75">
      <c r="A100" s="136">
        <f>+A86+1</f>
        <v>30</v>
      </c>
      <c r="B100" s="83" t="s">
        <v>652</v>
      </c>
      <c r="D100" s="263">
        <v>3259049</v>
      </c>
      <c r="E100" s="263">
        <v>3259049</v>
      </c>
      <c r="F100" s="263">
        <f>1629524+1002939</f>
        <v>2632463</v>
      </c>
      <c r="G100" s="263"/>
      <c r="H100" s="273">
        <f>+D100+E100+F100+5473</f>
        <v>9156034</v>
      </c>
      <c r="I100" s="273"/>
      <c r="J100" s="273"/>
      <c r="K100" s="273"/>
      <c r="L100" s="273"/>
      <c r="M100" s="273"/>
      <c r="N100" s="275"/>
      <c r="O100" s="275"/>
      <c r="P100" s="153"/>
      <c r="Q100" s="153"/>
      <c r="R100" s="246"/>
    </row>
    <row r="101" spans="1:17" ht="39">
      <c r="A101" s="136">
        <f>+A100+1</f>
        <v>31</v>
      </c>
      <c r="B101" s="166" t="s">
        <v>241</v>
      </c>
      <c r="D101" s="263">
        <v>18117</v>
      </c>
      <c r="E101" s="263">
        <v>14308</v>
      </c>
      <c r="F101" s="273">
        <v>13605</v>
      </c>
      <c r="G101" s="273"/>
      <c r="H101" s="248">
        <f>+D101+E101+F101</f>
        <v>46030</v>
      </c>
      <c r="I101" s="275"/>
      <c r="J101" s="275"/>
      <c r="K101" s="275"/>
      <c r="L101" s="275"/>
      <c r="M101" s="275"/>
      <c r="N101" s="275"/>
      <c r="O101" s="275"/>
      <c r="P101" s="265"/>
      <c r="Q101" s="265"/>
    </row>
    <row r="102" spans="1:17" ht="12.75">
      <c r="A102" s="136"/>
      <c r="B102" s="166"/>
      <c r="D102" s="263"/>
      <c r="E102" s="263"/>
      <c r="F102" s="273"/>
      <c r="G102" s="273"/>
      <c r="H102" s="273"/>
      <c r="I102" s="275"/>
      <c r="J102" s="275"/>
      <c r="K102" s="275"/>
      <c r="L102" s="275"/>
      <c r="M102" s="275"/>
      <c r="N102" s="275"/>
      <c r="O102" s="275"/>
      <c r="P102" s="265"/>
      <c r="Q102" s="265"/>
    </row>
    <row r="103" spans="1:17" ht="12.75">
      <c r="A103" s="136"/>
      <c r="B103" s="277"/>
      <c r="D103" s="263"/>
      <c r="E103" s="263"/>
      <c r="F103" s="273"/>
      <c r="G103" s="273"/>
      <c r="H103" s="273"/>
      <c r="I103" s="275"/>
      <c r="J103" s="275"/>
      <c r="K103" s="275"/>
      <c r="L103" s="275"/>
      <c r="M103" s="275"/>
      <c r="N103" s="275"/>
      <c r="O103" s="275"/>
      <c r="P103" s="265"/>
      <c r="Q103" s="265"/>
    </row>
    <row r="104" spans="2:17" ht="26.25">
      <c r="B104" s="259" t="s">
        <v>193</v>
      </c>
      <c r="I104" s="275"/>
      <c r="J104" s="275"/>
      <c r="K104" s="275"/>
      <c r="L104" s="275"/>
      <c r="M104" s="275"/>
      <c r="N104" s="275"/>
      <c r="O104" s="275"/>
      <c r="P104" s="265"/>
      <c r="Q104" s="265"/>
    </row>
    <row r="105" ht="12.75">
      <c r="A105" s="136"/>
    </row>
    <row r="106" spans="1:5" ht="12.75">
      <c r="A106" s="136">
        <f>1</f>
        <v>1</v>
      </c>
      <c r="B106" s="83" t="s">
        <v>817</v>
      </c>
      <c r="D106" s="138"/>
      <c r="E106" s="138"/>
    </row>
    <row r="107" spans="1:12" ht="26.25">
      <c r="A107" s="136">
        <f>+A106+1</f>
        <v>2</v>
      </c>
      <c r="B107" s="83" t="s">
        <v>815</v>
      </c>
      <c r="D107" s="263"/>
      <c r="E107" s="263"/>
      <c r="F107" s="344" t="s">
        <v>444</v>
      </c>
      <c r="G107" s="344"/>
      <c r="H107" s="343">
        <f>R61</f>
        <v>193185550</v>
      </c>
      <c r="J107" s="275" t="s">
        <v>660</v>
      </c>
      <c r="K107" s="254" t="s">
        <v>640</v>
      </c>
      <c r="L107" s="251">
        <v>12770.5</v>
      </c>
    </row>
    <row r="108" spans="1:12" ht="12.75">
      <c r="A108" s="136">
        <f>+A107+1</f>
        <v>3</v>
      </c>
      <c r="B108" s="83" t="s">
        <v>639</v>
      </c>
      <c r="D108" s="82"/>
      <c r="E108" s="82"/>
      <c r="H108" s="280">
        <v>0.529018</v>
      </c>
      <c r="J108" s="275" t="s">
        <v>661</v>
      </c>
      <c r="K108" s="254" t="s">
        <v>640</v>
      </c>
      <c r="L108" s="251">
        <v>12770.5</v>
      </c>
    </row>
    <row r="109" spans="1:12" ht="12.75">
      <c r="A109" s="136">
        <f aca="true" t="shared" si="16" ref="A109:A114">+A108+1</f>
        <v>4</v>
      </c>
      <c r="B109" s="83" t="s">
        <v>656</v>
      </c>
      <c r="D109" s="263"/>
      <c r="E109" s="263"/>
      <c r="H109" s="278">
        <f>+ROUND(H107*H108,0)</f>
        <v>102198633</v>
      </c>
      <c r="J109" s="275" t="s">
        <v>662</v>
      </c>
      <c r="K109" s="254" t="s">
        <v>640</v>
      </c>
      <c r="L109" s="251">
        <v>12770.5</v>
      </c>
    </row>
    <row r="110" spans="1:12" ht="12.75">
      <c r="A110" s="136">
        <f t="shared" si="16"/>
        <v>5</v>
      </c>
      <c r="B110" s="83" t="s">
        <v>657</v>
      </c>
      <c r="H110" s="280">
        <v>1</v>
      </c>
      <c r="J110" s="287" t="s">
        <v>663</v>
      </c>
      <c r="K110" s="254" t="s">
        <v>640</v>
      </c>
      <c r="L110" s="251">
        <v>12770.5</v>
      </c>
    </row>
    <row r="111" spans="1:12" ht="12.75">
      <c r="A111" s="136">
        <f t="shared" si="16"/>
        <v>6</v>
      </c>
      <c r="B111" s="83" t="s">
        <v>658</v>
      </c>
      <c r="D111" s="139"/>
      <c r="E111" s="139"/>
      <c r="H111" s="263">
        <f>ROUND(H109*H110,0)</f>
        <v>102198633</v>
      </c>
      <c r="J111" s="287" t="s">
        <v>664</v>
      </c>
      <c r="K111" s="254" t="s">
        <v>640</v>
      </c>
      <c r="L111" s="251">
        <v>12770.5</v>
      </c>
    </row>
    <row r="112" spans="1:20" ht="12.75">
      <c r="A112" s="136">
        <f t="shared" si="16"/>
        <v>7</v>
      </c>
      <c r="B112" s="83" t="s">
        <v>659</v>
      </c>
      <c r="D112" s="92"/>
      <c r="E112" s="92"/>
      <c r="H112" s="165">
        <v>0.0015</v>
      </c>
      <c r="J112" s="275" t="s">
        <v>665</v>
      </c>
      <c r="K112" s="254" t="s">
        <v>640</v>
      </c>
      <c r="L112" s="251">
        <v>12770.5</v>
      </c>
      <c r="T112" s="2"/>
    </row>
    <row r="113" spans="1:12" ht="12.75">
      <c r="A113" s="136">
        <f t="shared" si="16"/>
        <v>8</v>
      </c>
      <c r="B113" s="145" t="s">
        <v>816</v>
      </c>
      <c r="H113" s="153">
        <f>ROUND(H111*H112,0)</f>
        <v>153298</v>
      </c>
      <c r="J113" s="275" t="s">
        <v>666</v>
      </c>
      <c r="K113" s="254" t="s">
        <v>640</v>
      </c>
      <c r="L113" s="251">
        <v>12770.5</v>
      </c>
    </row>
    <row r="114" spans="1:12" ht="12.75">
      <c r="A114" s="136">
        <f t="shared" si="16"/>
        <v>9</v>
      </c>
      <c r="B114" s="83" t="s">
        <v>649</v>
      </c>
      <c r="D114" s="263"/>
      <c r="E114" s="278"/>
      <c r="H114" s="263">
        <f>ROUND(H113/12,0)</f>
        <v>12775</v>
      </c>
      <c r="J114" s="275" t="s">
        <v>667</v>
      </c>
      <c r="K114" s="254" t="s">
        <v>640</v>
      </c>
      <c r="L114" s="251">
        <v>12770.5</v>
      </c>
    </row>
    <row r="115" spans="2:18" ht="26.25">
      <c r="B115" s="275"/>
      <c r="C115" s="265"/>
      <c r="E115" s="275"/>
      <c r="F115" s="265"/>
      <c r="G115" s="265"/>
      <c r="I115" s="344" t="s">
        <v>443</v>
      </c>
      <c r="J115" s="287" t="s">
        <v>668</v>
      </c>
      <c r="K115" s="254" t="s">
        <v>640</v>
      </c>
      <c r="L115" s="251">
        <v>12770.5</v>
      </c>
      <c r="R115" s="270"/>
    </row>
    <row r="116" spans="2:12" ht="12.75">
      <c r="B116" s="275"/>
      <c r="C116" s="265"/>
      <c r="E116" s="275"/>
      <c r="F116" s="265"/>
      <c r="G116" s="265"/>
      <c r="J116" s="275" t="s">
        <v>669</v>
      </c>
      <c r="K116" s="254" t="s">
        <v>640</v>
      </c>
      <c r="L116" s="251">
        <v>12770.5</v>
      </c>
    </row>
    <row r="117" spans="2:12" ht="12.75">
      <c r="B117" s="275"/>
      <c r="C117" s="265"/>
      <c r="E117" s="275"/>
      <c r="F117" s="265"/>
      <c r="G117" s="265"/>
      <c r="J117" s="275" t="s">
        <v>670</v>
      </c>
      <c r="K117" s="254" t="s">
        <v>640</v>
      </c>
      <c r="L117" s="251">
        <v>12770.5</v>
      </c>
    </row>
    <row r="118" spans="2:12" ht="12.75">
      <c r="B118" s="275"/>
      <c r="C118" s="265"/>
      <c r="E118" s="275"/>
      <c r="F118" s="265"/>
      <c r="G118" s="265"/>
      <c r="J118" s="275" t="s">
        <v>671</v>
      </c>
      <c r="K118" s="254" t="s">
        <v>640</v>
      </c>
      <c r="L118" s="251">
        <v>12770.5</v>
      </c>
    </row>
    <row r="119" spans="2:12" ht="12.75">
      <c r="B119" s="275"/>
      <c r="C119" s="265"/>
      <c r="E119" s="275"/>
      <c r="F119" s="265"/>
      <c r="G119" s="265"/>
      <c r="L119" s="263"/>
    </row>
    <row r="120" spans="2:12" ht="13.5" customHeight="1">
      <c r="B120" s="275"/>
      <c r="C120" s="265"/>
      <c r="E120" s="275"/>
      <c r="F120" s="265"/>
      <c r="G120" s="265"/>
      <c r="J120" s="146" t="s">
        <v>672</v>
      </c>
      <c r="L120" s="153">
        <f>SUM(L107:L118)</f>
        <v>153246</v>
      </c>
    </row>
    <row r="121" spans="2:12" ht="12.75">
      <c r="B121" s="275"/>
      <c r="C121" s="265"/>
      <c r="E121" s="275"/>
      <c r="F121" s="265"/>
      <c r="G121" s="265"/>
      <c r="L121" s="263"/>
    </row>
  </sheetData>
  <sheetProtection/>
  <printOptions horizontalCentered="1" verticalCentered="1"/>
  <pageMargins left="0" right="0" top="0" bottom="0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T74"/>
  <sheetViews>
    <sheetView zoomScalePageLayoutView="0" workbookViewId="0" topLeftCell="L1">
      <pane ySplit="12" topLeftCell="A13" activePane="bottomLeft" state="frozen"/>
      <selection pane="topLeft" activeCell="H31" activeCellId="1" sqref="K25 H31"/>
      <selection pane="bottomLeft" activeCell="Q14" sqref="Q14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7.7109375" style="171" bestFit="1" customWidth="1"/>
    <col min="5" max="5" width="0.13671875" style="171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0.5625" style="0" customWidth="1"/>
    <col min="14" max="14" width="15.00390625" style="0" bestFit="1" customWidth="1"/>
    <col min="15" max="15" width="3.7109375" style="0" customWidth="1"/>
    <col min="16" max="16" width="10.00390625" style="0" bestFit="1" customWidth="1"/>
    <col min="17" max="17" width="12.7109375" style="0" customWidth="1"/>
    <col min="18" max="18" width="11.7109375" style="0" bestFit="1" customWidth="1"/>
    <col min="19" max="19" width="14.421875" style="0" bestFit="1" customWidth="1"/>
    <col min="20" max="20" width="10.7109375" style="0" bestFit="1" customWidth="1"/>
    <col min="21" max="21" width="2.28125" style="0" customWidth="1"/>
  </cols>
  <sheetData>
    <row r="2" spans="14:20" ht="12.75">
      <c r="N2" t="s">
        <v>619</v>
      </c>
      <c r="P2" s="559" t="s">
        <v>619</v>
      </c>
      <c r="Q2" s="560"/>
      <c r="R2" s="560"/>
      <c r="S2" s="560"/>
      <c r="T2" s="560"/>
    </row>
    <row r="4" spans="2:9" ht="12.75">
      <c r="B4" s="1"/>
      <c r="C4" s="1"/>
      <c r="D4" s="408"/>
      <c r="E4" s="408"/>
      <c r="G4" s="1"/>
      <c r="H4" s="125" t="s">
        <v>346</v>
      </c>
      <c r="I4" s="1"/>
    </row>
    <row r="5" spans="2:9" ht="12.75">
      <c r="B5" s="1"/>
      <c r="C5" s="1"/>
      <c r="D5" s="408"/>
      <c r="E5" s="408"/>
      <c r="G5" s="1"/>
      <c r="H5" s="125" t="s">
        <v>552</v>
      </c>
      <c r="I5" s="1"/>
    </row>
    <row r="6" ht="12.75">
      <c r="H6" s="3" t="s">
        <v>745</v>
      </c>
    </row>
    <row r="7" ht="12.75">
      <c r="H7" s="146" t="s">
        <v>785</v>
      </c>
    </row>
    <row r="8" spans="2:8" ht="12.75">
      <c r="B8" s="60"/>
      <c r="C8" s="60"/>
      <c r="D8" s="409"/>
      <c r="E8" s="409"/>
      <c r="H8" s="3" t="str">
        <f>+'ES 1.0'!E7</f>
        <v>For the Expense Month of June 2014</v>
      </c>
    </row>
    <row r="9" spans="16:20" ht="12.75">
      <c r="P9" s="561" t="s">
        <v>685</v>
      </c>
      <c r="Q9" s="562"/>
      <c r="R9" s="562"/>
      <c r="S9" s="562"/>
      <c r="T9" s="562"/>
    </row>
    <row r="10" ht="13.5" thickBot="1"/>
    <row r="11" spans="2:20" ht="12.75">
      <c r="B11" s="99"/>
      <c r="C11" s="18"/>
      <c r="D11" s="367"/>
      <c r="E11" s="18"/>
      <c r="F11" s="100" t="s">
        <v>598</v>
      </c>
      <c r="G11" s="18"/>
      <c r="H11" s="100">
        <v>-2</v>
      </c>
      <c r="I11" s="18"/>
      <c r="J11" s="100">
        <v>-3</v>
      </c>
      <c r="K11" s="18"/>
      <c r="L11" s="100">
        <v>-4</v>
      </c>
      <c r="M11" s="18"/>
      <c r="N11" s="101">
        <v>-5</v>
      </c>
      <c r="P11" s="561" t="s">
        <v>688</v>
      </c>
      <c r="Q11" s="562"/>
      <c r="R11" s="562"/>
      <c r="S11" s="562"/>
      <c r="T11" s="562"/>
    </row>
    <row r="12" spans="2:20" s="61" customFormat="1" ht="39.75" thickBot="1">
      <c r="B12" s="104"/>
      <c r="C12" s="64"/>
      <c r="D12" s="189"/>
      <c r="E12" s="64"/>
      <c r="F12" s="65" t="s">
        <v>597</v>
      </c>
      <c r="G12" s="64"/>
      <c r="H12" s="65" t="s">
        <v>599</v>
      </c>
      <c r="I12" s="64"/>
      <c r="J12" s="65" t="s">
        <v>572</v>
      </c>
      <c r="K12" s="64"/>
      <c r="L12" s="65" t="s">
        <v>573</v>
      </c>
      <c r="M12" s="64"/>
      <c r="N12" s="66" t="s">
        <v>607</v>
      </c>
      <c r="P12" s="156" t="s">
        <v>313</v>
      </c>
      <c r="Q12" s="156" t="s">
        <v>686</v>
      </c>
      <c r="R12" s="156" t="s">
        <v>687</v>
      </c>
      <c r="S12" s="156" t="s">
        <v>650</v>
      </c>
      <c r="T12" s="156" t="s">
        <v>651</v>
      </c>
    </row>
    <row r="13" spans="2:14" ht="12.75">
      <c r="B13" s="99"/>
      <c r="C13" s="18"/>
      <c r="D13" s="367"/>
      <c r="E13" s="18"/>
      <c r="F13" s="6"/>
      <c r="G13" s="18"/>
      <c r="H13" s="6"/>
      <c r="I13" s="18"/>
      <c r="J13" s="6"/>
      <c r="K13" s="18"/>
      <c r="L13" s="6"/>
      <c r="M13" s="18"/>
      <c r="N13" s="7"/>
    </row>
    <row r="14" spans="2:20" ht="12.75">
      <c r="B14" s="102" t="s">
        <v>608</v>
      </c>
      <c r="C14" s="20"/>
      <c r="D14" s="63"/>
      <c r="E14" s="20"/>
      <c r="F14" s="40"/>
      <c r="G14" s="20"/>
      <c r="H14" s="40">
        <v>754608</v>
      </c>
      <c r="I14" s="20"/>
      <c r="J14" s="12"/>
      <c r="K14" s="20"/>
      <c r="L14" s="12">
        <v>4685726</v>
      </c>
      <c r="M14" s="20"/>
      <c r="N14" s="269">
        <f>L14/H14</f>
        <v>6.209483599431758</v>
      </c>
      <c r="P14" s="33"/>
      <c r="Q14" s="62"/>
      <c r="R14" s="84"/>
      <c r="S14" s="62"/>
      <c r="T14" s="158"/>
    </row>
    <row r="15" spans="2:20" ht="12.75">
      <c r="B15" s="102" t="s">
        <v>609</v>
      </c>
      <c r="C15" s="20"/>
      <c r="D15" s="63"/>
      <c r="E15" s="20"/>
      <c r="F15" s="40"/>
      <c r="G15" s="20"/>
      <c r="H15" s="40"/>
      <c r="I15" s="20"/>
      <c r="J15" s="12"/>
      <c r="K15" s="20"/>
      <c r="L15" s="12"/>
      <c r="M15" s="20"/>
      <c r="N15" s="103"/>
      <c r="P15" s="33"/>
      <c r="Q15" s="62"/>
      <c r="R15" s="84"/>
      <c r="S15" s="62"/>
      <c r="T15" s="158"/>
    </row>
    <row r="16" spans="2:20" ht="12.75">
      <c r="B16" s="102" t="s">
        <v>610</v>
      </c>
      <c r="C16" s="20"/>
      <c r="D16" s="63"/>
      <c r="E16" s="20"/>
      <c r="F16" s="168">
        <v>0</v>
      </c>
      <c r="G16" s="20"/>
      <c r="H16" s="40">
        <f>88625+139780+130+34945+34945+34945+34945+34945+34945+1019+34945+34945+34945</f>
        <v>544059</v>
      </c>
      <c r="I16" s="20"/>
      <c r="J16" s="12">
        <v>0</v>
      </c>
      <c r="K16" s="20"/>
      <c r="L16" s="12">
        <v>0</v>
      </c>
      <c r="M16" s="20"/>
      <c r="N16" s="269">
        <v>0</v>
      </c>
      <c r="P16" s="33"/>
      <c r="Q16" s="62"/>
      <c r="R16" s="84"/>
      <c r="S16" s="62"/>
      <c r="T16" s="158"/>
    </row>
    <row r="17" spans="2:20" ht="12.75">
      <c r="B17" s="102" t="s">
        <v>611</v>
      </c>
      <c r="C17" s="20"/>
      <c r="D17" s="63"/>
      <c r="E17" s="20"/>
      <c r="F17" s="168">
        <v>0</v>
      </c>
      <c r="G17" s="20"/>
      <c r="H17" s="40">
        <f>3853+5932+31691+10239+10399+10825+11223+10582</f>
        <v>94744</v>
      </c>
      <c r="I17" s="20"/>
      <c r="J17" s="12">
        <v>0</v>
      </c>
      <c r="K17" s="20"/>
      <c r="L17" s="12">
        <v>0</v>
      </c>
      <c r="M17" s="20"/>
      <c r="N17" s="269">
        <v>0</v>
      </c>
      <c r="P17" s="33"/>
      <c r="Q17" s="62"/>
      <c r="R17" s="84"/>
      <c r="S17" s="62"/>
      <c r="T17" s="158"/>
    </row>
    <row r="18" spans="2:20" ht="12.75">
      <c r="B18" s="102" t="s">
        <v>612</v>
      </c>
      <c r="C18" s="20"/>
      <c r="D18" s="63"/>
      <c r="E18" s="20"/>
      <c r="F18" s="168">
        <v>0</v>
      </c>
      <c r="G18" s="20"/>
      <c r="H18" s="40">
        <f>312630+10516+2391+332+1332</f>
        <v>327201</v>
      </c>
      <c r="I18" s="20"/>
      <c r="J18" s="12">
        <v>0</v>
      </c>
      <c r="K18" s="20"/>
      <c r="L18" s="12">
        <f>3639150+596899+473418+15558+198+130472</f>
        <v>4855695</v>
      </c>
      <c r="M18" s="20"/>
      <c r="N18" s="269">
        <f aca="true" t="shared" si="0" ref="N18:N33">L18/H18</f>
        <v>14.840098288208166</v>
      </c>
      <c r="P18" s="33"/>
      <c r="Q18" s="62"/>
      <c r="R18" s="84"/>
      <c r="S18" s="62"/>
      <c r="T18" s="292"/>
    </row>
    <row r="19" spans="2:20" ht="12.75">
      <c r="B19" s="102" t="s">
        <v>613</v>
      </c>
      <c r="C19" s="20"/>
      <c r="D19" s="63"/>
      <c r="E19" s="20"/>
      <c r="F19" s="168">
        <v>0</v>
      </c>
      <c r="G19" s="20"/>
      <c r="H19" s="40">
        <f>12132+7638+887+82+13191+33701+41774+20689+29126</f>
        <v>159220</v>
      </c>
      <c r="I19" s="20"/>
      <c r="J19" s="12">
        <v>0</v>
      </c>
      <c r="K19" s="20"/>
      <c r="L19" s="12">
        <f>1615719+1317326+279396+34907+6208212+11503061+156184+12341570+6096125+9047277</f>
        <v>48599777</v>
      </c>
      <c r="M19" s="20"/>
      <c r="N19" s="269">
        <f t="shared" si="0"/>
        <v>305.2366348448687</v>
      </c>
      <c r="P19" s="33"/>
      <c r="Q19" s="62"/>
      <c r="R19" s="84"/>
      <c r="S19" s="62"/>
      <c r="T19" s="158"/>
    </row>
    <row r="20" spans="2:20" ht="12.75">
      <c r="B20" s="102" t="s">
        <v>614</v>
      </c>
      <c r="C20" s="20"/>
      <c r="D20" s="63"/>
      <c r="E20" s="20"/>
      <c r="F20" s="168">
        <v>0</v>
      </c>
      <c r="G20" s="20"/>
      <c r="H20" s="168">
        <f>380805+6440+2733+11157+37637+1456+12179+1638+3044+1412+16936+528+5906+3352+1630+1698+35306+8128+6449+16211+1585+1266-104835+4729-4-49975+1508+4468+1+5988+9248+340+1383+2859</f>
        <v>433206</v>
      </c>
      <c r="I20" s="295"/>
      <c r="J20" s="174">
        <v>0</v>
      </c>
      <c r="K20" s="295"/>
      <c r="L20" s="174">
        <f>44954790+755259+1374618+1011781+386709+1768110+370229+217094+696041+231513+251053+210548+2221096+87551+872478+489427+144035+291181+7+75074+464279+1385056+3165370+405760+461457+1151064-1-1914225+1048814+1363024+1200594+1866728+7282+23213+115848</f>
        <v>67152857</v>
      </c>
      <c r="M20" s="295"/>
      <c r="N20" s="296">
        <f t="shared" si="0"/>
        <v>155.01368171262632</v>
      </c>
      <c r="P20" s="33"/>
      <c r="Q20" s="62"/>
      <c r="R20" s="84"/>
      <c r="S20" s="62"/>
      <c r="T20" s="158"/>
    </row>
    <row r="21" spans="2:20" ht="26.25">
      <c r="B21" s="279" t="s">
        <v>344</v>
      </c>
      <c r="C21" s="20"/>
      <c r="D21" s="63"/>
      <c r="E21" s="20"/>
      <c r="F21" s="168">
        <v>0</v>
      </c>
      <c r="G21" s="20"/>
      <c r="H21" s="168">
        <f>4+4116-14+9564-28+1674-8</f>
        <v>15308</v>
      </c>
      <c r="I21" s="295"/>
      <c r="J21" s="174">
        <v>0</v>
      </c>
      <c r="K21" s="295"/>
      <c r="L21" s="174">
        <f>-1700794-188-3402998-2819-662319-957</f>
        <v>-5770075</v>
      </c>
      <c r="M21" s="295"/>
      <c r="N21" s="296">
        <f t="shared" si="0"/>
        <v>-376.93199634178205</v>
      </c>
      <c r="P21" s="33"/>
      <c r="Q21" s="62"/>
      <c r="R21" s="84"/>
      <c r="S21" s="62"/>
      <c r="T21" s="158"/>
    </row>
    <row r="22" spans="2:20" ht="12.75">
      <c r="B22" s="279"/>
      <c r="C22" s="20"/>
      <c r="D22" s="63"/>
      <c r="E22" s="20"/>
      <c r="F22" s="168"/>
      <c r="G22" s="20"/>
      <c r="H22" s="168"/>
      <c r="I22" s="295"/>
      <c r="J22" s="174"/>
      <c r="K22" s="295"/>
      <c r="L22" s="174"/>
      <c r="M22" s="295"/>
      <c r="N22" s="296"/>
      <c r="P22" s="33"/>
      <c r="Q22" s="62"/>
      <c r="R22" s="84"/>
      <c r="S22" s="62"/>
      <c r="T22" s="158"/>
    </row>
    <row r="23" spans="2:20" ht="12.75">
      <c r="B23" s="102" t="s">
        <v>615</v>
      </c>
      <c r="C23" s="20"/>
      <c r="D23" s="63"/>
      <c r="E23" s="20"/>
      <c r="F23" s="168"/>
      <c r="G23" s="20"/>
      <c r="H23" s="168"/>
      <c r="I23" s="295"/>
      <c r="J23" s="174"/>
      <c r="K23" s="295"/>
      <c r="L23" s="174"/>
      <c r="M23" s="295"/>
      <c r="N23" s="297"/>
      <c r="P23" s="33"/>
      <c r="Q23" s="62"/>
      <c r="R23" s="84"/>
      <c r="S23" s="62"/>
      <c r="T23" s="158"/>
    </row>
    <row r="24" spans="2:20" ht="12.75">
      <c r="B24" s="102" t="s">
        <v>616</v>
      </c>
      <c r="C24" s="20"/>
      <c r="D24" s="63"/>
      <c r="E24" s="20"/>
      <c r="F24" s="168">
        <v>0</v>
      </c>
      <c r="G24" s="20"/>
      <c r="H24" s="168">
        <f>2415+1313+5310+412+1932</f>
        <v>11382</v>
      </c>
      <c r="I24" s="295"/>
      <c r="J24" s="174">
        <v>0</v>
      </c>
      <c r="K24" s="295"/>
      <c r="L24" s="174">
        <f>272099+94553+408601+8618+52235</f>
        <v>836106</v>
      </c>
      <c r="M24" s="295"/>
      <c r="N24" s="296">
        <f t="shared" si="0"/>
        <v>73.458618871903</v>
      </c>
      <c r="P24" s="33"/>
      <c r="Q24" s="62"/>
      <c r="R24" s="84"/>
      <c r="S24" s="62"/>
      <c r="T24" s="158"/>
    </row>
    <row r="25" spans="2:20" ht="12.75">
      <c r="B25" s="102" t="s">
        <v>617</v>
      </c>
      <c r="C25" s="20"/>
      <c r="D25" s="63"/>
      <c r="E25" s="20"/>
      <c r="F25" s="168">
        <v>0</v>
      </c>
      <c r="G25" s="20"/>
      <c r="H25" s="168">
        <f>23240+13462+1482+352+705+1588+352+1083+9629+3857-5310+2212-5562+3034+2566+7297+1744+930</f>
        <v>62661</v>
      </c>
      <c r="I25" s="295"/>
      <c r="J25" s="174">
        <v>0</v>
      </c>
      <c r="K25" s="295"/>
      <c r="L25" s="174">
        <f>2566468+1334627+59655+26902+54351+44574+27785+86066+740946+277754-408601+86832-299333+106433+53676+97815+208544+139825</f>
        <v>5204319</v>
      </c>
      <c r="M25" s="295"/>
      <c r="N25" s="296">
        <f t="shared" si="0"/>
        <v>83.05515392349308</v>
      </c>
      <c r="P25" s="33"/>
      <c r="Q25" s="62"/>
      <c r="R25" s="84"/>
      <c r="S25" s="62"/>
      <c r="T25" s="158"/>
    </row>
    <row r="26" spans="2:14" ht="12.75">
      <c r="B26" s="102" t="s">
        <v>618</v>
      </c>
      <c r="C26" s="20"/>
      <c r="D26" s="63"/>
      <c r="E26" s="20"/>
      <c r="F26" s="168">
        <v>0</v>
      </c>
      <c r="G26" s="20"/>
      <c r="H26" s="168">
        <f>290982+636+749+825+340+1383+5309+2826</f>
        <v>303050</v>
      </c>
      <c r="I26" s="295"/>
      <c r="J26" s="174">
        <v>0</v>
      </c>
      <c r="K26" s="295"/>
      <c r="L26" s="174">
        <f>25144488+719090+177893+411634+532173+360899+659073+301781+61124+270301+49561+49632+259463+39794+17867+70327+15589+299333+11229+18137+13439+13320-4480+27626+25307+29804+32828+7112+23859+26648+115422</f>
        <v>29780273</v>
      </c>
      <c r="M26" s="295"/>
      <c r="N26" s="296">
        <f t="shared" si="0"/>
        <v>98.26851344662597</v>
      </c>
    </row>
    <row r="27" spans="2:14" ht="26.25">
      <c r="B27" s="279" t="s">
        <v>344</v>
      </c>
      <c r="C27" s="20"/>
      <c r="D27" s="63"/>
      <c r="E27" s="20"/>
      <c r="F27" s="168">
        <v>0</v>
      </c>
      <c r="G27" s="20"/>
      <c r="H27" s="168">
        <f>34941-34941</f>
        <v>0</v>
      </c>
      <c r="I27" s="295"/>
      <c r="J27" s="174">
        <v>0</v>
      </c>
      <c r="K27" s="295"/>
      <c r="L27" s="174">
        <v>0</v>
      </c>
      <c r="M27" s="295"/>
      <c r="N27" s="296">
        <v>0</v>
      </c>
    </row>
    <row r="28" spans="2:14" ht="6" customHeight="1">
      <c r="B28" s="279"/>
      <c r="C28" s="20"/>
      <c r="D28" s="63"/>
      <c r="E28" s="20"/>
      <c r="F28" s="168"/>
      <c r="G28" s="20"/>
      <c r="H28" s="168"/>
      <c r="I28" s="295"/>
      <c r="J28" s="174"/>
      <c r="K28" s="295"/>
      <c r="L28" s="174"/>
      <c r="M28" s="295"/>
      <c r="N28" s="296"/>
    </row>
    <row r="29" spans="2:20" ht="34.5">
      <c r="B29" s="410" t="s">
        <v>741</v>
      </c>
      <c r="C29" s="20"/>
      <c r="D29" s="218"/>
      <c r="E29" s="20"/>
      <c r="F29" s="406">
        <v>0</v>
      </c>
      <c r="G29" s="20"/>
      <c r="H29" s="168"/>
      <c r="I29" s="295"/>
      <c r="J29" s="321">
        <v>0</v>
      </c>
      <c r="K29" s="295"/>
      <c r="L29" s="174"/>
      <c r="M29" s="295"/>
      <c r="N29" s="296"/>
      <c r="P29" s="146"/>
      <c r="Q29" s="148"/>
      <c r="R29" s="153"/>
      <c r="S29" s="148"/>
      <c r="T29" s="159"/>
    </row>
    <row r="30" spans="2:20" ht="6" customHeight="1">
      <c r="B30" s="410"/>
      <c r="C30" s="20"/>
      <c r="D30" s="218"/>
      <c r="E30" s="20"/>
      <c r="F30" s="168"/>
      <c r="G30" s="20"/>
      <c r="H30" s="168"/>
      <c r="I30" s="295"/>
      <c r="J30" s="174"/>
      <c r="K30" s="295"/>
      <c r="L30" s="174"/>
      <c r="M30" s="295"/>
      <c r="N30" s="296"/>
      <c r="P30" s="146"/>
      <c r="Q30" s="148"/>
      <c r="R30" s="153"/>
      <c r="S30" s="148"/>
      <c r="T30" s="159"/>
    </row>
    <row r="31" spans="2:18" ht="34.5">
      <c r="B31" s="410" t="s">
        <v>742</v>
      </c>
      <c r="C31" s="20"/>
      <c r="D31" s="218"/>
      <c r="E31" s="20"/>
      <c r="F31" s="472">
        <f>T66+T67</f>
        <v>8759.846956151556</v>
      </c>
      <c r="G31" s="20"/>
      <c r="H31" s="474">
        <f>430168+4543+5400+4520+4550+4750+4763+5237+3748+5121+4748+1634+3482+4481+3696+4288+3467+3168+3178+5161+3885+4490+4696+3434+4099+2936+4328+2873+4175+4214+4763+9038-1+1293+7140+5+7329+7070+3802+8122+5343-10730+4088+4139+3922+3525+1088+797+9052+4661+3443+4142+4025+2894+3856+10632+8512+6272+7526+7134+8326+622+4468+1414+215+3774+7430+2776+7178+9464+7812+1642+1416+1608+3640+6440+6388+9268+6662+2462+1866+3542+3434+3008+1660+1946+6218+8558+8945+6829+4703+6160+8760</f>
        <v>840749</v>
      </c>
      <c r="I31" s="295">
        <v>4</v>
      </c>
      <c r="J31" s="473">
        <f>S66+S67</f>
        <v>827452.9767986379</v>
      </c>
      <c r="K31" s="295"/>
      <c r="L31" s="475">
        <f>33040301-1+180771+214872+179856+181050+189008+99633+213895+153080+209157+193923+66738+142215+1+183018-1+150956+175135+141603+129391+115422-115422+77666+134089+100929+116657+122009+89220+106498+76281+112448+74645+108472+109486+656953+262282+123179-138+302548+149297+121971+65592+301208+738341+2299212+549308+556161+527002-1+1529691+14584+351033+176326+2052904+1516445+1824315+1772783+1274642+75116+1+207115+165817+122181+146609+138973+838290+345324+348072+785030+119365+293986+578779+216244+559149+737223+608536+127908+110303+125259+435263+578232+573550+832132+598151+221052+167540+318020+308323+270075+149044+174723+934872+811206+845260+645103+889949+581900+827543</f>
        <v>71049857</v>
      </c>
      <c r="M31" s="295"/>
      <c r="N31" s="296">
        <f t="shared" si="0"/>
        <v>84.50781029772263</v>
      </c>
      <c r="Q31" s="415"/>
      <c r="R31" s="156"/>
    </row>
    <row r="32" spans="2:14" ht="6" customHeight="1">
      <c r="B32" s="410"/>
      <c r="C32" s="20"/>
      <c r="D32" s="218"/>
      <c r="E32" s="20"/>
      <c r="F32" s="406"/>
      <c r="G32" s="20"/>
      <c r="H32" s="168"/>
      <c r="I32" s="295"/>
      <c r="J32" s="122"/>
      <c r="K32" s="295"/>
      <c r="L32" s="174"/>
      <c r="M32" s="295"/>
      <c r="N32" s="296"/>
    </row>
    <row r="33" spans="2:19" ht="39.75" thickBot="1">
      <c r="B33" s="184" t="s">
        <v>319</v>
      </c>
      <c r="C33" s="21"/>
      <c r="D33" s="111"/>
      <c r="E33" s="21"/>
      <c r="F33" s="107"/>
      <c r="G33" s="21"/>
      <c r="H33" s="424">
        <f>+H14+H16+H17+H18+H19+H20+H21-H24-H25-H26-H29-H31</f>
        <v>1110504</v>
      </c>
      <c r="I33" s="21"/>
      <c r="J33" s="107"/>
      <c r="K33" s="21"/>
      <c r="L33" s="425">
        <f>+L14+L16+L17+L18+L19+L20+L21-L24-L25-L26-L29-L31</f>
        <v>12653425</v>
      </c>
      <c r="M33" s="21"/>
      <c r="N33" s="269">
        <f t="shared" si="0"/>
        <v>11.394308350082484</v>
      </c>
      <c r="Q33" s="557"/>
      <c r="R33" s="558"/>
      <c r="S33" s="156"/>
    </row>
    <row r="34" spans="2:19" ht="12.75">
      <c r="B34" s="99"/>
      <c r="C34" s="6"/>
      <c r="D34" s="367"/>
      <c r="E34" s="367"/>
      <c r="F34" s="6"/>
      <c r="G34" s="6"/>
      <c r="H34" s="6"/>
      <c r="I34" s="6"/>
      <c r="J34" s="6"/>
      <c r="K34" s="6"/>
      <c r="L34" s="367"/>
      <c r="M34" s="63"/>
      <c r="N34" s="498"/>
      <c r="P34" s="146"/>
      <c r="Q34" s="183"/>
      <c r="R34" s="183"/>
      <c r="S34" s="414"/>
    </row>
    <row r="35" spans="2:16" ht="12.75">
      <c r="B35" s="11"/>
      <c r="C35" s="11"/>
      <c r="D35" s="63"/>
      <c r="E35" s="63"/>
      <c r="F35" s="11"/>
      <c r="G35" s="11"/>
      <c r="H35" s="11"/>
      <c r="I35" s="11"/>
      <c r="J35" s="11"/>
      <c r="K35" s="11"/>
      <c r="L35" s="63"/>
      <c r="M35" s="63"/>
      <c r="N35" s="497"/>
      <c r="O35" s="11"/>
      <c r="P35" s="145"/>
    </row>
    <row r="36" spans="2:19" ht="12.75">
      <c r="B36" s="11"/>
      <c r="C36" s="11"/>
      <c r="D36" s="63"/>
      <c r="E36" s="63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62"/>
      <c r="R36" s="84"/>
      <c r="S36" s="254"/>
    </row>
    <row r="37" ht="12.75">
      <c r="S37" s="254"/>
    </row>
    <row r="38" spans="2:19" ht="12.75">
      <c r="B38" s="145" t="s">
        <v>18</v>
      </c>
      <c r="S38" s="254"/>
    </row>
    <row r="39" spans="2:19" ht="12.75">
      <c r="B39" t="s">
        <v>19</v>
      </c>
      <c r="S39" s="281"/>
    </row>
    <row r="40" spans="2:14" ht="12.75">
      <c r="B40" s="34" t="s">
        <v>20</v>
      </c>
      <c r="N40" s="62"/>
    </row>
    <row r="41" spans="2:19" ht="12.75">
      <c r="B41" t="s">
        <v>21</v>
      </c>
      <c r="N41" s="84"/>
      <c r="S41" s="254"/>
    </row>
    <row r="42" spans="2:19" ht="12.75">
      <c r="B42" t="s">
        <v>22</v>
      </c>
      <c r="L42" s="456"/>
      <c r="S42" s="254"/>
    </row>
    <row r="43" ht="12.75">
      <c r="L43" s="456"/>
    </row>
    <row r="44" spans="2:19" ht="12.75">
      <c r="B44" s="145" t="s">
        <v>23</v>
      </c>
      <c r="L44" s="456"/>
      <c r="S44" s="281"/>
    </row>
    <row r="45" ht="12.75">
      <c r="B45" t="s">
        <v>24</v>
      </c>
    </row>
    <row r="46" ht="12.75">
      <c r="B46" t="s">
        <v>25</v>
      </c>
    </row>
    <row r="47" spans="2:20" ht="12.75">
      <c r="B47" t="s">
        <v>26</v>
      </c>
      <c r="S47" s="282"/>
      <c r="T47" s="146"/>
    </row>
    <row r="48" ht="12.75">
      <c r="B48" t="s">
        <v>27</v>
      </c>
    </row>
    <row r="49" ht="12.75">
      <c r="B49" t="s">
        <v>28</v>
      </c>
    </row>
    <row r="50" spans="18:19" ht="12.75">
      <c r="R50" s="83"/>
      <c r="S50" s="254"/>
    </row>
    <row r="51" spans="2:19" ht="12.75">
      <c r="B51" s="145" t="s">
        <v>29</v>
      </c>
      <c r="R51" s="303"/>
      <c r="S51" s="254"/>
    </row>
    <row r="52" ht="12.75">
      <c r="B52" t="s">
        <v>30</v>
      </c>
    </row>
    <row r="53" spans="2:19" ht="12.75">
      <c r="B53" t="s">
        <v>65</v>
      </c>
      <c r="S53" s="303"/>
    </row>
    <row r="54" ht="12.75">
      <c r="B54" t="s">
        <v>31</v>
      </c>
    </row>
    <row r="55" ht="12.75">
      <c r="B55" t="s">
        <v>32</v>
      </c>
    </row>
    <row r="61" spans="16:20" ht="12.75">
      <c r="P61" s="561" t="s">
        <v>792</v>
      </c>
      <c r="Q61" s="562"/>
      <c r="R61" s="562"/>
      <c r="S61" s="562"/>
      <c r="T61" s="562"/>
    </row>
    <row r="62" ht="12.75">
      <c r="R62" t="str">
        <f>H8</f>
        <v>For the Expense Month of June 2014</v>
      </c>
    </row>
    <row r="64" spans="16:20" ht="52.5">
      <c r="P64" s="156" t="s">
        <v>784</v>
      </c>
      <c r="Q64" s="156" t="s">
        <v>778</v>
      </c>
      <c r="R64" s="156" t="s">
        <v>779</v>
      </c>
      <c r="S64" s="156" t="s">
        <v>781</v>
      </c>
      <c r="T64" s="156" t="s">
        <v>782</v>
      </c>
    </row>
    <row r="66" spans="16:20" ht="12.75">
      <c r="P66" s="62" t="s">
        <v>776</v>
      </c>
      <c r="Q66" s="62">
        <f>746.49+2945.12</f>
        <v>3691.6099999999997</v>
      </c>
      <c r="R66" s="492">
        <f>Q66/$Q$69</f>
        <v>0.801819706171102</v>
      </c>
      <c r="S66" s="493">
        <f>R66*$S$72</f>
        <v>698168.4727543637</v>
      </c>
      <c r="T66" s="62">
        <f>R66*$S$73</f>
        <v>7391.174051485218</v>
      </c>
    </row>
    <row r="67" spans="16:20" ht="12.75">
      <c r="P67" s="521" t="s">
        <v>777</v>
      </c>
      <c r="Q67" s="521">
        <f>327.33+356.27</f>
        <v>683.5999999999999</v>
      </c>
      <c r="R67" s="522">
        <f>Q67/$Q$69</f>
        <v>0.14847829297747198</v>
      </c>
      <c r="S67" s="523">
        <f>R67*$S$72</f>
        <v>129284.50404427417</v>
      </c>
      <c r="T67" s="521">
        <f>R67*$S$73</f>
        <v>1368.6729046663368</v>
      </c>
    </row>
    <row r="68" spans="16:20" ht="12.75">
      <c r="P68" s="521" t="s">
        <v>397</v>
      </c>
      <c r="Q68" s="521">
        <f>58.91+11+153.92+5</f>
        <v>228.82999999999998</v>
      </c>
      <c r="R68" s="522">
        <f>Q68/$Q$69</f>
        <v>0.04970200085142615</v>
      </c>
      <c r="S68" s="523">
        <f>R68*$S$72</f>
        <v>43277.02320136229</v>
      </c>
      <c r="T68" s="521">
        <f>R68*$S$73</f>
        <v>458.15304384844626</v>
      </c>
    </row>
    <row r="69" spans="16:20" ht="12.75">
      <c r="P69" s="148" t="s">
        <v>672</v>
      </c>
      <c r="Q69" s="148">
        <f>SUM(Q66:Q68)</f>
        <v>4604.039999999999</v>
      </c>
      <c r="R69" s="494">
        <f>SUM(R66:R68)</f>
        <v>1</v>
      </c>
      <c r="S69" s="495">
        <f>R69*$S$72</f>
        <v>870730</v>
      </c>
      <c r="T69" s="148">
        <f>SUM(T66:T68)</f>
        <v>9218.000000000002</v>
      </c>
    </row>
    <row r="70" spans="16:20" ht="12.75">
      <c r="P70" s="148"/>
      <c r="Q70" s="148"/>
      <c r="R70" s="148"/>
      <c r="S70" s="145"/>
      <c r="T70" s="62"/>
    </row>
    <row r="71" spans="16:20" ht="12.75">
      <c r="P71" s="148"/>
      <c r="Q71" s="148"/>
      <c r="R71" s="148"/>
      <c r="S71" s="145"/>
      <c r="T71" s="62"/>
    </row>
    <row r="72" spans="16:20" ht="12.75">
      <c r="P72" s="148" t="s">
        <v>780</v>
      </c>
      <c r="Q72" s="148"/>
      <c r="R72" s="148"/>
      <c r="S72" s="506">
        <v>870730</v>
      </c>
      <c r="T72" s="62"/>
    </row>
    <row r="73" spans="16:20" ht="12.75">
      <c r="P73" s="148" t="s">
        <v>783</v>
      </c>
      <c r="Q73" s="62"/>
      <c r="R73" s="62"/>
      <c r="S73" s="507">
        <v>9218</v>
      </c>
      <c r="T73" s="62"/>
    </row>
    <row r="74" spans="16:20" ht="12.75">
      <c r="P74" s="62"/>
      <c r="Q74" s="62"/>
      <c r="R74" s="62"/>
      <c r="S74" s="276" t="s">
        <v>118</v>
      </c>
      <c r="T74" s="62"/>
    </row>
  </sheetData>
  <sheetProtection/>
  <mergeCells count="5">
    <mergeCell ref="Q33:R33"/>
    <mergeCell ref="P2:T2"/>
    <mergeCell ref="P9:T9"/>
    <mergeCell ref="P11:T11"/>
    <mergeCell ref="P61:T61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74"/>
  <sheetViews>
    <sheetView zoomScalePageLayoutView="0" workbookViewId="0" topLeftCell="J1">
      <selection activeCell="L31" sqref="L3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3.7109375" style="0" customWidth="1"/>
    <col min="14" max="14" width="14.8515625" style="0" bestFit="1" customWidth="1"/>
    <col min="15" max="15" width="12.28125" style="0" customWidth="1"/>
    <col min="16" max="16" width="11.00390625" style="0" customWidth="1"/>
    <col min="17" max="17" width="11.7109375" style="0" customWidth="1"/>
    <col min="18" max="18" width="13.421875" style="0" customWidth="1"/>
    <col min="19" max="19" width="12.7109375" style="0" customWidth="1"/>
    <col min="20" max="20" width="10.7109375" style="0" bestFit="1" customWidth="1"/>
    <col min="21" max="21" width="11.7109375" style="0" bestFit="1" customWidth="1"/>
  </cols>
  <sheetData>
    <row r="1" ht="12.75">
      <c r="A1" t="s">
        <v>118</v>
      </c>
    </row>
    <row r="2" spans="10:14" ht="12.75">
      <c r="J2" s="563" t="s">
        <v>487</v>
      </c>
      <c r="K2" s="563"/>
      <c r="L2" s="563"/>
      <c r="N2" s="160"/>
    </row>
    <row r="4" spans="2:7" ht="12.75">
      <c r="B4" s="1"/>
      <c r="C4" s="1"/>
      <c r="D4" s="125" t="s">
        <v>346</v>
      </c>
      <c r="E4" s="1"/>
      <c r="F4" s="1"/>
      <c r="G4" s="1"/>
    </row>
    <row r="5" spans="2:7" ht="12.75">
      <c r="B5" s="1"/>
      <c r="C5" s="1"/>
      <c r="D5" s="125" t="s">
        <v>552</v>
      </c>
      <c r="E5" s="1"/>
      <c r="F5" s="1"/>
      <c r="G5" s="1"/>
    </row>
    <row r="6" ht="12.75">
      <c r="D6" s="3" t="s">
        <v>488</v>
      </c>
    </row>
    <row r="7" ht="12.75">
      <c r="D7" s="146" t="s">
        <v>785</v>
      </c>
    </row>
    <row r="8" spans="2:4" ht="12.75">
      <c r="B8" s="60"/>
      <c r="C8" s="60"/>
      <c r="D8" s="3" t="str">
        <f>+'ES 1.0'!E7</f>
        <v>For the Expense Month of June 2014</v>
      </c>
    </row>
    <row r="9" ht="12.75">
      <c r="P9" s="157"/>
    </row>
    <row r="10" ht="13.5" thickBot="1"/>
    <row r="11" spans="2:20" ht="12.75">
      <c r="B11" s="99"/>
      <c r="C11" s="18"/>
      <c r="D11" s="100" t="s">
        <v>598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N11" s="3"/>
      <c r="O11" s="157"/>
      <c r="T11" s="161"/>
    </row>
    <row r="12" spans="2:22" s="61" customFormat="1" ht="39.75" thickBot="1">
      <c r="B12" s="104"/>
      <c r="C12" s="64"/>
      <c r="D12" s="65" t="s">
        <v>597</v>
      </c>
      <c r="E12" s="64"/>
      <c r="F12" s="65" t="s">
        <v>599</v>
      </c>
      <c r="G12" s="64"/>
      <c r="H12" s="65" t="s">
        <v>605</v>
      </c>
      <c r="I12" s="64"/>
      <c r="J12" s="65" t="s">
        <v>606</v>
      </c>
      <c r="K12" s="64"/>
      <c r="L12" s="66" t="s">
        <v>607</v>
      </c>
      <c r="N12" s="156"/>
      <c r="T12" s="156"/>
      <c r="U12" s="156"/>
      <c r="V12" s="156"/>
    </row>
    <row r="13" spans="2:12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</row>
    <row r="14" spans="2:22" ht="12.75">
      <c r="B14" s="102" t="s">
        <v>608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69">
        <v>0</v>
      </c>
      <c r="N14" s="33"/>
      <c r="T14" s="84"/>
      <c r="U14" s="62"/>
      <c r="V14" s="158"/>
    </row>
    <row r="15" spans="2:22" ht="12.75">
      <c r="B15" s="102" t="s">
        <v>609</v>
      </c>
      <c r="C15" s="20"/>
      <c r="D15" s="40"/>
      <c r="E15" s="20"/>
      <c r="F15" s="40"/>
      <c r="G15" s="20"/>
      <c r="H15" s="12"/>
      <c r="I15" s="20"/>
      <c r="J15" s="12"/>
      <c r="K15" s="20"/>
      <c r="L15" s="269"/>
      <c r="N15" s="33"/>
      <c r="T15" s="84"/>
      <c r="U15" s="62"/>
      <c r="V15" s="158"/>
    </row>
    <row r="16" spans="2:22" ht="12.75">
      <c r="B16" s="102" t="s">
        <v>610</v>
      </c>
      <c r="C16" s="20"/>
      <c r="D16" s="168">
        <v>0</v>
      </c>
      <c r="E16" s="20"/>
      <c r="F16" s="40">
        <f>10094+3849+4540+16+28+16+32+40+32+18220+40+47+49+45+45+44+113</f>
        <v>37250</v>
      </c>
      <c r="G16" s="20"/>
      <c r="H16" s="12">
        <v>0</v>
      </c>
      <c r="I16" s="20"/>
      <c r="J16" s="12">
        <v>0</v>
      </c>
      <c r="K16" s="20"/>
      <c r="L16" s="269"/>
      <c r="N16" s="33"/>
      <c r="T16" s="84"/>
      <c r="U16" s="62"/>
      <c r="V16" s="158"/>
    </row>
    <row r="17" spans="2:22" ht="12.75">
      <c r="B17" s="102" t="s">
        <v>749</v>
      </c>
      <c r="C17" s="20"/>
      <c r="D17" s="407">
        <v>0</v>
      </c>
      <c r="E17" s="20"/>
      <c r="F17" s="40">
        <v>0</v>
      </c>
      <c r="G17" s="20"/>
      <c r="H17" s="12"/>
      <c r="I17" s="20"/>
      <c r="J17" s="12">
        <v>0</v>
      </c>
      <c r="K17" s="20"/>
      <c r="L17" s="269"/>
      <c r="N17" s="33"/>
      <c r="T17" s="84"/>
      <c r="U17" s="62"/>
      <c r="V17" s="158"/>
    </row>
    <row r="18" spans="2:22" ht="12.75">
      <c r="B18" s="102" t="s">
        <v>613</v>
      </c>
      <c r="C18" s="20"/>
      <c r="D18" s="407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69">
        <v>0</v>
      </c>
      <c r="N18" s="33"/>
      <c r="T18" s="84"/>
      <c r="U18" s="62"/>
      <c r="V18" s="158"/>
    </row>
    <row r="19" spans="2:22" ht="12.75">
      <c r="B19" s="102" t="s">
        <v>614</v>
      </c>
      <c r="C19" s="20"/>
      <c r="D19" s="407">
        <v>0</v>
      </c>
      <c r="E19" s="20"/>
      <c r="F19" s="162">
        <v>0</v>
      </c>
      <c r="G19" s="20"/>
      <c r="H19" s="122">
        <v>0</v>
      </c>
      <c r="I19" s="20"/>
      <c r="J19" s="122">
        <v>0</v>
      </c>
      <c r="K19" s="20"/>
      <c r="L19" s="269">
        <v>0</v>
      </c>
      <c r="N19" s="33"/>
      <c r="T19" s="84"/>
      <c r="U19" s="62"/>
      <c r="V19" s="158"/>
    </row>
    <row r="20" spans="2:22" ht="12.75">
      <c r="B20" s="102"/>
      <c r="C20" s="20"/>
      <c r="D20" s="407"/>
      <c r="E20" s="20"/>
      <c r="F20" s="162"/>
      <c r="G20" s="20"/>
      <c r="H20" s="122"/>
      <c r="I20" s="20"/>
      <c r="J20" s="122"/>
      <c r="K20" s="20"/>
      <c r="L20" s="269"/>
      <c r="N20" s="33"/>
      <c r="T20" s="84"/>
      <c r="U20" s="62"/>
      <c r="V20" s="158"/>
    </row>
    <row r="21" spans="2:22" ht="12.75">
      <c r="B21" s="102" t="s">
        <v>615</v>
      </c>
      <c r="C21" s="20"/>
      <c r="D21" s="407"/>
      <c r="E21" s="20"/>
      <c r="F21" s="40"/>
      <c r="G21" s="20"/>
      <c r="H21" s="12"/>
      <c r="I21" s="20"/>
      <c r="J21" s="12"/>
      <c r="K21" s="20"/>
      <c r="L21" s="269"/>
      <c r="N21" s="33"/>
      <c r="T21" s="84"/>
      <c r="U21" s="62"/>
      <c r="V21" s="158"/>
    </row>
    <row r="22" spans="2:22" ht="12.75">
      <c r="B22" s="102" t="s">
        <v>616</v>
      </c>
      <c r="C22" s="20"/>
      <c r="D22" s="407">
        <v>0</v>
      </c>
      <c r="E22" s="20"/>
      <c r="F22" s="40">
        <v>0</v>
      </c>
      <c r="G22" s="20"/>
      <c r="H22" s="12">
        <v>0</v>
      </c>
      <c r="I22" s="20"/>
      <c r="J22" s="12">
        <v>0</v>
      </c>
      <c r="K22" s="20"/>
      <c r="L22" s="269">
        <v>0</v>
      </c>
      <c r="N22" s="33"/>
      <c r="T22" s="84"/>
      <c r="U22" s="62"/>
      <c r="V22" s="158"/>
    </row>
    <row r="23" spans="2:22" ht="12.75">
      <c r="B23" s="102" t="s">
        <v>617</v>
      </c>
      <c r="C23" s="20"/>
      <c r="D23" s="407">
        <v>0</v>
      </c>
      <c r="E23" s="20"/>
      <c r="F23" s="162">
        <v>0</v>
      </c>
      <c r="G23" s="20"/>
      <c r="H23" s="122">
        <v>0</v>
      </c>
      <c r="I23" s="20"/>
      <c r="J23" s="122">
        <v>0</v>
      </c>
      <c r="K23" s="20"/>
      <c r="L23" s="269">
        <v>0</v>
      </c>
      <c r="N23" s="33"/>
      <c r="O23" s="62"/>
      <c r="P23" s="62"/>
      <c r="Q23" s="62"/>
      <c r="S23" s="265" t="s">
        <v>118</v>
      </c>
      <c r="T23" s="84"/>
      <c r="U23" s="62"/>
      <c r="V23" s="158"/>
    </row>
    <row r="24" spans="2:22" ht="12.75">
      <c r="B24" s="102" t="s">
        <v>618</v>
      </c>
      <c r="C24" s="20"/>
      <c r="D24" s="407">
        <v>0</v>
      </c>
      <c r="E24" s="20"/>
      <c r="F24" s="313">
        <f>250+200+50+300+300+250+100+150+50+100+100+375+200+554+500+353+450</f>
        <v>4282</v>
      </c>
      <c r="G24" s="20"/>
      <c r="H24" s="122">
        <v>0</v>
      </c>
      <c r="I24" s="20"/>
      <c r="J24" s="174">
        <v>0</v>
      </c>
      <c r="K24" s="20"/>
      <c r="L24" s="269">
        <v>0</v>
      </c>
      <c r="N24" s="33"/>
      <c r="O24" s="62"/>
      <c r="P24" s="62"/>
      <c r="Q24" s="62"/>
      <c r="S24" s="62"/>
      <c r="T24" s="84"/>
      <c r="U24" s="62"/>
      <c r="V24" s="158"/>
    </row>
    <row r="25" spans="2:22" ht="12.75">
      <c r="B25" s="104" t="s">
        <v>242</v>
      </c>
      <c r="C25" s="20"/>
      <c r="D25" s="407">
        <v>0</v>
      </c>
      <c r="E25" s="20"/>
      <c r="F25" s="162">
        <v>930</v>
      </c>
      <c r="G25" s="20"/>
      <c r="H25" s="122">
        <v>0</v>
      </c>
      <c r="I25" s="20"/>
      <c r="J25" s="122">
        <v>0</v>
      </c>
      <c r="K25" s="20"/>
      <c r="L25" s="269">
        <v>0</v>
      </c>
      <c r="N25" s="33"/>
      <c r="O25" s="62"/>
      <c r="P25" s="62"/>
      <c r="Q25" s="62"/>
      <c r="S25" s="62"/>
      <c r="T25" s="84"/>
      <c r="U25" s="62"/>
      <c r="V25" s="158"/>
    </row>
    <row r="26" spans="2:22" ht="13.5" thickBot="1">
      <c r="B26" s="104" t="s">
        <v>755</v>
      </c>
      <c r="C26" s="20"/>
      <c r="D26" s="474">
        <f>O41+O42</f>
        <v>661.74</v>
      </c>
      <c r="E26" s="20"/>
      <c r="F26" s="478">
        <f>420+653+477-680-250+463+267+357+782+633+597+1+654+645+736+759+593+6+449+549+557+736+614-2+2+1122+631-561+706+694+523+1+8+696+617+545+647+565-4+10+263+571+1014+1022+616+1+3+677+827+957+792+724+2+6+250+493+740+592+305+1+1+219+373+579+509+434+4+4+435+662</f>
        <v>29294</v>
      </c>
      <c r="G26" s="20"/>
      <c r="H26" s="526">
        <f>Q41+Q42</f>
        <v>6272.837997516339</v>
      </c>
      <c r="I26" s="20"/>
      <c r="J26" s="122">
        <v>0</v>
      </c>
      <c r="K26" s="20"/>
      <c r="L26" s="269">
        <v>0</v>
      </c>
      <c r="N26" s="33"/>
      <c r="O26" s="62"/>
      <c r="P26" s="62"/>
      <c r="Q26" s="62"/>
      <c r="S26" s="62"/>
      <c r="T26" s="84"/>
      <c r="U26" s="62"/>
      <c r="V26" s="158"/>
    </row>
    <row r="27" spans="1:22" ht="30" customHeight="1" thickBot="1">
      <c r="A27" s="11"/>
      <c r="B27" s="238" t="s">
        <v>66</v>
      </c>
      <c r="C27" s="113"/>
      <c r="D27" s="239"/>
      <c r="E27" s="113"/>
      <c r="F27" s="420">
        <f>+F14+F16+F17+F18+F19-F22-F23-F24-F25-F26</f>
        <v>2744</v>
      </c>
      <c r="G27" s="113"/>
      <c r="H27" s="239"/>
      <c r="I27" s="113"/>
      <c r="J27" s="421">
        <f>+J14+J16+J17+J18+J19-J22-J23-J24-J25-J26</f>
        <v>0</v>
      </c>
      <c r="K27" s="113"/>
      <c r="L27" s="404">
        <v>0</v>
      </c>
      <c r="O27" s="62"/>
      <c r="P27" s="62"/>
      <c r="Q27" s="62"/>
      <c r="S27" s="62"/>
      <c r="U27" s="62"/>
      <c r="V27" s="158"/>
    </row>
    <row r="28" spans="2:22" ht="12.75">
      <c r="B28" s="11"/>
      <c r="C28" s="11"/>
      <c r="D28" s="11"/>
      <c r="E28" s="11"/>
      <c r="F28" s="11"/>
      <c r="G28" s="11"/>
      <c r="H28" s="11"/>
      <c r="I28" s="11"/>
      <c r="J28" s="11" t="s">
        <v>118</v>
      </c>
      <c r="K28" s="63"/>
      <c r="L28" s="11"/>
      <c r="N28" s="146"/>
      <c r="O28" s="148"/>
      <c r="P28" s="148"/>
      <c r="Q28" s="148"/>
      <c r="S28" s="148"/>
      <c r="T28" s="153"/>
      <c r="U28" s="148"/>
      <c r="V28" s="159"/>
    </row>
    <row r="29" spans="2:12" ht="12.75">
      <c r="B29" s="11"/>
      <c r="C29" s="11"/>
      <c r="D29" s="11"/>
      <c r="E29" s="11"/>
      <c r="F29" s="11"/>
      <c r="G29" s="11"/>
      <c r="H29" s="11"/>
      <c r="I29" s="11"/>
      <c r="J29" s="63"/>
      <c r="K29" s="63"/>
      <c r="L29" s="237"/>
    </row>
    <row r="30" spans="2:14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N30" s="145"/>
    </row>
    <row r="32" ht="12.75">
      <c r="B32" s="145" t="s">
        <v>18</v>
      </c>
    </row>
    <row r="33" ht="12.75">
      <c r="B33" t="s">
        <v>19</v>
      </c>
    </row>
    <row r="34" ht="12.75">
      <c r="B34" s="34" t="s">
        <v>20</v>
      </c>
    </row>
    <row r="35" spans="2:18" ht="12.75">
      <c r="B35" t="s">
        <v>21</v>
      </c>
      <c r="N35" s="561" t="s">
        <v>804</v>
      </c>
      <c r="O35" s="562"/>
      <c r="P35" s="562"/>
      <c r="Q35" s="562"/>
      <c r="R35" s="562"/>
    </row>
    <row r="36" spans="2:16" ht="12.75">
      <c r="B36" t="s">
        <v>22</v>
      </c>
      <c r="P36" t="str">
        <f>'ES 3.11'!R62</f>
        <v>For the Expense Month of June 2014</v>
      </c>
    </row>
    <row r="38" spans="2:14" ht="12.75">
      <c r="B38" s="145" t="s">
        <v>23</v>
      </c>
      <c r="N38" s="161"/>
    </row>
    <row r="39" spans="2:18" ht="52.5">
      <c r="B39" t="s">
        <v>24</v>
      </c>
      <c r="N39" s="156" t="s">
        <v>784</v>
      </c>
      <c r="O39" s="156" t="s">
        <v>778</v>
      </c>
      <c r="P39" s="156" t="s">
        <v>779</v>
      </c>
      <c r="Q39" s="156" t="s">
        <v>781</v>
      </c>
      <c r="R39" s="156" t="s">
        <v>782</v>
      </c>
    </row>
    <row r="40" ht="12.75">
      <c r="B40" t="s">
        <v>25</v>
      </c>
    </row>
    <row r="41" spans="2:18" ht="12.75">
      <c r="B41" t="s">
        <v>26</v>
      </c>
      <c r="N41" s="504" t="s">
        <v>776</v>
      </c>
      <c r="O41" s="504">
        <f>90.04+345.9</f>
        <v>435.94</v>
      </c>
      <c r="P41" s="505">
        <f>O41/$O$44</f>
        <v>0.5468320768680774</v>
      </c>
      <c r="Q41" s="509">
        <f>P41*$R$47</f>
        <v>4132.410004892061</v>
      </c>
      <c r="R41" s="504">
        <f>P41*$R$48</f>
        <v>437.465661494462</v>
      </c>
    </row>
    <row r="42" spans="2:18" ht="12.75">
      <c r="B42" t="s">
        <v>27</v>
      </c>
      <c r="N42" s="504" t="s">
        <v>777</v>
      </c>
      <c r="O42" s="504">
        <f>108.04+117.76</f>
        <v>225.8</v>
      </c>
      <c r="P42" s="505">
        <f>O42/$O$44</f>
        <v>0.2832377917988987</v>
      </c>
      <c r="Q42" s="509">
        <f>P42*$R$47</f>
        <v>2140.4279926242775</v>
      </c>
      <c r="R42" s="504">
        <f>P42*$R$48</f>
        <v>226.59023343911895</v>
      </c>
    </row>
    <row r="43" spans="2:18" ht="12.75">
      <c r="B43" t="s">
        <v>28</v>
      </c>
      <c r="N43" s="504" t="s">
        <v>397</v>
      </c>
      <c r="O43" s="504">
        <f>42.59+78.88+14</f>
        <v>135.47</v>
      </c>
      <c r="P43" s="505">
        <f>O43/$O$44</f>
        <v>0.1699301313330239</v>
      </c>
      <c r="Q43" s="509">
        <f>P43*$R$47</f>
        <v>1284.1620024836616</v>
      </c>
      <c r="R43" s="504">
        <f>P43*$R$48</f>
        <v>135.94410506641913</v>
      </c>
    </row>
    <row r="44" spans="14:18" ht="12.75">
      <c r="N44" s="148" t="s">
        <v>672</v>
      </c>
      <c r="O44" s="148">
        <f>SUM(O41:O43)</f>
        <v>797.21</v>
      </c>
      <c r="P44" s="494">
        <f>SUM(P41:P43)</f>
        <v>1</v>
      </c>
      <c r="Q44" s="499">
        <f>SUM(Q41:Q43)</f>
        <v>7557</v>
      </c>
      <c r="R44" s="148">
        <f>SUM(R41:R43)</f>
        <v>800</v>
      </c>
    </row>
    <row r="45" spans="2:18" ht="12.75">
      <c r="B45" s="145" t="s">
        <v>29</v>
      </c>
      <c r="N45" s="148"/>
      <c r="O45" s="148"/>
      <c r="P45" s="148"/>
      <c r="Q45" s="145"/>
      <c r="R45" s="62"/>
    </row>
    <row r="46" spans="2:18" ht="12.75">
      <c r="B46" t="s">
        <v>30</v>
      </c>
      <c r="N46" s="148"/>
      <c r="O46" s="148"/>
      <c r="P46" s="148"/>
      <c r="Q46" s="145"/>
      <c r="R46" s="508"/>
    </row>
    <row r="47" spans="2:18" ht="12.75">
      <c r="B47" t="s">
        <v>65</v>
      </c>
      <c r="N47" s="148" t="s">
        <v>805</v>
      </c>
      <c r="O47" s="148"/>
      <c r="P47" s="148"/>
      <c r="Q47" s="495"/>
      <c r="R47" s="525">
        <v>7557</v>
      </c>
    </row>
    <row r="48" spans="2:18" ht="12.75">
      <c r="B48" t="s">
        <v>31</v>
      </c>
      <c r="N48" s="148" t="s">
        <v>783</v>
      </c>
      <c r="O48" s="62"/>
      <c r="P48" s="62"/>
      <c r="Q48" s="496"/>
      <c r="R48" s="508">
        <v>800</v>
      </c>
    </row>
    <row r="49" ht="12.75">
      <c r="B49" t="s">
        <v>32</v>
      </c>
    </row>
    <row r="51" spans="2:8" ht="12.75">
      <c r="B51" s="155" t="s">
        <v>320</v>
      </c>
      <c r="C51" s="192"/>
      <c r="D51" s="192"/>
      <c r="E51" s="192"/>
      <c r="F51" s="192"/>
      <c r="G51" s="192"/>
      <c r="H51" s="192"/>
    </row>
    <row r="52" spans="2:8" ht="12.75">
      <c r="B52" s="192" t="s">
        <v>321</v>
      </c>
      <c r="C52" s="192"/>
      <c r="D52" s="192"/>
      <c r="E52" s="192"/>
      <c r="F52" s="192"/>
      <c r="G52" s="192"/>
      <c r="H52" s="192"/>
    </row>
    <row r="54" spans="2:6" ht="12.75">
      <c r="B54" t="s">
        <v>322</v>
      </c>
      <c r="F54" s="62">
        <v>930</v>
      </c>
    </row>
    <row r="55" spans="2:6" ht="12.75">
      <c r="B55" t="s">
        <v>323</v>
      </c>
      <c r="F55" s="62"/>
    </row>
    <row r="56" spans="2:6" ht="12.75">
      <c r="B56" s="285" t="s">
        <v>324</v>
      </c>
      <c r="F56" s="62">
        <v>420</v>
      </c>
    </row>
    <row r="57" spans="2:6" ht="12.75">
      <c r="B57" s="285" t="s">
        <v>325</v>
      </c>
      <c r="F57" s="62">
        <v>510</v>
      </c>
    </row>
    <row r="58" spans="2:6" ht="12.75">
      <c r="B58" s="285"/>
      <c r="F58" s="62"/>
    </row>
    <row r="59" spans="2:6" ht="12.75">
      <c r="B59" s="3" t="s">
        <v>326</v>
      </c>
      <c r="F59" s="62">
        <f>SUM(F56:F57)</f>
        <v>930</v>
      </c>
    </row>
    <row r="60" ht="12.75">
      <c r="F60" s="62"/>
    </row>
    <row r="61" spans="2:6" ht="12.75">
      <c r="B61" t="s">
        <v>327</v>
      </c>
      <c r="F61" s="62">
        <f>+F54-F59</f>
        <v>0</v>
      </c>
    </row>
    <row r="62" ht="12.75">
      <c r="F62" s="62"/>
    </row>
    <row r="74" ht="12.75">
      <c r="S74" s="510"/>
    </row>
  </sheetData>
  <sheetProtection/>
  <mergeCells count="2">
    <mergeCell ref="J2:L2"/>
    <mergeCell ref="N35:R35"/>
  </mergeCells>
  <printOptions horizontalCentered="1" verticalCentered="1"/>
  <pageMargins left="0" right="0" top="0.5" bottom="0.5" header="0" footer="0"/>
  <pageSetup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74"/>
  <sheetViews>
    <sheetView zoomScalePageLayoutView="0" workbookViewId="0" topLeftCell="I1">
      <selection activeCell="V12" sqref="V12"/>
    </sheetView>
  </sheetViews>
  <sheetFormatPr defaultColWidth="8.710937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6.7109375" style="0" customWidth="1"/>
    <col min="14" max="14" width="2.28125" style="0" customWidth="1"/>
    <col min="15" max="15" width="8.57421875" style="0" bestFit="1" customWidth="1"/>
    <col min="16" max="16" width="9.140625" style="0" customWidth="1"/>
    <col min="17" max="17" width="2.28125" style="0" customWidth="1"/>
    <col min="18" max="18" width="10.7109375" style="0" customWidth="1"/>
    <col min="19" max="19" width="2.28125" style="0" customWidth="1"/>
    <col min="20" max="20" width="11.7109375" style="0" bestFit="1" customWidth="1"/>
    <col min="21" max="21" width="2.28125" style="0" customWidth="1"/>
    <col min="22" max="22" width="9.7109375" style="0" customWidth="1"/>
    <col min="23" max="23" width="8.7109375" style="0" customWidth="1"/>
    <col min="24" max="24" width="11.140625" style="0" customWidth="1"/>
    <col min="25" max="25" width="10.00390625" style="0" customWidth="1"/>
    <col min="26" max="26" width="11.140625" style="0" customWidth="1"/>
  </cols>
  <sheetData>
    <row r="1" ht="12.75">
      <c r="A1" t="s">
        <v>118</v>
      </c>
    </row>
    <row r="2" spans="10:20" ht="12.75">
      <c r="J2" s="563" t="s">
        <v>486</v>
      </c>
      <c r="K2" s="563"/>
      <c r="L2" s="563"/>
      <c r="O2" s="564"/>
      <c r="P2" s="565"/>
      <c r="Q2" s="565"/>
      <c r="R2" s="565"/>
      <c r="S2" s="565"/>
      <c r="T2" s="562"/>
    </row>
    <row r="4" spans="2:7" ht="12.75">
      <c r="B4" s="1"/>
      <c r="C4" s="1"/>
      <c r="D4" s="125" t="s">
        <v>346</v>
      </c>
      <c r="E4" s="1"/>
      <c r="F4" s="1"/>
      <c r="G4" s="1"/>
    </row>
    <row r="5" spans="2:7" ht="12.75">
      <c r="B5" s="1"/>
      <c r="C5" s="1"/>
      <c r="D5" s="125" t="s">
        <v>552</v>
      </c>
      <c r="E5" s="1"/>
      <c r="F5" s="1"/>
      <c r="G5" s="1"/>
    </row>
    <row r="6" ht="12.75">
      <c r="D6" s="3" t="s">
        <v>739</v>
      </c>
    </row>
    <row r="7" ht="12.75">
      <c r="D7" s="146" t="s">
        <v>785</v>
      </c>
    </row>
    <row r="8" spans="2:26" ht="12.75">
      <c r="B8" s="60"/>
      <c r="C8" s="60"/>
      <c r="D8" s="3" t="str">
        <f>+'ES 1.0'!E7</f>
        <v>For the Expense Month of June 2014</v>
      </c>
      <c r="V8" s="561" t="s">
        <v>793</v>
      </c>
      <c r="W8" s="562"/>
      <c r="X8" s="562"/>
      <c r="Y8" s="562"/>
      <c r="Z8" s="562"/>
    </row>
    <row r="9" spans="17:24" ht="12.75">
      <c r="Q9" s="157"/>
      <c r="X9" t="str">
        <f>'ES 3.12 A'!P36</f>
        <v>For the Expense Month of June 2014</v>
      </c>
    </row>
    <row r="10" ht="13.5" thickBot="1"/>
    <row r="11" spans="2:22" ht="12.75">
      <c r="B11" s="99"/>
      <c r="C11" s="18"/>
      <c r="D11" s="100" t="s">
        <v>598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O11" s="3"/>
      <c r="P11" s="3"/>
      <c r="V11" s="161"/>
    </row>
    <row r="12" spans="2:26" s="61" customFormat="1" ht="53.25" thickBot="1">
      <c r="B12" s="104"/>
      <c r="C12" s="64"/>
      <c r="D12" s="65" t="s">
        <v>597</v>
      </c>
      <c r="E12" s="64"/>
      <c r="F12" s="65" t="s">
        <v>599</v>
      </c>
      <c r="G12" s="64"/>
      <c r="H12" s="65" t="s">
        <v>605</v>
      </c>
      <c r="I12" s="64"/>
      <c r="J12" s="65" t="s">
        <v>606</v>
      </c>
      <c r="K12" s="64"/>
      <c r="L12" s="66" t="s">
        <v>607</v>
      </c>
      <c r="O12" s="557"/>
      <c r="P12" s="557"/>
      <c r="Q12" s="156"/>
      <c r="R12" s="156"/>
      <c r="S12" s="156"/>
      <c r="T12" s="156"/>
      <c r="U12" s="156"/>
      <c r="V12" s="156" t="s">
        <v>784</v>
      </c>
      <c r="W12" s="156" t="s">
        <v>778</v>
      </c>
      <c r="X12" s="156" t="s">
        <v>779</v>
      </c>
      <c r="Y12" s="156" t="s">
        <v>781</v>
      </c>
      <c r="Z12" s="156" t="s">
        <v>782</v>
      </c>
    </row>
    <row r="13" spans="2:20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  <c r="O13" s="183"/>
      <c r="P13" s="183"/>
      <c r="R13" s="414"/>
      <c r="S13" s="414"/>
      <c r="T13" s="414"/>
    </row>
    <row r="14" spans="2:26" ht="12.75">
      <c r="B14" s="102" t="s">
        <v>608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69">
        <v>0</v>
      </c>
      <c r="O14" s="411"/>
      <c r="P14" s="412"/>
      <c r="Q14" s="62"/>
      <c r="R14" s="62"/>
      <c r="S14" s="62"/>
      <c r="U14" s="62"/>
      <c r="V14" s="504" t="s">
        <v>776</v>
      </c>
      <c r="W14" s="504">
        <f>90.04+345.9</f>
        <v>435.94</v>
      </c>
      <c r="X14" s="505">
        <f>W14/$W$17</f>
        <v>0.5468320768680774</v>
      </c>
      <c r="Y14" s="509">
        <f>X14*$Z$20</f>
        <v>6278.179074522397</v>
      </c>
      <c r="Z14" s="504">
        <f>X14*$Z$21</f>
        <v>437.465661494462</v>
      </c>
    </row>
    <row r="15" spans="2:26" ht="12.75">
      <c r="B15" s="102" t="s">
        <v>609</v>
      </c>
      <c r="C15" s="20"/>
      <c r="D15" s="40"/>
      <c r="E15" s="20"/>
      <c r="F15" s="40"/>
      <c r="G15" s="20"/>
      <c r="H15" s="12"/>
      <c r="I15" s="20"/>
      <c r="J15" s="12"/>
      <c r="K15" s="20"/>
      <c r="L15" s="269"/>
      <c r="O15" s="411"/>
      <c r="P15" s="412"/>
      <c r="Q15" s="62"/>
      <c r="R15" s="62"/>
      <c r="S15" s="62"/>
      <c r="U15" s="62"/>
      <c r="V15" s="504" t="s">
        <v>777</v>
      </c>
      <c r="W15" s="504">
        <f>108.04+117.76</f>
        <v>225.8</v>
      </c>
      <c r="X15" s="505">
        <f>W15/$W$17</f>
        <v>0.2832377917988987</v>
      </c>
      <c r="Y15" s="509">
        <f>X15*$Z$20</f>
        <v>3251.853087643156</v>
      </c>
      <c r="Z15" s="504">
        <f>X15*$Z$21</f>
        <v>226.59023343911895</v>
      </c>
    </row>
    <row r="16" spans="2:26" ht="12.75">
      <c r="B16" s="102" t="s">
        <v>610</v>
      </c>
      <c r="C16" s="20"/>
      <c r="D16" s="168">
        <v>0</v>
      </c>
      <c r="E16" s="20"/>
      <c r="F16" s="40">
        <f>76206-31692+108+107+101+89+88+3</f>
        <v>45010</v>
      </c>
      <c r="G16" s="20"/>
      <c r="H16" s="12">
        <v>0</v>
      </c>
      <c r="I16" s="20"/>
      <c r="J16" s="12">
        <v>0</v>
      </c>
      <c r="K16" s="20"/>
      <c r="L16" s="269">
        <f>ROUND(J16/F16,3)</f>
        <v>0</v>
      </c>
      <c r="O16" s="411"/>
      <c r="P16" s="412"/>
      <c r="Q16" s="62"/>
      <c r="R16" s="62"/>
      <c r="S16" s="62"/>
      <c r="U16" s="62"/>
      <c r="V16" s="504" t="s">
        <v>397</v>
      </c>
      <c r="W16" s="504">
        <f>42.59+78.88+14</f>
        <v>135.47</v>
      </c>
      <c r="X16" s="505">
        <f>W16/$W$17</f>
        <v>0.1699301313330239</v>
      </c>
      <c r="Y16" s="509">
        <f>X16*$Z$20</f>
        <v>1950.9678378344474</v>
      </c>
      <c r="Z16" s="504">
        <f>X16*$Z$21</f>
        <v>135.94410506641913</v>
      </c>
    </row>
    <row r="17" spans="2:26" ht="12.75">
      <c r="B17" s="102" t="s">
        <v>749</v>
      </c>
      <c r="C17" s="20"/>
      <c r="D17" s="407">
        <v>0</v>
      </c>
      <c r="E17" s="20"/>
      <c r="F17" s="40">
        <v>0</v>
      </c>
      <c r="G17" s="20"/>
      <c r="H17" s="12">
        <v>0</v>
      </c>
      <c r="I17" s="20"/>
      <c r="J17" s="12">
        <v>0</v>
      </c>
      <c r="K17" s="20"/>
      <c r="L17" s="269">
        <v>0</v>
      </c>
      <c r="O17" s="411"/>
      <c r="P17" s="412"/>
      <c r="Q17" s="62"/>
      <c r="R17" s="62"/>
      <c r="S17" s="62"/>
      <c r="U17" s="62"/>
      <c r="V17" s="148" t="s">
        <v>672</v>
      </c>
      <c r="W17" s="148">
        <f>SUM(W14:W16)</f>
        <v>797.21</v>
      </c>
      <c r="X17" s="494">
        <f>SUM(X14:X16)</f>
        <v>1</v>
      </c>
      <c r="Y17" s="499">
        <f>SUM(Y14:Y16)</f>
        <v>11481</v>
      </c>
      <c r="Z17" s="148">
        <f>SUM(Z14:Z16)</f>
        <v>800</v>
      </c>
    </row>
    <row r="18" spans="2:26" ht="12.75">
      <c r="B18" s="102" t="s">
        <v>613</v>
      </c>
      <c r="C18" s="20"/>
      <c r="D18" s="168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69">
        <v>0</v>
      </c>
      <c r="O18" s="411"/>
      <c r="P18" s="412"/>
      <c r="Q18" s="62"/>
      <c r="R18" s="62"/>
      <c r="S18" s="62"/>
      <c r="U18" s="62"/>
      <c r="V18" s="148"/>
      <c r="W18" s="148"/>
      <c r="X18" s="148"/>
      <c r="Y18" s="145"/>
      <c r="Z18" s="62"/>
    </row>
    <row r="19" spans="2:26" ht="12.75">
      <c r="B19" s="102" t="s">
        <v>740</v>
      </c>
      <c r="C19" s="20"/>
      <c r="D19" s="168">
        <v>0</v>
      </c>
      <c r="E19" s="20"/>
      <c r="F19" s="40">
        <f>100+370-30+540+2100+400+500-716</f>
        <v>3264</v>
      </c>
      <c r="G19" s="20"/>
      <c r="H19" s="174">
        <v>0</v>
      </c>
      <c r="I19" s="20"/>
      <c r="J19" s="12">
        <f>124271+441600-36997+486000+45716+940100+23000+33750-86548</f>
        <v>1970892</v>
      </c>
      <c r="K19" s="20"/>
      <c r="L19" s="269">
        <f>ROUND(J19/F19,3)</f>
        <v>603.827</v>
      </c>
      <c r="O19" s="411"/>
      <c r="P19" s="412"/>
      <c r="Q19" s="62"/>
      <c r="R19" s="62"/>
      <c r="S19" s="62"/>
      <c r="U19" s="62"/>
      <c r="V19" s="148"/>
      <c r="W19" s="148"/>
      <c r="X19" s="148"/>
      <c r="Y19" s="145"/>
      <c r="Z19" s="508"/>
    </row>
    <row r="20" spans="2:26" ht="12.75">
      <c r="B20" s="102" t="s">
        <v>614</v>
      </c>
      <c r="C20" s="20"/>
      <c r="D20" s="407">
        <v>0</v>
      </c>
      <c r="E20" s="20"/>
      <c r="F20" s="162">
        <v>0</v>
      </c>
      <c r="G20" s="20"/>
      <c r="H20" s="174">
        <v>0</v>
      </c>
      <c r="I20" s="20"/>
      <c r="J20" s="174">
        <v>0</v>
      </c>
      <c r="K20" s="20"/>
      <c r="L20" s="269">
        <v>0</v>
      </c>
      <c r="O20" s="411"/>
      <c r="P20" s="412"/>
      <c r="Q20" s="62"/>
      <c r="R20" s="249"/>
      <c r="S20" s="249"/>
      <c r="U20" s="62"/>
      <c r="V20" s="148" t="s">
        <v>786</v>
      </c>
      <c r="W20" s="148"/>
      <c r="X20" s="148"/>
      <c r="Y20" s="495"/>
      <c r="Z20" s="508">
        <v>11481</v>
      </c>
    </row>
    <row r="21" spans="2:26" ht="26.25">
      <c r="B21" s="279" t="s">
        <v>217</v>
      </c>
      <c r="C21" s="20"/>
      <c r="D21" s="407">
        <v>0</v>
      </c>
      <c r="E21" s="20"/>
      <c r="F21" s="162">
        <f>-6-2+7-1-1+57</f>
        <v>54</v>
      </c>
      <c r="G21" s="20"/>
      <c r="H21" s="174">
        <v>0</v>
      </c>
      <c r="I21" s="20"/>
      <c r="J21" s="174">
        <f>-1905-635+2222-13-13+4505</f>
        <v>4161</v>
      </c>
      <c r="K21" s="20"/>
      <c r="L21" s="269">
        <f>ROUND(J21/F21,3)</f>
        <v>77.056</v>
      </c>
      <c r="O21" s="411"/>
      <c r="P21" s="412"/>
      <c r="Q21" s="62"/>
      <c r="R21" s="249"/>
      <c r="S21" s="249"/>
      <c r="U21" s="62"/>
      <c r="V21" s="148" t="s">
        <v>783</v>
      </c>
      <c r="W21" s="62"/>
      <c r="X21" s="62"/>
      <c r="Y21" s="496"/>
      <c r="Z21" s="508">
        <v>800</v>
      </c>
    </row>
    <row r="22" spans="2:26" ht="12.75">
      <c r="B22" s="102"/>
      <c r="C22" s="20"/>
      <c r="D22" s="407"/>
      <c r="E22" s="20"/>
      <c r="F22" s="162"/>
      <c r="G22" s="20"/>
      <c r="H22" s="122"/>
      <c r="I22" s="20"/>
      <c r="J22" s="122"/>
      <c r="K22" s="20"/>
      <c r="L22" s="269"/>
      <c r="P22" s="62"/>
      <c r="Q22" s="62"/>
      <c r="R22" s="249"/>
      <c r="S22" s="249"/>
      <c r="U22" s="62"/>
      <c r="V22" s="62"/>
      <c r="W22" s="62"/>
      <c r="X22" s="62"/>
      <c r="Y22" s="83" t="s">
        <v>118</v>
      </c>
      <c r="Z22" s="62"/>
    </row>
    <row r="23" spans="2:24" ht="12.75">
      <c r="B23" s="102" t="s">
        <v>615</v>
      </c>
      <c r="C23" s="20"/>
      <c r="D23" s="407"/>
      <c r="E23" s="20"/>
      <c r="F23" s="40"/>
      <c r="G23" s="20"/>
      <c r="H23" s="12"/>
      <c r="I23" s="20"/>
      <c r="J23" s="12"/>
      <c r="K23" s="20"/>
      <c r="L23" s="269"/>
      <c r="O23" s="411"/>
      <c r="P23" s="412"/>
      <c r="Q23" s="62"/>
      <c r="R23" s="249"/>
      <c r="S23" s="249"/>
      <c r="U23" s="62"/>
      <c r="V23" s="84"/>
      <c r="W23" s="62"/>
      <c r="X23" s="158"/>
    </row>
    <row r="24" spans="2:24" ht="12.75">
      <c r="B24" s="102" t="s">
        <v>616</v>
      </c>
      <c r="C24" s="20"/>
      <c r="D24" s="407">
        <v>0</v>
      </c>
      <c r="E24" s="20"/>
      <c r="F24" s="407">
        <v>0</v>
      </c>
      <c r="G24" s="20"/>
      <c r="H24" s="418">
        <v>0</v>
      </c>
      <c r="I24" s="20"/>
      <c r="J24" s="418">
        <v>0</v>
      </c>
      <c r="K24" s="20"/>
      <c r="L24" s="269">
        <v>0</v>
      </c>
      <c r="Q24" s="62"/>
      <c r="R24" s="249"/>
      <c r="S24" s="249"/>
      <c r="T24" s="249"/>
      <c r="U24" s="62"/>
      <c r="V24" s="84"/>
      <c r="W24" s="62"/>
      <c r="X24" s="158"/>
    </row>
    <row r="25" spans="2:24" ht="12.75">
      <c r="B25" s="102" t="s">
        <v>617</v>
      </c>
      <c r="C25" s="20"/>
      <c r="D25" s="407">
        <v>0</v>
      </c>
      <c r="E25" s="20"/>
      <c r="F25" s="407">
        <v>0</v>
      </c>
      <c r="G25" s="20"/>
      <c r="H25" s="418">
        <v>0</v>
      </c>
      <c r="I25" s="20"/>
      <c r="J25" s="418">
        <v>0</v>
      </c>
      <c r="K25" s="20"/>
      <c r="L25" s="269">
        <v>0</v>
      </c>
      <c r="O25" s="411"/>
      <c r="P25" s="412"/>
      <c r="Q25" s="62"/>
      <c r="R25" s="249"/>
      <c r="S25" s="249"/>
      <c r="T25" s="249"/>
      <c r="U25" s="62"/>
      <c r="V25" s="84"/>
      <c r="W25" s="62"/>
      <c r="X25" s="158"/>
    </row>
    <row r="26" spans="2:24" ht="12.75">
      <c r="B26" s="102" t="s">
        <v>618</v>
      </c>
      <c r="C26" s="20"/>
      <c r="D26" s="407">
        <v>0</v>
      </c>
      <c r="E26" s="20"/>
      <c r="F26" s="419">
        <f>750+810+1000+500+150+300</f>
        <v>3510</v>
      </c>
      <c r="G26" s="20"/>
      <c r="H26" s="418">
        <v>4367</v>
      </c>
      <c r="I26" s="20"/>
      <c r="J26" s="418">
        <f>2306+2489+3717+1796+539+4367</f>
        <v>15214</v>
      </c>
      <c r="K26" s="20"/>
      <c r="L26" s="269">
        <v>0</v>
      </c>
      <c r="O26" s="411"/>
      <c r="P26" s="412"/>
      <c r="Q26" s="62"/>
      <c r="R26" s="249"/>
      <c r="S26" s="249"/>
      <c r="T26" s="249"/>
      <c r="U26" s="62"/>
      <c r="V26" s="84"/>
      <c r="W26" s="62"/>
      <c r="X26" s="158"/>
    </row>
    <row r="27" spans="2:24" ht="13.5" thickBot="1">
      <c r="B27" s="104" t="s">
        <v>755</v>
      </c>
      <c r="C27" s="20"/>
      <c r="D27" s="472">
        <f>Z14+Z15</f>
        <v>664.0558949335809</v>
      </c>
      <c r="E27" s="20"/>
      <c r="F27" s="474">
        <f>579+600+709+682+695+630+535+644+564+600+645+949+51+1005+857+1+328+17-51+303+264+571+1012+1024+615+536+484+737+997+832+733+134+783+677+826+956+794+725+832+752+1258+569+476+342+474+248+494+740+592+305+280+312+375+478+528+434+599+368+365+226+580+509+435+270+332+1022+798+891+745</f>
        <v>39672</v>
      </c>
      <c r="G27" s="20"/>
      <c r="H27" s="500">
        <f>Y14+Y15</f>
        <v>9530.032162165553</v>
      </c>
      <c r="I27" s="20"/>
      <c r="J27" s="475">
        <f>18287+15646+18834+16494+17547+17396+393674+21017+9010+2823+414+1+1081+56-21017+998+870+1881+3334+3373+2026+1766+1443+303714+29142+24656+21385+3909+22843+19751+24098+27891+23164+21151+315700+238718+262209+13565+6271+4505+6413+3355+6684+10012+8010+4127+3684+4105+6288+1623+1334+2226+1368+1357+840+2156+1892+1617+971+1193+2364+11649+12962+10842+9097+9530</f>
        <v>2015325</v>
      </c>
      <c r="K27" s="20"/>
      <c r="L27" s="269">
        <f>ROUND(J27/F27,3)</f>
        <v>50.8</v>
      </c>
      <c r="O27" s="411"/>
      <c r="P27" s="412"/>
      <c r="Q27" s="62"/>
      <c r="R27" s="285"/>
      <c r="S27" s="285"/>
      <c r="T27" s="249"/>
      <c r="U27" s="62"/>
      <c r="V27" s="84"/>
      <c r="W27" s="62"/>
      <c r="X27" s="158"/>
    </row>
    <row r="28" spans="1:24" ht="30" customHeight="1" thickBot="1">
      <c r="A28" s="11"/>
      <c r="B28" s="238" t="s">
        <v>66</v>
      </c>
      <c r="C28" s="113"/>
      <c r="D28" s="239"/>
      <c r="E28" s="113"/>
      <c r="F28" s="420">
        <f>+F14+F16+F17+F18+F19+F20+F21+F22-F24-F25-F26-F27</f>
        <v>5146</v>
      </c>
      <c r="G28" s="113"/>
      <c r="H28" s="239"/>
      <c r="I28" s="113"/>
      <c r="J28" s="421">
        <f>+J14+J16+J17+J18+J19+J20+J21+J22-J24-J25-J26-J27</f>
        <v>-55486</v>
      </c>
      <c r="K28" s="113"/>
      <c r="L28" s="404">
        <f>ROUND(J28/F28,3)</f>
        <v>-10.782</v>
      </c>
      <c r="O28" s="148"/>
      <c r="P28" s="153"/>
      <c r="Q28" s="62"/>
      <c r="R28" s="413"/>
      <c r="S28" s="413"/>
      <c r="T28" s="434"/>
      <c r="U28" s="62"/>
      <c r="W28" s="62"/>
      <c r="X28" s="158"/>
    </row>
    <row r="29" spans="2:24" ht="12.75">
      <c r="B29" s="11"/>
      <c r="C29" s="11"/>
      <c r="D29" s="11"/>
      <c r="E29" s="11"/>
      <c r="F29" s="11"/>
      <c r="G29" s="11"/>
      <c r="H29" s="11"/>
      <c r="I29" s="11"/>
      <c r="J29" s="11" t="s">
        <v>118</v>
      </c>
      <c r="K29" s="63"/>
      <c r="L29" s="11"/>
      <c r="O29" s="146"/>
      <c r="P29" s="146"/>
      <c r="Q29" s="148"/>
      <c r="R29" s="148"/>
      <c r="S29" s="148"/>
      <c r="U29" s="148"/>
      <c r="V29" s="153"/>
      <c r="W29" s="148"/>
      <c r="X29" s="159"/>
    </row>
    <row r="30" spans="2:12" ht="12.75">
      <c r="B30" s="11"/>
      <c r="C30" s="11"/>
      <c r="D30" s="11"/>
      <c r="E30" s="11"/>
      <c r="F30" s="11"/>
      <c r="G30" s="11"/>
      <c r="H30" s="11"/>
      <c r="I30" s="11"/>
      <c r="J30" s="63"/>
      <c r="K30" s="63"/>
      <c r="L30" s="237"/>
    </row>
    <row r="31" spans="2:16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O31" s="145"/>
      <c r="P31" s="145"/>
    </row>
    <row r="33" ht="12.75">
      <c r="B33" s="145" t="s">
        <v>18</v>
      </c>
    </row>
    <row r="34" ht="12.75">
      <c r="B34" t="s">
        <v>19</v>
      </c>
    </row>
    <row r="35" ht="12.75">
      <c r="B35" s="34" t="s">
        <v>20</v>
      </c>
    </row>
    <row r="36" ht="12.75">
      <c r="B36" t="s">
        <v>21</v>
      </c>
    </row>
    <row r="37" ht="12.75">
      <c r="B37" t="s">
        <v>22</v>
      </c>
    </row>
    <row r="39" ht="12.75">
      <c r="B39" s="145" t="s">
        <v>23</v>
      </c>
    </row>
    <row r="40" ht="12.75">
      <c r="B40" t="s">
        <v>24</v>
      </c>
    </row>
    <row r="41" ht="12.75">
      <c r="B41" t="s">
        <v>25</v>
      </c>
    </row>
    <row r="42" ht="12.75">
      <c r="B42" t="s">
        <v>26</v>
      </c>
    </row>
    <row r="43" ht="12.75">
      <c r="B43" t="s">
        <v>27</v>
      </c>
    </row>
    <row r="44" ht="12.75">
      <c r="B44" t="s">
        <v>28</v>
      </c>
    </row>
    <row r="46" ht="12.75">
      <c r="B46" s="145" t="s">
        <v>29</v>
      </c>
    </row>
    <row r="47" ht="12.75">
      <c r="B47" t="s">
        <v>30</v>
      </c>
    </row>
    <row r="48" ht="12.75">
      <c r="B48" t="s">
        <v>65</v>
      </c>
    </row>
    <row r="49" ht="12.75">
      <c r="B49" t="s">
        <v>31</v>
      </c>
    </row>
    <row r="50" ht="12.75">
      <c r="B50" t="s">
        <v>32</v>
      </c>
    </row>
    <row r="52" spans="2:8" ht="12.75">
      <c r="B52" s="155"/>
      <c r="C52" s="192"/>
      <c r="D52" s="192"/>
      <c r="E52" s="192"/>
      <c r="F52" s="192"/>
      <c r="G52" s="192"/>
      <c r="H52" s="192"/>
    </row>
    <row r="53" spans="2:8" ht="12.75">
      <c r="B53" s="192"/>
      <c r="C53" s="192"/>
      <c r="D53" s="192"/>
      <c r="E53" s="192"/>
      <c r="F53" s="192"/>
      <c r="G53" s="192"/>
      <c r="H53" s="192"/>
    </row>
    <row r="55" ht="12.75">
      <c r="F55" s="62"/>
    </row>
    <row r="56" ht="12.75">
      <c r="F56" s="62"/>
    </row>
    <row r="57" spans="2:6" ht="12.75">
      <c r="B57" s="285"/>
      <c r="F57" s="62"/>
    </row>
    <row r="58" spans="2:6" ht="12.75">
      <c r="B58" s="285"/>
      <c r="F58" s="62"/>
    </row>
    <row r="59" spans="2:6" ht="12.75">
      <c r="B59" s="285"/>
      <c r="F59" s="62"/>
    </row>
    <row r="60" spans="2:6" ht="12.75">
      <c r="B60" s="3"/>
      <c r="F60" s="62"/>
    </row>
    <row r="61" ht="12.75">
      <c r="F61" s="62"/>
    </row>
    <row r="62" ht="12.75">
      <c r="F62" s="62"/>
    </row>
    <row r="63" ht="12.75">
      <c r="F63" s="62"/>
    </row>
    <row r="74" ht="12.75">
      <c r="S74" s="553"/>
    </row>
  </sheetData>
  <sheetProtection/>
  <mergeCells count="4">
    <mergeCell ref="J2:L2"/>
    <mergeCell ref="O12:P12"/>
    <mergeCell ref="O2:T2"/>
    <mergeCell ref="V8:Z8"/>
  </mergeCells>
  <printOptions horizontalCentered="1"/>
  <pageMargins left="0" right="0" top="0.5" bottom="0.5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93"/>
  <sheetViews>
    <sheetView tabSelected="1" zoomScalePageLayoutView="0" workbookViewId="0" topLeftCell="C1">
      <pane ySplit="11" topLeftCell="A33" activePane="bottomLeft" state="frozen"/>
      <selection pane="topLeft" activeCell="H31" activeCellId="1" sqref="K25 H31"/>
      <selection pane="bottomLeft" activeCell="D1" sqref="D1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0.5625" style="0" customWidth="1"/>
    <col min="4" max="4" width="56.7109375" style="0" customWidth="1"/>
    <col min="5" max="5" width="0.5625" style="0" customWidth="1"/>
    <col min="6" max="7" width="15.7109375" style="0" customWidth="1"/>
    <col min="8" max="8" width="8.7109375" style="0" customWidth="1"/>
    <col min="9" max="9" width="3.7109375" style="0" customWidth="1"/>
    <col min="11" max="11" width="10.28125" style="0" bestFit="1" customWidth="1"/>
    <col min="12" max="12" width="11.8515625" style="0" bestFit="1" customWidth="1"/>
    <col min="13" max="13" width="2.28125" style="0" customWidth="1"/>
    <col min="14" max="14" width="10.140625" style="0" customWidth="1"/>
    <col min="15" max="15" width="9.28125" style="0" bestFit="1" customWidth="1"/>
    <col min="16" max="16" width="11.140625" style="0" bestFit="1" customWidth="1"/>
    <col min="17" max="17" width="2.28125" style="0" customWidth="1"/>
  </cols>
  <sheetData>
    <row r="1" spans="4:12" ht="12.75">
      <c r="D1" s="150"/>
      <c r="I1" s="134"/>
      <c r="J1" s="561" t="s">
        <v>10</v>
      </c>
      <c r="K1" s="560"/>
      <c r="L1" s="560"/>
    </row>
    <row r="2" spans="4:9" ht="12.75">
      <c r="D2" s="150"/>
      <c r="G2" t="s">
        <v>10</v>
      </c>
      <c r="I2" s="134"/>
    </row>
    <row r="3" spans="9:19" ht="12.75">
      <c r="I3" s="134"/>
      <c r="K3" s="147" t="s">
        <v>689</v>
      </c>
      <c r="O3" s="147" t="s">
        <v>689</v>
      </c>
      <c r="S3" s="147" t="s">
        <v>689</v>
      </c>
    </row>
    <row r="4" spans="3:19" ht="12.75">
      <c r="C4" s="1"/>
      <c r="D4" s="1" t="s">
        <v>346</v>
      </c>
      <c r="I4" s="134"/>
      <c r="K4" s="147" t="s">
        <v>691</v>
      </c>
      <c r="O4" s="147" t="s">
        <v>691</v>
      </c>
      <c r="S4" s="147" t="s">
        <v>691</v>
      </c>
    </row>
    <row r="5" spans="3:19" ht="12.75">
      <c r="C5" s="1"/>
      <c r="D5" s="1" t="s">
        <v>16</v>
      </c>
      <c r="I5" s="134"/>
      <c r="K5" s="147" t="s">
        <v>690</v>
      </c>
      <c r="O5" s="147" t="s">
        <v>690</v>
      </c>
      <c r="S5" s="147" t="s">
        <v>690</v>
      </c>
    </row>
    <row r="6" spans="3:19" ht="12.75">
      <c r="C6" s="1"/>
      <c r="D6" s="3"/>
      <c r="I6" s="134"/>
      <c r="K6" s="147" t="s">
        <v>603</v>
      </c>
      <c r="O6" s="147" t="s">
        <v>64</v>
      </c>
      <c r="S6" s="147" t="s">
        <v>400</v>
      </c>
    </row>
    <row r="7" ht="12.75">
      <c r="I7" s="134"/>
    </row>
    <row r="8" spans="4:19" ht="12.75">
      <c r="D8" s="191" t="str">
        <f>'ES 1.0'!E7</f>
        <v>For the Expense Month of June 2014</v>
      </c>
      <c r="I8" s="134"/>
      <c r="J8" s="265"/>
      <c r="K8" s="403" t="s">
        <v>63</v>
      </c>
      <c r="N8" s="265"/>
      <c r="O8" s="403" t="s">
        <v>402</v>
      </c>
      <c r="R8" s="265"/>
      <c r="S8" s="403" t="s">
        <v>602</v>
      </c>
    </row>
    <row r="9" spans="2:19" ht="12.75">
      <c r="B9" s="430"/>
      <c r="C9" s="430"/>
      <c r="D9" s="430"/>
      <c r="E9" s="431"/>
      <c r="I9" s="134"/>
      <c r="K9" s="172" t="s">
        <v>62</v>
      </c>
      <c r="O9" s="172" t="s">
        <v>403</v>
      </c>
      <c r="S9" s="172" t="s">
        <v>62</v>
      </c>
    </row>
    <row r="10" spans="2:19" ht="13.5" thickBot="1">
      <c r="B10" s="430"/>
      <c r="C10" s="430"/>
      <c r="D10" s="430"/>
      <c r="E10" s="431"/>
      <c r="I10" s="134"/>
      <c r="K10" s="172" t="s">
        <v>600</v>
      </c>
      <c r="O10" s="172" t="s">
        <v>401</v>
      </c>
      <c r="S10" s="172" t="s">
        <v>401</v>
      </c>
    </row>
    <row r="11" spans="2:19" ht="13.5" thickBot="1">
      <c r="B11" s="449"/>
      <c r="C11" s="450"/>
      <c r="D11" s="452"/>
      <c r="E11" s="454"/>
      <c r="F11" s="114"/>
      <c r="G11" s="114"/>
      <c r="H11" s="29"/>
      <c r="I11" s="134"/>
      <c r="K11" s="172" t="s">
        <v>601</v>
      </c>
      <c r="O11" s="172" t="s">
        <v>484</v>
      </c>
      <c r="S11" s="172" t="s">
        <v>404</v>
      </c>
    </row>
    <row r="12" spans="2:9" ht="12.75">
      <c r="B12" s="482"/>
      <c r="C12" s="451"/>
      <c r="D12" s="453"/>
      <c r="E12" s="455"/>
      <c r="F12" s="7"/>
      <c r="G12" s="7"/>
      <c r="H12" s="11"/>
      <c r="I12" s="134"/>
    </row>
    <row r="13" spans="2:20" ht="12.75">
      <c r="B13" s="330"/>
      <c r="C13" s="20"/>
      <c r="D13" s="176" t="s">
        <v>757</v>
      </c>
      <c r="E13" s="20"/>
      <c r="F13" s="15"/>
      <c r="G13" s="15"/>
      <c r="H13" s="11"/>
      <c r="I13" s="134"/>
      <c r="J13" s="287" t="s">
        <v>678</v>
      </c>
      <c r="K13" s="3">
        <v>2011</v>
      </c>
      <c r="L13" s="267">
        <v>31699</v>
      </c>
      <c r="N13" s="287" t="s">
        <v>678</v>
      </c>
      <c r="O13" s="3">
        <v>2012</v>
      </c>
      <c r="P13" s="456">
        <v>21113</v>
      </c>
      <c r="R13" s="287" t="s">
        <v>678</v>
      </c>
      <c r="S13" s="3">
        <v>2013</v>
      </c>
      <c r="T13" s="456">
        <v>39266</v>
      </c>
    </row>
    <row r="14" spans="2:20" ht="12.75">
      <c r="B14" s="483">
        <f>+B13+1</f>
        <v>1</v>
      </c>
      <c r="C14" s="20"/>
      <c r="D14" s="11" t="s">
        <v>621</v>
      </c>
      <c r="E14" s="20"/>
      <c r="F14" s="476">
        <v>39266</v>
      </c>
      <c r="G14" s="89"/>
      <c r="H14" s="122"/>
      <c r="I14" s="134"/>
      <c r="J14" s="287" t="s">
        <v>679</v>
      </c>
      <c r="K14" s="3">
        <v>2011</v>
      </c>
      <c r="L14" s="267">
        <v>31699</v>
      </c>
      <c r="N14" s="287" t="s">
        <v>679</v>
      </c>
      <c r="O14" s="3">
        <v>2012</v>
      </c>
      <c r="P14" s="456">
        <v>21113</v>
      </c>
      <c r="R14" s="287" t="s">
        <v>679</v>
      </c>
      <c r="S14" s="3">
        <v>2013</v>
      </c>
      <c r="T14" s="456">
        <v>39266</v>
      </c>
    </row>
    <row r="15" spans="2:20" ht="12.75">
      <c r="B15" s="483">
        <f>B14+1</f>
        <v>2</v>
      </c>
      <c r="C15" s="20"/>
      <c r="D15" s="11" t="s">
        <v>756</v>
      </c>
      <c r="E15" s="20"/>
      <c r="F15" s="187">
        <f>+'ES 3.11'!J31+'ES 3.11'!J29</f>
        <v>827452.9767986379</v>
      </c>
      <c r="G15" s="89"/>
      <c r="H15" s="122"/>
      <c r="I15" s="134"/>
      <c r="J15" s="287" t="s">
        <v>680</v>
      </c>
      <c r="K15" s="3">
        <v>2011</v>
      </c>
      <c r="L15" s="267">
        <v>31699</v>
      </c>
      <c r="N15" s="287" t="s">
        <v>680</v>
      </c>
      <c r="O15" s="3">
        <v>2012</v>
      </c>
      <c r="P15" s="456">
        <v>21113</v>
      </c>
      <c r="R15" s="287" t="s">
        <v>680</v>
      </c>
      <c r="S15" s="3">
        <v>2013</v>
      </c>
      <c r="T15" s="456">
        <v>39266</v>
      </c>
    </row>
    <row r="16" spans="2:20" ht="12.75">
      <c r="B16" s="483">
        <f>+B15+1</f>
        <v>3</v>
      </c>
      <c r="C16" s="20"/>
      <c r="D16" s="29" t="s">
        <v>4</v>
      </c>
      <c r="E16" s="20"/>
      <c r="F16" s="87"/>
      <c r="G16" s="87">
        <f>+F14+F15</f>
        <v>866718.9767986379</v>
      </c>
      <c r="H16" s="12"/>
      <c r="I16" s="134"/>
      <c r="J16" s="287" t="s">
        <v>681</v>
      </c>
      <c r="K16" s="3">
        <v>2011</v>
      </c>
      <c r="L16" s="267">
        <v>31699</v>
      </c>
      <c r="N16" s="287" t="s">
        <v>681</v>
      </c>
      <c r="O16" s="3">
        <v>2012</v>
      </c>
      <c r="P16" s="456">
        <v>21113</v>
      </c>
      <c r="R16" s="287" t="s">
        <v>681</v>
      </c>
      <c r="S16" s="3">
        <v>2013</v>
      </c>
      <c r="T16" s="456">
        <v>39266</v>
      </c>
    </row>
    <row r="17" spans="2:20" ht="12.75">
      <c r="B17" s="483"/>
      <c r="C17" s="20"/>
      <c r="D17" s="11"/>
      <c r="E17" s="20"/>
      <c r="F17" s="87"/>
      <c r="G17" s="87"/>
      <c r="H17" s="12"/>
      <c r="I17" s="134"/>
      <c r="J17" s="287" t="s">
        <v>682</v>
      </c>
      <c r="K17" s="3">
        <v>2011</v>
      </c>
      <c r="L17" s="293">
        <v>31701</v>
      </c>
      <c r="N17" s="287" t="s">
        <v>682</v>
      </c>
      <c r="O17" s="3">
        <v>2012</v>
      </c>
      <c r="P17" s="469">
        <v>130032</v>
      </c>
      <c r="R17" s="287" t="s">
        <v>682</v>
      </c>
      <c r="S17" s="3">
        <v>2013</v>
      </c>
      <c r="T17" s="456">
        <v>39266</v>
      </c>
    </row>
    <row r="18" spans="2:20" ht="12.75">
      <c r="B18" s="483"/>
      <c r="C18" s="20"/>
      <c r="D18" s="176" t="s">
        <v>758</v>
      </c>
      <c r="E18" s="20"/>
      <c r="F18" s="87"/>
      <c r="G18" s="87"/>
      <c r="H18" s="12"/>
      <c r="I18" s="134"/>
      <c r="J18" s="33"/>
      <c r="K18" s="3"/>
      <c r="L18" s="267"/>
      <c r="N18" s="33"/>
      <c r="O18" s="3"/>
      <c r="P18" s="468"/>
      <c r="R18" s="33"/>
      <c r="S18" s="3"/>
      <c r="T18" s="468"/>
    </row>
    <row r="19" spans="2:20" ht="12.75">
      <c r="B19" s="483">
        <f>+B16+1</f>
        <v>4</v>
      </c>
      <c r="C19" s="20"/>
      <c r="D19" s="11" t="s">
        <v>759</v>
      </c>
      <c r="E19" s="20"/>
      <c r="F19" s="89">
        <v>0</v>
      </c>
      <c r="G19" s="89"/>
      <c r="H19" s="122"/>
      <c r="I19" s="134"/>
      <c r="J19" s="33" t="s">
        <v>673</v>
      </c>
      <c r="K19" s="3">
        <v>2012</v>
      </c>
      <c r="L19" s="462">
        <v>10527</v>
      </c>
      <c r="N19" s="33" t="s">
        <v>673</v>
      </c>
      <c r="O19" s="3">
        <v>2013</v>
      </c>
      <c r="P19" s="456">
        <v>39266</v>
      </c>
      <c r="R19" s="33" t="s">
        <v>673</v>
      </c>
      <c r="S19" s="3">
        <v>2014</v>
      </c>
      <c r="T19" s="456">
        <v>0</v>
      </c>
    </row>
    <row r="20" spans="2:20" ht="12.75">
      <c r="B20" s="483">
        <f aca="true" t="shared" si="0" ref="B20:B25">+B19+1</f>
        <v>5</v>
      </c>
      <c r="C20" s="20"/>
      <c r="D20" s="236" t="s">
        <v>760</v>
      </c>
      <c r="E20" s="20"/>
      <c r="F20" s="476">
        <f>376825.76+3500</f>
        <v>380325.76</v>
      </c>
      <c r="G20" s="87"/>
      <c r="H20" s="12"/>
      <c r="I20" s="134"/>
      <c r="J20" s="33" t="s">
        <v>674</v>
      </c>
      <c r="K20" s="3">
        <v>2012</v>
      </c>
      <c r="L20" s="462">
        <v>10527</v>
      </c>
      <c r="N20" s="33" t="s">
        <v>674</v>
      </c>
      <c r="O20" s="3">
        <v>2013</v>
      </c>
      <c r="P20" s="456">
        <v>39266</v>
      </c>
      <c r="R20" s="33" t="s">
        <v>674</v>
      </c>
      <c r="S20" s="3">
        <v>2014</v>
      </c>
      <c r="T20" s="456">
        <v>0</v>
      </c>
    </row>
    <row r="21" spans="2:20" ht="12.75">
      <c r="B21" s="483">
        <f t="shared" si="0"/>
        <v>6</v>
      </c>
      <c r="C21" s="20"/>
      <c r="D21" s="63" t="s">
        <v>0</v>
      </c>
      <c r="E21" s="20"/>
      <c r="F21" s="477">
        <v>0</v>
      </c>
      <c r="G21" s="87"/>
      <c r="H21" s="12"/>
      <c r="I21" s="134"/>
      <c r="J21" s="33" t="s">
        <v>675</v>
      </c>
      <c r="K21" s="3">
        <v>2012</v>
      </c>
      <c r="L21" s="462">
        <v>10527</v>
      </c>
      <c r="N21" s="33" t="s">
        <v>675</v>
      </c>
      <c r="O21" s="3">
        <v>2013</v>
      </c>
      <c r="P21" s="456">
        <v>39266</v>
      </c>
      <c r="R21" s="33" t="s">
        <v>675</v>
      </c>
      <c r="S21" s="3">
        <v>2014</v>
      </c>
      <c r="T21" s="456">
        <v>0</v>
      </c>
    </row>
    <row r="22" spans="2:20" ht="12.75">
      <c r="B22" s="483">
        <f t="shared" si="0"/>
        <v>7</v>
      </c>
      <c r="C22" s="20"/>
      <c r="D22" s="11" t="s">
        <v>1</v>
      </c>
      <c r="E22" s="20"/>
      <c r="F22" s="89">
        <f>+'ES 3.12 A'!H25+'ES 3.12 A'!H26+'ES 3.12 B'!H27</f>
        <v>15802.870159681892</v>
      </c>
      <c r="G22" s="87"/>
      <c r="H22" s="12"/>
      <c r="I22" s="134"/>
      <c r="J22" s="33" t="s">
        <v>676</v>
      </c>
      <c r="K22" s="3">
        <v>2012</v>
      </c>
      <c r="L22" s="462">
        <v>10527</v>
      </c>
      <c r="N22" s="33" t="s">
        <v>676</v>
      </c>
      <c r="O22" s="3">
        <v>2013</v>
      </c>
      <c r="P22" s="456">
        <v>39266</v>
      </c>
      <c r="R22" s="33" t="s">
        <v>676</v>
      </c>
      <c r="S22" s="3">
        <v>2014</v>
      </c>
      <c r="T22" s="456">
        <v>0</v>
      </c>
    </row>
    <row r="23" spans="2:20" ht="12.75">
      <c r="B23" s="483">
        <f t="shared" si="0"/>
        <v>8</v>
      </c>
      <c r="C23" s="20"/>
      <c r="D23" s="236" t="s">
        <v>253</v>
      </c>
      <c r="E23" s="20"/>
      <c r="F23" s="90">
        <f>+'SC 165 &amp; 175'!J24+'SC 165 &amp; 175'!J27</f>
        <v>2597.98</v>
      </c>
      <c r="G23" s="87"/>
      <c r="H23" s="12"/>
      <c r="I23" s="134"/>
      <c r="J23" s="33" t="s">
        <v>664</v>
      </c>
      <c r="K23" s="3">
        <v>2012</v>
      </c>
      <c r="L23" s="462">
        <v>10527</v>
      </c>
      <c r="N23" s="33" t="s">
        <v>664</v>
      </c>
      <c r="O23" s="3">
        <v>2013</v>
      </c>
      <c r="P23" s="456">
        <v>39266</v>
      </c>
      <c r="R23" s="33" t="s">
        <v>664</v>
      </c>
      <c r="S23" s="3">
        <v>2014</v>
      </c>
      <c r="T23" s="456">
        <v>0</v>
      </c>
    </row>
    <row r="24" spans="2:20" ht="12.75">
      <c r="B24" s="483">
        <f t="shared" si="0"/>
        <v>9</v>
      </c>
      <c r="C24" s="20"/>
      <c r="D24" s="236" t="s">
        <v>254</v>
      </c>
      <c r="E24" s="20"/>
      <c r="F24" s="283">
        <f>+'SC 165 &amp; 175'!J21+'SC 165 &amp; 175'!J28</f>
        <v>34117.27</v>
      </c>
      <c r="G24" s="87"/>
      <c r="H24" s="12"/>
      <c r="I24" s="134"/>
      <c r="J24" s="33" t="s">
        <v>677</v>
      </c>
      <c r="K24" s="3">
        <v>2012</v>
      </c>
      <c r="L24" s="462">
        <v>10527</v>
      </c>
      <c r="N24" s="33" t="s">
        <v>677</v>
      </c>
      <c r="O24" s="3">
        <v>2013</v>
      </c>
      <c r="P24" s="456">
        <v>39266</v>
      </c>
      <c r="R24" s="33" t="s">
        <v>677</v>
      </c>
      <c r="S24" s="3">
        <v>2014</v>
      </c>
      <c r="T24" s="456">
        <v>0</v>
      </c>
    </row>
    <row r="25" spans="2:20" ht="12.75">
      <c r="B25" s="483">
        <f t="shared" si="0"/>
        <v>10</v>
      </c>
      <c r="C25" s="20"/>
      <c r="D25" s="29" t="s">
        <v>2</v>
      </c>
      <c r="E25" s="20"/>
      <c r="F25" s="89"/>
      <c r="G25" s="188">
        <f>+F19+F20+F21+F22+F23+F24</f>
        <v>432843.8801596819</v>
      </c>
      <c r="H25" s="193"/>
      <c r="I25" s="134"/>
      <c r="J25" s="33"/>
      <c r="K25" s="3"/>
      <c r="L25" s="267"/>
      <c r="N25" s="33"/>
      <c r="O25" s="3"/>
      <c r="P25" s="267"/>
      <c r="R25" s="33"/>
      <c r="S25" s="3"/>
      <c r="T25" s="267"/>
    </row>
    <row r="26" spans="2:9" ht="12.75">
      <c r="B26" s="483"/>
      <c r="C26" s="20"/>
      <c r="D26" s="11"/>
      <c r="E26" s="20"/>
      <c r="F26" s="89"/>
      <c r="G26" s="169"/>
      <c r="H26" s="162"/>
      <c r="I26" s="134"/>
    </row>
    <row r="27" spans="2:20" ht="12.75">
      <c r="B27" s="483">
        <f>B25+1</f>
        <v>11</v>
      </c>
      <c r="C27" s="20"/>
      <c r="D27" s="466" t="s">
        <v>458</v>
      </c>
      <c r="E27" s="20"/>
      <c r="F27" s="89"/>
      <c r="G27" s="169"/>
      <c r="H27" s="162"/>
      <c r="I27" s="134"/>
      <c r="J27" s="146"/>
      <c r="K27" s="146" t="s">
        <v>672</v>
      </c>
      <c r="L27" s="148">
        <f>SUM(L12:L26)</f>
        <v>221659</v>
      </c>
      <c r="N27" s="146"/>
      <c r="O27" s="146" t="s">
        <v>672</v>
      </c>
      <c r="P27" s="148">
        <f>SUM(P12:P26)</f>
        <v>450080</v>
      </c>
      <c r="R27" s="146"/>
      <c r="S27" s="146" t="s">
        <v>672</v>
      </c>
      <c r="T27" s="148">
        <f>SUM(T12:T26)</f>
        <v>196330</v>
      </c>
    </row>
    <row r="28" spans="2:9" ht="12.75">
      <c r="B28" s="483">
        <f>B27+1</f>
        <v>12</v>
      </c>
      <c r="C28" s="20"/>
      <c r="D28" s="355" t="s">
        <v>459</v>
      </c>
      <c r="E28" s="20"/>
      <c r="F28" s="89"/>
      <c r="G28" s="187">
        <f>'ES 3.20'!H26*0.15</f>
        <v>2343.75</v>
      </c>
      <c r="H28" s="162"/>
      <c r="I28" s="134"/>
    </row>
    <row r="29" spans="2:20" ht="12.75">
      <c r="B29" s="483"/>
      <c r="C29" s="20"/>
      <c r="D29" s="11"/>
      <c r="E29" s="20"/>
      <c r="F29" s="89"/>
      <c r="G29" s="169"/>
      <c r="H29" s="162"/>
      <c r="I29" s="134"/>
      <c r="K29" s="380" t="s">
        <v>503</v>
      </c>
      <c r="L29" s="148">
        <f>253358-L27</f>
        <v>31699</v>
      </c>
      <c r="O29" s="380" t="s">
        <v>503</v>
      </c>
      <c r="P29" s="148">
        <v>0</v>
      </c>
      <c r="S29" s="380" t="s">
        <v>503</v>
      </c>
      <c r="T29" s="148">
        <v>0</v>
      </c>
    </row>
    <row r="30" spans="2:9" ht="12.75">
      <c r="B30" s="483">
        <f>B28+1</f>
        <v>13</v>
      </c>
      <c r="C30" s="20"/>
      <c r="D30" s="29" t="s">
        <v>3</v>
      </c>
      <c r="E30" s="20"/>
      <c r="F30" s="116"/>
      <c r="G30" s="97">
        <f>+G16+G25+G28</f>
        <v>1301906.60695832</v>
      </c>
      <c r="H30" s="144"/>
      <c r="I30" s="134"/>
    </row>
    <row r="31" spans="2:12" ht="12.75">
      <c r="B31" s="483"/>
      <c r="C31" s="20"/>
      <c r="D31" s="29"/>
      <c r="E31" s="20"/>
      <c r="F31" s="116"/>
      <c r="G31" s="97"/>
      <c r="H31" s="194"/>
      <c r="I31" s="134"/>
      <c r="L31" s="62"/>
    </row>
    <row r="32" spans="2:16" ht="12.75">
      <c r="B32" s="483">
        <f>+B30+1</f>
        <v>14</v>
      </c>
      <c r="C32" s="20"/>
      <c r="D32" s="11" t="s">
        <v>729</v>
      </c>
      <c r="E32" s="20"/>
      <c r="F32" s="116"/>
      <c r="G32" s="186">
        <f>ROUND(G30/8,0)</f>
        <v>162738</v>
      </c>
      <c r="H32" s="174"/>
      <c r="I32" s="134"/>
      <c r="P32" s="62"/>
    </row>
    <row r="33" spans="2:16" ht="12.75">
      <c r="B33" s="483">
        <f>+B32+1</f>
        <v>15</v>
      </c>
      <c r="C33" s="20"/>
      <c r="D33" s="470" t="s">
        <v>806</v>
      </c>
      <c r="E33" s="20"/>
      <c r="F33" s="116"/>
      <c r="G33" s="186">
        <v>118911</v>
      </c>
      <c r="H33" s="174"/>
      <c r="I33" s="134"/>
      <c r="P33" s="62"/>
    </row>
    <row r="34" spans="2:16" ht="12.75">
      <c r="B34" s="483">
        <f aca="true" t="shared" si="1" ref="B34:B43">+B33+1</f>
        <v>16</v>
      </c>
      <c r="C34" s="20"/>
      <c r="D34" s="470" t="s">
        <v>803</v>
      </c>
      <c r="E34" s="20"/>
      <c r="F34" s="116"/>
      <c r="G34" s="186">
        <v>167165</v>
      </c>
      <c r="H34" s="174"/>
      <c r="I34" s="134"/>
      <c r="P34" s="62"/>
    </row>
    <row r="35" spans="2:16" ht="12.75">
      <c r="B35" s="483">
        <f t="shared" si="1"/>
        <v>17</v>
      </c>
      <c r="C35" s="20"/>
      <c r="D35" s="470" t="s">
        <v>797</v>
      </c>
      <c r="E35" s="20"/>
      <c r="F35" s="116"/>
      <c r="G35" s="186">
        <v>105232</v>
      </c>
      <c r="H35" s="174"/>
      <c r="I35" s="134"/>
      <c r="P35" s="62"/>
    </row>
    <row r="36" spans="2:16" ht="12.75">
      <c r="B36" s="483">
        <f t="shared" si="1"/>
        <v>18</v>
      </c>
      <c r="C36" s="20"/>
      <c r="D36" s="11" t="s">
        <v>795</v>
      </c>
      <c r="E36" s="20"/>
      <c r="F36" s="116"/>
      <c r="G36" s="186">
        <v>149682</v>
      </c>
      <c r="H36" s="174"/>
      <c r="I36" s="134"/>
      <c r="P36" s="62"/>
    </row>
    <row r="37" spans="2:16" ht="12.75">
      <c r="B37" s="483">
        <f t="shared" si="1"/>
        <v>19</v>
      </c>
      <c r="C37" s="20"/>
      <c r="D37" s="470" t="s">
        <v>791</v>
      </c>
      <c r="E37" s="20"/>
      <c r="F37" s="116"/>
      <c r="G37" s="186">
        <v>160858</v>
      </c>
      <c r="H37" s="174"/>
      <c r="I37" s="134"/>
      <c r="P37" s="62"/>
    </row>
    <row r="38" spans="2:16" ht="12.75">
      <c r="B38" s="483">
        <f t="shared" si="1"/>
        <v>20</v>
      </c>
      <c r="C38" s="20"/>
      <c r="D38" s="470" t="s">
        <v>790</v>
      </c>
      <c r="E38" s="20"/>
      <c r="F38" s="116"/>
      <c r="G38" s="186">
        <v>205811</v>
      </c>
      <c r="H38" s="174"/>
      <c r="I38" s="134"/>
      <c r="P38" s="62"/>
    </row>
    <row r="39" spans="2:16" ht="12.75">
      <c r="B39" s="483">
        <f t="shared" si="1"/>
        <v>21</v>
      </c>
      <c r="C39" s="20"/>
      <c r="D39" s="470" t="s">
        <v>774</v>
      </c>
      <c r="E39" s="20"/>
      <c r="F39" s="116"/>
      <c r="G39" s="186">
        <v>43987</v>
      </c>
      <c r="H39" s="174"/>
      <c r="I39" s="134"/>
      <c r="P39" s="62"/>
    </row>
    <row r="40" spans="2:16" ht="12.75">
      <c r="B40" s="483">
        <f t="shared" si="1"/>
        <v>22</v>
      </c>
      <c r="C40" s="20"/>
      <c r="D40" s="470" t="s">
        <v>771</v>
      </c>
      <c r="E40" s="20"/>
      <c r="F40" s="116"/>
      <c r="G40" s="186">
        <v>43202</v>
      </c>
      <c r="H40" s="174"/>
      <c r="I40" s="134"/>
      <c r="P40" s="62"/>
    </row>
    <row r="41" spans="2:16" ht="12.75">
      <c r="B41" s="483">
        <f t="shared" si="1"/>
        <v>23</v>
      </c>
      <c r="C41" s="20"/>
      <c r="D41" s="470" t="s">
        <v>770</v>
      </c>
      <c r="E41" s="20"/>
      <c r="F41" s="116"/>
      <c r="G41" s="186">
        <v>61960</v>
      </c>
      <c r="H41" s="174"/>
      <c r="I41" s="134"/>
      <c r="P41" s="62"/>
    </row>
    <row r="42" spans="2:9" ht="12.75">
      <c r="B42" s="483">
        <f t="shared" si="1"/>
        <v>24</v>
      </c>
      <c r="C42" s="20"/>
      <c r="D42" s="470" t="s">
        <v>769</v>
      </c>
      <c r="E42" s="20"/>
      <c r="F42" s="170"/>
      <c r="G42" s="186">
        <v>65557</v>
      </c>
      <c r="H42" s="174"/>
      <c r="I42" s="134"/>
    </row>
    <row r="43" spans="2:9" ht="12.75">
      <c r="B43" s="483">
        <f t="shared" si="1"/>
        <v>25</v>
      </c>
      <c r="C43" s="20"/>
      <c r="D43" s="470" t="s">
        <v>768</v>
      </c>
      <c r="E43" s="20"/>
      <c r="F43" s="170"/>
      <c r="G43" s="186">
        <v>62173</v>
      </c>
      <c r="H43" s="174"/>
      <c r="I43" s="134"/>
    </row>
    <row r="44" spans="2:9" ht="12.75">
      <c r="B44" s="330"/>
      <c r="C44" s="20"/>
      <c r="D44" s="470"/>
      <c r="E44" s="20"/>
      <c r="F44" s="170"/>
      <c r="G44" s="486"/>
      <c r="H44" s="174"/>
      <c r="I44" s="134"/>
    </row>
    <row r="45" spans="2:9" ht="12.75">
      <c r="B45" s="484" t="s">
        <v>118</v>
      </c>
      <c r="C45" s="20"/>
      <c r="D45" s="11"/>
      <c r="E45" s="20"/>
      <c r="F45" s="170"/>
      <c r="G45" s="486"/>
      <c r="H45" s="174"/>
      <c r="I45" s="134"/>
    </row>
    <row r="46" spans="2:9" ht="12.75">
      <c r="B46" s="484" t="s">
        <v>118</v>
      </c>
      <c r="C46" s="20"/>
      <c r="D46" s="11"/>
      <c r="E46" s="20"/>
      <c r="F46" s="170"/>
      <c r="G46" s="186"/>
      <c r="H46" s="174"/>
      <c r="I46" s="134"/>
    </row>
    <row r="47" spans="2:9" ht="13.5" thickBot="1">
      <c r="B47" s="483">
        <f>+B43+1</f>
        <v>26</v>
      </c>
      <c r="C47" s="21"/>
      <c r="D47" s="102" t="s">
        <v>460</v>
      </c>
      <c r="E47" s="20"/>
      <c r="F47" s="170"/>
      <c r="G47" s="467">
        <f>SUM(G32:G46)</f>
        <v>1347276</v>
      </c>
      <c r="H47" s="174"/>
      <c r="I47" s="134"/>
    </row>
    <row r="48" spans="2:9" ht="13.5" thickBot="1">
      <c r="B48" s="331"/>
      <c r="C48" s="485"/>
      <c r="D48" s="16"/>
      <c r="E48" s="21"/>
      <c r="F48" s="117"/>
      <c r="G48" s="117"/>
      <c r="H48" s="12"/>
      <c r="I48" s="134"/>
    </row>
    <row r="49" ht="12.75">
      <c r="I49" s="134"/>
    </row>
    <row r="50" spans="9:16" ht="12.75">
      <c r="I50" s="134"/>
      <c r="L50" s="462"/>
      <c r="N50" s="33"/>
      <c r="P50" s="462"/>
    </row>
    <row r="51" spans="4:16" ht="12.75">
      <c r="D51" t="s">
        <v>461</v>
      </c>
      <c r="I51" s="134"/>
      <c r="L51" s="462"/>
      <c r="N51" s="33"/>
      <c r="P51" s="462"/>
    </row>
    <row r="52" spans="9:16" ht="12.75">
      <c r="I52" s="134"/>
      <c r="L52" s="462"/>
      <c r="N52" s="33"/>
      <c r="P52" s="462"/>
    </row>
    <row r="53" spans="9:18" ht="12.75">
      <c r="I53" s="134"/>
      <c r="L53" s="462"/>
      <c r="N53" s="33"/>
      <c r="P53" s="462"/>
      <c r="R53" s="462"/>
    </row>
    <row r="54" spans="9:18" ht="12.75">
      <c r="I54" s="134"/>
      <c r="L54" s="462"/>
      <c r="N54" s="33"/>
      <c r="P54" s="462"/>
      <c r="R54" s="462"/>
    </row>
    <row r="55" spans="9:18" ht="12.75">
      <c r="I55" s="134"/>
      <c r="L55" s="462"/>
      <c r="N55" s="33"/>
      <c r="P55" s="462"/>
      <c r="R55" s="462"/>
    </row>
    <row r="56" spans="9:18" ht="12.75">
      <c r="I56" s="134"/>
      <c r="L56" s="462"/>
      <c r="N56" s="287"/>
      <c r="P56" s="462"/>
      <c r="R56" s="462"/>
    </row>
    <row r="57" spans="9:18" ht="12.75">
      <c r="I57" s="134"/>
      <c r="L57" s="462"/>
      <c r="N57" s="287"/>
      <c r="P57" s="462"/>
      <c r="R57" s="462"/>
    </row>
    <row r="58" spans="9:18" ht="12.75">
      <c r="I58" s="134"/>
      <c r="L58" s="462"/>
      <c r="N58" s="287"/>
      <c r="P58" s="462"/>
      <c r="R58" s="462"/>
    </row>
    <row r="59" spans="9:18" ht="12.75">
      <c r="I59" s="134"/>
      <c r="L59" s="462"/>
      <c r="N59" s="287"/>
      <c r="P59" s="462"/>
      <c r="R59" s="462"/>
    </row>
    <row r="60" spans="9:18" ht="12.75">
      <c r="I60" s="134"/>
      <c r="L60" s="462"/>
      <c r="N60" s="287"/>
      <c r="P60" s="462"/>
      <c r="R60" s="462"/>
    </row>
    <row r="61" spans="9:18" ht="12.75">
      <c r="I61" s="134"/>
      <c r="L61" s="462"/>
      <c r="N61" s="287"/>
      <c r="P61" s="462"/>
      <c r="R61" s="462"/>
    </row>
    <row r="62" spans="9:18" ht="12.75">
      <c r="I62" s="134"/>
      <c r="R62" s="462"/>
    </row>
    <row r="63" spans="9:18" ht="12.75">
      <c r="I63" s="134"/>
      <c r="R63" s="462"/>
    </row>
    <row r="64" spans="9:18" ht="12.75">
      <c r="I64" s="134"/>
      <c r="R64" s="462"/>
    </row>
    <row r="65" ht="12.75">
      <c r="I65" s="134"/>
    </row>
    <row r="66" ht="12.75">
      <c r="I66" s="134"/>
    </row>
    <row r="67" ht="12.75">
      <c r="I67" s="134"/>
    </row>
    <row r="70" spans="2:3" ht="12.75">
      <c r="B70" s="11"/>
      <c r="C70" s="11"/>
    </row>
    <row r="71" spans="1:8" ht="12.75">
      <c r="A71" s="11"/>
      <c r="B71" s="195"/>
      <c r="C71" s="63"/>
      <c r="D71" s="11"/>
      <c r="E71" s="11"/>
      <c r="F71" s="11"/>
      <c r="G71" s="11"/>
      <c r="H71" s="11"/>
    </row>
    <row r="72" spans="1:8" ht="12.75">
      <c r="A72" s="11"/>
      <c r="B72" s="63"/>
      <c r="C72" s="63"/>
      <c r="D72" s="196"/>
      <c r="E72" s="63"/>
      <c r="F72" s="196"/>
      <c r="G72" s="29"/>
      <c r="H72" s="29"/>
    </row>
    <row r="73" spans="1:8" ht="12.75">
      <c r="A73" s="11"/>
      <c r="B73" s="63"/>
      <c r="C73" s="63"/>
      <c r="D73" s="63"/>
      <c r="E73" s="63"/>
      <c r="F73" s="63"/>
      <c r="G73" s="11"/>
      <c r="H73" s="11"/>
    </row>
    <row r="74" spans="1:8" ht="12.75">
      <c r="A74" s="11"/>
      <c r="B74" s="198"/>
      <c r="C74" s="63"/>
      <c r="D74" s="197"/>
      <c r="E74" s="63"/>
      <c r="F74" s="63"/>
      <c r="G74" s="11"/>
      <c r="H74" s="11"/>
    </row>
    <row r="75" spans="1:8" ht="12.75">
      <c r="A75" s="11"/>
      <c r="B75" s="198"/>
      <c r="C75" s="63"/>
      <c r="D75" s="63"/>
      <c r="E75" s="63"/>
      <c r="F75" s="199"/>
      <c r="G75" s="122"/>
      <c r="H75" s="122"/>
    </row>
    <row r="76" spans="1:19" ht="12.75">
      <c r="A76" s="11"/>
      <c r="B76" s="198"/>
      <c r="C76" s="63"/>
      <c r="D76" s="63"/>
      <c r="E76" s="63"/>
      <c r="F76" s="199"/>
      <c r="G76" s="122"/>
      <c r="H76" s="122"/>
      <c r="S76" s="510"/>
    </row>
    <row r="77" spans="1:8" ht="12.75">
      <c r="A77" s="11"/>
      <c r="B77" s="198"/>
      <c r="C77" s="63"/>
      <c r="D77" s="63"/>
      <c r="E77" s="63"/>
      <c r="F77" s="200"/>
      <c r="G77" s="122"/>
      <c r="H77" s="122"/>
    </row>
    <row r="78" spans="1:8" ht="12.75">
      <c r="A78" s="11"/>
      <c r="B78" s="198"/>
      <c r="C78" s="63"/>
      <c r="D78" s="196"/>
      <c r="E78" s="63"/>
      <c r="F78" s="141"/>
      <c r="G78" s="12"/>
      <c r="H78" s="12"/>
    </row>
    <row r="79" spans="1:8" ht="12.75">
      <c r="A79" s="11"/>
      <c r="B79" s="198"/>
      <c r="C79" s="63"/>
      <c r="D79" s="63"/>
      <c r="E79" s="63"/>
      <c r="F79" s="141"/>
      <c r="G79" s="12"/>
      <c r="H79" s="12"/>
    </row>
    <row r="80" spans="1:8" ht="12.75">
      <c r="A80" s="11"/>
      <c r="B80" s="198"/>
      <c r="C80" s="63"/>
      <c r="D80" s="197"/>
      <c r="E80" s="63"/>
      <c r="F80" s="141"/>
      <c r="G80" s="12"/>
      <c r="H80" s="12"/>
    </row>
    <row r="81" spans="1:8" ht="12.75">
      <c r="A81" s="11"/>
      <c r="B81" s="198"/>
      <c r="C81" s="63"/>
      <c r="D81" s="63"/>
      <c r="E81" s="63"/>
      <c r="F81" s="199"/>
      <c r="G81" s="122"/>
      <c r="H81" s="122"/>
    </row>
    <row r="82" spans="1:8" ht="12.75">
      <c r="A82" s="11"/>
      <c r="B82" s="198"/>
      <c r="C82" s="63"/>
      <c r="D82" s="63"/>
      <c r="E82" s="63"/>
      <c r="F82" s="199"/>
      <c r="G82" s="12"/>
      <c r="H82" s="12"/>
    </row>
    <row r="83" spans="1:8" ht="12.75">
      <c r="A83" s="11"/>
      <c r="B83" s="198"/>
      <c r="C83" s="63"/>
      <c r="D83" s="63"/>
      <c r="E83" s="63"/>
      <c r="F83" s="199"/>
      <c r="G83" s="12"/>
      <c r="H83" s="12"/>
    </row>
    <row r="84" spans="1:8" ht="12.75">
      <c r="A84" s="11"/>
      <c r="B84" s="198"/>
      <c r="C84" s="63"/>
      <c r="D84" s="63"/>
      <c r="E84" s="63"/>
      <c r="F84" s="200"/>
      <c r="G84" s="12"/>
      <c r="H84" s="12"/>
    </row>
    <row r="85" spans="1:8" ht="12.75">
      <c r="A85" s="11"/>
      <c r="B85" s="198"/>
      <c r="C85" s="63"/>
      <c r="D85" s="63"/>
      <c r="E85" s="63"/>
      <c r="F85" s="199"/>
      <c r="G85" s="193"/>
      <c r="H85" s="193"/>
    </row>
    <row r="86" spans="1:8" ht="12.75">
      <c r="A86" s="11"/>
      <c r="B86" s="198"/>
      <c r="C86" s="63"/>
      <c r="D86" s="63"/>
      <c r="E86" s="63"/>
      <c r="F86" s="199"/>
      <c r="G86" s="162"/>
      <c r="H86" s="162"/>
    </row>
    <row r="87" spans="1:8" ht="12.75">
      <c r="A87" s="11"/>
      <c r="B87" s="198"/>
      <c r="C87" s="63"/>
      <c r="D87" s="196"/>
      <c r="E87" s="63"/>
      <c r="F87" s="201"/>
      <c r="G87" s="12"/>
      <c r="H87" s="12"/>
    </row>
    <row r="88" spans="1:8" ht="12.75">
      <c r="A88" s="11"/>
      <c r="B88" s="198"/>
      <c r="C88" s="63"/>
      <c r="D88" s="63"/>
      <c r="E88" s="63"/>
      <c r="F88" s="201"/>
      <c r="G88" s="194"/>
      <c r="H88" s="194"/>
    </row>
    <row r="89" spans="1:8" ht="12.75">
      <c r="A89" s="11"/>
      <c r="B89" s="63"/>
      <c r="C89" s="63"/>
      <c r="D89" s="63"/>
      <c r="E89" s="63"/>
      <c r="F89" s="202"/>
      <c r="G89" s="174"/>
      <c r="H89" s="174"/>
    </row>
    <row r="90" spans="1:8" ht="12.75">
      <c r="A90" s="11"/>
      <c r="B90" s="63"/>
      <c r="C90" s="63"/>
      <c r="D90" s="63"/>
      <c r="E90" s="63"/>
      <c r="F90" s="141"/>
      <c r="G90" s="12"/>
      <c r="H90" s="12"/>
    </row>
    <row r="91" spans="1:8" ht="12.75">
      <c r="A91" s="11"/>
      <c r="B91" s="11"/>
      <c r="C91" s="11"/>
      <c r="D91" s="63"/>
      <c r="E91" s="63"/>
      <c r="F91" s="63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D93" s="11"/>
      <c r="E93" s="11"/>
      <c r="F93" s="11"/>
      <c r="G93" s="11"/>
      <c r="H93" s="11"/>
    </row>
  </sheetData>
  <sheetProtection/>
  <mergeCells count="1">
    <mergeCell ref="J1:L1"/>
  </mergeCells>
  <printOptions horizontalCentered="1"/>
  <pageMargins left="0" right="0" top="0.5" bottom="0.5" header="0.5" footer="0"/>
  <pageSetup horizontalDpi="300" verticalDpi="300" orientation="portrait" scale="9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AEP</cp:lastModifiedBy>
  <cp:lastPrinted>2014-07-29T17:48:22Z</cp:lastPrinted>
  <dcterms:created xsi:type="dcterms:W3CDTF">2002-05-13T18:35:45Z</dcterms:created>
  <dcterms:modified xsi:type="dcterms:W3CDTF">2015-01-31T13:57:09Z</dcterms:modified>
  <cp:category/>
  <cp:version/>
  <cp:contentType/>
  <cp:contentStatus/>
</cp:coreProperties>
</file>