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036" windowWidth="15576" windowHeight="5976" tabRatio="945" activeTab="8"/>
  </bookViews>
  <sheets>
    <sheet name="ES 1.0" sheetId="1" r:id="rId1"/>
    <sheet name="ES 1.10" sheetId="2" r:id="rId2"/>
    <sheet name="ES 3.00" sheetId="3" r:id="rId3"/>
    <sheet name="ES 3.10" sheetId="4" r:id="rId4"/>
    <sheet name="Sch 3.10" sheetId="5" r:id="rId5"/>
    <sheet name="ES 3.11" sheetId="6" r:id="rId6"/>
    <sheet name="ES 3.12 A" sheetId="7" r:id="rId7"/>
    <sheet name="ES 3.12 B" sheetId="8" r:id="rId8"/>
    <sheet name="ES 3.13" sheetId="9" r:id="rId9"/>
    <sheet name="SC 165 &amp; 175" sheetId="10" r:id="rId10"/>
    <sheet name="3.14 P1" sheetId="11" r:id="rId11"/>
    <sheet name="3.14 P2" sheetId="12" r:id="rId12"/>
    <sheet name="3.14 P3" sheetId="13" r:id="rId13"/>
    <sheet name="3.14 P4" sheetId="14" r:id="rId14"/>
    <sheet name="3.14 P5" sheetId="15" r:id="rId15"/>
    <sheet name="3.14 P6" sheetId="16" r:id="rId16"/>
    <sheet name="3.14 P7" sheetId="17" r:id="rId17"/>
    <sheet name="3.14 P8" sheetId="18" r:id="rId18"/>
    <sheet name="3.14 P9" sheetId="19" r:id="rId19"/>
    <sheet name="3.14 P10" sheetId="20" r:id="rId20"/>
    <sheet name="3.14 P11" sheetId="21" r:id="rId21"/>
    <sheet name="ES 3.15" sheetId="22" r:id="rId22"/>
    <sheet name="ES 3.20" sheetId="23" r:id="rId23"/>
    <sheet name="ES 3.21" sheetId="24" r:id="rId24"/>
    <sheet name="ES 3.30" sheetId="25" r:id="rId25"/>
    <sheet name="Collected" sheetId="26" r:id="rId26"/>
    <sheet name="Air Emission Fees - KPCo" sheetId="27" r:id="rId27"/>
    <sheet name="Air Emission Fees - OPCo" sheetId="28" r:id="rId28"/>
    <sheet name="Air Emission Fees - I&amp;M" sheetId="29" r:id="rId29"/>
    <sheet name="Pro-Rated Surcharge Factor" sheetId="30" r:id="rId30"/>
  </sheets>
  <definedNames>
    <definedName name="_xlnm.Print_Area" localSheetId="12">'3.14 P3'!$A$1:$G$50</definedName>
    <definedName name="_xlnm.Print_Area" localSheetId="13">'3.14 P4'!$A$1:$H$43</definedName>
    <definedName name="_xlnm.Print_Area" localSheetId="15">'3.14 P6'!$A$1:$G$38</definedName>
    <definedName name="_xlnm.Print_Area" localSheetId="16">'3.14 P7'!$A$1:$G$41</definedName>
    <definedName name="_xlnm.Print_Area" localSheetId="17">'3.14 P8'!$A$1:$G$38</definedName>
    <definedName name="_xlnm.Print_Area" localSheetId="0">'ES 1.0'!$A$9:$H$53</definedName>
    <definedName name="_xlnm.Print_Area" localSheetId="1">'ES 1.10'!$A$1:$G$30</definedName>
    <definedName name="_xlnm.Print_Area" localSheetId="8">'ES 3.13'!$A$1:$T$58</definedName>
    <definedName name="_xlnm.Print_Area" localSheetId="22">'ES 3.20'!$A$1:$M$40</definedName>
    <definedName name="_xlnm.Print_Area" localSheetId="23">'ES 3.21'!$A$1:$T$60</definedName>
    <definedName name="_xlnm.Print_Area" localSheetId="24">'ES 3.30'!$A$1:$I$56</definedName>
    <definedName name="_xlnm.Print_Area" localSheetId="29">'Pro-Rated Surcharge Factor'!$A$1:$E$22</definedName>
    <definedName name="_xlnm.Print_Titles" localSheetId="28">'Air Emission Fees - I&amp;M'!$1:$2</definedName>
    <definedName name="_xlnm.Print_Titles" localSheetId="25">'Collected'!$1:$5</definedName>
    <definedName name="_xlnm.Print_Titles" localSheetId="0">'ES 1.0'!$1:$8</definedName>
    <definedName name="_xlnm.Print_Titles" localSheetId="9">'SC 165 &amp; 175'!$1:$6</definedName>
    <definedName name="_xlnm.Print_Titles" localSheetId="4">'Sch 3.10'!$1:$7</definedName>
  </definedNames>
  <calcPr fullCalcOnLoad="1"/>
</workbook>
</file>

<file path=xl/sharedStrings.xml><?xml version="1.0" encoding="utf-8"?>
<sst xmlns="http://schemas.openxmlformats.org/spreadsheetml/2006/main" count="2031" uniqueCount="975">
  <si>
    <t>Monthly Catalyst Replacement at Big Sandy Unit 2</t>
  </si>
  <si>
    <t xml:space="preserve">Monthly ERC &amp; NOx Allowance Consumption  </t>
  </si>
  <si>
    <t>Total 2003 Plan O&amp;M Expenses</t>
  </si>
  <si>
    <t>Total Monthly O&amp;M Expenses</t>
  </si>
  <si>
    <t xml:space="preserve">Manual                                   Input </t>
  </si>
  <si>
    <t>Share of</t>
  </si>
  <si>
    <t>Unit                  No. 3</t>
  </si>
  <si>
    <t>Result</t>
  </si>
  <si>
    <t>Amos Plant Unit No 3</t>
  </si>
  <si>
    <t>Check</t>
  </si>
  <si>
    <t>Total 1997 Plan O&amp;M Expenses</t>
  </si>
  <si>
    <t>ES FORM 3.30</t>
  </si>
  <si>
    <t>ES FORM 3.20</t>
  </si>
  <si>
    <t>ES FORM 3.21</t>
  </si>
  <si>
    <t>ACCTS REC FINANCING</t>
  </si>
  <si>
    <t>ES FORM 3.15</t>
  </si>
  <si>
    <t>ES FORM   3.13</t>
  </si>
  <si>
    <t>ES FORM   3.00</t>
  </si>
  <si>
    <t>MONTHLY REVENUES, JURISDICTIONAL ALLOCATION FACTOR,</t>
  </si>
  <si>
    <t>and OVER/(UNDER) RECOVERY ADJUSTMENT</t>
  </si>
  <si>
    <t>SCHEDULE OF MONTHLY REVENUES</t>
  </si>
  <si>
    <t>COSTS ASSOCIATED WITH ROCKPORT</t>
  </si>
  <si>
    <t xml:space="preserve">                        CURRENT PERIOD REVENUE REQUIREMENT</t>
  </si>
  <si>
    <t>BASE PERIOD REVENUE REQUIREMENT</t>
  </si>
  <si>
    <t xml:space="preserve">Columns 1 and 2 - </t>
  </si>
  <si>
    <t>Scrubber (FGD) Maintenance (5120000)</t>
  </si>
  <si>
    <t>Record the number of allowances in any transaction (purchase, sale, transfer) which occurred</t>
  </si>
  <si>
    <t xml:space="preserve">during the Expense Month.  Multiple transactions for a given category are to be shown as the </t>
  </si>
  <si>
    <t xml:space="preserve">total activity for that category during the Expense Month.  For each transaction shown in </t>
  </si>
  <si>
    <t>Column 1, update the cumulative balance in Column 2.</t>
  </si>
  <si>
    <t xml:space="preserve">Columns 3 and 4 - </t>
  </si>
  <si>
    <t xml:space="preserve">For each transaction reflected in Column 1, record the total dollars of the transaction.  </t>
  </si>
  <si>
    <t xml:space="preserve">Multiple transaction for a given category are to be shown as the total dollar amount for that </t>
  </si>
  <si>
    <t xml:space="preserve">category during the Expense Month.  For each transaction shown in Column 3, update the </t>
  </si>
  <si>
    <t>cumulative dollar balance in Column 4.  Include transactions that total zero dollars.  Record</t>
  </si>
  <si>
    <t xml:space="preserve">amounts in whole dollars.  </t>
  </si>
  <si>
    <t xml:space="preserve">Column 5 - </t>
  </si>
  <si>
    <t>Compute the Weighted Average Cost by dividing the Cumulative Dollar Balance (Co. 4) by</t>
  </si>
  <si>
    <t xml:space="preserve">Inventory, Ending Inventory and all additions and withdrawals made during the Expense Month.  </t>
  </si>
  <si>
    <t>The Weighted Average Cost should be carried out to 3 decimal places.</t>
  </si>
  <si>
    <t>Various</t>
  </si>
  <si>
    <t>XX/XX/2009</t>
  </si>
  <si>
    <t>2011-12-21</t>
  </si>
  <si>
    <t>00095850</t>
  </si>
  <si>
    <r>
      <t xml:space="preserve">Effective Date for Billing:                                   </t>
    </r>
    <r>
      <rPr>
        <sz val="10"/>
        <color indexed="12"/>
        <rFont val="Arial"/>
        <family val="2"/>
      </rPr>
      <t xml:space="preserve"> February 29, 2012</t>
    </r>
  </si>
  <si>
    <t>108014</t>
  </si>
  <si>
    <t>4178835801</t>
  </si>
  <si>
    <t>2013-01-17</t>
  </si>
  <si>
    <t>00301406</t>
  </si>
  <si>
    <t>000170051</t>
  </si>
  <si>
    <t>2012-01-16</t>
  </si>
  <si>
    <t>00301375</t>
  </si>
  <si>
    <t>000170050</t>
  </si>
  <si>
    <t>00711950</t>
  </si>
  <si>
    <t>07-09-2012</t>
  </si>
  <si>
    <t>00223796</t>
  </si>
  <si>
    <t>07-20-2012</t>
  </si>
  <si>
    <t>00566843</t>
  </si>
  <si>
    <t>07-13-2012</t>
  </si>
  <si>
    <t>5020000</t>
  </si>
  <si>
    <t>881485</t>
  </si>
  <si>
    <t>07-06-2012</t>
  </si>
  <si>
    <r>
      <t>0000060525</t>
    </r>
    <r>
      <rPr>
        <sz val="10"/>
        <rFont val="Arial"/>
        <family val="2"/>
      </rPr>
      <t xml:space="preserve">                           </t>
    </r>
    <r>
      <rPr>
        <strike/>
        <sz val="10"/>
        <rFont val="Arial"/>
        <family val="2"/>
      </rPr>
      <t xml:space="preserve">  </t>
    </r>
    <r>
      <rPr>
        <sz val="10"/>
        <rFont val="Arial"/>
        <family val="2"/>
      </rPr>
      <t>0000060485</t>
    </r>
  </si>
  <si>
    <t>00712459</t>
  </si>
  <si>
    <t>07-12-2012</t>
  </si>
  <si>
    <t>00566605</t>
  </si>
  <si>
    <t>00566604</t>
  </si>
  <si>
    <r>
      <t>5000000</t>
    </r>
    <r>
      <rPr>
        <sz val="10"/>
        <rFont val="Arial"/>
        <family val="2"/>
      </rPr>
      <t xml:space="preserve">                                 </t>
    </r>
    <r>
      <rPr>
        <strike/>
        <sz val="10"/>
        <rFont val="Arial"/>
        <family val="2"/>
      </rPr>
      <t xml:space="preserve"> </t>
    </r>
    <r>
      <rPr>
        <sz val="10"/>
        <rFont val="Arial"/>
        <family val="2"/>
      </rPr>
      <t>5060000</t>
    </r>
  </si>
  <si>
    <t>Per email from Tammy Bragg dated 02-5-2013.  29.885%</t>
  </si>
  <si>
    <t xml:space="preserve"> in December</t>
  </si>
  <si>
    <t xml:space="preserve"> Paid $253,357.54</t>
  </si>
  <si>
    <t>Year 2012</t>
  </si>
  <si>
    <t>the corresponding Cumulative Balance (Col. 2).  Perform this calculation for the Beginning</t>
  </si>
  <si>
    <t>ENDING INVENTORY - Record Balance in Column (4) on ES FORM 3.10, Line 5</t>
  </si>
  <si>
    <t>to be recorded on ES FORM 1.00, Lines 9 and 4.  The Percentage of Kentucky Retail</t>
  </si>
  <si>
    <t>2007-11-26</t>
  </si>
  <si>
    <t>00060795</t>
  </si>
  <si>
    <t>0000036341</t>
  </si>
  <si>
    <t>63230</t>
  </si>
  <si>
    <t>The Over/(Under) Recovery amount is to be recorded on ES FORM 1.00, LINE 6.</t>
  </si>
  <si>
    <t>Cardinal Plant</t>
  </si>
  <si>
    <t>OPCo</t>
  </si>
  <si>
    <t>Bucheye</t>
  </si>
  <si>
    <t>Unit 3</t>
  </si>
  <si>
    <t>ES FORM 1.00</t>
  </si>
  <si>
    <t>CRR from ES FORM 3.00</t>
  </si>
  <si>
    <t>Kentucky Retail Jurisdictional Allocation Factor,                                                from ES FORM 3.30, Schedule of Revenues, LINE 1</t>
  </si>
  <si>
    <t>KY Retail R(m) from ES FORM 3.30</t>
  </si>
  <si>
    <t xml:space="preserve">                 on ES FORM 1.00.</t>
  </si>
  <si>
    <t>ROCKPORT UNIT POWER AGREEMENT COST OF CAPITAL</t>
  </si>
  <si>
    <t>Lease (5070005)</t>
  </si>
  <si>
    <t>Weighted Average Cost of Capital   -  ES FORM 3.21</t>
  </si>
  <si>
    <t>Weighted Average Cost of Capital   -   ES FORM 3.15</t>
  </si>
  <si>
    <t>Component</t>
  </si>
  <si>
    <t>Balances</t>
  </si>
  <si>
    <t>Cap. Structures</t>
  </si>
  <si>
    <t>Cost                                                Rates</t>
  </si>
  <si>
    <t>WACC           (NET OF TAX)</t>
  </si>
  <si>
    <t>WACC                              (PRE - TAX)</t>
  </si>
  <si>
    <t>Total Year 2007</t>
  </si>
  <si>
    <t>2007-02-07</t>
  </si>
  <si>
    <t>00147205</t>
  </si>
  <si>
    <t>INDIANA DEPT OF                                                ENVIRON MGMT</t>
  </si>
  <si>
    <t>2007-03-02</t>
  </si>
  <si>
    <t>00149084</t>
  </si>
  <si>
    <t>000074410</t>
  </si>
  <si>
    <t>Acctg                                     Date</t>
  </si>
  <si>
    <t>Line No</t>
  </si>
  <si>
    <t>Kentucky Retail Revenues from ES FORM 3.30, Schedule of Monthly Revenues, LINE 1</t>
  </si>
  <si>
    <t>Unbilled Revenues from Net Energy Requirement for Current Month</t>
  </si>
  <si>
    <t>Net KY Retail E(m) (LINE 3 - LINE 4)</t>
  </si>
  <si>
    <t>Net KY Retail E(m) (Line 5)</t>
  </si>
  <si>
    <t>Surcharge Collected LINE 4</t>
  </si>
  <si>
    <t xml:space="preserve">Kentucky Pro-Rated Retail Surcharge Factor </t>
  </si>
  <si>
    <t>Located on: Internal\Bob Russell\Net Energy Requirements (Monthly OSS Activity)\Kentucky Power Company\Year 2010</t>
  </si>
  <si>
    <t>Pro-Rated Surcharge Calculation</t>
  </si>
  <si>
    <t>Surcharge Collected ES FORM 3.30, Over/(Under) Recovery Adjustment LINE 3</t>
  </si>
  <si>
    <t>Fixed O&amp;M (12) + (16)</t>
  </si>
  <si>
    <t>Total Maintenance (13) + (14)</t>
  </si>
  <si>
    <t>1/2 Maintenance (15) * 50%</t>
  </si>
  <si>
    <t>Total Revenue Requirement,                                                                              Cost Associated with Cardinal Unit No. 3 (3) + (17)</t>
  </si>
  <si>
    <t>OPCo's Share of Cost Associated with Cardinal Unit No. 1 (18) X (19)</t>
  </si>
  <si>
    <t>Attributed to Cardinal Unit No. 1 ($/kw) (22) X (23)</t>
  </si>
  <si>
    <t>Cardinal Unit No. 1 Portion ($/kw) (24)</t>
  </si>
  <si>
    <t>Total Revenue Requirement,                                                                              Cost Associated with Gavin Plant (3) + (17)</t>
  </si>
  <si>
    <t>Case No. 2009-00459, dated June 28, 2010</t>
  </si>
  <si>
    <t>Total Revenue Requirement,                                                                             Cost Associated with Rockport Plant (3) + (10)</t>
  </si>
  <si>
    <t>Total Rockport Plant Common and  Units 1 &amp; 2</t>
  </si>
  <si>
    <t>Vendor Name</t>
  </si>
  <si>
    <t>KY Air Emission Fee</t>
  </si>
  <si>
    <t>WACC = Weighted Average Cost of Capital</t>
  </si>
  <si>
    <t>Cost Rates per the Provisions of the Rockport Unit Power Agreement</t>
  </si>
  <si>
    <t>Gross Revenue Conversion Factor (GRCF) Calculation:</t>
  </si>
  <si>
    <t>Cap.                                Structure</t>
  </si>
  <si>
    <t>WACC                                              (Net of Tax)</t>
  </si>
  <si>
    <t>WACC       (PRE-TAX)</t>
  </si>
  <si>
    <t xml:space="preserve"> </t>
  </si>
  <si>
    <t xml:space="preserve">       (LINE 1 X .085)</t>
  </si>
  <si>
    <t>LESS:   INDIANA ADJUSTED GROSS INCOME</t>
  </si>
  <si>
    <t>The WACC (PRE - TAX) value on Line 6 is to be recorded on ES FORM 3.20, Line 7.</t>
  </si>
  <si>
    <t xml:space="preserve">Tanners Creek Plant Environmental Cost to Kentucky Power (18) * (19)                               (ES FORM 3.14, Page 1 of 11, Line 9)              </t>
  </si>
  <si>
    <t xml:space="preserve">Rockport Units 1 &amp; 2 Environmental to Kentucky Power (19) * (20)                                    (ES FORM 3.14, Page 1 of 11, Line 8)                                 </t>
  </si>
  <si>
    <t xml:space="preserve">Sporn Plant Environmental Cost to Kentucky Power (18) * (19)                                            (ES FORM 3.14, Page 1 of 11, Line 7)              </t>
  </si>
  <si>
    <t xml:space="preserve">Muskingum Plant Environmental Cost to Kentucky Power (18) * (19)                                    (ES FORM 3.14, Page 1 of 11, Line 6)              </t>
  </si>
  <si>
    <t xml:space="preserve">Mitchell Plant Environmental Cost to Kentucky Power (21) * (22)                                         (ES FORM 3.14, Page 1 of 11, Line 5)              </t>
  </si>
  <si>
    <t xml:space="preserve">Kammer Plant Environmental Cost to Kentucky Power (18) * (19)                                        (ES FORM 3.14, Page 1 of 11, Line 4)                </t>
  </si>
  <si>
    <t xml:space="preserve">Gavin Plant Environmental Cost to Kentucky Power (24) * (25)                                            (ES FORM 3.14, Page 1 of 11, Line 3)                             </t>
  </si>
  <si>
    <t xml:space="preserve">Cardinal Unit No. 1 Environmental Cost to Kentucky Power (25) * (26)                                 (ES FORM 3.14, Page 1 of 11, Line 2)              </t>
  </si>
  <si>
    <t>Total Operations (Line 4 thru 9)</t>
  </si>
  <si>
    <t>Amos Unit No. 3 Environmental Cost to Kentucky Power (24) * (25)                                                      (ES FORM 3.14, Page 1 of 11, Line 1)</t>
  </si>
  <si>
    <t>Cardinal Unit No. 1 Environmental Cost to Kentucky Power            (ES FORM 3.14, Page 4 of 11, Line 25)</t>
  </si>
  <si>
    <t>December 24, 2002</t>
  </si>
  <si>
    <t>INDIANA ADJUSTED GROSS INCOME of 8.5% became effective January 1, 2003.</t>
  </si>
  <si>
    <t>NOTE:</t>
  </si>
  <si>
    <t xml:space="preserve">Jurisdictional Allocation Factor.  </t>
  </si>
  <si>
    <t xml:space="preserve">             in order to properly adjust the collection of the current month's expense.</t>
  </si>
  <si>
    <r>
      <t>NOTE :</t>
    </r>
    <r>
      <rPr>
        <sz val="10"/>
        <rFont val="Arial"/>
        <family val="0"/>
      </rPr>
      <t xml:space="preserve"> The sign on LINE 5 of ES FORM 3.30 will be changed on LINE 6 of ES FORM 1.00 </t>
    </r>
  </si>
  <si>
    <t>SO2 Emission Allowance Inventory</t>
  </si>
  <si>
    <t>Vendor                                  ID</t>
  </si>
  <si>
    <t>Dept                                      ID</t>
  </si>
  <si>
    <t>Dept ID                                 Description</t>
  </si>
  <si>
    <t>2006-02-10</t>
  </si>
  <si>
    <t>00122803</t>
  </si>
  <si>
    <t>0000033614</t>
  </si>
  <si>
    <t>Rockport                                Plant</t>
  </si>
  <si>
    <t>2006-02-16</t>
  </si>
  <si>
    <t>00123364</t>
  </si>
  <si>
    <t>Tanners Creek                        Plant</t>
  </si>
  <si>
    <t>ECR &amp; NOx Emission Allowance Inventory</t>
  </si>
  <si>
    <t>Cash Working Capital Allowance</t>
  </si>
  <si>
    <t>ES FORM 3.10, Line 11</t>
  </si>
  <si>
    <t>May 9,                             2003</t>
  </si>
  <si>
    <t>Catalyst - Layer1       Layer 2       Layer 3</t>
  </si>
  <si>
    <t>Layer 1</t>
  </si>
  <si>
    <t>Layer 2</t>
  </si>
  <si>
    <t>Layer 3</t>
  </si>
  <si>
    <t>Monthly Catalyst Amortization Expense</t>
  </si>
  <si>
    <t>SCR                                               Aux                                                         Station</t>
  </si>
  <si>
    <t>Install (2) 138KV Circuit Breakers     and Relaying</t>
  </si>
  <si>
    <t>July 26,         2002</t>
  </si>
  <si>
    <t>Install                    Air Horns                                              for SCR Proj</t>
  </si>
  <si>
    <t>December 28, 2002</t>
  </si>
  <si>
    <t>June 02,                   2002</t>
  </si>
  <si>
    <t>Total Operating Expenses (Line 10 + Line 11))</t>
  </si>
  <si>
    <t>Flyash Landfill Installed Cost</t>
  </si>
  <si>
    <t>Monthly Weighted Avg. Cost of Capital (LINE 7 / 12)</t>
  </si>
  <si>
    <t>Monthly Return of Rate Base (Line 6 * Line 8)</t>
  </si>
  <si>
    <t>CEMS and LNB (Line 9 + Line 12)</t>
  </si>
  <si>
    <t>SCR Instrument &amp; Control</t>
  </si>
  <si>
    <t>Cash Working Capital Allowance ( January 2013 ES Form 3.13 )</t>
  </si>
  <si>
    <t xml:space="preserve">Kentucky Power's Portion of Rockport's CEMS (Line 13 * 15%) </t>
  </si>
  <si>
    <t xml:space="preserve">Kentucky Power's Portion of AEGCo's LNB and Landfill (Line 13 * 30%) </t>
  </si>
  <si>
    <t>Total Revenue Requirement.  (C 4, Ln 14 + C 7, Ln 15 + C 8, L 15)</t>
  </si>
  <si>
    <r>
      <t>Note:</t>
    </r>
    <r>
      <rPr>
        <sz val="10"/>
        <rFont val="Arial"/>
        <family val="0"/>
      </rPr>
      <t xml:space="preserve">   Cost in Column 8, Line 16 is to be Recorded on </t>
    </r>
  </si>
  <si>
    <r>
      <t xml:space="preserve">       </t>
    </r>
    <r>
      <rPr>
        <b/>
        <sz val="10"/>
        <rFont val="Arial"/>
        <family val="2"/>
      </rPr>
      <t>ES FORM 3.20</t>
    </r>
    <r>
      <rPr>
        <sz val="10"/>
        <rFont val="Arial"/>
        <family val="0"/>
      </rPr>
      <t>, Line 16</t>
    </r>
  </si>
  <si>
    <t>Install Parking Lot for the Benefit of SCR Project</t>
  </si>
  <si>
    <t>April 18,                  2002</t>
  </si>
  <si>
    <t>Install New Guardhouse</t>
  </si>
  <si>
    <t>Install                    Switchgear Bldg &amp; Assoc</t>
  </si>
  <si>
    <t>Install                     Air                   Heater/                         Sootblowers</t>
  </si>
  <si>
    <t>July 31,         2002</t>
  </si>
  <si>
    <t>Install                     Economizer Proportion Dampers</t>
  </si>
  <si>
    <t>Work Order #</t>
  </si>
  <si>
    <t xml:space="preserve">(40223511)   (W0007814)   (W0007815)   </t>
  </si>
  <si>
    <t>Install ID                                          Booster Fans                                            for SCR Proj</t>
  </si>
  <si>
    <t>CMS -                   Howden                                                Booster                                          Fan</t>
  </si>
  <si>
    <t>(03500624)</t>
  </si>
  <si>
    <t>(03500589)</t>
  </si>
  <si>
    <t>(40148337)</t>
  </si>
  <si>
    <t>(40218878)</t>
  </si>
  <si>
    <t>(40219259)</t>
  </si>
  <si>
    <t>(40219309)</t>
  </si>
  <si>
    <t>(40219396)</t>
  </si>
  <si>
    <t>(40219406)</t>
  </si>
  <si>
    <t>(40218862)</t>
  </si>
  <si>
    <t>(40219436)</t>
  </si>
  <si>
    <t>Inservice            Date</t>
  </si>
  <si>
    <t>ES FORM 3.10, Line 10</t>
  </si>
  <si>
    <t>SCR                       Aux                    Station</t>
  </si>
  <si>
    <t>Funding Project</t>
  </si>
  <si>
    <t>WSX114128</t>
  </si>
  <si>
    <t>WSX115587</t>
  </si>
  <si>
    <t>J00050735</t>
  </si>
  <si>
    <t>PROPERTY                                   TAX</t>
  </si>
  <si>
    <t>DEPRECIATION                              &amp;                                           AMORTIZATION</t>
  </si>
  <si>
    <t>MONTHLY                                      RETURN                                  ON                                     RATE BASE</t>
  </si>
  <si>
    <t>MONTHLY                                      AMORTIZATION                            OF                               CATALYST LAYERS</t>
  </si>
  <si>
    <t>( J )</t>
  </si>
  <si>
    <t>( K )</t>
  </si>
  <si>
    <t>( M )</t>
  </si>
  <si>
    <t>( N )</t>
  </si>
  <si>
    <t>( O )</t>
  </si>
  <si>
    <t>( P )</t>
  </si>
  <si>
    <t>( Q )</t>
  </si>
  <si>
    <t>( R )</t>
  </si>
  <si>
    <t>( S )</t>
  </si>
  <si>
    <t>( T )</t>
  </si>
  <si>
    <t>( U )</t>
  </si>
  <si>
    <t>( V )</t>
  </si>
  <si>
    <t>( W )</t>
  </si>
  <si>
    <t>( Z )</t>
  </si>
  <si>
    <t>( AA )</t>
  </si>
  <si>
    <t>( AC )</t>
  </si>
  <si>
    <t>2012-01-17</t>
  </si>
  <si>
    <t>000150956</t>
  </si>
  <si>
    <t>2012-01-25</t>
  </si>
  <si>
    <t>000150958</t>
  </si>
  <si>
    <t xml:space="preserve">   NOx Emissions Allowance                               Adjustment</t>
  </si>
  <si>
    <t>( AD )</t>
  </si>
  <si>
    <t>( AE )</t>
  </si>
  <si>
    <t>( AF )</t>
  </si>
  <si>
    <t>( AG )</t>
  </si>
  <si>
    <t>Reverse Osmosis Water System (ROWS)</t>
  </si>
  <si>
    <t>(X1165780)</t>
  </si>
  <si>
    <t>June 9,                             2003</t>
  </si>
  <si>
    <t>December 19, 2002</t>
  </si>
  <si>
    <t>Inservice                                         Date</t>
  </si>
  <si>
    <r>
      <t xml:space="preserve">(40160707)              </t>
    </r>
    <r>
      <rPr>
        <b/>
        <i/>
        <sz val="10"/>
        <rFont val="Arial"/>
        <family val="2"/>
      </rPr>
      <t>(Note : Only 25% of the ROWS is allowed.)</t>
    </r>
  </si>
  <si>
    <t>(Tracking Outstanding Charges)</t>
  </si>
  <si>
    <t xml:space="preserve">Surcharge Amount To Be Collected  </t>
  </si>
  <si>
    <t>Roofing, Painting, Electrical &amp; Siding Contract)</t>
  </si>
  <si>
    <t>(X1165771)</t>
  </si>
  <si>
    <t>June 28,                             2003</t>
  </si>
  <si>
    <t>( AH )</t>
  </si>
  <si>
    <t>April 30, 1994</t>
  </si>
  <si>
    <t>June 30,                         1998</t>
  </si>
  <si>
    <t>Rockport Plant Environmental to Kentucky Power                                (ES FORM 3.14, Page 10 of 11, Columns 4 &amp; 5, Line 10)</t>
  </si>
  <si>
    <r>
      <t xml:space="preserve">       2)   </t>
    </r>
    <r>
      <rPr>
        <b/>
        <sz val="10"/>
        <rFont val="Arial"/>
        <family val="2"/>
      </rPr>
      <t>SO2</t>
    </r>
    <r>
      <rPr>
        <sz val="10"/>
        <rFont val="Arial"/>
        <family val="0"/>
      </rPr>
      <t xml:space="preserve"> - Net Gain or (Loss) from Allowance Sales, </t>
    </r>
  </si>
  <si>
    <t>Total Net Gain or (Loss) from Emission Allowance Sales</t>
  </si>
  <si>
    <t>Kentucky Power Company</t>
  </si>
  <si>
    <t>Total Year 2003</t>
  </si>
  <si>
    <t>Total Year 2004</t>
  </si>
  <si>
    <r>
      <t xml:space="preserve">Monthly </t>
    </r>
    <r>
      <rPr>
        <b/>
        <sz val="10"/>
        <rFont val="Arial"/>
        <family val="2"/>
      </rPr>
      <t>Amortization</t>
    </r>
    <r>
      <rPr>
        <sz val="10"/>
        <rFont val="Arial"/>
        <family val="2"/>
      </rPr>
      <t xml:space="preserve"> Expense</t>
    </r>
  </si>
  <si>
    <t xml:space="preserve">   ERC Consumed By Kentucky Power </t>
  </si>
  <si>
    <t>2005</t>
  </si>
  <si>
    <t>(40316507)</t>
  </si>
  <si>
    <t>February 23, 2004</t>
  </si>
  <si>
    <t>( AI )</t>
  </si>
  <si>
    <t>( Roofing, Painting, Electrical &amp; Siding                   Contract )</t>
  </si>
  <si>
    <t>SCR             Completion        Work Order                           (Cleanup                Work Order)</t>
  </si>
  <si>
    <t>Work                                                                                                             Description</t>
  </si>
  <si>
    <t>Material                                 Costs</t>
  </si>
  <si>
    <t>Outside                Contract                                   Labor</t>
  </si>
  <si>
    <t>Total                                     Costs</t>
  </si>
  <si>
    <t>Equipment - Associated Operating Expenses</t>
  </si>
  <si>
    <t>Equipment - Associated Maintenance Expenses</t>
  </si>
  <si>
    <t>Misc             Other                 Costs</t>
  </si>
  <si>
    <t>(40552689)</t>
  </si>
  <si>
    <t>(40865180)</t>
  </si>
  <si>
    <t>07/20/2006</t>
  </si>
  <si>
    <t>05/14/2007</t>
  </si>
  <si>
    <t>Environmental Equipment Operation and Maintenance Costs</t>
  </si>
  <si>
    <t xml:space="preserve">(03500581)          (05/24/2002)  </t>
  </si>
  <si>
    <t>May 24,        2004</t>
  </si>
  <si>
    <t>Additional Operator Overtime During The Ozone Season</t>
  </si>
  <si>
    <t>Plant Support, SCAF Safe OFA, Hyd Blast</t>
  </si>
  <si>
    <t>(40279311)            (12/31/2003)</t>
  </si>
  <si>
    <t>( L )</t>
  </si>
  <si>
    <t xml:space="preserve">( L ) </t>
  </si>
  <si>
    <t xml:space="preserve">( X ) </t>
  </si>
  <si>
    <t>( AJ )</t>
  </si>
  <si>
    <t>( AK )</t>
  </si>
  <si>
    <t>( AL )</t>
  </si>
  <si>
    <t>( AM )</t>
  </si>
  <si>
    <t>2010</t>
  </si>
  <si>
    <t>Total Year 2010</t>
  </si>
  <si>
    <t>December 31,                         2003</t>
  </si>
  <si>
    <t>Corrosion                              Low NOx                               Burners</t>
  </si>
  <si>
    <t>Voucher        ID</t>
  </si>
  <si>
    <t>Voucher               ID                   Date</t>
  </si>
  <si>
    <t>Account</t>
  </si>
  <si>
    <t>Payor</t>
  </si>
  <si>
    <t>Vendor               ID</t>
  </si>
  <si>
    <t>5060000</t>
  </si>
  <si>
    <t>Dept       ID</t>
  </si>
  <si>
    <t>11105</t>
  </si>
  <si>
    <t>10255</t>
  </si>
  <si>
    <t>0000122626</t>
  </si>
  <si>
    <t>10204</t>
  </si>
  <si>
    <t>West            Virginia              Dept</t>
  </si>
  <si>
    <t>Treasurer                               of State                    of Ohio</t>
  </si>
  <si>
    <t>10887</t>
  </si>
  <si>
    <t>OPCo Wholly or Jointly Owned Plant</t>
  </si>
  <si>
    <t>10742</t>
  </si>
  <si>
    <t>The WACC (PRE - TAX) value on Line 5 is to be recorded on ES FORM 3.10, Line 9.</t>
  </si>
  <si>
    <t>(40425950)</t>
  </si>
  <si>
    <t>August 04, 2004</t>
  </si>
  <si>
    <t xml:space="preserve">Emission Testing Required Under Permit - </t>
  </si>
  <si>
    <t>Operation</t>
  </si>
  <si>
    <t>Maintenance</t>
  </si>
  <si>
    <t>OFA</t>
  </si>
  <si>
    <t>(40337915)</t>
  </si>
  <si>
    <t>August 31, 2004</t>
  </si>
  <si>
    <t>SCR - Roof on Elevation 136</t>
  </si>
  <si>
    <r>
      <t xml:space="preserve">       1)   </t>
    </r>
    <r>
      <rPr>
        <b/>
        <sz val="10"/>
        <rFont val="Arial"/>
        <family val="2"/>
      </rPr>
      <t>NOx</t>
    </r>
    <r>
      <rPr>
        <sz val="10"/>
        <rFont val="Arial"/>
        <family val="0"/>
      </rPr>
      <t xml:space="preserve"> - ERC Sales Proceeds, received during Expense Month</t>
    </r>
  </si>
  <si>
    <t>Acctg Date</t>
  </si>
  <si>
    <t>Unit</t>
  </si>
  <si>
    <t>GL Unit</t>
  </si>
  <si>
    <t>Voucher</t>
  </si>
  <si>
    <t>Invoice</t>
  </si>
  <si>
    <t>Name</t>
  </si>
  <si>
    <t>Cost Comp</t>
  </si>
  <si>
    <t>Amount</t>
  </si>
  <si>
    <t>132</t>
  </si>
  <si>
    <t>0000033613</t>
  </si>
  <si>
    <t>11109</t>
  </si>
  <si>
    <t>999</t>
  </si>
  <si>
    <t>10224</t>
  </si>
  <si>
    <t>10708</t>
  </si>
  <si>
    <t>Kammer Plant Environmental Cost to Kentucky Power                                                                 (ES FORM 3.14, Page 6 of 11, Line 10)</t>
  </si>
  <si>
    <t>Portion of Weighted Average Capacity Rate Attributed                                         to Environmental Fixed O&amp;M Costs</t>
  </si>
  <si>
    <t>ENDING INVENTORY - Record Balance in Column (4) on                                                          ES FORM 3.10, Line 5</t>
  </si>
  <si>
    <r>
      <t>Note :</t>
    </r>
    <r>
      <rPr>
        <sz val="10"/>
        <color indexed="10"/>
        <rFont val="Arial"/>
        <family val="2"/>
      </rPr>
      <t xml:space="preserve">   For any sale or transfer of ERCs or NOx emission allowances, attach to this report</t>
    </r>
  </si>
  <si>
    <t>documentation showing the currently available market prices for similar ERC or NOx allowances.</t>
  </si>
  <si>
    <t>Total Early Reduction Credits (ERC)</t>
  </si>
  <si>
    <t>Consumed:</t>
  </si>
  <si>
    <t>June 2004</t>
  </si>
  <si>
    <t>July 2004</t>
  </si>
  <si>
    <t>Total Consumed</t>
  </si>
  <si>
    <t>Remaining Early Reduction Credits (ERC)</t>
  </si>
  <si>
    <t>(03500714) (40205123 &amp; 40285822)                                    (12-24-2002)                    (40237730)                                           (12-02-2002)</t>
  </si>
  <si>
    <t>December 31,                        1994</t>
  </si>
  <si>
    <t>May 24,                                 2002</t>
  </si>
  <si>
    <t>#15 Conveyor</t>
  </si>
  <si>
    <t>2006</t>
  </si>
  <si>
    <t>Total Year 2006</t>
  </si>
  <si>
    <t>February 03, 2005</t>
  </si>
  <si>
    <t>WORKING CAPITAL ONLY</t>
  </si>
  <si>
    <t>RO Water                              Filtration System</t>
  </si>
  <si>
    <t>March 01,                              2005</t>
  </si>
  <si>
    <t>Low NOx                                   Burners</t>
  </si>
  <si>
    <t>(40968283)                                                               (41081847)</t>
  </si>
  <si>
    <t>0X/XX/2008</t>
  </si>
  <si>
    <t>#15                                       Conveyor</t>
  </si>
  <si>
    <t>Install SCR                            Roof on                    Elevation                                136</t>
  </si>
  <si>
    <t>(03000020)   (40164630)   (03500745)   (X1162840)   (X1166680)</t>
  </si>
  <si>
    <t>Monthly          Environmental     Surcharge              Amount   Collected</t>
  </si>
  <si>
    <t xml:space="preserve">   SO2 Emissions Allowance                               Adjustment</t>
  </si>
  <si>
    <t>ES FORM 3.14</t>
  </si>
  <si>
    <t>Cash Working Capital Allowance from ES FORM 3.13, Line 13</t>
  </si>
  <si>
    <t>Page 1 of 11</t>
  </si>
  <si>
    <t>KENTUCKY POWER COMPANY - ENVIRONMENTAL SURCHARGE REPORT</t>
  </si>
  <si>
    <t>AEP POOL MONTHLY ENVIRONMENTAL CAPACITY COSTS</t>
  </si>
  <si>
    <t>Line               No.</t>
  </si>
  <si>
    <t>Cost Component</t>
  </si>
  <si>
    <t>X00000002</t>
  </si>
  <si>
    <t>(40526129)</t>
  </si>
  <si>
    <t>Total Operations (Lines 4 thru 10)</t>
  </si>
  <si>
    <t>2008-01-23</t>
  </si>
  <si>
    <t>00175470</t>
  </si>
  <si>
    <t>INDIANA DEPT OF ENVIRON MGMT</t>
  </si>
  <si>
    <t>2008-01-24</t>
  </si>
  <si>
    <t>00175517</t>
  </si>
  <si>
    <t>000087832</t>
  </si>
  <si>
    <t>PERMIT                                  FEE</t>
  </si>
  <si>
    <t>AIR                                         PERMIT</t>
  </si>
  <si>
    <t>INDIANA                                                                DEPARTMENT OF</t>
  </si>
  <si>
    <t>Rockport                                                               Plant</t>
  </si>
  <si>
    <t>Total Maintenance (12) + (13)</t>
  </si>
  <si>
    <t>Fixed O&amp;M (11) + (15)</t>
  </si>
  <si>
    <t>OPCo's Share of Cost Associated with Gavin Plant (17) X (18)</t>
  </si>
  <si>
    <t>Attributed to Gavin Plant ($/kw) (21) X (22)</t>
  </si>
  <si>
    <t>1/2 of Maintenance (10 + 11) * 50%</t>
  </si>
  <si>
    <t>Gavin Plant Portion ($/kw) (23)</t>
  </si>
  <si>
    <t>2011</t>
  </si>
  <si>
    <t>Total Year 2011</t>
  </si>
  <si>
    <t>Gavin Plant Environmental Cost to Kentucky Power                                           (ES FORM 3.14, Page 5 of 11, Line 26)</t>
  </si>
  <si>
    <t>March 31,                   2006</t>
  </si>
  <si>
    <t>(40602011)</t>
  </si>
  <si>
    <t>July 26,          2005</t>
  </si>
  <si>
    <t>(40601916)</t>
  </si>
  <si>
    <t>August 23,            2005</t>
  </si>
  <si>
    <t>November            2005</t>
  </si>
  <si>
    <t>(40352988)</t>
  </si>
  <si>
    <t>(40568095)                              (40433711)</t>
  </si>
  <si>
    <t>May 30,                                  2006</t>
  </si>
  <si>
    <t>(Y)</t>
  </si>
  <si>
    <t>( AN )</t>
  </si>
  <si>
    <t>( AO )</t>
  </si>
  <si>
    <t>( AP )</t>
  </si>
  <si>
    <t>( AQ )</t>
  </si>
  <si>
    <t>( AR )</t>
  </si>
  <si>
    <t>( AS )</t>
  </si>
  <si>
    <t>( AT )</t>
  </si>
  <si>
    <t>( AU )</t>
  </si>
  <si>
    <t>( AV )</t>
  </si>
  <si>
    <t>( AX )</t>
  </si>
  <si>
    <t>( AY )</t>
  </si>
  <si>
    <t>Sub-total</t>
  </si>
  <si>
    <t>Ohio              Power                Company's                           Environmental         Cost to KPCo</t>
  </si>
  <si>
    <t xml:space="preserve">CAPITALIZATION                   OFFSETS                            </t>
  </si>
  <si>
    <t>Indiana                  Michigan                                  Power                   Company's                        Environmental            Cost to KPCo</t>
  </si>
  <si>
    <t>.</t>
  </si>
  <si>
    <r>
      <t xml:space="preserve">0000060525                                  </t>
    </r>
    <r>
      <rPr>
        <strike/>
        <sz val="10"/>
        <rFont val="Arial"/>
        <family val="2"/>
      </rPr>
      <t xml:space="preserve">5104112601                          0000060485                               </t>
    </r>
  </si>
  <si>
    <t>Environmental Surcharge Factor for Expense  Month                                                     (Line 8 / LINE 9)</t>
  </si>
  <si>
    <r>
      <t>(03500582)</t>
    </r>
    <r>
      <rPr>
        <sz val="10"/>
        <rFont val="Arial"/>
        <family val="2"/>
      </rPr>
      <t xml:space="preserve">       </t>
    </r>
    <r>
      <rPr>
        <strike/>
        <sz val="10"/>
        <rFont val="Arial"/>
        <family val="2"/>
      </rPr>
      <t>(Open)</t>
    </r>
    <r>
      <rPr>
        <sz val="10"/>
        <rFont val="Arial"/>
        <family val="2"/>
      </rPr>
      <t xml:space="preserve">                           (40375191)            (05/24/2004)</t>
    </r>
  </si>
  <si>
    <t xml:space="preserve">Total AEP Pool Monthly Environmental Capacity Costs                                                 to Kentucky Power                                                                                    </t>
  </si>
  <si>
    <t>Note: Cost in Column 5, Line 10 is to be recorded on ES FORM 3.10, Line 16.</t>
  </si>
  <si>
    <t>Page 2 of 11</t>
  </si>
  <si>
    <t>(Stack Flow Monitors)</t>
  </si>
  <si>
    <t>(40668596)</t>
  </si>
  <si>
    <t>02/10/2007</t>
  </si>
  <si>
    <t>Ohio              Power                Company's                          (OPCo)                                           Environmental         Cost to KPCo</t>
  </si>
  <si>
    <t>Indiana         Michigan            Power          Company's                (I&amp;M)                        Environmental            Cost to KPCo</t>
  </si>
  <si>
    <t>Steam Capacity By Company -                                                                                    OPCo (Column 3) / I&amp;M (Column 4) (kw)</t>
  </si>
  <si>
    <t>Environmental Base ($/kw)</t>
  </si>
  <si>
    <t>Fixed O&amp;M Environmental Cost to Kentucky Power</t>
  </si>
  <si>
    <t>Note: Cost in Column 5, Line 17 is to be recorded on ES FORM 3.13, Line 2.</t>
  </si>
  <si>
    <t>Page 3 of 11</t>
  </si>
  <si>
    <t>OHIO POWER COMPANY (OPCo) - AMOS PLANT UNIT NO. 3</t>
  </si>
  <si>
    <t>Member Primary Capacity Investment Rate (16.44% / 12)</t>
  </si>
  <si>
    <t>Ohio Power Company's Percentage Ownership - Environmental Investment</t>
  </si>
  <si>
    <t>Urea (5020002)</t>
  </si>
  <si>
    <t>Trona (5020003)</t>
  </si>
  <si>
    <t>Air Emission Fee</t>
  </si>
  <si>
    <t>Total Operations (4) + (5) + (6)</t>
  </si>
  <si>
    <t>SCR Maintenance (5120000)</t>
  </si>
  <si>
    <t>Ohio Power Company's Percentage Ownership - O&amp;M Cost</t>
  </si>
  <si>
    <t>Ohio Power Company Steam Capacity (kw)</t>
  </si>
  <si>
    <t>Kentucky Retail Revenues for Current Expense Month</t>
  </si>
  <si>
    <t>Amos Unit No. 3 Environmental Rate ($/kw)</t>
  </si>
  <si>
    <t>Amos Unit No. 3 Costs to Kentucky Power :</t>
  </si>
  <si>
    <t>Page 4 of 11</t>
  </si>
  <si>
    <t>OHIO POWER COMPANY (OPCo) - CARDINAL UNIT 1</t>
  </si>
  <si>
    <t>1/2 of Maintenance (8) * 50%</t>
  </si>
  <si>
    <t>Fixed O&amp;M (7) + (9)</t>
  </si>
  <si>
    <t>Ohio Power Company's Percentage Ownership</t>
  </si>
  <si>
    <t>/</t>
  </si>
  <si>
    <t>Amos</t>
  </si>
  <si>
    <t xml:space="preserve">Cardinal </t>
  </si>
  <si>
    <t xml:space="preserve">Gavin </t>
  </si>
  <si>
    <t xml:space="preserve">Kammer </t>
  </si>
  <si>
    <t>Mitchell</t>
  </si>
  <si>
    <t xml:space="preserve">Muskingum </t>
  </si>
  <si>
    <t xml:space="preserve">Sporn </t>
  </si>
  <si>
    <t>Year 2013</t>
  </si>
  <si>
    <t xml:space="preserve"> 2013 for - </t>
  </si>
  <si>
    <t xml:space="preserve"> Paid $471,193.07</t>
  </si>
  <si>
    <t xml:space="preserve"> in January</t>
  </si>
  <si>
    <t xml:space="preserve"> 2014 Fiscal Year</t>
  </si>
  <si>
    <t>2012-11-29</t>
  </si>
  <si>
    <t>00101974</t>
  </si>
  <si>
    <t>119814</t>
  </si>
  <si>
    <t>4195934701</t>
  </si>
  <si>
    <t>OPCo's                Share</t>
  </si>
  <si>
    <t>Total                                      Plant                                   Capacity</t>
  </si>
  <si>
    <t>Applicable       %</t>
  </si>
  <si>
    <t>(Col 3 / Col 4)</t>
  </si>
  <si>
    <t>Low NOx                                  Burners</t>
  </si>
  <si>
    <t>(40668588)</t>
  </si>
  <si>
    <t>(40908587)   (40935216)   (40942102)   (40901421)   (40901444)</t>
  </si>
  <si>
    <t>(40852537)</t>
  </si>
  <si>
    <t>12/22/2007</t>
  </si>
  <si>
    <t>05/XX/2007</t>
  </si>
  <si>
    <t>11/19/2007</t>
  </si>
  <si>
    <t>Annual          Amount              Air                Emission                          Fees</t>
  </si>
  <si>
    <t>(Col 2 / Col 5)</t>
  </si>
  <si>
    <t>Applicable                  Annual                                Air                                       Emission                              Fees</t>
  </si>
  <si>
    <t>Applicable                  Monthly                                Air                                       Emission                              Fees</t>
  </si>
  <si>
    <t>(Col 6 / 12)</t>
  </si>
  <si>
    <t>Cardinal Unit No. 1 ($/kw)</t>
  </si>
  <si>
    <t>Cardinal Unit No. 1 Costs to Kentucky Power :</t>
  </si>
  <si>
    <t>Page 6 of 11</t>
  </si>
  <si>
    <t>OHIO POWER COMPANY (OPCo) - KAMMER PLANT (UNITS 1, 2 &amp; 3)</t>
  </si>
  <si>
    <t>Total Revenue Requirement,                                                                              Cost Associated with Kammer Plant (3) + (10)</t>
  </si>
  <si>
    <t>OPCo's Share of Cost Associated with Kammer Plant (11) X (12)</t>
  </si>
  <si>
    <t>Kammer Plant ($/kw)</t>
  </si>
  <si>
    <t>Attributed to Kammer Plant ($/kw) (15) X (16)</t>
  </si>
  <si>
    <t>Kammer Plant Costs to Kentucky Power :</t>
  </si>
  <si>
    <t>Kammer Plant Portion ($/kw) (17)</t>
  </si>
  <si>
    <t>Page 7 of 11</t>
  </si>
  <si>
    <t>OHIO POWER COMPANY (OPCo) - MITCHELL PLANT (UNITS 1 &amp; 2)</t>
  </si>
  <si>
    <t>Mitchell Plant ($/kw)</t>
  </si>
  <si>
    <t>Mitchell Plant Costs to Kentucky Power :</t>
  </si>
  <si>
    <t>OHIO POWER COMPANY (OPCo) - MUSKINGUM RIVER PLANT (UNITS 1, 2, 3 , 4 &amp; 5)</t>
  </si>
  <si>
    <t>Muskingum River Plant Environmental Cost to Kentucky Power                                  (ES FORM 3.14, Page 8 of 11, Line 10)</t>
  </si>
  <si>
    <t>Muskingum River Plant Environmental Cost to Kentucky Power                                  (ES FORM 3.14, Page 8 of 11, Line 20)</t>
  </si>
  <si>
    <t>STATE TAXABLE PRODUCTION INCOME BEFORE 199 DEDUCTION</t>
  </si>
  <si>
    <t>STATE INCOME TAX EXPENSE, NET OF 199 DEDUCTION (SEE BELOW)</t>
  </si>
  <si>
    <t>FEDERAL TAXABLE PRODUCTION INCOME BEFORE 199 DEDUCTION</t>
  </si>
  <si>
    <t>199 DEDUCTION PHASE-IN</t>
  </si>
  <si>
    <t>FEDERAL TAXABLE PRODUCTION INCOME</t>
  </si>
  <si>
    <t>FEDERAL INCOME TAX EXPENSE AFTER 199 DEDUCTION (35%)</t>
  </si>
  <si>
    <t>AFTER-TAX PRODUCTION INCOME</t>
  </si>
  <si>
    <t>GROSS-UP FACTOR FOR PRODUCTION INCOME:</t>
  </si>
  <si>
    <t xml:space="preserve">       AFTER-TAX PRODUCTION INCOME</t>
  </si>
  <si>
    <t xml:space="preserve">       199 DEDUCTION PHASE-IN</t>
  </si>
  <si>
    <t xml:space="preserve">       UNCOLLECTIBLE ACCOUNTS EXPENSE</t>
  </si>
  <si>
    <t>TOTAL GROSS-UP FACTOR FOR PRODUCTION INCOME (ROUNDED)</t>
  </si>
  <si>
    <t>BLENDED FEDERAL AND STATE TAX RATE:</t>
  </si>
  <si>
    <t xml:space="preserve">       FEDERAL (LINE 8)</t>
  </si>
  <si>
    <t xml:space="preserve">       STATE (LINE 4)</t>
  </si>
  <si>
    <t>BLENDED TAX RATE</t>
  </si>
  <si>
    <t>GROSS REVENUE CONVERSION FACTOR (100.0000 / Line 14)</t>
  </si>
  <si>
    <t>STATE INCOME TAX CALCULATION:</t>
  </si>
  <si>
    <t>Check                                   Factors ===&gt;</t>
  </si>
  <si>
    <t>Change                                  Annually ===&gt;</t>
  </si>
  <si>
    <t xml:space="preserve">       PRE-TAX PRODUCTION INCOME</t>
  </si>
  <si>
    <t>Low Nox                                  Burners</t>
  </si>
  <si>
    <t>(40581336)                              (40581338)</t>
  </si>
  <si>
    <t>(40709762)                               05/30/2006</t>
  </si>
  <si>
    <t>(40749370)                               05/31/2006</t>
  </si>
  <si>
    <t>(40758256)</t>
  </si>
  <si>
    <t>05/30/2006</t>
  </si>
  <si>
    <t xml:space="preserve">       STATE TAXABLE PRODUCTION INCOME BEFORE 199 DEDUCTION</t>
  </si>
  <si>
    <t>Total Year 2005</t>
  </si>
  <si>
    <t xml:space="preserve">       LESS:   STATE 199 DEDUCTION</t>
  </si>
  <si>
    <t>Total Year 2013</t>
  </si>
  <si>
    <t xml:space="preserve">       STATE INCOME TAX RATE</t>
  </si>
  <si>
    <t xml:space="preserve">       STATE INCOME TAX EXPENSE (LINE 5 X LINE 6)</t>
  </si>
  <si>
    <t>Page 8 of 11</t>
  </si>
  <si>
    <t>Total Revenue Requirement,                                                                              Cost Associated with Muskingum Plant (3) + (10)</t>
  </si>
  <si>
    <t>OPCo's Share of Cost Associated with Muskingum Plant (11) X (12)</t>
  </si>
  <si>
    <t>Muskingum Plant ($/kw)</t>
  </si>
  <si>
    <t>Attributed to Muskingum Plant ($/kw) (15) X (16)</t>
  </si>
  <si>
    <t>Muskingum Plant Costs to Kentucky Power :</t>
  </si>
  <si>
    <t>Muskingum Plant Portion ($/kw) (17)</t>
  </si>
  <si>
    <t>Page 9 of 11</t>
  </si>
  <si>
    <t>OHIO POWER COMPANY (OPCo) - SPORN PLANT (UNITS 2, 3, 4 &amp; 5)</t>
  </si>
  <si>
    <t>Total Revenue Requirement,                                                                              Cost Associated with Sporn Plant (3) + (10)</t>
  </si>
  <si>
    <t>OPCo's Share of Cost Associated with Sporn Plant (11) X (12)</t>
  </si>
  <si>
    <t>Sporn Plant ($/kw)</t>
  </si>
  <si>
    <t>Attributed to Sporn Plant ($/kw) (15) X (16)</t>
  </si>
  <si>
    <t>KPCO's Rockport Unit Power O&amp;M:</t>
  </si>
  <si>
    <t>E.S. Form 3.20, Line 11 X 15%</t>
  </si>
  <si>
    <t>Total Twelve Month Total Cash Working Capital Allowance</t>
  </si>
  <si>
    <t>Total Cost at Line 27 is to be recorded on ES FORM 3.10, Line 7.</t>
  </si>
  <si>
    <t>Flyash Hopper Not Precipitator</t>
  </si>
  <si>
    <t>Sporn Plant Costs to Kentucky Power :</t>
  </si>
  <si>
    <t>SpornGavin Plant Portion ($/kw) (17)</t>
  </si>
  <si>
    <t>Page 10 of 11</t>
  </si>
  <si>
    <t>INDIANA MICHGAN POWER COMPANY (I&amp;M) - ROCKPORT PLANT (UNITS 1 &amp;  2)</t>
  </si>
  <si>
    <t>UNIT 1       AMOUNTS</t>
  </si>
  <si>
    <t>UNIT 2       AMOUNTS</t>
  </si>
  <si>
    <t>Indiana Michigan Power Company's Percentage Ownership</t>
  </si>
  <si>
    <t>I&amp;M's Share of Cost Associated with Rockport Plant (11) X (12)</t>
  </si>
  <si>
    <t>Indiana Michigan Power Company Steam Capacity (kw)</t>
  </si>
  <si>
    <t>Rockport Plant ($/kw) (14) / (15)</t>
  </si>
  <si>
    <t>* Air Emission Fee's pay in July or August</t>
  </si>
  <si>
    <t>2011-01-26</t>
  </si>
  <si>
    <t>TITLEV ANNUAL PERMIT FEE</t>
  </si>
  <si>
    <t>2011-01-31</t>
  </si>
  <si>
    <t>000133956</t>
  </si>
  <si>
    <t>2010-11-11</t>
  </si>
  <si>
    <t>00087628</t>
  </si>
  <si>
    <t>96369</t>
  </si>
  <si>
    <t>4159742901</t>
  </si>
  <si>
    <t>Kentucky Power Portion of Rockport Plant /                                                                          Indiana Michigan Power Surplus Weighing</t>
  </si>
  <si>
    <t>2009-11-23</t>
  </si>
  <si>
    <t>00080184</t>
  </si>
  <si>
    <t>85251</t>
  </si>
  <si>
    <t>4137021901</t>
  </si>
  <si>
    <t>Expense Distribution</t>
  </si>
  <si>
    <t>Attributed to Rockport Plant ($/kw) (17) X (18)</t>
  </si>
  <si>
    <t>Rockport Plant Costs to Kentucky Power :</t>
  </si>
  <si>
    <t>Rockport Plant Portion ($/kw) (18)</t>
  </si>
  <si>
    <r>
      <t>0000064272</t>
    </r>
    <r>
      <rPr>
        <sz val="10"/>
        <rFont val="Arial"/>
        <family val="0"/>
      </rPr>
      <t xml:space="preserve">                            </t>
    </r>
    <r>
      <rPr>
        <strike/>
        <sz val="10"/>
        <rFont val="Arial"/>
        <family val="2"/>
      </rPr>
      <t xml:space="preserve"> </t>
    </r>
    <r>
      <rPr>
        <sz val="10"/>
        <rFont val="Arial"/>
        <family val="2"/>
      </rPr>
      <t>0000122626</t>
    </r>
  </si>
  <si>
    <t>5100000</t>
  </si>
  <si>
    <t xml:space="preserve">Per Susan Edie - Canton,  32.619% is OPCo 12 Months Ended </t>
  </si>
  <si>
    <t>(July 2011 to June 2012) Share of Account 506.</t>
  </si>
  <si>
    <t>The $318,694.16 amount is the September 2011 payment.</t>
  </si>
  <si>
    <t>Total Year 2012</t>
  </si>
  <si>
    <t>Page 11 of 11</t>
  </si>
  <si>
    <t>Disposal (5010000)</t>
  </si>
  <si>
    <t>Lime Stone (5020004)</t>
  </si>
  <si>
    <t>Total Operations (Lines 6 thru 10)</t>
  </si>
  <si>
    <t>2009</t>
  </si>
  <si>
    <t>Total Year 2009</t>
  </si>
  <si>
    <t xml:space="preserve"> 2013 Fiscal Year</t>
  </si>
  <si>
    <t xml:space="preserve">Total                                       Units                                    1 &amp; 2                                      (C5 + C6) </t>
  </si>
  <si>
    <t>OPCo's Share of Cost Associated with Amos Unit No. 3 (3) X (4)</t>
  </si>
  <si>
    <t>INDIANA MICHGAN POWER COMPANY (I&amp;M) - TANNERS CREEK (UNITS 1, 2, 3  &amp; 4)</t>
  </si>
  <si>
    <t>ES FORM   3.12 B</t>
  </si>
  <si>
    <t>ES FORM   3.12 A</t>
  </si>
  <si>
    <t>SEASONAL NOx EMISSIONS ALLOWANCE INVENTORY</t>
  </si>
  <si>
    <t>Total Revenue Requirement,                                                                              Cost Associated with Tanners Creek Plant (3) + (10)</t>
  </si>
  <si>
    <t>2010-01-15</t>
  </si>
  <si>
    <t>00230290</t>
  </si>
  <si>
    <t>000116782</t>
  </si>
  <si>
    <t>0000033616</t>
  </si>
  <si>
    <t>2010-01-20</t>
  </si>
  <si>
    <t>00230725</t>
  </si>
  <si>
    <t>INDIANA                                                                DEPARTMENT</t>
  </si>
  <si>
    <t>I&amp;M's Share of Cost Associated with Tanners Creek Plant (11) X (12)</t>
  </si>
  <si>
    <t>Tanners Creek Plant ($/kw)</t>
  </si>
  <si>
    <t>Indiana Michigan Power Surplus Weighing</t>
  </si>
  <si>
    <t>Attributed to Rockport Plant ($/kw) (15) X (16)</t>
  </si>
  <si>
    <t>Tanners Creek Plant Costs to Kentucky Power :</t>
  </si>
  <si>
    <t>Tanners Creek Plant Portion ($/kw) (17)</t>
  </si>
  <si>
    <t>Page 5 of 11</t>
  </si>
  <si>
    <t>OHIO POWER COMPANY (OPCo) - GAVIN PLANT (UNITS 1 &amp; 2)</t>
  </si>
  <si>
    <t>Sludge Disposal (5010000)</t>
  </si>
  <si>
    <t>( AB )</t>
  </si>
  <si>
    <t>Scrubber Maintenance (5120000)</t>
  </si>
  <si>
    <t>1/2 of Maintenance (13) * 50%</t>
  </si>
  <si>
    <t>Gavin Plant ($/kw)</t>
  </si>
  <si>
    <t>Gavin Plant Costs to Kentucky Power :</t>
  </si>
  <si>
    <t>August 04,       2006</t>
  </si>
  <si>
    <t>Kammer Plant Environmental Cost to Kentucky Power                 (ES FORM 3.14, Page 6 of 11, Line 20)</t>
  </si>
  <si>
    <t>Total Operations (Lines 4 thru 8)</t>
  </si>
  <si>
    <t>Fixed O&amp;M (9) + (12)</t>
  </si>
  <si>
    <r>
      <t xml:space="preserve">       </t>
    </r>
    <r>
      <rPr>
        <b/>
        <sz val="10"/>
        <rFont val="Arial"/>
        <family val="2"/>
      </rPr>
      <t>ES FORM 3.10</t>
    </r>
    <r>
      <rPr>
        <sz val="10"/>
        <rFont val="Arial"/>
        <family val="0"/>
      </rPr>
      <t>, Line 20</t>
    </r>
  </si>
  <si>
    <t>Total Revenue Requirement,                                                                              Cost Associated with Mitchell Plant (3) + (13)</t>
  </si>
  <si>
    <t>OPCo's Share of Cost Associated with Mitchell Plant (14) X (15)</t>
  </si>
  <si>
    <t>Cash Working Capital Allowance ( November 2012 ES Form 3.13 )</t>
  </si>
  <si>
    <t>Attributed to Mitchell Plant ($/kw) (18) X (19)</t>
  </si>
  <si>
    <t>Mitchell Plant Portion ($/kw) (20)</t>
  </si>
  <si>
    <t>Mitchell Plant Environmental Cost to Kentucky Power                                       (ES FORM 3.14, Page 7 of 11, Line 23)</t>
  </si>
  <si>
    <t>Net KY Retail E(m) (LINE 5 + LINE 6)</t>
  </si>
  <si>
    <t>Sporn Plant Environmental Cost to Kentucky Power                           (ES FORM 3.14, Page 9 of 11, Line 10)</t>
  </si>
  <si>
    <t>OPCo's</t>
  </si>
  <si>
    <t>2008</t>
  </si>
  <si>
    <t>Total Year 2008</t>
  </si>
  <si>
    <t>Low NOx Burners</t>
  </si>
  <si>
    <t>Difference</t>
  </si>
  <si>
    <t>(40695261)</t>
  </si>
  <si>
    <t>Sporn Plant Environmental Cost to Kentucky Power                                          (ES FORM 3.14, Page 9 of 11, Line 20)</t>
  </si>
  <si>
    <r>
      <t xml:space="preserve">0000060525                             </t>
    </r>
    <r>
      <rPr>
        <strike/>
        <sz val="10"/>
        <rFont val="Arial"/>
        <family val="2"/>
      </rPr>
      <t>0000060485</t>
    </r>
  </si>
  <si>
    <r>
      <t>10642</t>
    </r>
    <r>
      <rPr>
        <sz val="8"/>
        <rFont val="Arial"/>
        <family val="2"/>
      </rPr>
      <t xml:space="preserve">             10887</t>
    </r>
  </si>
  <si>
    <t>Rockport       Plant       Common</t>
  </si>
  <si>
    <t>Unit                                         No. 1</t>
  </si>
  <si>
    <t>Unit                                         No. 2</t>
  </si>
  <si>
    <t>Rockport Plant Continuous Environmental Monitoring System (CEMS)</t>
  </si>
  <si>
    <t>AEGCo Low NOx Burners (LNB) Installed Cost</t>
  </si>
  <si>
    <t>Total Revenue Requirement, Cost Associated with Rockport Plant</t>
  </si>
  <si>
    <t xml:space="preserve">Kentucky Power's Portion of Rockport Plants' </t>
  </si>
  <si>
    <t>ES FORM 3.00 Line 2</t>
  </si>
  <si>
    <t>CEMS                                         (Stack Flow Monitors)</t>
  </si>
  <si>
    <t>Rockport Plant Environmental to Kentucky Power                                (ES FORM 3.14, Page 10 of 11, Columns 3 &amp; 6, Line 10)</t>
  </si>
  <si>
    <t>Tanners Creek Plant                                                           Environmental Cost to Kentucky Power                                                               (ES FORM 3.14, Page 11 of 11, Line 20)</t>
  </si>
  <si>
    <t>Tanners Creek Plant                                                           Environmental Cost to Kentucky Power                                                               (ES FORM 3.14, Page 11 of 11, Line 10)</t>
  </si>
  <si>
    <t>Monthly Environmental AEP Pool Capacity Costs                                              from ES FORM 3.14, Page 1 of 11, Column 5, Line 10</t>
  </si>
  <si>
    <t>Total Monthly AEP Pool                                                     Environmental Capacity Costs</t>
  </si>
  <si>
    <t>Company Surplus Weighting</t>
  </si>
  <si>
    <t>Description</t>
  </si>
  <si>
    <t>Kentucky Retail Revenues</t>
  </si>
  <si>
    <t>FERC Wholesale Revenues</t>
  </si>
  <si>
    <t>Associated Utilities Revenues</t>
  </si>
  <si>
    <t>Non-Assoc. Utilities Revenues</t>
  </si>
  <si>
    <t>Monthly Revenues</t>
  </si>
  <si>
    <t>Percentage of Total Revenues</t>
  </si>
  <si>
    <t>Line No.</t>
  </si>
  <si>
    <t>L/T DEBT</t>
  </si>
  <si>
    <t>LINE NO.</t>
  </si>
  <si>
    <t>S/T DEBT</t>
  </si>
  <si>
    <t>DEBT</t>
  </si>
  <si>
    <t>C EQUITY</t>
  </si>
  <si>
    <t>TOTAL</t>
  </si>
  <si>
    <t>==========</t>
  </si>
  <si>
    <t>-------------------</t>
  </si>
  <si>
    <t>GRCF</t>
  </si>
  <si>
    <t>1/</t>
  </si>
  <si>
    <t>2/</t>
  </si>
  <si>
    <t>OPERATING REVENUE</t>
  </si>
  <si>
    <t>Bus Unit</t>
  </si>
  <si>
    <t>Voucher ID</t>
  </si>
  <si>
    <t>Vendor ID</t>
  </si>
  <si>
    <t>Invoice #</t>
  </si>
  <si>
    <t>Work Order</t>
  </si>
  <si>
    <t>Dept ID</t>
  </si>
  <si>
    <t>117</t>
  </si>
  <si>
    <t>KENTUCKY STATE TREASURER</t>
  </si>
  <si>
    <t>4002484615</t>
  </si>
  <si>
    <t>10218</t>
  </si>
  <si>
    <t>INCOME BEFORE FED INC TAX</t>
  </si>
  <si>
    <t>LESS:   FEDERAL INCOME TAX</t>
  </si>
  <si>
    <t>OPERATING INCOME PERCENTAGE</t>
  </si>
  <si>
    <t>GROSS REVENUE CONVERSION</t>
  </si>
  <si>
    <t xml:space="preserve">       FACTOR   (100% / LINE 7)</t>
  </si>
  <si>
    <t xml:space="preserve">       (LINE 4 X .35)</t>
  </si>
  <si>
    <t>CURRENT PERIOD REVENUE REQUIREMENT</t>
  </si>
  <si>
    <t xml:space="preserve">       BIG SANDY PLANT COST OF CAPITAL</t>
  </si>
  <si>
    <t>The Kentucky Retail Monthly Revenues and Percentage of Total Revenues (Line 1) are</t>
  </si>
  <si>
    <t>Revenues to the Total Revenues for the Expense Month will be the Kentucky Retail</t>
  </si>
  <si>
    <t xml:space="preserve">                             OVER/(UNDER) RECOVERY ADJUSTMENT</t>
  </si>
  <si>
    <t>Amounts</t>
  </si>
  <si>
    <t>Surcharge Collected (1) * (2)</t>
  </si>
  <si>
    <t>COST COMPONENT</t>
  </si>
  <si>
    <t>Return on Rate Base :</t>
  </si>
  <si>
    <t>Less Accumulated Depreciation</t>
  </si>
  <si>
    <t>Less Accum. Def. Income Taxes</t>
  </si>
  <si>
    <t>(Over) / Under Recovery Adjustment from ES FORM 3.30</t>
  </si>
  <si>
    <t>Over / (Under) Recovery (3) - (4) = (5)</t>
  </si>
  <si>
    <t>Total Rate Base</t>
  </si>
  <si>
    <t>Contact is Todd Henry @ Cardinal Plant</t>
  </si>
  <si>
    <t>2007</t>
  </si>
  <si>
    <t>Operating Expenses :</t>
  </si>
  <si>
    <t>Brr from ES FORM 1.10</t>
  </si>
  <si>
    <t>MONTHLY BASE PERIOD REVENUE REQUIREMENT</t>
  </si>
  <si>
    <t>Monthly Weighted Avg. Cost of Capital (9) / 12</t>
  </si>
  <si>
    <t>Monthly Return of Rate Base (8) * (10)</t>
  </si>
  <si>
    <t>Dollar Value                           of Activity</t>
  </si>
  <si>
    <t>Cumulative                            Dollar                                   Balance</t>
  </si>
  <si>
    <t>ES FORM   1.10</t>
  </si>
  <si>
    <t>Base Net                               Environmental                       Costs</t>
  </si>
  <si>
    <t>Billing Month</t>
  </si>
  <si>
    <t>JANUARY</t>
  </si>
  <si>
    <t>FEBRUARY</t>
  </si>
  <si>
    <t>MARCH</t>
  </si>
  <si>
    <t>APRIL</t>
  </si>
  <si>
    <t>MAY</t>
  </si>
  <si>
    <t>JUNE</t>
  </si>
  <si>
    <t>JULY</t>
  </si>
  <si>
    <t>AUGUST</t>
  </si>
  <si>
    <t>SEPTEMBER</t>
  </si>
  <si>
    <t>OCTOBER</t>
  </si>
  <si>
    <t>NOVEMBER</t>
  </si>
  <si>
    <t>DECEMBER</t>
  </si>
  <si>
    <t>--------------------</t>
  </si>
  <si>
    <t>Monthly Depreciation Expense</t>
  </si>
  <si>
    <t>Monthly Indiana Air Emissions Fee</t>
  </si>
  <si>
    <t>With each monthly filing, attach a schedule similar to Exhibit EKW-2, page 11 of 11</t>
  </si>
  <si>
    <t>(Wagner Direct Testimony in Case No. 96-489), showing the calculation of the Weighted</t>
  </si>
  <si>
    <r>
      <t xml:space="preserve">0000122626                             </t>
    </r>
    <r>
      <rPr>
        <strike/>
        <sz val="10"/>
        <rFont val="Arial"/>
        <family val="2"/>
      </rPr>
      <t>0000064272</t>
    </r>
  </si>
  <si>
    <t>Average Cost of Capital.  These calculations should reflect the provisions of the</t>
  </si>
  <si>
    <t>Rockport                                   Plant                                    Common</t>
  </si>
  <si>
    <t>Rockport Unit Power Agreement, and be as of the Current Expense Month.</t>
  </si>
  <si>
    <t>Allowance Activity in Month</t>
  </si>
  <si>
    <t>(1)</t>
  </si>
  <si>
    <t>Cumulative Balance</t>
  </si>
  <si>
    <t xml:space="preserve"> 2011 for - </t>
  </si>
  <si>
    <t xml:space="preserve"> 2012 Fiscal Year</t>
  </si>
  <si>
    <t xml:space="preserve"> Paid $</t>
  </si>
  <si>
    <t>Year 2011</t>
  </si>
  <si>
    <t>SCR Booster Fan</t>
  </si>
  <si>
    <t xml:space="preserve">* OHPCo own's 2/3 of Amos Unit 3.  All expenses are inputted in the Manual Input Column and are then grossed up in the Results column to represent the full expense of Unit 3.  The full expense is pulled into the Amounts column of the page being filed with the commission and is then multiplied by .6667 to get OHPCo's portion of Unit 3.  </t>
  </si>
  <si>
    <t>Dollar Value of Activity</t>
  </si>
  <si>
    <t>Cumulative Dollar Balance</t>
  </si>
  <si>
    <t>Weighted Average Cost</t>
  </si>
  <si>
    <t>BEGINNING INVENTORY</t>
  </si>
  <si>
    <t xml:space="preserve">Additions - </t>
  </si>
  <si>
    <t xml:space="preserve">   EPA Allowances</t>
  </si>
  <si>
    <t xml:space="preserve">   Gavin Reallocation</t>
  </si>
  <si>
    <t xml:space="preserve">   P &amp; E Transfers In</t>
  </si>
  <si>
    <t xml:space="preserve">   Intercompany Purchases</t>
  </si>
  <si>
    <t xml:space="preserve">   Other (List)</t>
  </si>
  <si>
    <t xml:space="preserve">Withdrawals - </t>
  </si>
  <si>
    <t xml:space="preserve">   P &amp; E Transfers Out</t>
  </si>
  <si>
    <t>Total Maintnenance (12) + (13)</t>
  </si>
  <si>
    <t>1/2 of Maintenance (14) * 50%</t>
  </si>
  <si>
    <t>OPCo's Share of  O&amp;M Cost Associated with Amos Unit No. 3 (16) X (17)</t>
  </si>
  <si>
    <t>Total Revenue Requirement,                                                                                            Cost Associated with Amos Unit No. 3 (5) + (18)</t>
  </si>
  <si>
    <t>Attributed to Amos Unit No. 3 SCR ($/kw) (21) * (22)</t>
  </si>
  <si>
    <t>Amos Unit No. 3 Portion ($/kw) (23)</t>
  </si>
  <si>
    <t>Amos Unit No. 3 Environmental Cost to Kentucky Power                                   (ES FORM 3.14, Page 3 of 11, Line 26)</t>
  </si>
  <si>
    <t xml:space="preserve">   Intercompany Sales</t>
  </si>
  <si>
    <t xml:space="preserve">   Off - System Sales</t>
  </si>
  <si>
    <t>ES FORM   3.11</t>
  </si>
  <si>
    <t>COST</t>
  </si>
  <si>
    <t>AMOUNTS</t>
  </si>
  <si>
    <t>Operations :</t>
  </si>
  <si>
    <t>Maintenance :</t>
  </si>
  <si>
    <t>Ohio Power Surplus Weighing</t>
  </si>
  <si>
    <t>Portion of Weighted Average Capacity Rate</t>
  </si>
  <si>
    <t>Kentucky Power Capacity Deficit (kw)</t>
  </si>
  <si>
    <t>Net Utility Plant</t>
  </si>
  <si>
    <t>Monthly Kentucky Air Emissions Fee</t>
  </si>
  <si>
    <t>Monthly Property Taxes</t>
  </si>
  <si>
    <t>ES FORM   3.10</t>
  </si>
  <si>
    <t>COMPONENTS</t>
  </si>
  <si>
    <t xml:space="preserve">               in compliance with the AEP Interim Allowance</t>
  </si>
  <si>
    <t xml:space="preserve">               Agreement, received during Expense Month</t>
  </si>
  <si>
    <t>Total Current Period Revenue Requirement, CRR Record</t>
  </si>
  <si>
    <t>------------------</t>
  </si>
  <si>
    <t>Utility Plant at Original Cost</t>
  </si>
  <si>
    <t>LINE</t>
  </si>
  <si>
    <t>CALCULATION OF E(m) and SURCHARGE FACTOR</t>
  </si>
  <si>
    <t>CALCULATION OF E(m)</t>
  </si>
  <si>
    <t>E(m) = CRR - BRR</t>
  </si>
  <si>
    <t>E(m) (LINE 1 - LINE 2)</t>
  </si>
  <si>
    <t>KY Retail E(m) (LINE 3 * LINE 4)</t>
  </si>
  <si>
    <t>SURCHARGE FACTOR</t>
  </si>
  <si>
    <t>Net KY Retail E(m) (Line 7)</t>
  </si>
  <si>
    <t xml:space="preserve">Submitted By : </t>
  </si>
  <si>
    <r>
      <t xml:space="preserve">Installed Cost as of </t>
    </r>
    <r>
      <rPr>
        <b/>
        <sz val="10"/>
        <color indexed="12"/>
        <rFont val="Arial"/>
        <family val="2"/>
      </rPr>
      <t>December 31, 2012</t>
    </r>
  </si>
  <si>
    <r>
      <t>Big Sandy Net Book Factor (</t>
    </r>
    <r>
      <rPr>
        <b/>
        <sz val="10"/>
        <rFont val="Arial"/>
        <family val="2"/>
      </rPr>
      <t>2012</t>
    </r>
    <r>
      <rPr>
        <sz val="10"/>
        <rFont val="Arial"/>
        <family val="2"/>
      </rPr>
      <t xml:space="preserve"> Assessment)</t>
    </r>
  </si>
  <si>
    <r>
      <t>2013</t>
    </r>
    <r>
      <rPr>
        <sz val="10"/>
        <rFont val="Arial"/>
        <family val="2"/>
      </rPr>
      <t xml:space="preserve"> </t>
    </r>
    <r>
      <rPr>
        <b/>
        <sz val="10"/>
        <color indexed="10"/>
        <rFont val="Arial"/>
        <family val="2"/>
      </rPr>
      <t>Estimated</t>
    </r>
    <r>
      <rPr>
        <sz val="10"/>
        <rFont val="Arial"/>
        <family val="2"/>
      </rPr>
      <t xml:space="preserve"> Property Tax</t>
    </r>
  </si>
  <si>
    <t>2013</t>
  </si>
  <si>
    <r>
      <t xml:space="preserve">Estimated Property Taxes To Be Paid in </t>
    </r>
    <r>
      <rPr>
        <b/>
        <sz val="10"/>
        <color indexed="10"/>
        <rFont val="Arial"/>
        <family val="2"/>
      </rPr>
      <t xml:space="preserve">2013 </t>
    </r>
    <r>
      <rPr>
        <b/>
        <sz val="10"/>
        <rFont val="Arial"/>
        <family val="2"/>
      </rPr>
      <t>(Big Sandy Property Only)</t>
    </r>
  </si>
  <si>
    <t>________________________________</t>
  </si>
  <si>
    <t xml:space="preserve">                         BASE PERIOD REVENUE REQUIREMENT</t>
  </si>
  <si>
    <t>( C )</t>
  </si>
  <si>
    <t>( B )</t>
  </si>
  <si>
    <t>( E )</t>
  </si>
  <si>
    <t>Accumulated Depr.</t>
  </si>
  <si>
    <t>Accumulated DFIT</t>
  </si>
  <si>
    <t>Monthly Depr. Expense</t>
  </si>
  <si>
    <t>Monthly Property Tax</t>
  </si>
  <si>
    <t xml:space="preserve">Original Cost </t>
  </si>
  <si>
    <t>CEMS</t>
  </si>
  <si>
    <t>( A )</t>
  </si>
  <si>
    <t>( D )</t>
  </si>
  <si>
    <t>Net Book Value</t>
  </si>
  <si>
    <t>Manufacturing Machinery Assessment Factor</t>
  </si>
  <si>
    <t>Assessed Value</t>
  </si>
  <si>
    <t>Property Tax Rate</t>
  </si>
  <si>
    <t>January</t>
  </si>
  <si>
    <t>February</t>
  </si>
  <si>
    <t>March</t>
  </si>
  <si>
    <t>April</t>
  </si>
  <si>
    <t>May</t>
  </si>
  <si>
    <t>June</t>
  </si>
  <si>
    <t>July</t>
  </si>
  <si>
    <t>August</t>
  </si>
  <si>
    <t>September</t>
  </si>
  <si>
    <t>October</t>
  </si>
  <si>
    <t>November</t>
  </si>
  <si>
    <t>December</t>
  </si>
  <si>
    <t>Total</t>
  </si>
  <si>
    <t>Jan</t>
  </si>
  <si>
    <t>Feb</t>
  </si>
  <si>
    <t>Mar</t>
  </si>
  <si>
    <t>Apr</t>
  </si>
  <si>
    <t>Jun</t>
  </si>
  <si>
    <t>Jul</t>
  </si>
  <si>
    <t>Aug</t>
  </si>
  <si>
    <t>Sep</t>
  </si>
  <si>
    <t>Oct</t>
  </si>
  <si>
    <t>Nov</t>
  </si>
  <si>
    <t>Dec</t>
  </si>
  <si>
    <t>Subtotal</t>
  </si>
  <si>
    <t>Unit 1</t>
  </si>
  <si>
    <t>Unit 2</t>
  </si>
  <si>
    <t>Kentucky</t>
  </si>
  <si>
    <t>Fees</t>
  </si>
  <si>
    <t xml:space="preserve">Emissions </t>
  </si>
  <si>
    <t>BACKUP  for ES FORM 3.10 BIG SANDY UTILITY PLANT and ASSOCIATED COSTS</t>
  </si>
  <si>
    <t>Year</t>
  </si>
  <si>
    <t>Month</t>
  </si>
  <si>
    <t>2004</t>
  </si>
  <si>
    <t>Water Injection                       System</t>
  </si>
  <si>
    <t>(40337942)</t>
  </si>
  <si>
    <t>(40458810)</t>
  </si>
  <si>
    <t>(03500582)</t>
  </si>
  <si>
    <t>May 24,                                 2004</t>
  </si>
  <si>
    <t>Water                                    Injection                               System</t>
  </si>
  <si>
    <t>CALCULATION OF CURRENT PERIOD REVENUE REQUIREMENT</t>
  </si>
  <si>
    <r>
      <t xml:space="preserve">First Component:   </t>
    </r>
    <r>
      <rPr>
        <sz val="10"/>
        <rFont val="Arial"/>
        <family val="2"/>
      </rPr>
      <t xml:space="preserve">Associated with Big Sandy Plant  </t>
    </r>
  </si>
  <si>
    <t xml:space="preserve">       ((RB KP(C)) (ROR KP(C)/12)) + OE KP(C) </t>
  </si>
  <si>
    <t xml:space="preserve">        [((RB IM(C)) (ROR IM(C)/12)) + OE IM(C) </t>
  </si>
  <si>
    <r>
      <t xml:space="preserve">Second Component:   </t>
    </r>
    <r>
      <rPr>
        <sz val="10"/>
        <rFont val="Arial"/>
        <family val="2"/>
      </rPr>
      <t>Associated with Rockport Plant</t>
    </r>
  </si>
  <si>
    <r>
      <t xml:space="preserve">Third Component:   </t>
    </r>
    <r>
      <rPr>
        <sz val="10"/>
        <rFont val="Arial"/>
        <family val="2"/>
      </rPr>
      <t xml:space="preserve">Net Proceeds from Emission Allowances Sales                                            </t>
    </r>
    <r>
      <rPr>
        <b/>
        <sz val="10"/>
        <rFont val="Arial"/>
        <family val="2"/>
      </rPr>
      <t xml:space="preserve">                                                        </t>
    </r>
  </si>
  <si>
    <t xml:space="preserve">       AS</t>
  </si>
  <si>
    <t xml:space="preserve">                           Expense Month</t>
  </si>
  <si>
    <t>Case No. 2005-00068</t>
  </si>
  <si>
    <r>
      <t xml:space="preserve">       1)   </t>
    </r>
    <r>
      <rPr>
        <b/>
        <sz val="10"/>
        <rFont val="Arial"/>
        <family val="2"/>
      </rPr>
      <t>SO2</t>
    </r>
    <r>
      <rPr>
        <sz val="10"/>
        <rFont val="Arial"/>
        <family val="0"/>
      </rPr>
      <t xml:space="preserve"> - EPA Auction Proceeds received during</t>
    </r>
  </si>
  <si>
    <r>
      <t xml:space="preserve">       2)   </t>
    </r>
    <r>
      <rPr>
        <b/>
        <sz val="10"/>
        <rFont val="Arial"/>
        <family val="2"/>
      </rPr>
      <t>NOx</t>
    </r>
    <r>
      <rPr>
        <sz val="10"/>
        <rFont val="Arial"/>
        <family val="0"/>
      </rPr>
      <t xml:space="preserve"> - EPA Auction Proceeds, received during Expense Month </t>
    </r>
  </si>
  <si>
    <r>
      <t xml:space="preserve">       3)   </t>
    </r>
    <r>
      <rPr>
        <b/>
        <sz val="10"/>
        <rFont val="Arial"/>
        <family val="2"/>
      </rPr>
      <t>NOx</t>
    </r>
    <r>
      <rPr>
        <sz val="10"/>
        <rFont val="Arial"/>
        <family val="0"/>
      </rPr>
      <t xml:space="preserve"> - Net Gain or Loss from NOx Allowances Sales, received</t>
    </r>
  </si>
  <si>
    <t xml:space="preserve">                           during Expense Month</t>
  </si>
  <si>
    <t xml:space="preserve">                   Total Net Proceeds from SO2 Allowances</t>
  </si>
  <si>
    <t xml:space="preserve">                   Total Net Proceeds from NOx Allowances</t>
  </si>
  <si>
    <t>COSTS ASSOCIATED WITH BIG SANDY</t>
  </si>
  <si>
    <t>Water Injection System</t>
  </si>
  <si>
    <t>Low Nox Burners</t>
  </si>
  <si>
    <t>OFA &amp;                       Burner Mods.             &amp; Controls</t>
  </si>
  <si>
    <t>Precipitator</t>
  </si>
  <si>
    <t>SCR</t>
  </si>
  <si>
    <t>2009-01-20</t>
  </si>
  <si>
    <t>00200821</t>
  </si>
  <si>
    <t>AIRPERMIT</t>
  </si>
  <si>
    <t>00200820</t>
  </si>
  <si>
    <t>000102244</t>
  </si>
  <si>
    <t>Reverse Osmosis Water System</t>
  </si>
  <si>
    <t>( F )</t>
  </si>
  <si>
    <t>Cash Working Capital Allowance ( Line 14 X 1/8 )</t>
  </si>
  <si>
    <t>( G )</t>
  </si>
  <si>
    <t>( H )</t>
  </si>
  <si>
    <t>( I )</t>
  </si>
  <si>
    <t>Schedule   3.10</t>
  </si>
  <si>
    <t>SO2 Emission Allowance Inventory from ES FORM 3.11</t>
  </si>
  <si>
    <t>ECR &amp; NOx Emission Allowance Inventory from ES FORM 3.12</t>
  </si>
  <si>
    <t>Monthly 2003 Plan Non-Fuel O&amp;M Expenses from ES FORM 3.13</t>
  </si>
  <si>
    <t>Monthly SO2 Emission Allowance Consumption</t>
  </si>
  <si>
    <t>Total Operating Expenses [Line 12 thru Line 18]</t>
  </si>
  <si>
    <t>ANNUAL NOx EMISSIONS ALLOWANCE INVENTORY</t>
  </si>
  <si>
    <t xml:space="preserve">   External Purchases</t>
  </si>
  <si>
    <t xml:space="preserve">   SO2 Emissions Allowances                                      Consumed By Kentucky Power - 1:1                           (Year 2009 &amp; Prior)</t>
  </si>
  <si>
    <t xml:space="preserve">   SO2 Emissions Allowances                                                   Consumed By Kentucky Power - 2:1                               (Years 2010 to 2014) </t>
  </si>
  <si>
    <t>Total Revenue Requirement - Big Sandy</t>
  </si>
  <si>
    <t>Record on ES FORM 3.00, Line 1</t>
  </si>
  <si>
    <t>SO2 EMISSIONS ALLOWANCE INVENTORY</t>
  </si>
  <si>
    <t xml:space="preserve">Expense Month Member Load Ratio for AEP/Kentucky Power </t>
  </si>
  <si>
    <t>Non-Physical Revenues for Month</t>
  </si>
  <si>
    <t>Total Revenues for Month</t>
  </si>
  <si>
    <t>Total Revenues for Surcharges Purposes</t>
  </si>
  <si>
    <t>Lime (5020001)</t>
  </si>
  <si>
    <t xml:space="preserve">   P&amp;E Transfers In</t>
  </si>
  <si>
    <t>2008-12-15</t>
  </si>
  <si>
    <t>00072455</t>
  </si>
  <si>
    <t>0000036326</t>
  </si>
  <si>
    <t>74661</t>
  </si>
  <si>
    <t>4002484618</t>
  </si>
  <si>
    <t xml:space="preserve">   NOx Consumed By Kentucky Power </t>
  </si>
  <si>
    <t>Monthly SO2 Allowance Consumption</t>
  </si>
  <si>
    <t>1997 Plan :</t>
  </si>
  <si>
    <t>2003 Plan :</t>
  </si>
  <si>
    <t>Monthly Varible Cladding at Big Sandy Unit 1</t>
  </si>
  <si>
    <t>Monthly Urea Consumption at Big Sandy Unit 2</t>
  </si>
  <si>
    <t>Hydrolyzer (AOD)</t>
  </si>
  <si>
    <t>Urea Conveyor</t>
  </si>
  <si>
    <t>Cash Working Capital Allowance ( February 2013 ES Form 3.13 )</t>
  </si>
  <si>
    <t>Cash Working Capital Allowance ( March 2013 ES Form 3.13 )</t>
  </si>
  <si>
    <t>Boiler Acoustic Horns</t>
  </si>
  <si>
    <t>SCR Ammonia Injection System (AOD)</t>
  </si>
  <si>
    <t>SCR Boiler Outlet Ductwork</t>
  </si>
  <si>
    <t>Cash Working Capital Allowance ( April 2013 ES Form 3.13 )</t>
  </si>
  <si>
    <t>Cash Working Capital Allowance ( May 2013 ES Form 3.13 )</t>
  </si>
  <si>
    <t>Rockport Plant Environmental to Kentucky Power                                (ES FORM 3.14, Page 10 of 11, Column 7, Line 21)</t>
  </si>
  <si>
    <t>Amos Unit No. 3 Environmental Cost to Kentucky Power                                   (ES FORM 3.14, Page 3 of 11, Line 18)</t>
  </si>
  <si>
    <t>Cardinal Unit No. 1 Environmental Cost to Kentucky Power                                                           (ES FORM 3.14, Page 4 of 11, Line 15)</t>
  </si>
  <si>
    <t>Gavin Plant Environmental Cost to Kentucky Power                                                                      (ES FORM 3.14, Page 5 of 11, Line 16)</t>
  </si>
  <si>
    <t>Mitchell Plant Environmental Cost to Kentucky Power                                       (ES FORM 3.14, Page 7 of 11, Line 13)</t>
  </si>
  <si>
    <t>Cash Working Capital Allowance ( June 2013 ES Form 3.13)</t>
  </si>
  <si>
    <t>As of                                           10/31/2012</t>
  </si>
  <si>
    <t xml:space="preserve">       Kentucky Public Service Commission Assessment (0.18%)</t>
  </si>
  <si>
    <t>Kentucky Public Service Commission Assessment (0.18%)</t>
  </si>
  <si>
    <t>UNCOLLECTIBLE ACCOUNTS EXPENSE (0.24%)</t>
  </si>
  <si>
    <t>Rate of Return on Common Equity per Case No. 2013-00141 dated August 19, 2013</t>
  </si>
  <si>
    <t>Case No. 2013 - 00141 dated - August 19, 2013</t>
  </si>
  <si>
    <t xml:space="preserve">       COLLECTIBLE ACCOUNTS EXPENSE (0.24%)</t>
  </si>
  <si>
    <t>Weighted Average Cost of Captial Balances As of 10/31/2012 based on Case No. 2013-00141, dated August 19, 2013.</t>
  </si>
  <si>
    <t>Cash Working Capital Allowance ( July 2013 ES Form 3.13)</t>
  </si>
  <si>
    <t>Title :                                                 Manager, Regulatory Services</t>
  </si>
  <si>
    <t>FGD (5120000)</t>
  </si>
  <si>
    <t>Cash Working Capital Allowance ( August 2013 ES Form 3.13)</t>
  </si>
  <si>
    <r>
      <t>For the Expense Month of October</t>
    </r>
    <r>
      <rPr>
        <sz val="10"/>
        <color indexed="10"/>
        <rFont val="Arial"/>
        <family val="2"/>
      </rPr>
      <t xml:space="preserve"> 2013</t>
    </r>
  </si>
  <si>
    <t>Cash Working Capital Allowance ( September 2013 ES Form 3.13)</t>
  </si>
  <si>
    <t>Cash Working Capital Allowance ( December 2012 ES Form 3.13 )</t>
  </si>
  <si>
    <r>
      <t>Kentucky Retail Surcharge Factor for August</t>
    </r>
    <r>
      <rPr>
        <b/>
        <sz val="10"/>
        <color indexed="12"/>
        <rFont val="Arial"/>
        <family val="2"/>
      </rPr>
      <t xml:space="preserve"> 2013</t>
    </r>
  </si>
  <si>
    <t>As of                                         10/31/2013</t>
  </si>
  <si>
    <t>October 2013</t>
  </si>
  <si>
    <r>
      <t xml:space="preserve">Total SCR                                                                  October </t>
    </r>
    <r>
      <rPr>
        <b/>
        <sz val="10"/>
        <color indexed="12"/>
        <rFont val="Arial"/>
        <family val="2"/>
      </rPr>
      <t xml:space="preserve">2013       </t>
    </r>
    <r>
      <rPr>
        <b/>
        <sz val="10"/>
        <rFont val="Arial"/>
        <family val="2"/>
      </rPr>
      <t xml:space="preserve">                                                        O &amp; M Expense</t>
    </r>
  </si>
  <si>
    <r>
      <t>October 2013</t>
    </r>
    <r>
      <rPr>
        <b/>
        <sz val="10"/>
        <color indexed="10"/>
        <rFont val="Arial"/>
        <family val="2"/>
      </rPr>
      <t xml:space="preserve"> </t>
    </r>
    <r>
      <rPr>
        <b/>
        <sz val="10"/>
        <rFont val="Arial"/>
        <family val="2"/>
      </rPr>
      <t xml:space="preserve">                                                                    O &amp; M Expenses Filed</t>
    </r>
  </si>
  <si>
    <r>
      <t xml:space="preserve">Effective Date for Billing:                                   </t>
    </r>
    <r>
      <rPr>
        <sz val="10"/>
        <color indexed="12"/>
        <rFont val="Arial"/>
        <family val="2"/>
      </rPr>
      <t xml:space="preserve"> November 26, 2013</t>
    </r>
  </si>
  <si>
    <r>
      <t>Date Submitted :                                               November 16</t>
    </r>
    <r>
      <rPr>
        <sz val="10"/>
        <color indexed="30"/>
        <rFont val="Arial"/>
        <family val="2"/>
      </rPr>
      <t>, 2013</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</si>
</sst>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_);\(#,##0.000000\)"/>
    <numFmt numFmtId="166" formatCode="#,##0.000_);\(#,##0.000\)"/>
    <numFmt numFmtId="167" formatCode="#,##0.0000_);\(#,##0.0000\)"/>
    <numFmt numFmtId="168" formatCode="0.0000%"/>
    <numFmt numFmtId="169" formatCode="0.000%"/>
    <numFmt numFmtId="170" formatCode="#,##0.00000_);\(#,##0.00000\)"/>
    <numFmt numFmtId="171" formatCode="&quot;$&quot;#,##0"/>
    <numFmt numFmtId="172" formatCode="#,##0.0000000_);\(#,##0.0000000\)"/>
    <numFmt numFmtId="173" formatCode="0.0000"/>
    <numFmt numFmtId="174" formatCode="0.000000%"/>
    <numFmt numFmtId="175" formatCode="0.00000%"/>
    <numFmt numFmtId="176" formatCode="&quot;$&quot;#,##0.000_);\(&quot;$&quot;#,##0.000\)"/>
    <numFmt numFmtId="177" formatCode="_(* #,##0_);_(* \(#,##0\);_(* &quot;-&quot;??_);_(@_)"/>
    <numFmt numFmtId="178" formatCode="0_);\(0\)"/>
    <numFmt numFmtId="179" formatCode="&quot;$&quot;#,##0.0_);\(&quot;$&quot;#,##0.0\)"/>
    <numFmt numFmtId="180" formatCode="&quot;$&quot;#,##0.0000_);\(&quot;$&quot;#,##0.0000\)"/>
    <numFmt numFmtId="181" formatCode="_(* #,##0.0_);_(* \(#,##0.0\);_(* &quot;-&quot;??_);_(@_)"/>
    <numFmt numFmtId="182" formatCode="0.00000000%"/>
    <numFmt numFmtId="183" formatCode="0.0000000%"/>
    <numFmt numFmtId="184" formatCode="0.000000000%"/>
    <numFmt numFmtId="185" formatCode="0.0000000000000%"/>
    <numFmt numFmtId="186" formatCode="0.00000000000000000%"/>
    <numFmt numFmtId="187" formatCode="0.000000000000%"/>
    <numFmt numFmtId="188" formatCode="0.0"/>
  </numFmts>
  <fonts count="72">
    <font>
      <sz val="10"/>
      <name val="Arial"/>
      <family val="0"/>
    </font>
    <font>
      <u val="single"/>
      <sz val="10"/>
      <name val="Arial"/>
      <family val="2"/>
    </font>
    <font>
      <sz val="10"/>
      <color indexed="12"/>
      <name val="Arial"/>
      <family val="2"/>
    </font>
    <font>
      <b/>
      <sz val="10"/>
      <name val="Arial"/>
      <family val="2"/>
    </font>
    <font>
      <sz val="10"/>
      <color indexed="10"/>
      <name val="Arial"/>
      <family val="2"/>
    </font>
    <font>
      <sz val="10"/>
      <color indexed="8"/>
      <name val="Arial"/>
      <family val="2"/>
    </font>
    <font>
      <sz val="10"/>
      <color indexed="43"/>
      <name val="Arial"/>
      <family val="2"/>
    </font>
    <font>
      <b/>
      <sz val="10"/>
      <color indexed="10"/>
      <name val="Arial"/>
      <family val="2"/>
    </font>
    <font>
      <b/>
      <i/>
      <sz val="10"/>
      <name val="Arial"/>
      <family val="2"/>
    </font>
    <font>
      <i/>
      <sz val="10"/>
      <name val="Arial"/>
      <family val="2"/>
    </font>
    <font>
      <b/>
      <sz val="10"/>
      <color indexed="12"/>
      <name val="Arial"/>
      <family val="2"/>
    </font>
    <font>
      <b/>
      <u val="single"/>
      <sz val="10"/>
      <name val="Arial"/>
      <family val="2"/>
    </font>
    <font>
      <i/>
      <sz val="10"/>
      <color indexed="12"/>
      <name val="Arial"/>
      <family val="2"/>
    </font>
    <font>
      <u val="single"/>
      <sz val="10"/>
      <color indexed="12"/>
      <name val="Arial"/>
      <family val="2"/>
    </font>
    <font>
      <u val="single"/>
      <sz val="10"/>
      <color indexed="8"/>
      <name val="Arial"/>
      <family val="2"/>
    </font>
    <font>
      <u val="single"/>
      <sz val="10"/>
      <color indexed="18"/>
      <name val="Arial"/>
      <family val="2"/>
    </font>
    <font>
      <u val="single"/>
      <sz val="10"/>
      <color indexed="10"/>
      <name val="Arial"/>
      <family val="2"/>
    </font>
    <font>
      <b/>
      <sz val="10"/>
      <color indexed="8"/>
      <name val="Arial"/>
      <family val="2"/>
    </font>
    <font>
      <b/>
      <i/>
      <sz val="10"/>
      <color indexed="10"/>
      <name val="Arial"/>
      <family val="2"/>
    </font>
    <font>
      <sz val="8"/>
      <name val="Arial"/>
      <family val="2"/>
    </font>
    <font>
      <sz val="8"/>
      <color indexed="8"/>
      <name val="Arial"/>
      <family val="2"/>
    </font>
    <font>
      <b/>
      <i/>
      <sz val="10"/>
      <color indexed="12"/>
      <name val="Arial"/>
      <family val="2"/>
    </font>
    <font>
      <b/>
      <sz val="10"/>
      <name val="MS Sans Serif"/>
      <family val="2"/>
    </font>
    <font>
      <sz val="10"/>
      <name val="MS Sans Serif"/>
      <family val="2"/>
    </font>
    <font>
      <b/>
      <sz val="10"/>
      <color indexed="10"/>
      <name val="MS Sans Serif"/>
      <family val="2"/>
    </font>
    <font>
      <sz val="7"/>
      <name val="Arial"/>
      <family val="2"/>
    </font>
    <font>
      <sz val="6"/>
      <name val="Arial"/>
      <family val="2"/>
    </font>
    <font>
      <b/>
      <sz val="8"/>
      <name val="Arial"/>
      <family val="2"/>
    </font>
    <font>
      <sz val="6"/>
      <color indexed="8"/>
      <name val="Arial"/>
      <family val="2"/>
    </font>
    <font>
      <b/>
      <sz val="10"/>
      <color indexed="12"/>
      <name val="MS Sans Serif"/>
      <family val="2"/>
    </font>
    <font>
      <strike/>
      <sz val="10"/>
      <name val="Arial"/>
      <family val="2"/>
    </font>
    <font>
      <strike/>
      <sz val="8"/>
      <name val="Arial"/>
      <family val="2"/>
    </font>
    <font>
      <sz val="5"/>
      <color indexed="8"/>
      <name val="Arial"/>
      <family val="2"/>
    </font>
    <font>
      <b/>
      <i/>
      <u val="single"/>
      <sz val="10"/>
      <color indexed="12"/>
      <name val="Arial"/>
      <family val="2"/>
    </font>
    <font>
      <sz val="9"/>
      <name val="Arial"/>
      <family val="2"/>
    </font>
    <font>
      <b/>
      <sz val="9"/>
      <color indexed="10"/>
      <name val="Arial"/>
      <family val="2"/>
    </font>
    <font>
      <b/>
      <u val="single"/>
      <sz val="12"/>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medium"/>
      <top>
        <color indexed="63"/>
      </top>
      <bottom style="thin"/>
    </border>
    <border>
      <left style="medium"/>
      <right style="medium"/>
      <top>
        <color indexed="63"/>
      </top>
      <bottom style="thin"/>
    </border>
    <border>
      <left>
        <color indexed="63"/>
      </left>
      <right style="thin"/>
      <top>
        <color indexed="63"/>
      </top>
      <bottom style="medium"/>
    </border>
    <border>
      <left style="thick"/>
      <right style="thick"/>
      <top style="thick"/>
      <bottom>
        <color indexed="63"/>
      </bottom>
    </border>
    <border>
      <left style="thin"/>
      <right style="thick"/>
      <top style="thick"/>
      <bottom>
        <color indexed="63"/>
      </bottom>
    </border>
    <border>
      <left style="medium"/>
      <right style="medium"/>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23" fillId="0" borderId="0" applyNumberFormat="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0" fontId="22" fillId="0" borderId="9">
      <alignment horizontal="center"/>
      <protection/>
    </xf>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cellStyleXfs>
  <cellXfs count="564">
    <xf numFmtId="0" fontId="0" fillId="0" borderId="0" xfId="0" applyAlignment="1">
      <alignment/>
    </xf>
    <xf numFmtId="49" fontId="0" fillId="0" borderId="0" xfId="0" applyNumberFormat="1" applyAlignment="1">
      <alignment horizontal="left"/>
    </xf>
    <xf numFmtId="49" fontId="0" fillId="0" borderId="0" xfId="0" applyNumberFormat="1" applyFont="1" applyAlignment="1">
      <alignment horizontal="left"/>
    </xf>
    <xf numFmtId="0" fontId="0" fillId="0" borderId="0" xfId="0" applyAlignment="1">
      <alignment horizontal="center"/>
    </xf>
    <xf numFmtId="49" fontId="0" fillId="0" borderId="0" xfId="0" applyNumberFormat="1" applyAlignment="1">
      <alignment horizontal="center" wrapText="1"/>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9" xfId="0" applyBorder="1" applyAlignment="1">
      <alignment horizontal="center"/>
    </xf>
    <xf numFmtId="37" fontId="0" fillId="0" borderId="15" xfId="0" applyNumberFormat="1" applyBorder="1" applyAlignment="1">
      <alignment horizontal="center"/>
    </xf>
    <xf numFmtId="0" fontId="0" fillId="0" borderId="0" xfId="0" applyBorder="1" applyAlignment="1">
      <alignment/>
    </xf>
    <xf numFmtId="5" fontId="0" fillId="0" borderId="0" xfId="0" applyNumberFormat="1" applyBorder="1" applyAlignment="1">
      <alignment/>
    </xf>
    <xf numFmtId="49" fontId="0" fillId="0" borderId="0" xfId="0" applyNumberFormat="1" applyBorder="1" applyAlignment="1">
      <alignment wrapText="1"/>
    </xf>
    <xf numFmtId="0" fontId="0" fillId="0" borderId="15" xfId="0" applyBorder="1" applyAlignment="1">
      <alignment horizontal="center"/>
    </xf>
    <xf numFmtId="0" fontId="0" fillId="0" borderId="16" xfId="0" applyBorder="1" applyAlignment="1">
      <alignment/>
    </xf>
    <xf numFmtId="0" fontId="0" fillId="0" borderId="9" xfId="0" applyBorder="1" applyAlignment="1">
      <alignment/>
    </xf>
    <xf numFmtId="0" fontId="0" fillId="0" borderId="17" xfId="0" applyBorder="1" applyAlignment="1">
      <alignment/>
    </xf>
    <xf numFmtId="0" fontId="0" fillId="33" borderId="12" xfId="0" applyFill="1" applyBorder="1" applyAlignment="1">
      <alignment/>
    </xf>
    <xf numFmtId="0" fontId="0" fillId="33" borderId="9" xfId="0" applyFill="1" applyBorder="1" applyAlignment="1">
      <alignment horizontal="center"/>
    </xf>
    <xf numFmtId="0" fontId="0" fillId="33" borderId="0" xfId="0" applyFill="1" applyBorder="1" applyAlignment="1">
      <alignment/>
    </xf>
    <xf numFmtId="0" fontId="0" fillId="33" borderId="9" xfId="0"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49" fontId="0" fillId="33" borderId="0" xfId="0" applyNumberFormat="1" applyFont="1" applyFill="1" applyBorder="1" applyAlignment="1">
      <alignment wrapText="1"/>
    </xf>
    <xf numFmtId="0" fontId="0" fillId="33" borderId="9" xfId="0" applyFont="1" applyFill="1" applyBorder="1" applyAlignment="1">
      <alignment/>
    </xf>
    <xf numFmtId="5" fontId="0" fillId="33" borderId="0" xfId="0" applyNumberFormat="1" applyFill="1" applyBorder="1" applyAlignment="1">
      <alignment/>
    </xf>
    <xf numFmtId="5" fontId="0" fillId="33" borderId="0" xfId="0" applyNumberFormat="1" applyFill="1" applyBorder="1" applyAlignment="1">
      <alignment horizontal="right"/>
    </xf>
    <xf numFmtId="37" fontId="0" fillId="0" borderId="0" xfId="0" applyNumberFormat="1" applyBorder="1" applyAlignment="1">
      <alignment horizontal="center"/>
    </xf>
    <xf numFmtId="0" fontId="0" fillId="0" borderId="0" xfId="0" applyBorder="1" applyAlignment="1">
      <alignment horizontal="center"/>
    </xf>
    <xf numFmtId="0" fontId="0" fillId="33" borderId="12" xfId="0" applyFill="1" applyBorder="1" applyAlignment="1">
      <alignment horizontal="center"/>
    </xf>
    <xf numFmtId="37" fontId="0" fillId="33" borderId="0" xfId="0" applyNumberFormat="1" applyFill="1" applyBorder="1" applyAlignment="1">
      <alignment horizontal="center"/>
    </xf>
    <xf numFmtId="0" fontId="0" fillId="33" borderId="0" xfId="0" applyFill="1" applyBorder="1" applyAlignment="1">
      <alignment horizontal="center"/>
    </xf>
    <xf numFmtId="0" fontId="0" fillId="0" borderId="0" xfId="0" applyAlignment="1">
      <alignment horizontal="right"/>
    </xf>
    <xf numFmtId="0" fontId="0" fillId="0" borderId="0" xfId="0" applyAlignment="1">
      <alignment horizontal="left"/>
    </xf>
    <xf numFmtId="49" fontId="0" fillId="0" borderId="0" xfId="0" applyNumberFormat="1" applyAlignment="1" quotePrefix="1">
      <alignment/>
    </xf>
    <xf numFmtId="49" fontId="0" fillId="0" borderId="18" xfId="0" applyNumberFormat="1" applyBorder="1" applyAlignment="1">
      <alignment horizontal="center" wrapText="1"/>
    </xf>
    <xf numFmtId="49" fontId="0" fillId="0" borderId="19" xfId="0" applyNumberFormat="1" applyBorder="1" applyAlignment="1">
      <alignment horizontal="center" wrapText="1"/>
    </xf>
    <xf numFmtId="49" fontId="0" fillId="0" borderId="19" xfId="0" applyNumberFormat="1" applyFont="1" applyBorder="1" applyAlignment="1">
      <alignment horizontal="center" wrapText="1"/>
    </xf>
    <xf numFmtId="49" fontId="0" fillId="0" borderId="20" xfId="0" applyNumberFormat="1" applyBorder="1" applyAlignment="1">
      <alignment horizontal="center" wrapText="1"/>
    </xf>
    <xf numFmtId="37" fontId="0" fillId="0" borderId="0" xfId="0" applyNumberFormat="1" applyBorder="1" applyAlignment="1">
      <alignment/>
    </xf>
    <xf numFmtId="165" fontId="0" fillId="0" borderId="0" xfId="0" applyNumberFormat="1" applyBorder="1" applyAlignment="1">
      <alignment/>
    </xf>
    <xf numFmtId="49" fontId="0" fillId="0" borderId="0" xfId="0" applyNumberFormat="1" applyBorder="1" applyAlignment="1">
      <alignment horizontal="center"/>
    </xf>
    <xf numFmtId="0" fontId="0" fillId="0" borderId="0" xfId="0" applyNumberFormat="1" applyBorder="1" applyAlignment="1" quotePrefix="1">
      <alignment horizontal="right"/>
    </xf>
    <xf numFmtId="37" fontId="0" fillId="0" borderId="14" xfId="0" applyNumberFormat="1" applyBorder="1" applyAlignment="1">
      <alignment horizontal="center"/>
    </xf>
    <xf numFmtId="49" fontId="0" fillId="33" borderId="19" xfId="0" applyNumberFormat="1" applyFill="1" applyBorder="1" applyAlignment="1">
      <alignment horizontal="center" wrapText="1"/>
    </xf>
    <xf numFmtId="37" fontId="0" fillId="33" borderId="9" xfId="0" applyNumberFormat="1" applyFill="1" applyBorder="1" applyAlignment="1">
      <alignment horizontal="center"/>
    </xf>
    <xf numFmtId="37" fontId="0" fillId="33" borderId="0" xfId="0" applyNumberFormat="1" applyFill="1" applyBorder="1" applyAlignment="1">
      <alignment/>
    </xf>
    <xf numFmtId="0" fontId="0" fillId="33" borderId="0" xfId="0" applyNumberFormat="1" applyFill="1" applyBorder="1" applyAlignment="1" quotePrefix="1">
      <alignment horizontal="right"/>
    </xf>
    <xf numFmtId="165" fontId="0" fillId="33" borderId="0" xfId="0" applyNumberFormat="1" applyFill="1" applyBorder="1" applyAlignment="1">
      <alignment/>
    </xf>
    <xf numFmtId="49" fontId="0" fillId="33" borderId="19" xfId="0" applyNumberFormat="1" applyFont="1" applyFill="1" applyBorder="1" applyAlignment="1">
      <alignment horizontal="center" wrapText="1"/>
    </xf>
    <xf numFmtId="49" fontId="0" fillId="33" borderId="0" xfId="0" applyNumberFormat="1" applyFill="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10" fontId="0" fillId="0" borderId="0" xfId="0" applyNumberFormat="1" applyBorder="1" applyAlignment="1">
      <alignment/>
    </xf>
    <xf numFmtId="39" fontId="0" fillId="0" borderId="0" xfId="0" applyNumberFormat="1" applyBorder="1" applyAlignment="1">
      <alignment/>
    </xf>
    <xf numFmtId="166" fontId="1" fillId="0" borderId="0" xfId="0" applyNumberFormat="1" applyFont="1" applyBorder="1" applyAlignment="1">
      <alignment/>
    </xf>
    <xf numFmtId="166" fontId="0" fillId="0" borderId="0" xfId="0" applyNumberFormat="1" applyBorder="1" applyAlignment="1">
      <alignment/>
    </xf>
    <xf numFmtId="166" fontId="0" fillId="0" borderId="9" xfId="0" applyNumberFormat="1" applyBorder="1" applyAlignment="1">
      <alignment/>
    </xf>
    <xf numFmtId="165" fontId="1" fillId="0" borderId="0" xfId="0" applyNumberFormat="1" applyFont="1" applyBorder="1" applyAlignment="1">
      <alignment/>
    </xf>
    <xf numFmtId="0" fontId="2" fillId="0" borderId="0" xfId="0" applyFont="1" applyAlignment="1">
      <alignment/>
    </xf>
    <xf numFmtId="49" fontId="0" fillId="0" borderId="0" xfId="0" applyNumberFormat="1" applyAlignment="1">
      <alignment wrapText="1"/>
    </xf>
    <xf numFmtId="37" fontId="0" fillId="0" borderId="0" xfId="0" applyNumberFormat="1" applyAlignment="1">
      <alignment/>
    </xf>
    <xf numFmtId="0" fontId="0" fillId="0" borderId="0" xfId="0" applyFill="1" applyBorder="1" applyAlignment="1">
      <alignment/>
    </xf>
    <xf numFmtId="49" fontId="0" fillId="33" borderId="0" xfId="0" applyNumberFormat="1" applyFill="1" applyBorder="1" applyAlignment="1">
      <alignment wrapText="1"/>
    </xf>
    <xf numFmtId="49" fontId="0" fillId="0" borderId="0" xfId="0" applyNumberFormat="1" applyBorder="1" applyAlignment="1">
      <alignment horizontal="center" wrapText="1"/>
    </xf>
    <xf numFmtId="49" fontId="0" fillId="0" borderId="16" xfId="0" applyNumberFormat="1" applyBorder="1" applyAlignment="1">
      <alignment horizontal="center" wrapText="1"/>
    </xf>
    <xf numFmtId="167" fontId="0" fillId="0" borderId="0" xfId="0" applyNumberFormat="1" applyBorder="1" applyAlignment="1">
      <alignment/>
    </xf>
    <xf numFmtId="169" fontId="0" fillId="0" borderId="0" xfId="0" applyNumberFormat="1" applyBorder="1" applyAlignment="1">
      <alignment/>
    </xf>
    <xf numFmtId="167" fontId="0" fillId="0" borderId="16" xfId="0" applyNumberFormat="1" applyBorder="1" applyAlignment="1">
      <alignment/>
    </xf>
    <xf numFmtId="49" fontId="0" fillId="0" borderId="11" xfId="0" applyNumberFormat="1" applyBorder="1" applyAlignment="1">
      <alignment horizontal="center" wrapText="1"/>
    </xf>
    <xf numFmtId="49" fontId="0" fillId="33" borderId="12" xfId="0" applyNumberFormat="1" applyFill="1" applyBorder="1" applyAlignment="1">
      <alignment wrapText="1"/>
    </xf>
    <xf numFmtId="49" fontId="0" fillId="0" borderId="12" xfId="0" applyNumberFormat="1" applyBorder="1" applyAlignment="1">
      <alignment horizontal="center" wrapText="1"/>
    </xf>
    <xf numFmtId="49" fontId="0" fillId="0" borderId="12" xfId="0" applyNumberFormat="1" applyBorder="1" applyAlignment="1">
      <alignment wrapText="1"/>
    </xf>
    <xf numFmtId="0" fontId="0" fillId="0" borderId="12" xfId="0" applyBorder="1" applyAlignment="1">
      <alignment horizontal="center"/>
    </xf>
    <xf numFmtId="49" fontId="0" fillId="0" borderId="13" xfId="0" applyNumberFormat="1" applyBorder="1" applyAlignment="1">
      <alignment horizontal="center" wrapText="1"/>
    </xf>
    <xf numFmtId="0" fontId="0" fillId="0" borderId="14" xfId="0" applyBorder="1" applyAlignment="1">
      <alignment/>
    </xf>
    <xf numFmtId="39" fontId="0" fillId="0" borderId="9" xfId="0" applyNumberFormat="1" applyBorder="1" applyAlignment="1">
      <alignment/>
    </xf>
    <xf numFmtId="0" fontId="0" fillId="0" borderId="18" xfId="0" applyBorder="1" applyAlignment="1">
      <alignment horizontal="center" wrapText="1"/>
    </xf>
    <xf numFmtId="0" fontId="0" fillId="33" borderId="19" xfId="0" applyFill="1" applyBorder="1" applyAlignment="1">
      <alignment horizontal="center"/>
    </xf>
    <xf numFmtId="0" fontId="0" fillId="0" borderId="19" xfId="0" applyBorder="1" applyAlignment="1">
      <alignment horizontal="center"/>
    </xf>
    <xf numFmtId="0" fontId="0" fillId="33" borderId="19" xfId="0" applyFont="1" applyFill="1" applyBorder="1" applyAlignment="1">
      <alignment horizontal="center"/>
    </xf>
    <xf numFmtId="0" fontId="1" fillId="0" borderId="0" xfId="0" applyFont="1" applyAlignment="1">
      <alignment/>
    </xf>
    <xf numFmtId="0" fontId="0" fillId="0" borderId="0" xfId="0" applyFont="1" applyAlignment="1">
      <alignment/>
    </xf>
    <xf numFmtId="5" fontId="0" fillId="0" borderId="0" xfId="0" applyNumberFormat="1" applyAlignment="1">
      <alignment/>
    </xf>
    <xf numFmtId="49" fontId="0" fillId="0" borderId="19" xfId="0" applyNumberFormat="1" applyBorder="1" applyAlignment="1">
      <alignment wrapText="1"/>
    </xf>
    <xf numFmtId="168" fontId="0" fillId="0" borderId="16" xfId="0" applyNumberFormat="1" applyBorder="1" applyAlignment="1">
      <alignment/>
    </xf>
    <xf numFmtId="5" fontId="0" fillId="0" borderId="16" xfId="0" applyNumberFormat="1" applyBorder="1" applyAlignment="1">
      <alignment/>
    </xf>
    <xf numFmtId="49" fontId="0" fillId="33" borderId="19" xfId="0" applyNumberFormat="1" applyFill="1" applyBorder="1" applyAlignment="1">
      <alignment wrapText="1"/>
    </xf>
    <xf numFmtId="5" fontId="2" fillId="0" borderId="16" xfId="0" applyNumberFormat="1" applyFont="1" applyBorder="1" applyAlignment="1">
      <alignment/>
    </xf>
    <xf numFmtId="5" fontId="4" fillId="0" borderId="16" xfId="0" applyNumberFormat="1" applyFont="1" applyBorder="1" applyAlignment="1">
      <alignment/>
    </xf>
    <xf numFmtId="37" fontId="0" fillId="0" borderId="0" xfId="0" applyNumberFormat="1" applyAlignment="1">
      <alignment horizontal="center"/>
    </xf>
    <xf numFmtId="5" fontId="1" fillId="0" borderId="0" xfId="0" applyNumberFormat="1" applyFont="1" applyAlignment="1">
      <alignment/>
    </xf>
    <xf numFmtId="49" fontId="0" fillId="0" borderId="20" xfId="0" applyNumberFormat="1" applyBorder="1" applyAlignment="1">
      <alignment wrapText="1"/>
    </xf>
    <xf numFmtId="49" fontId="0" fillId="0" borderId="13" xfId="0" applyNumberFormat="1" applyBorder="1" applyAlignment="1">
      <alignment wrapText="1"/>
    </xf>
    <xf numFmtId="49" fontId="0" fillId="0" borderId="0" xfId="0" applyNumberFormat="1" applyBorder="1" applyAlignment="1">
      <alignment horizontal="left" wrapText="1"/>
    </xf>
    <xf numFmtId="168" fontId="0" fillId="0" borderId="0" xfId="0" applyNumberFormat="1" applyBorder="1" applyAlignment="1">
      <alignment/>
    </xf>
    <xf numFmtId="5" fontId="1" fillId="0" borderId="16" xfId="0" applyNumberFormat="1" applyFont="1" applyBorder="1" applyAlignment="1">
      <alignment/>
    </xf>
    <xf numFmtId="168" fontId="0" fillId="33" borderId="0" xfId="0" applyNumberFormat="1" applyFill="1" applyBorder="1" applyAlignment="1">
      <alignment/>
    </xf>
    <xf numFmtId="0" fontId="0" fillId="0" borderId="11" xfId="0" applyBorder="1" applyAlignment="1">
      <alignment/>
    </xf>
    <xf numFmtId="37" fontId="0" fillId="0" borderId="12" xfId="0" applyNumberFormat="1" applyBorder="1" applyAlignment="1">
      <alignment horizontal="center" wrapText="1"/>
    </xf>
    <xf numFmtId="37" fontId="0" fillId="0" borderId="13" xfId="0" applyNumberFormat="1" applyBorder="1" applyAlignment="1">
      <alignment horizontal="center" wrapText="1"/>
    </xf>
    <xf numFmtId="0" fontId="0" fillId="0" borderId="15" xfId="0" applyBorder="1" applyAlignment="1">
      <alignment/>
    </xf>
    <xf numFmtId="166" fontId="0" fillId="0" borderId="16" xfId="0" applyNumberFormat="1" applyBorder="1" applyAlignment="1">
      <alignment/>
    </xf>
    <xf numFmtId="49" fontId="0" fillId="0" borderId="15" xfId="0" applyNumberFormat="1" applyBorder="1" applyAlignment="1">
      <alignment wrapText="1"/>
    </xf>
    <xf numFmtId="37" fontId="0" fillId="33" borderId="9" xfId="0" applyNumberFormat="1" applyFill="1" applyBorder="1" applyAlignment="1">
      <alignment/>
    </xf>
    <xf numFmtId="37" fontId="0" fillId="0" borderId="9" xfId="0" applyNumberFormat="1" applyBorder="1" applyAlignment="1">
      <alignment/>
    </xf>
    <xf numFmtId="37" fontId="0" fillId="34" borderId="9" xfId="0" applyNumberFormat="1" applyFill="1" applyBorder="1" applyAlignment="1">
      <alignment/>
    </xf>
    <xf numFmtId="5" fontId="0" fillId="34" borderId="0" xfId="0" applyNumberFormat="1"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9" xfId="0" applyFill="1" applyBorder="1" applyAlignment="1">
      <alignment/>
    </xf>
    <xf numFmtId="0" fontId="0" fillId="0" borderId="21" xfId="0" applyBorder="1" applyAlignment="1">
      <alignment/>
    </xf>
    <xf numFmtId="0" fontId="0" fillId="33" borderId="19" xfId="0" applyFill="1" applyBorder="1" applyAlignment="1">
      <alignment/>
    </xf>
    <xf numFmtId="0" fontId="0" fillId="0" borderId="20" xfId="0" applyBorder="1" applyAlignment="1">
      <alignment horizontal="center"/>
    </xf>
    <xf numFmtId="37" fontId="0" fillId="0" borderId="16" xfId="0" applyNumberFormat="1" applyBorder="1" applyAlignment="1">
      <alignment/>
    </xf>
    <xf numFmtId="7" fontId="0" fillId="0" borderId="16" xfId="0" applyNumberFormat="1" applyBorder="1" applyAlignment="1">
      <alignment/>
    </xf>
    <xf numFmtId="5" fontId="0" fillId="0" borderId="17" xfId="0" applyNumberFormat="1" applyBorder="1" applyAlignment="1">
      <alignment/>
    </xf>
    <xf numFmtId="5" fontId="0" fillId="0" borderId="16" xfId="0" applyNumberFormat="1" applyFill="1" applyBorder="1" applyAlignment="1">
      <alignment/>
    </xf>
    <xf numFmtId="5" fontId="0" fillId="0" borderId="16" xfId="0" applyNumberFormat="1" applyFont="1" applyBorder="1" applyAlignment="1">
      <alignment/>
    </xf>
    <xf numFmtId="49" fontId="0" fillId="0" borderId="0" xfId="0" applyNumberFormat="1" applyBorder="1" applyAlignment="1">
      <alignment horizontal="right"/>
    </xf>
    <xf numFmtId="49" fontId="0" fillId="0" borderId="16" xfId="0" applyNumberFormat="1" applyBorder="1" applyAlignment="1">
      <alignment horizontal="right"/>
    </xf>
    <xf numFmtId="5" fontId="2" fillId="0" borderId="0" xfId="0" applyNumberFormat="1" applyFont="1" applyBorder="1" applyAlignment="1">
      <alignment/>
    </xf>
    <xf numFmtId="0" fontId="0" fillId="0" borderId="19" xfId="0" applyBorder="1" applyAlignment="1">
      <alignment/>
    </xf>
    <xf numFmtId="168" fontId="0" fillId="0" borderId="16" xfId="0" applyNumberFormat="1" applyFont="1" applyBorder="1" applyAlignment="1">
      <alignment/>
    </xf>
    <xf numFmtId="49" fontId="0" fillId="0" borderId="0" xfId="0" applyNumberFormat="1" applyAlignment="1">
      <alignment horizontal="center"/>
    </xf>
    <xf numFmtId="37" fontId="0" fillId="33" borderId="12" xfId="0" applyNumberFormat="1" applyFill="1" applyBorder="1" applyAlignment="1">
      <alignment/>
    </xf>
    <xf numFmtId="5" fontId="0" fillId="0" borderId="13" xfId="0" applyNumberFormat="1" applyBorder="1" applyAlignment="1">
      <alignment/>
    </xf>
    <xf numFmtId="49" fontId="0" fillId="0" borderId="0" xfId="0" applyNumberFormat="1" applyFont="1" applyBorder="1" applyAlignment="1">
      <alignment wrapText="1"/>
    </xf>
    <xf numFmtId="37" fontId="0" fillId="0" borderId="13" xfId="0" applyNumberFormat="1" applyBorder="1" applyAlignment="1">
      <alignment/>
    </xf>
    <xf numFmtId="0" fontId="1" fillId="0" borderId="0" xfId="0" applyFont="1" applyBorder="1" applyAlignment="1">
      <alignment horizontal="center"/>
    </xf>
    <xf numFmtId="37" fontId="0" fillId="0" borderId="17" xfId="0" applyNumberFormat="1" applyBorder="1" applyAlignment="1">
      <alignment/>
    </xf>
    <xf numFmtId="0" fontId="1" fillId="0" borderId="12" xfId="0" applyFont="1" applyBorder="1" applyAlignment="1">
      <alignment horizontal="center"/>
    </xf>
    <xf numFmtId="49" fontId="0" fillId="0" borderId="14" xfId="0" applyNumberFormat="1" applyBorder="1" applyAlignment="1">
      <alignment horizontal="center" wrapText="1"/>
    </xf>
    <xf numFmtId="0" fontId="3" fillId="0" borderId="0" xfId="0" applyFont="1" applyAlignment="1">
      <alignment horizontal="right"/>
    </xf>
    <xf numFmtId="0" fontId="0" fillId="35" borderId="0" xfId="0" applyFill="1" applyAlignment="1">
      <alignment/>
    </xf>
    <xf numFmtId="0" fontId="7" fillId="0" borderId="0" xfId="0" applyFont="1" applyAlignment="1">
      <alignment horizontal="left"/>
    </xf>
    <xf numFmtId="0" fontId="0" fillId="0" borderId="0" xfId="0" applyFont="1" applyAlignment="1">
      <alignment horizontal="center"/>
    </xf>
    <xf numFmtId="5" fontId="1" fillId="0" borderId="0" xfId="0" applyNumberFormat="1" applyFont="1" applyAlignment="1">
      <alignment horizontal="right"/>
    </xf>
    <xf numFmtId="49" fontId="1" fillId="0" borderId="0" xfId="0" applyNumberFormat="1" applyFont="1" applyAlignment="1">
      <alignment horizontal="center" wrapText="1"/>
    </xf>
    <xf numFmtId="170" fontId="1" fillId="0" borderId="0" xfId="0" applyNumberFormat="1" applyFont="1" applyAlignment="1">
      <alignment/>
    </xf>
    <xf numFmtId="171" fontId="0" fillId="0" borderId="0" xfId="0" applyNumberFormat="1" applyAlignment="1">
      <alignment/>
    </xf>
    <xf numFmtId="5" fontId="0" fillId="0" borderId="0" xfId="0" applyNumberFormat="1" applyFill="1" applyBorder="1" applyAlignment="1">
      <alignment/>
    </xf>
    <xf numFmtId="10" fontId="1" fillId="0" borderId="0" xfId="0" applyNumberFormat="1" applyFont="1" applyBorder="1" applyAlignment="1">
      <alignment/>
    </xf>
    <xf numFmtId="5" fontId="0" fillId="0" borderId="0" xfId="0" applyNumberFormat="1" applyFont="1" applyBorder="1" applyAlignment="1">
      <alignment/>
    </xf>
    <xf numFmtId="5" fontId="1" fillId="0" borderId="0"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horizontal="center"/>
    </xf>
    <xf numFmtId="37" fontId="3" fillId="0" borderId="0" xfId="0" applyNumberFormat="1" applyFont="1" applyAlignment="1">
      <alignment/>
    </xf>
    <xf numFmtId="0" fontId="3" fillId="0" borderId="0" xfId="0" applyFont="1" applyAlignment="1">
      <alignment horizontal="left"/>
    </xf>
    <xf numFmtId="0" fontId="7" fillId="0" borderId="0" xfId="0" applyFont="1" applyAlignment="1">
      <alignment horizontal="center"/>
    </xf>
    <xf numFmtId="10" fontId="0" fillId="0" borderId="16" xfId="0" applyNumberFormat="1" applyFont="1" applyBorder="1" applyAlignment="1">
      <alignment/>
    </xf>
    <xf numFmtId="10" fontId="0" fillId="0" borderId="0" xfId="0" applyNumberFormat="1" applyAlignment="1">
      <alignment/>
    </xf>
    <xf numFmtId="5" fontId="3" fillId="0" borderId="0" xfId="0" applyNumberFormat="1" applyFont="1" applyAlignment="1">
      <alignment/>
    </xf>
    <xf numFmtId="5" fontId="9" fillId="0" borderId="0" xfId="0" applyNumberFormat="1" applyFont="1" applyAlignment="1">
      <alignment/>
    </xf>
    <xf numFmtId="0" fontId="10" fillId="0" borderId="0" xfId="0" applyFont="1" applyAlignment="1">
      <alignment/>
    </xf>
    <xf numFmtId="49" fontId="3" fillId="0" borderId="0" xfId="0" applyNumberFormat="1" applyFont="1" applyAlignment="1">
      <alignment horizontal="center" wrapText="1"/>
    </xf>
    <xf numFmtId="0" fontId="11" fillId="0" borderId="0" xfId="0" applyFont="1" applyAlignment="1">
      <alignment/>
    </xf>
    <xf numFmtId="39" fontId="0" fillId="0" borderId="0" xfId="0" applyNumberFormat="1" applyAlignment="1">
      <alignment/>
    </xf>
    <xf numFmtId="39" fontId="3" fillId="0" borderId="0" xfId="0" applyNumberFormat="1" applyFont="1" applyAlignment="1">
      <alignment/>
    </xf>
    <xf numFmtId="0" fontId="7" fillId="0" borderId="0" xfId="0" applyFont="1" applyAlignment="1">
      <alignment/>
    </xf>
    <xf numFmtId="0" fontId="11" fillId="0" borderId="0" xfId="0" applyFont="1" applyAlignment="1">
      <alignment horizontal="center"/>
    </xf>
    <xf numFmtId="37" fontId="2" fillId="0" borderId="0" xfId="0" applyNumberFormat="1" applyFont="1" applyBorder="1" applyAlignment="1">
      <alignment/>
    </xf>
    <xf numFmtId="170" fontId="4" fillId="0" borderId="0" xfId="0" applyNumberFormat="1" applyFont="1" applyAlignment="1">
      <alignment/>
    </xf>
    <xf numFmtId="172" fontId="4" fillId="0" borderId="0" xfId="0" applyNumberFormat="1" applyFont="1" applyAlignment="1">
      <alignment/>
    </xf>
    <xf numFmtId="167" fontId="4" fillId="0" borderId="0" xfId="0" applyNumberFormat="1" applyFont="1" applyAlignment="1">
      <alignment/>
    </xf>
    <xf numFmtId="49" fontId="0" fillId="0" borderId="0" xfId="0" applyNumberFormat="1" applyFont="1" applyAlignment="1">
      <alignment horizontal="center" wrapText="1"/>
    </xf>
    <xf numFmtId="0" fontId="2" fillId="0" borderId="0" xfId="0" applyNumberFormat="1" applyFont="1" applyAlignment="1">
      <alignment/>
    </xf>
    <xf numFmtId="37" fontId="5" fillId="0" borderId="0" xfId="0" applyNumberFormat="1" applyFont="1" applyBorder="1" applyAlignment="1">
      <alignment/>
    </xf>
    <xf numFmtId="37" fontId="2" fillId="0" borderId="16" xfId="0" applyNumberFormat="1" applyFont="1" applyBorder="1" applyAlignment="1">
      <alignment/>
    </xf>
    <xf numFmtId="10" fontId="2" fillId="0" borderId="16" xfId="0" applyNumberFormat="1" applyFont="1" applyBorder="1" applyAlignment="1">
      <alignment/>
    </xf>
    <xf numFmtId="0" fontId="0" fillId="0" borderId="0" xfId="0" applyFill="1" applyAlignment="1">
      <alignment/>
    </xf>
    <xf numFmtId="0" fontId="12" fillId="0" borderId="0" xfId="0" applyFont="1" applyAlignment="1">
      <alignment horizontal="center"/>
    </xf>
    <xf numFmtId="0" fontId="2" fillId="0" borderId="0" xfId="0" applyFont="1" applyAlignment="1">
      <alignment horizontal="center"/>
    </xf>
    <xf numFmtId="5" fontId="5" fillId="0" borderId="0" xfId="0" applyNumberFormat="1" applyFont="1" applyBorder="1" applyAlignment="1">
      <alignment/>
    </xf>
    <xf numFmtId="0" fontId="1" fillId="0" borderId="0" xfId="0" applyFont="1" applyAlignment="1">
      <alignment horizontal="center"/>
    </xf>
    <xf numFmtId="0" fontId="3" fillId="0" borderId="0" xfId="0" applyFont="1" applyBorder="1" applyAlignment="1">
      <alignment/>
    </xf>
    <xf numFmtId="49" fontId="3" fillId="0" borderId="0" xfId="0" applyNumberFormat="1" applyFont="1" applyBorder="1" applyAlignment="1">
      <alignment wrapText="1"/>
    </xf>
    <xf numFmtId="49" fontId="0" fillId="0" borderId="0" xfId="0" applyNumberFormat="1" applyBorder="1" applyAlignment="1">
      <alignment/>
    </xf>
    <xf numFmtId="0" fontId="0" fillId="0" borderId="0" xfId="0" applyNumberFormat="1" applyBorder="1" applyAlignment="1">
      <alignment/>
    </xf>
    <xf numFmtId="0" fontId="0" fillId="0" borderId="0" xfId="0" applyNumberFormat="1" applyFill="1" applyBorder="1" applyAlignment="1">
      <alignment/>
    </xf>
    <xf numFmtId="5" fontId="3" fillId="0" borderId="0" xfId="0" applyNumberFormat="1" applyFont="1" applyBorder="1" applyAlignment="1">
      <alignment/>
    </xf>
    <xf numFmtId="0" fontId="0" fillId="0" borderId="0" xfId="0" applyNumberFormat="1" applyAlignment="1">
      <alignment horizontal="center"/>
    </xf>
    <xf numFmtId="0" fontId="10" fillId="0" borderId="0" xfId="0" applyFont="1" applyAlignment="1">
      <alignment horizontal="center"/>
    </xf>
    <xf numFmtId="49" fontId="0" fillId="0" borderId="14" xfId="0" applyNumberFormat="1" applyBorder="1" applyAlignment="1">
      <alignment wrapText="1"/>
    </xf>
    <xf numFmtId="5" fontId="0" fillId="0" borderId="9" xfId="0" applyNumberFormat="1" applyBorder="1" applyAlignment="1">
      <alignment/>
    </xf>
    <xf numFmtId="5" fontId="5" fillId="0" borderId="16" xfId="0" applyNumberFormat="1" applyFont="1" applyBorder="1" applyAlignment="1">
      <alignment/>
    </xf>
    <xf numFmtId="5" fontId="13" fillId="0" borderId="16" xfId="0" applyNumberFormat="1" applyFont="1" applyBorder="1" applyAlignment="1">
      <alignment/>
    </xf>
    <xf numFmtId="5" fontId="14" fillId="0" borderId="16" xfId="0" applyNumberFormat="1" applyFont="1" applyBorder="1" applyAlignment="1">
      <alignment/>
    </xf>
    <xf numFmtId="49" fontId="0" fillId="0" borderId="0" xfId="0" applyNumberFormat="1" applyFill="1" applyBorder="1" applyAlignment="1">
      <alignment wrapText="1"/>
    </xf>
    <xf numFmtId="49" fontId="1" fillId="0" borderId="0" xfId="0" applyNumberFormat="1" applyFont="1" applyAlignment="1">
      <alignment horizontal="center"/>
    </xf>
    <xf numFmtId="0" fontId="2" fillId="0" borderId="0" xfId="0" applyNumberFormat="1" applyFont="1" applyAlignment="1">
      <alignment horizontal="right"/>
    </xf>
    <xf numFmtId="0" fontId="4" fillId="0" borderId="0" xfId="0" applyFont="1" applyAlignment="1">
      <alignment/>
    </xf>
    <xf numFmtId="5" fontId="14" fillId="0" borderId="0" xfId="0" applyNumberFormat="1" applyFont="1" applyBorder="1" applyAlignment="1">
      <alignment/>
    </xf>
    <xf numFmtId="7" fontId="0" fillId="0" borderId="0" xfId="0" applyNumberFormat="1" applyBorder="1" applyAlignment="1">
      <alignment/>
    </xf>
    <xf numFmtId="49" fontId="0" fillId="0" borderId="0" xfId="0" applyNumberFormat="1" applyFill="1" applyBorder="1" applyAlignment="1">
      <alignment horizontal="center" wrapText="1"/>
    </xf>
    <xf numFmtId="0" fontId="0" fillId="0" borderId="0" xfId="0" applyFill="1" applyBorder="1" applyAlignment="1">
      <alignment horizontal="center"/>
    </xf>
    <xf numFmtId="0" fontId="3" fillId="0" borderId="0" xfId="0" applyFont="1" applyFill="1" applyBorder="1" applyAlignment="1">
      <alignment/>
    </xf>
    <xf numFmtId="37" fontId="0" fillId="0" borderId="0" xfId="0" applyNumberFormat="1" applyFill="1" applyBorder="1" applyAlignment="1">
      <alignment horizontal="center"/>
    </xf>
    <xf numFmtId="5" fontId="2" fillId="0" borderId="0" xfId="0" applyNumberFormat="1" applyFont="1" applyFill="1" applyBorder="1" applyAlignment="1">
      <alignment/>
    </xf>
    <xf numFmtId="5" fontId="13" fillId="0" borderId="0" xfId="0" applyNumberFormat="1" applyFont="1" applyFill="1" applyBorder="1" applyAlignment="1">
      <alignment/>
    </xf>
    <xf numFmtId="7" fontId="0" fillId="0" borderId="0" xfId="0" applyNumberFormat="1" applyFill="1" applyBorder="1" applyAlignment="1">
      <alignment/>
    </xf>
    <xf numFmtId="10" fontId="2" fillId="0" borderId="0" xfId="0" applyNumberFormat="1" applyFont="1" applyFill="1" applyBorder="1" applyAlignment="1">
      <alignment/>
    </xf>
    <xf numFmtId="49" fontId="0" fillId="0" borderId="15" xfId="0" applyNumberFormat="1" applyBorder="1" applyAlignment="1">
      <alignment horizontal="center" wrapText="1"/>
    </xf>
    <xf numFmtId="49" fontId="0" fillId="0" borderId="22" xfId="0" applyNumberFormat="1" applyBorder="1" applyAlignment="1">
      <alignment horizontal="center" wrapText="1"/>
    </xf>
    <xf numFmtId="10" fontId="0" fillId="0" borderId="16" xfId="0" applyNumberFormat="1" applyBorder="1" applyAlignment="1">
      <alignment/>
    </xf>
    <xf numFmtId="169" fontId="4" fillId="0" borderId="0" xfId="0" applyNumberFormat="1" applyFont="1" applyBorder="1" applyAlignment="1">
      <alignment/>
    </xf>
    <xf numFmtId="49" fontId="0" fillId="0" borderId="22" xfId="0" applyNumberFormat="1" applyFill="1" applyBorder="1" applyAlignment="1">
      <alignment wrapText="1"/>
    </xf>
    <xf numFmtId="49" fontId="0" fillId="0" borderId="23" xfId="0" applyNumberFormat="1" applyFill="1" applyBorder="1" applyAlignment="1">
      <alignment wrapText="1"/>
    </xf>
    <xf numFmtId="0" fontId="0" fillId="0" borderId="21"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Border="1" applyAlignment="1">
      <alignment horizontal="center"/>
    </xf>
    <xf numFmtId="10" fontId="3" fillId="0" borderId="0" xfId="0" applyNumberFormat="1" applyFont="1" applyBorder="1" applyAlignment="1">
      <alignment/>
    </xf>
    <xf numFmtId="49" fontId="0" fillId="33" borderId="12" xfId="0" applyNumberFormat="1" applyFill="1" applyBorder="1" applyAlignment="1">
      <alignment horizontal="center" wrapText="1"/>
    </xf>
    <xf numFmtId="49" fontId="0" fillId="0" borderId="12" xfId="0" applyNumberFormat="1" applyFont="1" applyBorder="1" applyAlignment="1">
      <alignment horizontal="center" wrapText="1"/>
    </xf>
    <xf numFmtId="49" fontId="0" fillId="33" borderId="12" xfId="0" applyNumberFormat="1" applyFont="1" applyFill="1" applyBorder="1" applyAlignment="1">
      <alignment horizontal="center" wrapText="1"/>
    </xf>
    <xf numFmtId="37" fontId="2" fillId="0" borderId="0" xfId="0" applyNumberFormat="1" applyFont="1" applyFill="1" applyBorder="1" applyAlignment="1">
      <alignment/>
    </xf>
    <xf numFmtId="37" fontId="0" fillId="0" borderId="0" xfId="0" applyNumberFormat="1" applyFill="1" applyBorder="1" applyAlignment="1">
      <alignment/>
    </xf>
    <xf numFmtId="165" fontId="0" fillId="0" borderId="0" xfId="0" applyNumberFormat="1" applyFill="1" applyBorder="1" applyAlignment="1">
      <alignment/>
    </xf>
    <xf numFmtId="165" fontId="2" fillId="0" borderId="0" xfId="0" applyNumberFormat="1" applyFont="1" applyFill="1" applyBorder="1" applyAlignment="1">
      <alignment/>
    </xf>
    <xf numFmtId="49" fontId="0" fillId="0" borderId="0" xfId="0" applyNumberFormat="1" applyFill="1" applyBorder="1" applyAlignment="1">
      <alignment horizontal="center"/>
    </xf>
    <xf numFmtId="0" fontId="0" fillId="0" borderId="0" xfId="0" applyNumberFormat="1" applyFill="1" applyBorder="1" applyAlignment="1" quotePrefix="1">
      <alignment horizontal="right"/>
    </xf>
    <xf numFmtId="37" fontId="5" fillId="0" borderId="0" xfId="0" applyNumberFormat="1" applyFont="1" applyFill="1" applyBorder="1" applyAlignment="1">
      <alignment/>
    </xf>
    <xf numFmtId="10" fontId="0" fillId="0" borderId="0" xfId="0" applyNumberFormat="1" applyFill="1" applyBorder="1" applyAlignment="1">
      <alignment/>
    </xf>
    <xf numFmtId="39" fontId="0" fillId="0" borderId="0" xfId="0" applyNumberFormat="1" applyFill="1" applyBorder="1" applyAlignment="1">
      <alignment/>
    </xf>
    <xf numFmtId="166" fontId="1" fillId="0" borderId="0" xfId="0" applyNumberFormat="1" applyFont="1" applyFill="1" applyBorder="1" applyAlignment="1">
      <alignment/>
    </xf>
    <xf numFmtId="166" fontId="0" fillId="0" borderId="0" xfId="0" applyNumberFormat="1" applyFill="1" applyBorder="1" applyAlignment="1">
      <alignment/>
    </xf>
    <xf numFmtId="165" fontId="1" fillId="0" borderId="0" xfId="0" applyNumberFormat="1" applyFont="1" applyFill="1" applyBorder="1" applyAlignment="1">
      <alignment/>
    </xf>
    <xf numFmtId="0" fontId="0" fillId="0" borderId="0" xfId="0" applyFill="1" applyBorder="1" applyAlignment="1">
      <alignment horizontal="left"/>
    </xf>
    <xf numFmtId="0" fontId="2" fillId="0" borderId="0" xfId="0" applyNumberFormat="1" applyFont="1" applyFill="1" applyBorder="1" applyAlignment="1">
      <alignment/>
    </xf>
    <xf numFmtId="49" fontId="0" fillId="0" borderId="0" xfId="0" applyNumberFormat="1" applyFill="1" applyBorder="1" applyAlignment="1" quotePrefix="1">
      <alignment/>
    </xf>
    <xf numFmtId="0" fontId="2" fillId="0" borderId="0" xfId="0" applyFont="1" applyFill="1" applyBorder="1" applyAlignment="1">
      <alignment/>
    </xf>
    <xf numFmtId="0" fontId="0" fillId="0" borderId="0" xfId="0" applyFill="1" applyBorder="1" applyAlignment="1">
      <alignment horizontal="right"/>
    </xf>
    <xf numFmtId="0" fontId="0" fillId="0" borderId="0" xfId="0" applyNumberFormat="1" applyFill="1" applyBorder="1" applyAlignment="1">
      <alignment horizontal="center"/>
    </xf>
    <xf numFmtId="49" fontId="0" fillId="0" borderId="0" xfId="0" applyNumberFormat="1" applyFont="1" applyFill="1" applyBorder="1" applyAlignment="1">
      <alignment horizontal="center" wrapText="1"/>
    </xf>
    <xf numFmtId="0" fontId="4" fillId="0" borderId="0" xfId="0" applyFont="1" applyBorder="1" applyAlignment="1">
      <alignment/>
    </xf>
    <xf numFmtId="170" fontId="2" fillId="0" borderId="0" xfId="0" applyNumberFormat="1" applyFont="1" applyFill="1" applyBorder="1" applyAlignment="1">
      <alignment/>
    </xf>
    <xf numFmtId="49" fontId="0" fillId="0" borderId="18" xfId="0" applyNumberFormat="1" applyBorder="1" applyAlignment="1">
      <alignment wrapText="1"/>
    </xf>
    <xf numFmtId="37" fontId="0" fillId="34" borderId="19" xfId="0" applyNumberFormat="1" applyFill="1" applyBorder="1" applyAlignment="1">
      <alignment/>
    </xf>
    <xf numFmtId="0" fontId="5" fillId="0" borderId="0" xfId="0" applyFont="1" applyAlignment="1">
      <alignment horizontal="center"/>
    </xf>
    <xf numFmtId="168" fontId="0" fillId="0" borderId="0" xfId="0" applyNumberFormat="1" applyBorder="1" applyAlignment="1" quotePrefix="1">
      <alignment horizontal="right"/>
    </xf>
    <xf numFmtId="168" fontId="2" fillId="0" borderId="0" xfId="0" applyNumberFormat="1" applyFont="1" applyBorder="1" applyAlignment="1">
      <alignment/>
    </xf>
    <xf numFmtId="168" fontId="0" fillId="0" borderId="16" xfId="0" applyNumberFormat="1" applyBorder="1" applyAlignment="1" quotePrefix="1">
      <alignment horizontal="right"/>
    </xf>
    <xf numFmtId="5" fontId="7" fillId="0" borderId="0" xfId="0" applyNumberFormat="1" applyFont="1" applyAlignment="1">
      <alignment/>
    </xf>
    <xf numFmtId="37" fontId="13" fillId="0" borderId="16" xfId="0" applyNumberFormat="1" applyFont="1" applyBorder="1" applyAlignment="1">
      <alignment/>
    </xf>
    <xf numFmtId="5" fontId="3" fillId="0" borderId="0" xfId="0" applyNumberFormat="1" applyFont="1" applyAlignment="1">
      <alignment horizontal="center"/>
    </xf>
    <xf numFmtId="49" fontId="0" fillId="0" borderId="0" xfId="0" applyNumberFormat="1" applyFont="1" applyAlignment="1">
      <alignment wrapText="1"/>
    </xf>
    <xf numFmtId="15" fontId="0" fillId="0" borderId="0" xfId="0" applyNumberFormat="1" applyFont="1" applyAlignment="1">
      <alignment/>
    </xf>
    <xf numFmtId="5" fontId="3" fillId="0" borderId="0" xfId="0" applyNumberFormat="1" applyFont="1" applyAlignment="1">
      <alignment horizontal="right"/>
    </xf>
    <xf numFmtId="49" fontId="3" fillId="0" borderId="0" xfId="0" applyNumberFormat="1" applyFont="1" applyAlignment="1">
      <alignment horizontal="center"/>
    </xf>
    <xf numFmtId="49" fontId="3" fillId="0" borderId="0" xfId="0" applyNumberFormat="1" applyFont="1" applyAlignment="1">
      <alignment wrapText="1"/>
    </xf>
    <xf numFmtId="5" fontId="5" fillId="0" borderId="0" xfId="0" applyNumberFormat="1" applyFont="1" applyAlignment="1">
      <alignment/>
    </xf>
    <xf numFmtId="49" fontId="5" fillId="0" borderId="0" xfId="0" applyNumberFormat="1" applyFont="1" applyAlignment="1">
      <alignment horizontal="center" wrapText="1"/>
    </xf>
    <xf numFmtId="49" fontId="7" fillId="0" borderId="0" xfId="0" applyNumberFormat="1" applyFont="1" applyAlignment="1">
      <alignment horizontal="center" wrapText="1"/>
    </xf>
    <xf numFmtId="49" fontId="0" fillId="0" borderId="0" xfId="0" applyNumberFormat="1" applyFont="1" applyAlignment="1">
      <alignment horizontal="center"/>
    </xf>
    <xf numFmtId="49" fontId="5" fillId="0" borderId="0" xfId="0" applyNumberFormat="1" applyFont="1" applyAlignment="1">
      <alignment horizontal="center"/>
    </xf>
    <xf numFmtId="0" fontId="17" fillId="0" borderId="0" xfId="0" applyFont="1" applyAlignment="1">
      <alignment horizontal="center"/>
    </xf>
    <xf numFmtId="49" fontId="18" fillId="0" borderId="0" xfId="0" applyNumberFormat="1" applyFont="1" applyAlignment="1">
      <alignment horizontal="center" wrapText="1"/>
    </xf>
    <xf numFmtId="5" fontId="3" fillId="0" borderId="0" xfId="0" applyNumberFormat="1" applyFont="1" applyAlignment="1">
      <alignment horizontal="right" wrapText="1"/>
    </xf>
    <xf numFmtId="49" fontId="10" fillId="0" borderId="0" xfId="0" applyNumberFormat="1" applyFont="1" applyAlignment="1">
      <alignment horizontal="center" wrapText="1"/>
    </xf>
    <xf numFmtId="49" fontId="6" fillId="36" borderId="0" xfId="0" applyNumberFormat="1" applyFont="1" applyFill="1" applyAlignment="1">
      <alignment horizontal="center" wrapText="1"/>
    </xf>
    <xf numFmtId="49" fontId="10" fillId="0" borderId="0" xfId="0" applyNumberFormat="1" applyFont="1" applyFill="1" applyAlignment="1">
      <alignment horizontal="center" wrapText="1"/>
    </xf>
    <xf numFmtId="5" fontId="0" fillId="0" borderId="0" xfId="0" applyNumberFormat="1" applyFont="1" applyAlignment="1">
      <alignment horizontal="center"/>
    </xf>
    <xf numFmtId="5" fontId="0" fillId="0" borderId="0" xfId="0" applyNumberFormat="1" applyFont="1" applyAlignment="1">
      <alignment/>
    </xf>
    <xf numFmtId="49" fontId="7" fillId="0" borderId="12" xfId="0" applyNumberFormat="1" applyFont="1" applyBorder="1" applyAlignment="1">
      <alignment horizontal="center" wrapText="1"/>
    </xf>
    <xf numFmtId="37" fontId="0" fillId="0" borderId="0" xfId="0" applyNumberFormat="1" applyFont="1" applyAlignment="1">
      <alignment/>
    </xf>
    <xf numFmtId="37" fontId="1" fillId="0" borderId="0" xfId="0" applyNumberFormat="1" applyFont="1" applyAlignment="1">
      <alignment horizontal="right"/>
    </xf>
    <xf numFmtId="37" fontId="5" fillId="0" borderId="0" xfId="0" applyNumberFormat="1" applyFont="1" applyAlignment="1">
      <alignment/>
    </xf>
    <xf numFmtId="49" fontId="0" fillId="0" borderId="0" xfId="0" applyNumberFormat="1" applyAlignment="1">
      <alignment/>
    </xf>
    <xf numFmtId="176" fontId="0" fillId="0" borderId="16" xfId="0" applyNumberFormat="1" applyBorder="1" applyAlignment="1">
      <alignment/>
    </xf>
    <xf numFmtId="176" fontId="0" fillId="0" borderId="17" xfId="0" applyNumberFormat="1" applyBorder="1" applyAlignment="1">
      <alignment/>
    </xf>
    <xf numFmtId="49" fontId="0" fillId="0" borderId="0" xfId="0" applyNumberFormat="1" applyFont="1" applyAlignment="1">
      <alignment horizontal="left" wrapText="1"/>
    </xf>
    <xf numFmtId="0" fontId="0" fillId="0" borderId="0" xfId="0" applyFont="1" applyAlignment="1">
      <alignment horizontal="left"/>
    </xf>
    <xf numFmtId="10" fontId="0" fillId="0" borderId="0" xfId="0" applyNumberFormat="1" applyFont="1" applyAlignment="1">
      <alignment/>
    </xf>
    <xf numFmtId="5" fontId="0" fillId="0" borderId="0" xfId="0" applyNumberFormat="1" applyFont="1" applyAlignment="1">
      <alignment horizontal="right"/>
    </xf>
    <xf numFmtId="5" fontId="0" fillId="36" borderId="0" xfId="0" applyNumberFormat="1" applyFont="1" applyFill="1" applyAlignment="1">
      <alignment/>
    </xf>
    <xf numFmtId="0" fontId="0" fillId="0" borderId="0" xfId="0" applyFont="1" applyAlignment="1">
      <alignment horizontal="right"/>
    </xf>
    <xf numFmtId="0" fontId="0" fillId="0" borderId="0" xfId="0" applyFont="1" applyFill="1" applyAlignment="1">
      <alignment/>
    </xf>
    <xf numFmtId="49" fontId="0" fillId="36" borderId="0" xfId="0" applyNumberFormat="1" applyFont="1" applyFill="1" applyAlignment="1">
      <alignment horizontal="center" wrapText="1"/>
    </xf>
    <xf numFmtId="171" fontId="0" fillId="0" borderId="0" xfId="0" applyNumberFormat="1" applyFont="1" applyAlignment="1">
      <alignment/>
    </xf>
    <xf numFmtId="49" fontId="4" fillId="0" borderId="15" xfId="0" applyNumberFormat="1" applyFont="1" applyBorder="1" applyAlignment="1">
      <alignment wrapText="1"/>
    </xf>
    <xf numFmtId="165" fontId="4" fillId="0" borderId="0" xfId="0" applyNumberFormat="1" applyFont="1" applyAlignment="1">
      <alignment/>
    </xf>
    <xf numFmtId="7" fontId="0" fillId="0" borderId="0" xfId="0" applyNumberFormat="1" applyAlignment="1">
      <alignment/>
    </xf>
    <xf numFmtId="7" fontId="3" fillId="0" borderId="0" xfId="0" applyNumberFormat="1" applyFont="1" applyAlignment="1">
      <alignment/>
    </xf>
    <xf numFmtId="5" fontId="16" fillId="0" borderId="16" xfId="0" applyNumberFormat="1" applyFont="1" applyBorder="1" applyAlignment="1">
      <alignment/>
    </xf>
    <xf numFmtId="0" fontId="18" fillId="0" borderId="0" xfId="0" applyFont="1" applyAlignment="1">
      <alignment horizontal="center"/>
    </xf>
    <xf numFmtId="49" fontId="0" fillId="0" borderId="0" xfId="0" applyNumberFormat="1" applyAlignment="1">
      <alignment/>
    </xf>
    <xf numFmtId="49" fontId="7" fillId="0" borderId="0" xfId="0" applyNumberFormat="1" applyFont="1" applyAlignment="1">
      <alignment horizontal="center"/>
    </xf>
    <xf numFmtId="0" fontId="5" fillId="0" borderId="0" xfId="0" applyFont="1" applyAlignment="1">
      <alignment horizontal="right"/>
    </xf>
    <xf numFmtId="49" fontId="1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Alignment="1" applyProtection="1">
      <alignment horizontal="center" wrapText="1"/>
      <protection locked="0"/>
    </xf>
    <xf numFmtId="49" fontId="17" fillId="0" borderId="0" xfId="0" applyNumberFormat="1" applyFont="1" applyAlignment="1">
      <alignment horizontal="center" wrapText="1"/>
    </xf>
    <xf numFmtId="37" fontId="11" fillId="0" borderId="0" xfId="0" applyNumberFormat="1" applyFont="1" applyAlignment="1">
      <alignment/>
    </xf>
    <xf numFmtId="39" fontId="5" fillId="0" borderId="0" xfId="0" applyNumberFormat="1" applyFont="1" applyAlignment="1">
      <alignment/>
    </xf>
    <xf numFmtId="37" fontId="7" fillId="0" borderId="0" xfId="0" applyNumberFormat="1" applyFont="1" applyAlignment="1">
      <alignment/>
    </xf>
    <xf numFmtId="49" fontId="20" fillId="0" borderId="0" xfId="0" applyNumberFormat="1" applyFont="1" applyAlignment="1">
      <alignment horizontal="center" wrapText="1"/>
    </xf>
    <xf numFmtId="0" fontId="5" fillId="33" borderId="0" xfId="0" applyFont="1" applyFill="1" applyBorder="1" applyAlignment="1">
      <alignment/>
    </xf>
    <xf numFmtId="176" fontId="5" fillId="0" borderId="16" xfId="0" applyNumberFormat="1" applyFont="1" applyBorder="1" applyAlignment="1">
      <alignment/>
    </xf>
    <xf numFmtId="166" fontId="5" fillId="0" borderId="16" xfId="0" applyNumberFormat="1" applyFont="1" applyBorder="1" applyAlignment="1">
      <alignment/>
    </xf>
    <xf numFmtId="49" fontId="19" fillId="0" borderId="0" xfId="0" applyNumberFormat="1" applyFont="1" applyAlignment="1">
      <alignment horizontal="center" wrapText="1"/>
    </xf>
    <xf numFmtId="168" fontId="0" fillId="0" borderId="0" xfId="0" applyNumberFormat="1" applyBorder="1" applyAlignment="1">
      <alignment horizontal="right"/>
    </xf>
    <xf numFmtId="0" fontId="21" fillId="0" borderId="0" xfId="0" applyFont="1" applyAlignment="1">
      <alignment horizontal="center"/>
    </xf>
    <xf numFmtId="49" fontId="0" fillId="0" borderId="0" xfId="0" applyNumberFormat="1" applyAlignment="1">
      <alignment horizontal="right"/>
    </xf>
    <xf numFmtId="49" fontId="3" fillId="0" borderId="0" xfId="0" applyNumberFormat="1" applyFont="1" applyAlignment="1">
      <alignment horizontal="left"/>
    </xf>
    <xf numFmtId="37" fontId="3" fillId="0" borderId="0" xfId="0" applyNumberFormat="1" applyFont="1" applyAlignment="1">
      <alignment horizontal="center" wrapText="1"/>
    </xf>
    <xf numFmtId="37" fontId="3" fillId="0" borderId="0" xfId="0" applyNumberFormat="1" applyFont="1" applyAlignment="1">
      <alignment horizontal="center"/>
    </xf>
    <xf numFmtId="49" fontId="3" fillId="0" borderId="0" xfId="0" applyNumberFormat="1" applyFont="1" applyAlignment="1">
      <alignment horizontal="left" wrapText="1"/>
    </xf>
    <xf numFmtId="7" fontId="0" fillId="0" borderId="0" xfId="0" applyNumberFormat="1" applyFont="1" applyAlignment="1">
      <alignment/>
    </xf>
    <xf numFmtId="10" fontId="1" fillId="0" borderId="16" xfId="0" applyNumberFormat="1" applyFont="1" applyBorder="1" applyAlignment="1">
      <alignment/>
    </xf>
    <xf numFmtId="49" fontId="0" fillId="0" borderId="0" xfId="0" applyNumberFormat="1" applyFont="1" applyFill="1" applyBorder="1" applyAlignment="1">
      <alignment wrapText="1"/>
    </xf>
    <xf numFmtId="37" fontId="0" fillId="0" borderId="11" xfId="0" applyNumberFormat="1" applyBorder="1" applyAlignment="1">
      <alignment horizontal="center" wrapText="1"/>
    </xf>
    <xf numFmtId="37" fontId="0" fillId="0" borderId="25" xfId="0" applyNumberFormat="1" applyBorder="1" applyAlignment="1">
      <alignment horizontal="center"/>
    </xf>
    <xf numFmtId="167" fontId="1" fillId="0" borderId="0" xfId="0" applyNumberFormat="1" applyFont="1" applyBorder="1" applyAlignment="1">
      <alignment/>
    </xf>
    <xf numFmtId="167" fontId="0" fillId="0" borderId="0" xfId="0" applyNumberFormat="1" applyFont="1" applyBorder="1" applyAlignment="1">
      <alignment/>
    </xf>
    <xf numFmtId="167" fontId="0" fillId="0" borderId="26" xfId="0" applyNumberFormat="1" applyFont="1" applyBorder="1" applyAlignment="1">
      <alignment/>
    </xf>
    <xf numFmtId="167" fontId="0" fillId="0" borderId="27" xfId="0" applyNumberFormat="1" applyFont="1" applyBorder="1" applyAlignment="1">
      <alignment/>
    </xf>
    <xf numFmtId="167" fontId="0" fillId="0" borderId="28" xfId="0" applyNumberFormat="1" applyFont="1" applyBorder="1" applyAlignment="1">
      <alignment/>
    </xf>
    <xf numFmtId="10" fontId="3" fillId="0" borderId="0" xfId="0" applyNumberFormat="1" applyFont="1" applyBorder="1" applyAlignment="1">
      <alignment horizontal="center" wrapText="1"/>
    </xf>
    <xf numFmtId="169" fontId="7" fillId="0" borderId="0" xfId="0" applyNumberFormat="1" applyFont="1" applyAlignment="1">
      <alignment/>
    </xf>
    <xf numFmtId="0" fontId="21" fillId="0" borderId="0" xfId="0" applyFont="1" applyAlignment="1">
      <alignment/>
    </xf>
    <xf numFmtId="10" fontId="7" fillId="0" borderId="16" xfId="0" applyNumberFormat="1" applyFont="1" applyBorder="1" applyAlignment="1">
      <alignment/>
    </xf>
    <xf numFmtId="37" fontId="0" fillId="0" borderId="0" xfId="0" applyNumberFormat="1" applyFont="1" applyAlignment="1">
      <alignment horizontal="center" wrapText="1"/>
    </xf>
    <xf numFmtId="37" fontId="0" fillId="0" borderId="0" xfId="0" applyNumberFormat="1" applyFont="1" applyAlignment="1">
      <alignment horizontal="center"/>
    </xf>
    <xf numFmtId="37" fontId="2" fillId="0" borderId="0" xfId="0" applyNumberFormat="1" applyFont="1" applyBorder="1" applyAlignment="1">
      <alignment horizontal="right"/>
    </xf>
    <xf numFmtId="37" fontId="10" fillId="0" borderId="0" xfId="0" applyNumberFormat="1" applyFont="1" applyAlignment="1">
      <alignment/>
    </xf>
    <xf numFmtId="10" fontId="7" fillId="0" borderId="0" xfId="0" applyNumberFormat="1" applyFont="1" applyAlignment="1">
      <alignment/>
    </xf>
    <xf numFmtId="49" fontId="0" fillId="0" borderId="0" xfId="61" applyNumberFormat="1" applyFont="1" applyAlignment="1" quotePrefix="1">
      <alignment horizontal="center"/>
    </xf>
    <xf numFmtId="49" fontId="0" fillId="0" borderId="0" xfId="60" applyNumberFormat="1" applyFont="1" applyAlignment="1">
      <alignment horizontal="center"/>
    </xf>
    <xf numFmtId="39" fontId="0" fillId="0" borderId="0" xfId="62" applyNumberFormat="1" applyFont="1" applyAlignment="1">
      <alignment/>
    </xf>
    <xf numFmtId="49" fontId="22" fillId="0" borderId="0" xfId="63" applyNumberFormat="1" applyBorder="1" applyAlignment="1">
      <alignment horizontal="center" wrapText="1"/>
      <protection/>
    </xf>
    <xf numFmtId="49" fontId="22" fillId="0" borderId="0" xfId="63" applyNumberFormat="1" applyFont="1" applyBorder="1" applyAlignment="1">
      <alignment horizontal="center" wrapText="1"/>
      <protection/>
    </xf>
    <xf numFmtId="39" fontId="22" fillId="0" borderId="0" xfId="63" applyNumberFormat="1" applyBorder="1" applyAlignment="1">
      <alignment horizontal="center" wrapText="1"/>
      <protection/>
    </xf>
    <xf numFmtId="0" fontId="2" fillId="0" borderId="0" xfId="0" applyNumberFormat="1" applyFont="1" applyAlignment="1">
      <alignment horizontal="center"/>
    </xf>
    <xf numFmtId="5" fontId="10" fillId="0" borderId="0" xfId="0" applyNumberFormat="1" applyFont="1" applyBorder="1" applyAlignment="1">
      <alignment/>
    </xf>
    <xf numFmtId="10" fontId="3" fillId="0" borderId="16" xfId="0" applyNumberFormat="1" applyFont="1" applyBorder="1" applyAlignment="1">
      <alignment horizontal="right" wrapText="1"/>
    </xf>
    <xf numFmtId="0" fontId="0" fillId="0" borderId="15"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20" xfId="0" applyFill="1" applyBorder="1" applyAlignment="1">
      <alignment/>
    </xf>
    <xf numFmtId="49" fontId="0" fillId="0" borderId="19" xfId="0" applyNumberFormat="1" applyFont="1" applyFill="1" applyBorder="1" applyAlignment="1">
      <alignment horizontal="left" wrapText="1"/>
    </xf>
    <xf numFmtId="49" fontId="0" fillId="0" borderId="19" xfId="0" applyNumberFormat="1" applyFill="1" applyBorder="1" applyAlignment="1">
      <alignment horizontal="center" wrapText="1"/>
    </xf>
    <xf numFmtId="0" fontId="0" fillId="0" borderId="22" xfId="0" applyFill="1" applyBorder="1" applyAlignment="1">
      <alignment/>
    </xf>
    <xf numFmtId="0" fontId="0" fillId="0" borderId="23" xfId="0" applyBorder="1" applyAlignment="1">
      <alignment/>
    </xf>
    <xf numFmtId="0" fontId="0" fillId="0" borderId="24" xfId="0" applyBorder="1" applyAlignment="1">
      <alignment/>
    </xf>
    <xf numFmtId="37" fontId="0" fillId="0" borderId="9" xfId="0" applyNumberFormat="1" applyBorder="1" applyAlignment="1">
      <alignment horizontal="center"/>
    </xf>
    <xf numFmtId="168" fontId="2" fillId="0" borderId="23" xfId="0" applyNumberFormat="1" applyFont="1" applyBorder="1" applyAlignment="1">
      <alignment/>
    </xf>
    <xf numFmtId="5" fontId="0" fillId="0" borderId="23" xfId="0" applyNumberFormat="1" applyBorder="1" applyAlignment="1">
      <alignment/>
    </xf>
    <xf numFmtId="168" fontId="0" fillId="0" borderId="23" xfId="0" applyNumberFormat="1" applyBorder="1" applyAlignment="1" quotePrefix="1">
      <alignment horizontal="right"/>
    </xf>
    <xf numFmtId="5" fontId="4" fillId="0" borderId="23" xfId="0" applyNumberFormat="1" applyFont="1" applyBorder="1" applyAlignment="1">
      <alignment/>
    </xf>
    <xf numFmtId="5" fontId="2" fillId="0" borderId="23" xfId="0" applyNumberFormat="1" applyFont="1" applyBorder="1" applyAlignment="1">
      <alignment/>
    </xf>
    <xf numFmtId="164" fontId="3" fillId="0" borderId="23" xfId="0" applyNumberFormat="1" applyFont="1" applyBorder="1" applyAlignment="1">
      <alignment/>
    </xf>
    <xf numFmtId="164" fontId="0" fillId="0" borderId="23" xfId="0" applyNumberFormat="1" applyBorder="1" applyAlignment="1">
      <alignment/>
    </xf>
    <xf numFmtId="0" fontId="0" fillId="0" borderId="21"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5" fontId="10" fillId="0" borderId="0" xfId="0" applyNumberFormat="1" applyFont="1" applyAlignment="1">
      <alignment/>
    </xf>
    <xf numFmtId="49" fontId="10" fillId="0" borderId="0" xfId="0" applyNumberFormat="1" applyFont="1" applyAlignment="1">
      <alignment wrapText="1"/>
    </xf>
    <xf numFmtId="0" fontId="5" fillId="0" borderId="0" xfId="0" applyFont="1" applyFill="1" applyBorder="1" applyAlignment="1">
      <alignment/>
    </xf>
    <xf numFmtId="49" fontId="24" fillId="0" borderId="0" xfId="60" applyNumberFormat="1" applyFont="1" applyAlignment="1">
      <alignment horizontal="center" wrapText="1"/>
    </xf>
    <xf numFmtId="39" fontId="22" fillId="0" borderId="0" xfId="62" applyNumberFormat="1" applyFont="1" applyAlignment="1">
      <alignment/>
    </xf>
    <xf numFmtId="39" fontId="22" fillId="0" borderId="0" xfId="0" applyNumberFormat="1" applyFont="1" applyAlignment="1">
      <alignment/>
    </xf>
    <xf numFmtId="49" fontId="26" fillId="0" borderId="0" xfId="0" applyNumberFormat="1" applyFont="1" applyAlignment="1">
      <alignment horizontal="center" wrapText="1"/>
    </xf>
    <xf numFmtId="49" fontId="25" fillId="0" borderId="0" xfId="0" applyNumberFormat="1" applyFont="1" applyAlignment="1">
      <alignment horizontal="center" wrapText="1"/>
    </xf>
    <xf numFmtId="37" fontId="0" fillId="0" borderId="0" xfId="0" applyNumberFormat="1" applyFont="1" applyBorder="1" applyAlignment="1">
      <alignment/>
    </xf>
    <xf numFmtId="0" fontId="0" fillId="0" borderId="0" xfId="0" applyFont="1" applyFill="1" applyBorder="1" applyAlignment="1">
      <alignment/>
    </xf>
    <xf numFmtId="37" fontId="0" fillId="33" borderId="12" xfId="0" applyNumberFormat="1" applyFill="1" applyBorder="1" applyAlignment="1">
      <alignment wrapText="1"/>
    </xf>
    <xf numFmtId="37" fontId="0" fillId="0" borderId="20" xfId="0" applyNumberFormat="1" applyBorder="1" applyAlignment="1">
      <alignment horizontal="center" wrapText="1"/>
    </xf>
    <xf numFmtId="0" fontId="0" fillId="0" borderId="0" xfId="0" applyBorder="1" applyAlignment="1">
      <alignment horizontal="left"/>
    </xf>
    <xf numFmtId="5" fontId="0" fillId="34" borderId="16" xfId="0" applyNumberFormat="1" applyFill="1" applyBorder="1" applyAlignment="1">
      <alignment/>
    </xf>
    <xf numFmtId="168" fontId="0" fillId="0" borderId="29" xfId="0" applyNumberFormat="1" applyFont="1" applyBorder="1" applyAlignment="1">
      <alignment/>
    </xf>
    <xf numFmtId="168" fontId="0" fillId="0" borderId="30" xfId="0" applyNumberFormat="1" applyFont="1" applyBorder="1" applyAlignment="1">
      <alignment/>
    </xf>
    <xf numFmtId="168" fontId="0" fillId="34" borderId="16" xfId="0" applyNumberFormat="1" applyFont="1" applyFill="1" applyBorder="1" applyAlignment="1">
      <alignment/>
    </xf>
    <xf numFmtId="5" fontId="0" fillId="0" borderId="29" xfId="0" applyNumberFormat="1" applyFont="1" applyBorder="1" applyAlignment="1">
      <alignment/>
    </xf>
    <xf numFmtId="5" fontId="0" fillId="0" borderId="30" xfId="0" applyNumberFormat="1" applyFont="1" applyBorder="1" applyAlignment="1">
      <alignment/>
    </xf>
    <xf numFmtId="5" fontId="1" fillId="34" borderId="16" xfId="0" applyNumberFormat="1" applyFont="1" applyFill="1" applyBorder="1" applyAlignment="1">
      <alignment/>
    </xf>
    <xf numFmtId="5" fontId="0" fillId="0" borderId="29" xfId="0" applyNumberFormat="1" applyBorder="1" applyAlignment="1">
      <alignment/>
    </xf>
    <xf numFmtId="5" fontId="0" fillId="0" borderId="30" xfId="0" applyNumberFormat="1" applyBorder="1" applyAlignment="1">
      <alignment/>
    </xf>
    <xf numFmtId="5" fontId="3" fillId="0" borderId="16" xfId="0" applyNumberFormat="1" applyFont="1" applyBorder="1" applyAlignment="1">
      <alignment/>
    </xf>
    <xf numFmtId="0" fontId="0" fillId="34" borderId="17" xfId="0" applyFill="1" applyBorder="1" applyAlignment="1">
      <alignment/>
    </xf>
    <xf numFmtId="0" fontId="0" fillId="0" borderId="12" xfId="0" applyFill="1" applyBorder="1" applyAlignment="1">
      <alignment/>
    </xf>
    <xf numFmtId="0" fontId="0" fillId="0" borderId="9" xfId="0" applyFill="1" applyBorder="1" applyAlignment="1">
      <alignment/>
    </xf>
    <xf numFmtId="37" fontId="0" fillId="0" borderId="22" xfId="0" applyNumberFormat="1" applyBorder="1" applyAlignment="1">
      <alignment horizontal="center"/>
    </xf>
    <xf numFmtId="37" fontId="2" fillId="0" borderId="23" xfId="0" applyNumberFormat="1" applyFont="1" applyBorder="1" applyAlignment="1">
      <alignment/>
    </xf>
    <xf numFmtId="7" fontId="0" fillId="0" borderId="23" xfId="0" applyNumberFormat="1" applyBorder="1" applyAlignment="1">
      <alignment/>
    </xf>
    <xf numFmtId="10" fontId="2" fillId="0" borderId="23" xfId="0" applyNumberFormat="1" applyFont="1" applyBorder="1" applyAlignment="1">
      <alignment/>
    </xf>
    <xf numFmtId="37" fontId="13" fillId="0" borderId="23" xfId="0" applyNumberFormat="1" applyFont="1" applyBorder="1" applyAlignment="1">
      <alignment/>
    </xf>
    <xf numFmtId="5" fontId="0" fillId="0" borderId="24" xfId="0" applyNumberFormat="1" applyBorder="1" applyAlignment="1">
      <alignment/>
    </xf>
    <xf numFmtId="10" fontId="1" fillId="0" borderId="23" xfId="0" applyNumberFormat="1" applyFont="1" applyBorder="1" applyAlignment="1">
      <alignment/>
    </xf>
    <xf numFmtId="5" fontId="13" fillId="0" borderId="23" xfId="0" applyNumberFormat="1" applyFont="1" applyBorder="1" applyAlignment="1">
      <alignment/>
    </xf>
    <xf numFmtId="5" fontId="5" fillId="0" borderId="23" xfId="0" applyNumberFormat="1" applyFont="1" applyBorder="1" applyAlignment="1">
      <alignment/>
    </xf>
    <xf numFmtId="5" fontId="1" fillId="0" borderId="23" xfId="0" applyNumberFormat="1" applyFont="1" applyBorder="1" applyAlignment="1">
      <alignment/>
    </xf>
    <xf numFmtId="5" fontId="0" fillId="0" borderId="23" xfId="0" applyNumberFormat="1" applyFont="1" applyBorder="1" applyAlignment="1">
      <alignment/>
    </xf>
    <xf numFmtId="37" fontId="0" fillId="0" borderId="12" xfId="0" applyNumberFormat="1" applyFill="1" applyBorder="1" applyAlignment="1">
      <alignment horizontal="center"/>
    </xf>
    <xf numFmtId="5" fontId="1" fillId="0" borderId="0" xfId="0" applyNumberFormat="1" applyFont="1" applyFill="1" applyBorder="1" applyAlignment="1">
      <alignment/>
    </xf>
    <xf numFmtId="9" fontId="1" fillId="0" borderId="0" xfId="0" applyNumberFormat="1" applyFont="1" applyFill="1" applyBorder="1" applyAlignment="1">
      <alignment/>
    </xf>
    <xf numFmtId="169" fontId="3" fillId="0" borderId="0" xfId="0" applyNumberFormat="1" applyFont="1" applyBorder="1" applyAlignment="1">
      <alignment/>
    </xf>
    <xf numFmtId="5" fontId="17" fillId="0" borderId="0" xfId="0" applyNumberFormat="1" applyFont="1" applyBorder="1" applyAlignment="1">
      <alignment/>
    </xf>
    <xf numFmtId="49" fontId="0" fillId="0" borderId="0" xfId="0" applyNumberFormat="1" applyFont="1" applyAlignment="1">
      <alignment horizontal="center" wrapText="1"/>
    </xf>
    <xf numFmtId="49" fontId="0" fillId="0" borderId="0" xfId="61" applyNumberFormat="1" applyFont="1" applyBorder="1" applyAlignment="1" quotePrefix="1">
      <alignment wrapText="1"/>
    </xf>
    <xf numFmtId="49" fontId="0" fillId="0" borderId="0" xfId="60" applyNumberFormat="1" applyFont="1" applyBorder="1" applyAlignment="1">
      <alignment wrapText="1"/>
    </xf>
    <xf numFmtId="49" fontId="0" fillId="0" borderId="0" xfId="61" applyNumberFormat="1" applyFont="1" applyAlignment="1" quotePrefix="1">
      <alignment horizontal="center" wrapText="1"/>
    </xf>
    <xf numFmtId="49" fontId="0" fillId="0" borderId="0" xfId="60" applyNumberFormat="1" applyFont="1" applyAlignment="1">
      <alignment horizontal="center" wrapText="1"/>
    </xf>
    <xf numFmtId="39" fontId="0" fillId="0" borderId="0" xfId="62" applyNumberFormat="1" applyFont="1" applyAlignment="1">
      <alignment wrapText="1"/>
    </xf>
    <xf numFmtId="49" fontId="0" fillId="0" borderId="0" xfId="61" applyNumberFormat="1" applyFont="1" applyAlignment="1" quotePrefix="1">
      <alignment wrapText="1"/>
    </xf>
    <xf numFmtId="49" fontId="0" fillId="0" borderId="0" xfId="60" applyNumberFormat="1" applyFont="1" applyAlignment="1">
      <alignment wrapText="1"/>
    </xf>
    <xf numFmtId="0" fontId="27" fillId="0" borderId="0" xfId="0" applyFont="1" applyAlignment="1">
      <alignment horizontal="center"/>
    </xf>
    <xf numFmtId="10" fontId="1" fillId="0" borderId="16" xfId="0" applyNumberFormat="1" applyFont="1" applyBorder="1" applyAlignment="1">
      <alignment/>
    </xf>
    <xf numFmtId="49" fontId="28" fillId="0" borderId="0" xfId="0" applyNumberFormat="1" applyFont="1" applyAlignment="1">
      <alignment horizontal="center" wrapText="1"/>
    </xf>
    <xf numFmtId="5" fontId="11" fillId="0" borderId="0" xfId="0" applyNumberFormat="1" applyFont="1" applyAlignment="1">
      <alignment/>
    </xf>
    <xf numFmtId="49" fontId="0" fillId="0" borderId="0" xfId="60" applyNumberFormat="1" applyFont="1" applyAlignment="1">
      <alignment horizontal="left" wrapText="1"/>
    </xf>
    <xf numFmtId="49" fontId="7" fillId="0" borderId="0" xfId="61" applyNumberFormat="1" applyFont="1" applyAlignment="1" quotePrefix="1">
      <alignment horizontal="center"/>
    </xf>
    <xf numFmtId="49" fontId="10" fillId="0" borderId="0" xfId="61" applyNumberFormat="1" applyFont="1" applyAlignment="1" quotePrefix="1">
      <alignment horizontal="center" wrapText="1"/>
    </xf>
    <xf numFmtId="39" fontId="3" fillId="0" borderId="0" xfId="62" applyNumberFormat="1" applyFont="1" applyAlignment="1">
      <alignment wrapText="1"/>
    </xf>
    <xf numFmtId="49" fontId="29" fillId="0" borderId="0" xfId="60" applyNumberFormat="1" applyFont="1" applyAlignment="1">
      <alignment horizontal="center" wrapText="1"/>
    </xf>
    <xf numFmtId="49" fontId="31" fillId="0" borderId="0" xfId="0" applyNumberFormat="1" applyFont="1" applyAlignment="1">
      <alignment horizontal="center" wrapText="1"/>
    </xf>
    <xf numFmtId="5" fontId="19" fillId="0" borderId="0" xfId="0" applyNumberFormat="1" applyFont="1" applyAlignment="1">
      <alignment horizontal="center"/>
    </xf>
    <xf numFmtId="49" fontId="32" fillId="0" borderId="0" xfId="0" applyNumberFormat="1" applyFont="1" applyAlignment="1">
      <alignment horizontal="center" wrapText="1"/>
    </xf>
    <xf numFmtId="167" fontId="0" fillId="0" borderId="0" xfId="0" applyNumberFormat="1" applyAlignment="1">
      <alignment/>
    </xf>
    <xf numFmtId="5" fontId="1" fillId="0" borderId="0" xfId="0" applyNumberFormat="1" applyFont="1" applyAlignment="1">
      <alignment/>
    </xf>
    <xf numFmtId="10" fontId="1" fillId="0" borderId="0" xfId="0" applyNumberFormat="1" applyFont="1" applyAlignment="1">
      <alignment/>
    </xf>
    <xf numFmtId="37" fontId="0" fillId="0" borderId="0" xfId="0" applyNumberFormat="1" applyFont="1" applyFill="1" applyBorder="1" applyAlignment="1">
      <alignment/>
    </xf>
    <xf numFmtId="49" fontId="7" fillId="0" borderId="0" xfId="61" applyNumberFormat="1" applyFont="1" applyAlignment="1" quotePrefix="1">
      <alignment horizontal="center" wrapText="1"/>
    </xf>
    <xf numFmtId="0" fontId="3" fillId="0" borderId="0" xfId="0" applyNumberFormat="1" applyFont="1" applyAlignment="1">
      <alignment horizontal="center"/>
    </xf>
    <xf numFmtId="49" fontId="30" fillId="0" borderId="0" xfId="0" applyNumberFormat="1" applyFont="1" applyAlignment="1">
      <alignment horizontal="center" wrapText="1"/>
    </xf>
    <xf numFmtId="10" fontId="5" fillId="0" borderId="0" xfId="0" applyNumberFormat="1" applyFont="1" applyBorder="1" applyAlignment="1">
      <alignment/>
    </xf>
    <xf numFmtId="10" fontId="10" fillId="0" borderId="0" xfId="0" applyNumberFormat="1" applyFont="1" applyBorder="1" applyAlignment="1">
      <alignment/>
    </xf>
    <xf numFmtId="49" fontId="10" fillId="0" borderId="0" xfId="0" applyNumberFormat="1" applyFont="1" applyBorder="1" applyAlignment="1">
      <alignment horizontal="center" wrapText="1"/>
    </xf>
    <xf numFmtId="167" fontId="10" fillId="0" borderId="0" xfId="0" applyNumberFormat="1" applyFont="1" applyBorder="1" applyAlignment="1">
      <alignment/>
    </xf>
    <xf numFmtId="39" fontId="0" fillId="0" borderId="0" xfId="62" applyNumberFormat="1" applyFont="1" applyAlignment="1">
      <alignment horizontal="right"/>
    </xf>
    <xf numFmtId="39" fontId="0" fillId="0" borderId="0" xfId="62" applyNumberFormat="1" applyFont="1" applyAlignment="1">
      <alignment horizontal="right" wrapText="1"/>
    </xf>
    <xf numFmtId="39" fontId="0" fillId="0" borderId="0" xfId="62" applyNumberFormat="1" applyFont="1" applyBorder="1" applyAlignment="1">
      <alignment wrapText="1"/>
    </xf>
    <xf numFmtId="39" fontId="0" fillId="0" borderId="0" xfId="0" applyNumberFormat="1" applyAlignment="1">
      <alignment wrapText="1"/>
    </xf>
    <xf numFmtId="0" fontId="33" fillId="0" borderId="0" xfId="0" applyFont="1" applyAlignment="1">
      <alignment horizontal="center"/>
    </xf>
    <xf numFmtId="37" fontId="0" fillId="0" borderId="31" xfId="0" applyNumberFormat="1" applyBorder="1" applyAlignment="1">
      <alignment horizontal="center"/>
    </xf>
    <xf numFmtId="176" fontId="0" fillId="0" borderId="20" xfId="0" applyNumberFormat="1" applyBorder="1" applyAlignment="1">
      <alignment/>
    </xf>
    <xf numFmtId="49" fontId="10" fillId="0" borderId="0" xfId="61" applyNumberFormat="1" applyFont="1" applyAlignment="1" quotePrefix="1">
      <alignment wrapText="1"/>
    </xf>
    <xf numFmtId="37" fontId="10" fillId="0" borderId="0" xfId="0" applyNumberFormat="1" applyFont="1" applyBorder="1" applyAlignment="1">
      <alignment/>
    </xf>
    <xf numFmtId="37" fontId="5" fillId="0" borderId="0" xfId="0" applyNumberFormat="1" applyFont="1" applyBorder="1" applyAlignment="1">
      <alignment/>
    </xf>
    <xf numFmtId="5" fontId="2" fillId="0" borderId="16" xfId="0" applyNumberFormat="1" applyFont="1" applyBorder="1" applyAlignment="1">
      <alignment/>
    </xf>
    <xf numFmtId="49" fontId="0" fillId="0" borderId="0" xfId="0" applyNumberFormat="1" applyFill="1" applyAlignment="1">
      <alignment horizontal="left"/>
    </xf>
    <xf numFmtId="0" fontId="2" fillId="0" borderId="0" xfId="0" applyFont="1" applyFill="1" applyAlignment="1">
      <alignment/>
    </xf>
    <xf numFmtId="49" fontId="34" fillId="0" borderId="15" xfId="0" applyNumberFormat="1" applyFont="1" applyBorder="1" applyAlignment="1">
      <alignment wrapText="1"/>
    </xf>
    <xf numFmtId="37" fontId="0" fillId="0" borderId="0" xfId="0" applyNumberFormat="1" applyAlignment="1">
      <alignment horizontal="right"/>
    </xf>
    <xf numFmtId="5" fontId="0" fillId="0" borderId="0" xfId="0" applyNumberFormat="1" applyAlignment="1">
      <alignment horizontal="right"/>
    </xf>
    <xf numFmtId="7" fontId="3" fillId="0" borderId="0" xfId="0" applyNumberFormat="1" applyFont="1" applyAlignment="1">
      <alignment wrapText="1"/>
    </xf>
    <xf numFmtId="49" fontId="35" fillId="0" borderId="0" xfId="0" applyNumberFormat="1" applyFont="1" applyAlignment="1">
      <alignment horizontal="center" wrapText="1"/>
    </xf>
    <xf numFmtId="49" fontId="27" fillId="0" borderId="0" xfId="0" applyNumberFormat="1" applyFont="1" applyAlignment="1">
      <alignment horizontal="center" wrapText="1"/>
    </xf>
    <xf numFmtId="49" fontId="30" fillId="0" borderId="0" xfId="0" applyNumberFormat="1" applyFont="1" applyAlignment="1">
      <alignment horizontal="right" wrapText="1"/>
    </xf>
    <xf numFmtId="5" fontId="0" fillId="0" borderId="0" xfId="0" applyNumberFormat="1" applyFont="1" applyFill="1" applyBorder="1" applyAlignment="1">
      <alignment/>
    </xf>
    <xf numFmtId="5" fontId="5" fillId="0" borderId="0" xfId="0" applyNumberFormat="1" applyFont="1" applyBorder="1" applyAlignment="1">
      <alignment/>
    </xf>
    <xf numFmtId="37" fontId="5" fillId="0" borderId="0" xfId="0" applyNumberFormat="1" applyFont="1" applyBorder="1" applyAlignment="1">
      <alignment horizontal="right"/>
    </xf>
    <xf numFmtId="37" fontId="7" fillId="0" borderId="19" xfId="0" applyNumberFormat="1" applyFont="1" applyBorder="1" applyAlignment="1">
      <alignment/>
    </xf>
    <xf numFmtId="5" fontId="7" fillId="0" borderId="19" xfId="0" applyNumberFormat="1" applyFont="1" applyBorder="1" applyAlignment="1">
      <alignment/>
    </xf>
    <xf numFmtId="10" fontId="7" fillId="0" borderId="0" xfId="0" applyNumberFormat="1" applyFont="1" applyBorder="1" applyAlignment="1">
      <alignment/>
    </xf>
    <xf numFmtId="0" fontId="18" fillId="0" borderId="0" xfId="0" applyFont="1" applyBorder="1" applyAlignment="1">
      <alignment horizontal="center"/>
    </xf>
    <xf numFmtId="37" fontId="7" fillId="0" borderId="9" xfId="0" applyNumberFormat="1" applyFont="1" applyBorder="1" applyAlignment="1">
      <alignment/>
    </xf>
    <xf numFmtId="5" fontId="7" fillId="0" borderId="9" xfId="0" applyNumberFormat="1" applyFont="1" applyBorder="1" applyAlignment="1">
      <alignment/>
    </xf>
    <xf numFmtId="49" fontId="5" fillId="0" borderId="0" xfId="0" applyNumberFormat="1" applyFont="1" applyAlignment="1">
      <alignment wrapText="1"/>
    </xf>
    <xf numFmtId="0" fontId="5" fillId="0" borderId="0" xfId="0" applyFont="1" applyAlignment="1">
      <alignment/>
    </xf>
    <xf numFmtId="7" fontId="5" fillId="0" borderId="0" xfId="0" applyNumberFormat="1" applyFont="1" applyAlignment="1">
      <alignment/>
    </xf>
    <xf numFmtId="15" fontId="0" fillId="0" borderId="0" xfId="61" applyFont="1" applyAlignment="1" quotePrefix="1">
      <alignment/>
    </xf>
    <xf numFmtId="0" fontId="0" fillId="0" borderId="0" xfId="60" applyFont="1" applyAlignment="1">
      <alignment/>
    </xf>
    <xf numFmtId="4" fontId="0" fillId="0" borderId="0" xfId="62" applyFont="1" applyAlignment="1">
      <alignment/>
    </xf>
    <xf numFmtId="15" fontId="10" fillId="0" borderId="0" xfId="61" applyFont="1" applyAlignment="1" quotePrefix="1">
      <alignment/>
    </xf>
    <xf numFmtId="0" fontId="0" fillId="0" borderId="0" xfId="60" applyFont="1" applyAlignment="1">
      <alignment horizontal="center"/>
    </xf>
    <xf numFmtId="7" fontId="3" fillId="0" borderId="0" xfId="0" applyNumberFormat="1" applyFont="1" applyFill="1" applyAlignment="1">
      <alignment wrapText="1"/>
    </xf>
    <xf numFmtId="0" fontId="0" fillId="0" borderId="0" xfId="0" applyAlignment="1">
      <alignment wrapText="1"/>
    </xf>
    <xf numFmtId="0" fontId="3" fillId="0" borderId="32" xfId="0" applyFont="1" applyBorder="1" applyAlignment="1">
      <alignment horizontal="center" wrapText="1"/>
    </xf>
    <xf numFmtId="0" fontId="3" fillId="0" borderId="21" xfId="0" applyFont="1" applyBorder="1" applyAlignment="1">
      <alignment horizontal="center" wrapText="1"/>
    </xf>
    <xf numFmtId="0" fontId="3" fillId="0" borderId="32" xfId="0" applyFont="1" applyBorder="1" applyAlignment="1">
      <alignment horizontal="center"/>
    </xf>
    <xf numFmtId="0" fontId="3" fillId="0" borderId="21" xfId="0" applyFont="1" applyBorder="1" applyAlignment="1">
      <alignment horizontal="center"/>
    </xf>
    <xf numFmtId="0" fontId="3" fillId="0" borderId="33" xfId="0" applyFont="1" applyBorder="1" applyAlignment="1">
      <alignment horizontal="center"/>
    </xf>
    <xf numFmtId="0" fontId="0" fillId="0" borderId="23" xfId="0" applyBorder="1" applyAlignment="1">
      <alignment horizontal="center" vertical="center"/>
    </xf>
    <xf numFmtId="177" fontId="0" fillId="0" borderId="23" xfId="42" applyNumberFormat="1" applyFont="1" applyBorder="1" applyAlignment="1">
      <alignment/>
    </xf>
    <xf numFmtId="168" fontId="0" fillId="0" borderId="24" xfId="59" applyNumberFormat="1" applyFont="1" applyBorder="1" applyAlignment="1">
      <alignment/>
    </xf>
    <xf numFmtId="0" fontId="3" fillId="0" borderId="11" xfId="0" applyFont="1" applyBorder="1" applyAlignment="1">
      <alignment horizontal="center"/>
    </xf>
    <xf numFmtId="0" fontId="0" fillId="0" borderId="15" xfId="0" applyBorder="1" applyAlignment="1">
      <alignment wrapText="1"/>
    </xf>
    <xf numFmtId="0" fontId="1" fillId="0" borderId="15" xfId="0" applyFont="1" applyBorder="1" applyAlignment="1">
      <alignment horizontal="center"/>
    </xf>
    <xf numFmtId="177" fontId="0" fillId="0" borderId="23" xfId="42" applyNumberFormat="1" applyFont="1" applyBorder="1" applyAlignment="1" quotePrefix="1">
      <alignment horizontal="center"/>
    </xf>
    <xf numFmtId="0" fontId="36" fillId="0" borderId="0" xfId="0" applyFont="1" applyAlignment="1">
      <alignment horizontal="center"/>
    </xf>
    <xf numFmtId="49" fontId="0" fillId="0" borderId="18" xfId="60" applyNumberFormat="1" applyFont="1" applyBorder="1" applyAlignment="1">
      <alignment horizontal="center" wrapText="1"/>
    </xf>
    <xf numFmtId="0" fontId="0" fillId="33" borderId="19" xfId="60" applyFont="1" applyFill="1" applyBorder="1" applyAlignment="1">
      <alignment/>
    </xf>
    <xf numFmtId="0" fontId="0" fillId="33" borderId="12" xfId="60" applyFont="1" applyFill="1" applyBorder="1" applyAlignment="1">
      <alignment/>
    </xf>
    <xf numFmtId="0" fontId="0" fillId="0" borderId="19" xfId="60" applyFont="1" applyBorder="1" applyAlignment="1">
      <alignment horizontal="center"/>
    </xf>
    <xf numFmtId="0" fontId="0" fillId="0" borderId="12" xfId="60" applyFont="1" applyBorder="1" applyAlignment="1">
      <alignment/>
    </xf>
    <xf numFmtId="4" fontId="0" fillId="33" borderId="19" xfId="62" applyFont="1" applyFill="1" applyBorder="1" applyAlignment="1">
      <alignment/>
    </xf>
    <xf numFmtId="4" fontId="0" fillId="33" borderId="12" xfId="62" applyFont="1" applyFill="1" applyBorder="1" applyAlignment="1">
      <alignment/>
    </xf>
    <xf numFmtId="5" fontId="13" fillId="0" borderId="16" xfId="0" applyNumberFormat="1" applyFont="1" applyFill="1" applyBorder="1" applyAlignment="1">
      <alignment/>
    </xf>
    <xf numFmtId="5" fontId="2" fillId="0" borderId="16" xfId="0" applyNumberFormat="1" applyFont="1" applyFill="1" applyBorder="1" applyAlignment="1">
      <alignment/>
    </xf>
    <xf numFmtId="169" fontId="0" fillId="0" borderId="0" xfId="59" applyNumberFormat="1" applyFont="1" applyAlignment="1">
      <alignment/>
    </xf>
    <xf numFmtId="177" fontId="0" fillId="0" borderId="0" xfId="42" applyNumberFormat="1" applyFont="1" applyAlignment="1">
      <alignment/>
    </xf>
    <xf numFmtId="5" fontId="0" fillId="35" borderId="16" xfId="0" applyNumberFormat="1" applyFill="1" applyBorder="1" applyAlignment="1">
      <alignment/>
    </xf>
    <xf numFmtId="5" fontId="0" fillId="35" borderId="0" xfId="0" applyNumberFormat="1" applyFill="1" applyBorder="1" applyAlignment="1">
      <alignment/>
    </xf>
    <xf numFmtId="5" fontId="0" fillId="35" borderId="23" xfId="0" applyNumberFormat="1" applyFill="1" applyBorder="1" applyAlignment="1">
      <alignment/>
    </xf>
    <xf numFmtId="5" fontId="5" fillId="35" borderId="16" xfId="0" applyNumberFormat="1" applyFont="1" applyFill="1" applyBorder="1" applyAlignment="1">
      <alignment/>
    </xf>
    <xf numFmtId="5" fontId="13" fillId="35" borderId="16" xfId="0" applyNumberFormat="1" applyFont="1" applyFill="1" applyBorder="1" applyAlignment="1">
      <alignment/>
    </xf>
    <xf numFmtId="43" fontId="0" fillId="0" borderId="0" xfId="42" applyFont="1" applyAlignment="1">
      <alignment/>
    </xf>
    <xf numFmtId="5" fontId="14" fillId="0" borderId="16" xfId="0" applyNumberFormat="1" applyFont="1" applyFill="1" applyBorder="1" applyAlignment="1">
      <alignment/>
    </xf>
    <xf numFmtId="5" fontId="14" fillId="0" borderId="0" xfId="0" applyNumberFormat="1" applyFont="1" applyFill="1" applyAlignment="1">
      <alignment/>
    </xf>
    <xf numFmtId="0" fontId="0" fillId="0" borderId="0" xfId="60" applyFont="1" applyAlignment="1">
      <alignment horizontal="left" wrapText="1"/>
    </xf>
    <xf numFmtId="0" fontId="0" fillId="0" borderId="0" xfId="60" applyFont="1" applyAlignment="1" quotePrefix="1">
      <alignment horizontal="center"/>
    </xf>
    <xf numFmtId="5" fontId="0" fillId="0" borderId="21" xfId="0" applyNumberFormat="1" applyBorder="1" applyAlignment="1">
      <alignment/>
    </xf>
    <xf numFmtId="37" fontId="17" fillId="0" borderId="23" xfId="0" applyNumberFormat="1" applyFont="1" applyFill="1" applyBorder="1" applyAlignment="1">
      <alignment/>
    </xf>
    <xf numFmtId="37" fontId="0" fillId="0" borderId="23" xfId="0" applyNumberFormat="1" applyBorder="1" applyAlignment="1">
      <alignment/>
    </xf>
    <xf numFmtId="1" fontId="0" fillId="0" borderId="0" xfId="0" applyNumberFormat="1" applyAlignment="1">
      <alignment/>
    </xf>
    <xf numFmtId="5" fontId="0" fillId="37" borderId="0" xfId="0" applyNumberFormat="1" applyFill="1" applyAlignment="1">
      <alignment/>
    </xf>
    <xf numFmtId="0" fontId="0" fillId="0" borderId="0" xfId="60" applyFont="1" applyAlignment="1" quotePrefix="1">
      <alignment horizontal="center" wrapText="1"/>
    </xf>
    <xf numFmtId="7" fontId="0" fillId="0" borderId="0" xfId="0" applyNumberFormat="1" applyFont="1" applyBorder="1" applyAlignment="1">
      <alignment/>
    </xf>
    <xf numFmtId="0" fontId="3" fillId="0" borderId="0" xfId="0" applyFont="1" applyBorder="1" applyAlignment="1">
      <alignment horizontal="left"/>
    </xf>
    <xf numFmtId="5" fontId="5" fillId="0" borderId="34" xfId="0" applyNumberFormat="1" applyFont="1" applyBorder="1" applyAlignment="1">
      <alignment/>
    </xf>
    <xf numFmtId="177" fontId="5" fillId="0" borderId="0" xfId="42" applyNumberFormat="1" applyFont="1" applyAlignment="1">
      <alignment/>
    </xf>
    <xf numFmtId="177" fontId="7" fillId="0" borderId="0" xfId="42" applyNumberFormat="1" applyFont="1" applyAlignment="1">
      <alignment/>
    </xf>
    <xf numFmtId="0" fontId="0" fillId="0" borderId="0" xfId="0" applyFont="1" applyBorder="1" applyAlignment="1">
      <alignment/>
    </xf>
    <xf numFmtId="5" fontId="2" fillId="0" borderId="0" xfId="0" applyNumberFormat="1" applyFont="1" applyBorder="1" applyAlignment="1">
      <alignment/>
    </xf>
    <xf numFmtId="37" fontId="3" fillId="0" borderId="0" xfId="0" applyNumberFormat="1" applyFont="1" applyBorder="1" applyAlignment="1">
      <alignment/>
    </xf>
    <xf numFmtId="0" fontId="0" fillId="0" borderId="23" xfId="0" applyFont="1" applyBorder="1" applyAlignment="1">
      <alignment/>
    </xf>
    <xf numFmtId="0" fontId="3" fillId="0" borderId="23" xfId="0" applyFont="1" applyBorder="1" applyAlignment="1">
      <alignment/>
    </xf>
    <xf numFmtId="37" fontId="10" fillId="10" borderId="0" xfId="0" applyNumberFormat="1" applyFont="1" applyFill="1" applyBorder="1" applyAlignment="1">
      <alignment/>
    </xf>
    <xf numFmtId="5" fontId="10" fillId="10" borderId="0" xfId="0" applyNumberFormat="1" applyFont="1" applyFill="1" applyBorder="1" applyAlignment="1">
      <alignment/>
    </xf>
    <xf numFmtId="37" fontId="5" fillId="10" borderId="0" xfId="0" applyNumberFormat="1" applyFont="1" applyFill="1" applyBorder="1" applyAlignment="1">
      <alignment/>
    </xf>
    <xf numFmtId="5" fontId="5" fillId="10" borderId="0" xfId="0" applyNumberFormat="1" applyFont="1" applyFill="1" applyBorder="1" applyAlignment="1">
      <alignment/>
    </xf>
    <xf numFmtId="5" fontId="4" fillId="10" borderId="16" xfId="0" applyNumberFormat="1" applyFont="1" applyFill="1" applyBorder="1" applyAlignment="1">
      <alignment/>
    </xf>
    <xf numFmtId="5" fontId="2" fillId="10" borderId="16" xfId="0" applyNumberFormat="1" applyFont="1" applyFill="1" applyBorder="1" applyAlignment="1">
      <alignment/>
    </xf>
    <xf numFmtId="170" fontId="10" fillId="10" borderId="24" xfId="0" applyNumberFormat="1" applyFont="1" applyFill="1" applyBorder="1" applyAlignment="1">
      <alignment/>
    </xf>
    <xf numFmtId="37" fontId="2" fillId="10" borderId="0" xfId="0" applyNumberFormat="1" applyFont="1" applyFill="1" applyBorder="1" applyAlignment="1">
      <alignment/>
    </xf>
    <xf numFmtId="168" fontId="2" fillId="10" borderId="0" xfId="0" applyNumberFormat="1" applyFont="1" applyFill="1" applyBorder="1" applyAlignment="1">
      <alignment/>
    </xf>
    <xf numFmtId="168" fontId="0" fillId="10" borderId="0" xfId="0" applyNumberFormat="1" applyFill="1" applyBorder="1" applyAlignment="1">
      <alignment/>
    </xf>
    <xf numFmtId="168" fontId="3" fillId="10" borderId="0" xfId="0" applyNumberFormat="1" applyFont="1" applyFill="1" applyBorder="1" applyAlignment="1">
      <alignment/>
    </xf>
    <xf numFmtId="5" fontId="0" fillId="10" borderId="16" xfId="0" applyNumberFormat="1" applyFill="1" applyBorder="1" applyAlignment="1">
      <alignment/>
    </xf>
    <xf numFmtId="5" fontId="0" fillId="10" borderId="30" xfId="0" applyNumberFormat="1" applyFill="1" applyBorder="1" applyAlignment="1">
      <alignment/>
    </xf>
    <xf numFmtId="37" fontId="0" fillId="16" borderId="0" xfId="0" applyNumberFormat="1" applyFont="1" applyFill="1" applyAlignment="1">
      <alignment/>
    </xf>
    <xf numFmtId="37" fontId="0" fillId="16" borderId="0" xfId="0" applyNumberFormat="1" applyFont="1" applyFill="1" applyAlignment="1">
      <alignment horizontal="right"/>
    </xf>
    <xf numFmtId="37" fontId="1" fillId="16" borderId="0" xfId="0" applyNumberFormat="1" applyFont="1" applyFill="1" applyAlignment="1">
      <alignment horizontal="right"/>
    </xf>
    <xf numFmtId="0" fontId="0" fillId="0" borderId="21" xfId="60" applyFont="1" applyBorder="1" applyAlignment="1">
      <alignment/>
    </xf>
    <xf numFmtId="37" fontId="0" fillId="0" borderId="23" xfId="0" applyNumberFormat="1" applyBorder="1" applyAlignment="1">
      <alignment horizontal="center"/>
    </xf>
    <xf numFmtId="37" fontId="0" fillId="0" borderId="23" xfId="0" applyNumberFormat="1" applyFont="1" applyBorder="1" applyAlignment="1">
      <alignment horizontal="center"/>
    </xf>
    <xf numFmtId="0" fontId="0" fillId="38" borderId="0" xfId="0" applyFill="1" applyAlignment="1">
      <alignment/>
    </xf>
    <xf numFmtId="5" fontId="0" fillId="10" borderId="29" xfId="0" applyNumberFormat="1" applyFont="1" applyFill="1" applyBorder="1" applyAlignment="1">
      <alignment/>
    </xf>
    <xf numFmtId="5" fontId="5" fillId="0" borderId="16" xfId="0" applyNumberFormat="1" applyFont="1" applyFill="1" applyBorder="1" applyAlignment="1">
      <alignment/>
    </xf>
    <xf numFmtId="49" fontId="3" fillId="0" borderId="0" xfId="0" applyNumberFormat="1" applyFont="1" applyAlignment="1">
      <alignment horizontal="center" wrapText="1"/>
    </xf>
    <xf numFmtId="49" fontId="0" fillId="0" borderId="0" xfId="0" applyNumberFormat="1" applyFont="1" applyAlignment="1">
      <alignment wrapText="1"/>
    </xf>
    <xf numFmtId="49" fontId="7" fillId="0" borderId="0" xfId="0" applyNumberFormat="1" applyFont="1" applyAlignment="1">
      <alignment horizontal="center"/>
    </xf>
    <xf numFmtId="49" fontId="0" fillId="0" borderId="0" xfId="0" applyNumberFormat="1" applyAlignment="1">
      <alignment horizontal="center"/>
    </xf>
    <xf numFmtId="49" fontId="3" fillId="0" borderId="0" xfId="0" applyNumberFormat="1" applyFont="1" applyAlignment="1">
      <alignment horizontal="center"/>
    </xf>
    <xf numFmtId="49" fontId="0" fillId="0" borderId="0" xfId="0" applyNumberFormat="1" applyAlignment="1">
      <alignment/>
    </xf>
    <xf numFmtId="49" fontId="0" fillId="0" borderId="0" xfId="0" applyNumberFormat="1" applyAlignment="1">
      <alignment horizontal="right"/>
    </xf>
    <xf numFmtId="49" fontId="10" fillId="0" borderId="0" xfId="0" applyNumberFormat="1" applyFont="1" applyAlignment="1">
      <alignment horizontal="center"/>
    </xf>
    <xf numFmtId="49" fontId="2" fillId="0" borderId="0" xfId="0" applyNumberFormat="1" applyFont="1" applyAlignment="1">
      <alignment/>
    </xf>
    <xf numFmtId="0" fontId="2" fillId="0" borderId="0" xfId="0" applyNumberFormat="1" applyFont="1" applyAlignment="1">
      <alignment horizontal="center"/>
    </xf>
    <xf numFmtId="0" fontId="0" fillId="0" borderId="0" xfId="0" applyNumberFormat="1" applyFont="1" applyAlignment="1">
      <alignment/>
    </xf>
    <xf numFmtId="49" fontId="0" fillId="0" borderId="0" xfId="0" applyNumberFormat="1" applyFont="1" applyAlignment="1">
      <alignment horizontal="center"/>
    </xf>
    <xf numFmtId="49" fontId="0" fillId="0" borderId="0" xfId="0" applyNumberFormat="1" applyFont="1" applyAlignment="1">
      <alignment/>
    </xf>
    <xf numFmtId="0" fontId="0" fillId="0" borderId="0" xfId="0" applyFont="1" applyAlignment="1">
      <alignment/>
    </xf>
    <xf numFmtId="0" fontId="0" fillId="0" borderId="0" xfId="0" applyAlignment="1">
      <alignment horizontal="left" wrapText="1"/>
    </xf>
    <xf numFmtId="49" fontId="2" fillId="0" borderId="0" xfId="0" applyNumberFormat="1" applyFont="1" applyAlignment="1">
      <alignment horizontal="center"/>
    </xf>
    <xf numFmtId="0" fontId="3"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Alignment="1">
      <alignment/>
    </xf>
    <xf numFmtId="0" fontId="0" fillId="0" borderId="0" xfId="0"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3"/>
  <sheetViews>
    <sheetView zoomScalePageLayoutView="0" workbookViewId="0" topLeftCell="A1">
      <pane ySplit="8" topLeftCell="A9" activePane="bottomLeft" state="frozen"/>
      <selection pane="topLeft" activeCell="H42" sqref="H42"/>
      <selection pane="bottomLeft" activeCell="J38" sqref="J38"/>
    </sheetView>
  </sheetViews>
  <sheetFormatPr defaultColWidth="9.140625" defaultRowHeight="12.75"/>
  <cols>
    <col min="1" max="1" width="3.7109375" style="0" customWidth="1"/>
    <col min="2" max="2" width="5.00390625" style="0" bestFit="1" customWidth="1"/>
    <col min="3" max="3" width="3.57421875" style="3" bestFit="1" customWidth="1"/>
    <col min="4" max="4" width="0.5625" style="0" customWidth="1"/>
    <col min="5" max="5" width="57.8515625" style="0" customWidth="1"/>
    <col min="6" max="6" width="0.5625" style="0" customWidth="1"/>
    <col min="7" max="7" width="14.00390625" style="0" bestFit="1" customWidth="1"/>
    <col min="8" max="8" width="5.7109375" style="0" customWidth="1"/>
    <col min="10" max="10" width="9.7109375" style="0" bestFit="1" customWidth="1"/>
  </cols>
  <sheetData>
    <row r="1" spans="1:7" ht="12.75">
      <c r="A1" s="251"/>
      <c r="B1" s="251"/>
      <c r="C1" s="251"/>
      <c r="D1" s="251"/>
      <c r="E1" s="251"/>
      <c r="F1" s="251"/>
      <c r="G1" s="251"/>
    </row>
    <row r="2" spans="1:7" ht="12.75">
      <c r="A2" t="s">
        <v>136</v>
      </c>
      <c r="E2" s="151"/>
      <c r="G2" s="3" t="s">
        <v>84</v>
      </c>
    </row>
    <row r="3" ht="12.75">
      <c r="E3" s="287"/>
    </row>
    <row r="5" ht="12.75">
      <c r="E5" s="125" t="s">
        <v>381</v>
      </c>
    </row>
    <row r="6" ht="12.75">
      <c r="E6" s="3" t="s">
        <v>806</v>
      </c>
    </row>
    <row r="7" ht="12.75">
      <c r="E7" s="174" t="s">
        <v>965</v>
      </c>
    </row>
    <row r="8" ht="12.75">
      <c r="E8" s="174" t="s">
        <v>432</v>
      </c>
    </row>
    <row r="9" ht="13.5" thickBot="1"/>
    <row r="10" spans="2:7" ht="12.75">
      <c r="B10" s="99"/>
      <c r="C10" s="74"/>
      <c r="D10" s="6"/>
      <c r="E10" s="132" t="s">
        <v>807</v>
      </c>
      <c r="F10" s="6"/>
      <c r="G10" s="7"/>
    </row>
    <row r="11" spans="2:7" ht="12.75">
      <c r="B11" s="102"/>
      <c r="C11" s="29"/>
      <c r="D11" s="11"/>
      <c r="E11" s="11"/>
      <c r="F11" s="11"/>
      <c r="G11" s="15"/>
    </row>
    <row r="12" spans="2:7" ht="12.75">
      <c r="B12" s="102"/>
      <c r="C12" s="29"/>
      <c r="D12" s="11"/>
      <c r="E12" s="29" t="s">
        <v>808</v>
      </c>
      <c r="F12" s="11"/>
      <c r="G12" s="15"/>
    </row>
    <row r="13" spans="2:7" ht="13.5" thickBot="1">
      <c r="B13" s="133"/>
      <c r="C13" s="9"/>
      <c r="D13" s="16"/>
      <c r="E13" s="16"/>
      <c r="F13" s="16"/>
      <c r="G13" s="17"/>
    </row>
    <row r="14" spans="2:7" ht="15" customHeight="1">
      <c r="B14" s="5" t="s">
        <v>805</v>
      </c>
      <c r="C14" s="53">
        <v>1</v>
      </c>
      <c r="D14" s="126"/>
      <c r="E14" s="6" t="s">
        <v>85</v>
      </c>
      <c r="F14" s="18"/>
      <c r="G14" s="506">
        <f>+'ES 3.00'!H44</f>
        <v>2588033.13</v>
      </c>
    </row>
    <row r="15" spans="2:7" ht="12.75">
      <c r="B15" s="102"/>
      <c r="C15" s="28"/>
      <c r="D15" s="47"/>
      <c r="E15" s="11"/>
      <c r="F15" s="20"/>
      <c r="G15" s="349"/>
    </row>
    <row r="16" spans="2:10" ht="12.75">
      <c r="B16" s="14" t="s">
        <v>805</v>
      </c>
      <c r="C16" s="28">
        <f>+C14+1</f>
        <v>2</v>
      </c>
      <c r="D16" s="47"/>
      <c r="E16" s="11" t="s">
        <v>727</v>
      </c>
      <c r="F16" s="20"/>
      <c r="G16" s="507">
        <v>3260302</v>
      </c>
      <c r="H16" s="157" t="s">
        <v>691</v>
      </c>
      <c r="J16" s="40"/>
    </row>
    <row r="17" spans="2:7" ht="12.75">
      <c r="B17" s="14"/>
      <c r="C17" s="28"/>
      <c r="D17" s="47"/>
      <c r="E17" s="11"/>
      <c r="F17" s="20"/>
      <c r="G17" s="349"/>
    </row>
    <row r="18" spans="2:7" ht="12.75">
      <c r="B18" s="14" t="s">
        <v>805</v>
      </c>
      <c r="C18" s="28">
        <f>+C16+1</f>
        <v>3</v>
      </c>
      <c r="D18" s="47"/>
      <c r="E18" s="11" t="s">
        <v>809</v>
      </c>
      <c r="F18" s="20"/>
      <c r="G18" s="349">
        <f>+G14-G16</f>
        <v>-672268.8700000001</v>
      </c>
    </row>
    <row r="19" spans="2:7" ht="12.75">
      <c r="B19" s="14"/>
      <c r="C19" s="28"/>
      <c r="D19" s="47"/>
      <c r="E19" s="11"/>
      <c r="F19" s="20"/>
      <c r="G19" s="508"/>
    </row>
    <row r="20" spans="2:7" ht="26.25">
      <c r="B20" s="14" t="s">
        <v>805</v>
      </c>
      <c r="C20" s="28">
        <f>+C18+1</f>
        <v>4</v>
      </c>
      <c r="D20" s="47"/>
      <c r="E20" s="128" t="s">
        <v>86</v>
      </c>
      <c r="F20" s="20"/>
      <c r="G20" s="354">
        <f>+'ES 3.30'!H15</f>
        <v>0.84</v>
      </c>
    </row>
    <row r="21" spans="2:7" ht="12.75">
      <c r="B21" s="14"/>
      <c r="C21" s="28"/>
      <c r="D21" s="47"/>
      <c r="E21" s="11"/>
      <c r="F21" s="20"/>
      <c r="G21" s="508"/>
    </row>
    <row r="22" spans="2:7" ht="12.75">
      <c r="B22" s="14" t="s">
        <v>805</v>
      </c>
      <c r="C22" s="28">
        <v>5</v>
      </c>
      <c r="D22" s="47"/>
      <c r="E22" s="11" t="s">
        <v>810</v>
      </c>
      <c r="F22" s="20"/>
      <c r="G22" s="394">
        <f>ROUND(G18*G20,0)</f>
        <v>-564706</v>
      </c>
    </row>
    <row r="23" spans="2:7" ht="12.75">
      <c r="B23" s="14"/>
      <c r="C23" s="28"/>
      <c r="D23" s="47"/>
      <c r="E23" s="11"/>
      <c r="F23" s="20"/>
      <c r="G23" s="394"/>
    </row>
    <row r="24" spans="2:7" ht="12.75">
      <c r="B24" s="14" t="s">
        <v>805</v>
      </c>
      <c r="C24" s="28">
        <f>C20+2</f>
        <v>6</v>
      </c>
      <c r="D24" s="47"/>
      <c r="E24" s="13" t="s">
        <v>721</v>
      </c>
      <c r="F24" s="20"/>
      <c r="G24" s="349">
        <f>+'ES 3.30'!H46*-1</f>
        <v>-110402.18000000005</v>
      </c>
    </row>
    <row r="25" spans="2:7" ht="12.75">
      <c r="B25" s="14"/>
      <c r="C25" s="28"/>
      <c r="D25" s="47"/>
      <c r="E25" s="11"/>
      <c r="F25" s="20"/>
      <c r="G25" s="508"/>
    </row>
    <row r="26" spans="2:7" ht="13.5" thickBot="1">
      <c r="B26" s="8" t="s">
        <v>805</v>
      </c>
      <c r="C26" s="28">
        <f>+C24+1</f>
        <v>7</v>
      </c>
      <c r="D26" s="105"/>
      <c r="E26" s="16" t="s">
        <v>648</v>
      </c>
      <c r="F26" s="21"/>
      <c r="G26" s="391">
        <f>+G22+G24</f>
        <v>-675108.18</v>
      </c>
    </row>
    <row r="27" spans="2:7" ht="12.75">
      <c r="B27" s="5"/>
      <c r="C27" s="53"/>
      <c r="D27" s="126"/>
      <c r="E27" s="6"/>
      <c r="F27" s="18"/>
      <c r="G27" s="129"/>
    </row>
    <row r="28" spans="2:7" ht="12.75">
      <c r="B28" s="14"/>
      <c r="C28" s="28"/>
      <c r="D28" s="47"/>
      <c r="E28" s="130" t="s">
        <v>811</v>
      </c>
      <c r="F28" s="20"/>
      <c r="G28" s="115"/>
    </row>
    <row r="29" spans="2:7" ht="13.5" thickBot="1">
      <c r="B29" s="8"/>
      <c r="C29" s="347"/>
      <c r="D29" s="105"/>
      <c r="E29" s="16"/>
      <c r="F29" s="21"/>
      <c r="G29" s="131"/>
    </row>
    <row r="30" spans="2:7" ht="15" customHeight="1">
      <c r="B30" s="5" t="s">
        <v>805</v>
      </c>
      <c r="C30" s="28">
        <f>+C26+1</f>
        <v>8</v>
      </c>
      <c r="D30" s="126"/>
      <c r="E30" s="6" t="s">
        <v>812</v>
      </c>
      <c r="F30" s="18"/>
      <c r="G30" s="127">
        <f>+G26</f>
        <v>-675108.18</v>
      </c>
    </row>
    <row r="31" spans="2:7" ht="12.75">
      <c r="B31" s="14"/>
      <c r="C31" s="28"/>
      <c r="D31" s="47"/>
      <c r="E31" s="11"/>
      <c r="F31" s="20"/>
      <c r="G31" s="115"/>
    </row>
    <row r="32" spans="2:7" ht="12.75">
      <c r="B32" s="14" t="s">
        <v>805</v>
      </c>
      <c r="C32" s="28">
        <f>+C30+1</f>
        <v>9</v>
      </c>
      <c r="D32" s="47"/>
      <c r="E32" s="11" t="s">
        <v>87</v>
      </c>
      <c r="F32" s="20"/>
      <c r="G32" s="87">
        <f>+'ES 3.30'!F15</f>
        <v>35398439.19</v>
      </c>
    </row>
    <row r="33" spans="2:7" ht="12.75">
      <c r="B33" s="14"/>
      <c r="C33" s="28"/>
      <c r="D33" s="47"/>
      <c r="E33" s="11"/>
      <c r="F33" s="20"/>
      <c r="G33" s="115"/>
    </row>
    <row r="34" spans="2:7" ht="26.25">
      <c r="B34" s="14" t="s">
        <v>805</v>
      </c>
      <c r="C34" s="28">
        <f>+C32+1</f>
        <v>10</v>
      </c>
      <c r="D34" s="47"/>
      <c r="E34" s="13" t="s">
        <v>434</v>
      </c>
      <c r="F34" s="20"/>
      <c r="G34" s="86">
        <f>ROUND(G30/G32,6)</f>
        <v>-0.019072</v>
      </c>
    </row>
    <row r="35" spans="2:7" ht="12.75">
      <c r="B35" s="14"/>
      <c r="C35" s="28"/>
      <c r="D35" s="47"/>
      <c r="E35" s="11"/>
      <c r="F35" s="20"/>
      <c r="G35" s="115"/>
    </row>
    <row r="36" spans="2:7" ht="13.5" thickBot="1">
      <c r="B36" s="8"/>
      <c r="C36" s="347"/>
      <c r="D36" s="105"/>
      <c r="E36" s="16"/>
      <c r="F36" s="21"/>
      <c r="G36" s="131"/>
    </row>
    <row r="37" spans="2:4" ht="12.75">
      <c r="B37" s="3"/>
      <c r="C37" s="91"/>
      <c r="D37" s="62"/>
    </row>
    <row r="38" ht="12.75">
      <c r="B38" s="3"/>
    </row>
    <row r="39" ht="12.75">
      <c r="E39" s="83" t="s">
        <v>973</v>
      </c>
    </row>
    <row r="40" ht="3" customHeight="1">
      <c r="E40" s="134" t="s">
        <v>819</v>
      </c>
    </row>
    <row r="44" ht="12.75">
      <c r="E44" t="s">
        <v>813</v>
      </c>
    </row>
    <row r="45" ht="3" customHeight="1">
      <c r="E45" s="134" t="s">
        <v>819</v>
      </c>
    </row>
    <row r="47" ht="12.75">
      <c r="E47" t="s">
        <v>962</v>
      </c>
    </row>
    <row r="49" ht="12.75" customHeight="1">
      <c r="E49" s="249" t="s">
        <v>974</v>
      </c>
    </row>
    <row r="50" ht="3" customHeight="1">
      <c r="E50" s="134" t="s">
        <v>819</v>
      </c>
    </row>
    <row r="53" spans="3:5" ht="12.75">
      <c r="C53" s="157" t="s">
        <v>691</v>
      </c>
      <c r="E53" t="s">
        <v>125</v>
      </c>
    </row>
  </sheetData>
  <sheetProtection/>
  <printOptions horizontalCentered="1"/>
  <pageMargins left="0" right="0" top="0.5" bottom="0"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pane ySplit="5" topLeftCell="A6" activePane="bottomLeft" state="frozen"/>
      <selection pane="topLeft" activeCell="E40" sqref="E40"/>
      <selection pane="bottomLeft" activeCell="J31" sqref="J31"/>
    </sheetView>
  </sheetViews>
  <sheetFormatPr defaultColWidth="9.140625" defaultRowHeight="12.75"/>
  <cols>
    <col min="1" max="1" width="2.28125" style="3" customWidth="1"/>
    <col min="2" max="2" width="33.00390625" style="0" customWidth="1"/>
    <col min="3" max="3" width="2.28125" style="0" customWidth="1"/>
    <col min="4" max="4" width="12.7109375" style="0" customWidth="1"/>
    <col min="5" max="5" width="2.28125" style="0" customWidth="1"/>
    <col min="6" max="6" width="12.7109375" style="0" customWidth="1"/>
    <col min="7" max="7" width="2.28125" style="0" customWidth="1"/>
    <col min="8" max="8" width="12.7109375" style="0" customWidth="1"/>
    <col min="9" max="9" width="2.28125" style="0" customWidth="1"/>
    <col min="10" max="10" width="12.28125" style="0" bestFit="1" customWidth="1"/>
    <col min="11" max="11" width="2.28125" style="0" customWidth="1"/>
    <col min="14" max="14" width="10.28125" style="0" bestFit="1" customWidth="1"/>
  </cols>
  <sheetData>
    <row r="1" ht="12.75">
      <c r="E1" s="147" t="s">
        <v>269</v>
      </c>
    </row>
    <row r="2" ht="12.75">
      <c r="E2" s="251" t="s">
        <v>291</v>
      </c>
    </row>
    <row r="3" ht="12.75">
      <c r="E3" s="291" t="s">
        <v>970</v>
      </c>
    </row>
    <row r="4" ht="12.75">
      <c r="E4" s="288"/>
    </row>
    <row r="5" spans="1:10" ht="39">
      <c r="A5" s="157"/>
      <c r="B5" s="294" t="s">
        <v>280</v>
      </c>
      <c r="D5" s="157" t="s">
        <v>281</v>
      </c>
      <c r="F5" s="157" t="s">
        <v>282</v>
      </c>
      <c r="H5" s="157" t="s">
        <v>286</v>
      </c>
      <c r="J5" s="157" t="s">
        <v>283</v>
      </c>
    </row>
    <row r="7" spans="1:10" ht="12.75">
      <c r="A7" s="125"/>
      <c r="B7" s="462" t="s">
        <v>939</v>
      </c>
      <c r="D7" s="284">
        <v>0</v>
      </c>
      <c r="E7" s="284"/>
      <c r="F7" s="284">
        <v>0</v>
      </c>
      <c r="G7" s="284"/>
      <c r="H7" s="284">
        <v>0</v>
      </c>
      <c r="J7" s="284">
        <f>+D7+F7+H7</f>
        <v>0</v>
      </c>
    </row>
    <row r="8" spans="1:10" ht="12.75">
      <c r="A8" s="125"/>
      <c r="B8" s="462"/>
      <c r="D8" s="284"/>
      <c r="E8" s="284"/>
      <c r="F8" s="284"/>
      <c r="G8" s="284"/>
      <c r="H8" s="284"/>
      <c r="J8" s="284"/>
    </row>
    <row r="9" spans="1:10" ht="12.75">
      <c r="A9" s="125"/>
      <c r="B9" s="462" t="s">
        <v>938</v>
      </c>
      <c r="D9" s="284">
        <v>0</v>
      </c>
      <c r="E9" s="284"/>
      <c r="F9" s="284">
        <v>6456.25</v>
      </c>
      <c r="G9" s="284"/>
      <c r="H9" s="284">
        <v>0</v>
      </c>
      <c r="J9" s="284">
        <f>+D9+F9+H9</f>
        <v>6456.25</v>
      </c>
    </row>
    <row r="10" spans="1:10" ht="12.75">
      <c r="A10" s="125"/>
      <c r="B10" s="462"/>
      <c r="D10" s="284"/>
      <c r="E10" s="284"/>
      <c r="F10" s="284"/>
      <c r="G10" s="284"/>
      <c r="H10" s="284"/>
      <c r="J10" s="284"/>
    </row>
    <row r="11" spans="1:10" ht="12.75">
      <c r="A11" s="125"/>
      <c r="B11" s="462" t="s">
        <v>944</v>
      </c>
      <c r="D11" s="284">
        <v>0</v>
      </c>
      <c r="E11" s="284"/>
      <c r="F11" s="284">
        <f>19763.78-42.63</f>
        <v>19721.149999999998</v>
      </c>
      <c r="G11" s="284"/>
      <c r="H11" s="284">
        <v>42.63</v>
      </c>
      <c r="J11" s="284">
        <f>+D11+F11+H11</f>
        <v>19763.78</v>
      </c>
    </row>
    <row r="12" spans="1:15" ht="12.75">
      <c r="A12" s="125"/>
      <c r="B12" s="462"/>
      <c r="D12" s="284"/>
      <c r="E12" s="284"/>
      <c r="F12" s="284"/>
      <c r="G12" s="284"/>
      <c r="H12" s="284"/>
      <c r="J12" s="284"/>
      <c r="O12" t="s">
        <v>136</v>
      </c>
    </row>
    <row r="13" spans="1:14" ht="12.75">
      <c r="A13" s="125"/>
      <c r="B13" s="463" t="s">
        <v>942</v>
      </c>
      <c r="D13" s="284">
        <v>0</v>
      </c>
      <c r="E13" s="284"/>
      <c r="F13" s="284">
        <v>0</v>
      </c>
      <c r="G13" s="284"/>
      <c r="H13" s="284">
        <v>0</v>
      </c>
      <c r="J13" s="284">
        <f>+D13+F13+H13</f>
        <v>0</v>
      </c>
      <c r="N13" s="284"/>
    </row>
    <row r="14" spans="1:14" ht="12.75">
      <c r="A14" s="125"/>
      <c r="B14" s="463"/>
      <c r="D14" s="284"/>
      <c r="E14" s="284"/>
      <c r="F14" s="284"/>
      <c r="G14" s="284"/>
      <c r="H14" s="284"/>
      <c r="J14" s="284"/>
      <c r="N14" s="284"/>
    </row>
    <row r="15" spans="1:10" ht="12.75">
      <c r="A15" s="125"/>
      <c r="B15" s="464" t="s">
        <v>943</v>
      </c>
      <c r="D15" s="284">
        <v>0</v>
      </c>
      <c r="E15" s="284"/>
      <c r="F15" s="284">
        <v>0</v>
      </c>
      <c r="G15" s="284"/>
      <c r="H15" s="284">
        <v>520</v>
      </c>
      <c r="J15" s="284">
        <f>+D15+F15+H15</f>
        <v>520</v>
      </c>
    </row>
    <row r="16" spans="1:10" ht="12.75">
      <c r="A16" s="125"/>
      <c r="B16" s="463"/>
      <c r="D16" s="284"/>
      <c r="E16" s="284"/>
      <c r="F16" s="284"/>
      <c r="G16" s="284"/>
      <c r="H16" s="284"/>
      <c r="J16" s="284"/>
    </row>
    <row r="17" spans="1:10" ht="12.75">
      <c r="A17" s="125"/>
      <c r="B17" t="s">
        <v>764</v>
      </c>
      <c r="D17" s="284">
        <v>0</v>
      </c>
      <c r="E17" s="284" t="s">
        <v>136</v>
      </c>
      <c r="F17" s="284">
        <v>0</v>
      </c>
      <c r="G17" s="284"/>
      <c r="H17" s="284">
        <v>0</v>
      </c>
      <c r="J17" s="284">
        <f>+D17+F17+H17</f>
        <v>0</v>
      </c>
    </row>
    <row r="18" spans="1:10" ht="12.75">
      <c r="A18" s="125"/>
      <c r="D18" s="284"/>
      <c r="E18" s="284"/>
      <c r="F18" s="284"/>
      <c r="G18" s="284"/>
      <c r="H18" s="284"/>
      <c r="J18" s="284"/>
    </row>
    <row r="19" spans="1:10" ht="12.75">
      <c r="A19" s="125"/>
      <c r="B19" t="s">
        <v>188</v>
      </c>
      <c r="D19" s="284">
        <v>0</v>
      </c>
      <c r="E19" s="284"/>
      <c r="F19" s="284">
        <v>0</v>
      </c>
      <c r="G19" s="284"/>
      <c r="H19" s="284">
        <v>0</v>
      </c>
      <c r="J19" s="284">
        <f>+D19+F19+H19</f>
        <v>0</v>
      </c>
    </row>
    <row r="20" spans="1:10" ht="12.75">
      <c r="A20" s="125"/>
      <c r="B20" s="464"/>
      <c r="D20" s="284"/>
      <c r="E20" s="284"/>
      <c r="F20" s="284"/>
      <c r="G20" s="284"/>
      <c r="H20" s="284"/>
      <c r="J20" s="284"/>
    </row>
    <row r="21" spans="1:10" ht="39">
      <c r="A21" s="125"/>
      <c r="B21" s="157" t="s">
        <v>971</v>
      </c>
      <c r="D21" s="285">
        <f>SUM(D7:D20)</f>
        <v>0</v>
      </c>
      <c r="E21" s="284"/>
      <c r="F21" s="285">
        <f>SUM(F7:F20)</f>
        <v>26177.399999999998</v>
      </c>
      <c r="G21" s="284"/>
      <c r="H21" s="285">
        <f>SUM(H7:H20)</f>
        <v>562.63</v>
      </c>
      <c r="J21" s="285">
        <f>SUM(J7:J20)</f>
        <v>26740.03</v>
      </c>
    </row>
    <row r="22" spans="1:10" ht="12.75">
      <c r="A22" s="125"/>
      <c r="D22" s="284"/>
      <c r="E22" s="284"/>
      <c r="F22" s="284"/>
      <c r="G22" s="284"/>
      <c r="J22" s="284"/>
    </row>
    <row r="23" spans="1:10" ht="12.75">
      <c r="A23" s="125"/>
      <c r="D23" s="284"/>
      <c r="E23" s="284"/>
      <c r="F23" s="284"/>
      <c r="G23" s="284"/>
      <c r="J23" s="284"/>
    </row>
    <row r="24" spans="2:10" ht="26.25">
      <c r="B24" s="462" t="s">
        <v>294</v>
      </c>
      <c r="D24" s="284">
        <v>0</v>
      </c>
      <c r="E24" s="284"/>
      <c r="F24" s="284">
        <v>0</v>
      </c>
      <c r="G24" s="284"/>
      <c r="H24" s="284">
        <v>0</v>
      </c>
      <c r="J24" s="284">
        <v>105.15</v>
      </c>
    </row>
    <row r="25" spans="1:10" ht="12.75">
      <c r="A25"/>
      <c r="B25" s="463"/>
      <c r="D25" s="284"/>
      <c r="E25" s="284"/>
      <c r="F25" s="284"/>
      <c r="G25" s="284"/>
      <c r="J25" s="284"/>
    </row>
    <row r="26" spans="1:10" ht="26.25">
      <c r="A26"/>
      <c r="B26" s="462" t="s">
        <v>327</v>
      </c>
      <c r="D26" s="284"/>
      <c r="E26" s="284"/>
      <c r="F26" s="284"/>
      <c r="G26" s="284"/>
      <c r="H26" s="284"/>
      <c r="J26" s="284"/>
    </row>
    <row r="27" spans="1:10" ht="12.75">
      <c r="A27"/>
      <c r="B27" s="254" t="s">
        <v>328</v>
      </c>
      <c r="D27" s="284">
        <v>0</v>
      </c>
      <c r="E27" s="284"/>
      <c r="F27" s="284">
        <v>0</v>
      </c>
      <c r="G27" s="284"/>
      <c r="H27" s="284">
        <v>0</v>
      </c>
      <c r="J27" s="284">
        <f>+D27+F27+H27</f>
        <v>0</v>
      </c>
    </row>
    <row r="28" spans="1:10" ht="12.75">
      <c r="A28"/>
      <c r="B28" s="254" t="s">
        <v>329</v>
      </c>
      <c r="D28" s="284">
        <v>44</v>
      </c>
      <c r="E28" s="284"/>
      <c r="F28" s="284">
        <v>498.76</v>
      </c>
      <c r="G28" s="284"/>
      <c r="H28" s="284">
        <f>89.7+2.64</f>
        <v>92.34</v>
      </c>
      <c r="I28" t="s">
        <v>136</v>
      </c>
      <c r="J28" s="284">
        <f>+D28+F28+H28</f>
        <v>635.1</v>
      </c>
    </row>
    <row r="29" spans="1:10" ht="12.75">
      <c r="A29"/>
      <c r="D29" s="284"/>
      <c r="E29" s="284"/>
      <c r="F29" s="284"/>
      <c r="G29" s="284"/>
      <c r="J29" s="284"/>
    </row>
    <row r="30" ht="12.75">
      <c r="A30"/>
    </row>
    <row r="31" spans="1:10" ht="26.25">
      <c r="A31"/>
      <c r="B31" s="261" t="s">
        <v>972</v>
      </c>
      <c r="J31" s="285">
        <f>+J21+J24+J27+J28</f>
        <v>27480.28</v>
      </c>
    </row>
    <row r="32" ht="12.75">
      <c r="A32"/>
    </row>
    <row r="33" ht="12.75">
      <c r="A33"/>
    </row>
    <row r="34" ht="12.75">
      <c r="A34"/>
    </row>
    <row r="35" spans="1:2" ht="12.75">
      <c r="A35"/>
      <c r="B35" s="147"/>
    </row>
    <row r="36" spans="1:2" ht="12.75">
      <c r="A36"/>
      <c r="B36" s="147"/>
    </row>
    <row r="37" spans="1:10" ht="12.75">
      <c r="A37"/>
      <c r="B37" s="288"/>
      <c r="D37" s="84"/>
      <c r="J37" s="84"/>
    </row>
    <row r="38" spans="1:10" ht="12.75">
      <c r="A38"/>
      <c r="B38" s="288"/>
      <c r="D38" s="84"/>
      <c r="J38" s="84"/>
    </row>
    <row r="39" spans="1:10" ht="12.75">
      <c r="A39"/>
      <c r="B39" s="251"/>
      <c r="D39" s="265"/>
      <c r="J39" s="154"/>
    </row>
    <row r="40" spans="1:10" ht="12.75">
      <c r="A40"/>
      <c r="B40" s="288"/>
      <c r="J40" s="84"/>
    </row>
    <row r="41" spans="1:10" ht="12.75">
      <c r="A41"/>
      <c r="B41" s="288"/>
      <c r="J41" s="84"/>
    </row>
    <row r="42" spans="1:10" ht="12.75">
      <c r="A42"/>
      <c r="B42" s="288"/>
      <c r="J42" s="84"/>
    </row>
    <row r="43" spans="1:10" ht="12.75">
      <c r="A43"/>
      <c r="B43" s="288"/>
      <c r="J43" s="84"/>
    </row>
    <row r="44" spans="1:10" ht="12.75">
      <c r="A44"/>
      <c r="B44" s="288"/>
      <c r="J44" s="84"/>
    </row>
    <row r="45" spans="1:10" ht="12.75">
      <c r="A45"/>
      <c r="B45" s="288"/>
      <c r="J45" s="84"/>
    </row>
    <row r="46" spans="1:10" ht="12.75">
      <c r="A46"/>
      <c r="B46" s="288"/>
      <c r="J46" s="84"/>
    </row>
    <row r="47" ht="12.75">
      <c r="A47"/>
    </row>
    <row r="48" ht="12.75">
      <c r="A48"/>
    </row>
    <row r="49" ht="12.75">
      <c r="A49"/>
    </row>
    <row r="50" ht="12.75">
      <c r="A50"/>
    </row>
    <row r="51" ht="12.75">
      <c r="A51"/>
    </row>
    <row r="52" ht="12.75">
      <c r="A52"/>
    </row>
    <row r="53" spans="2:10" ht="12.75">
      <c r="B53" s="61"/>
      <c r="D53" s="284"/>
      <c r="E53" s="284"/>
      <c r="F53" s="284"/>
      <c r="G53" s="284"/>
      <c r="H53" s="284"/>
      <c r="I53" s="284"/>
      <c r="J53" s="284"/>
    </row>
    <row r="54" spans="2:10" ht="12.75">
      <c r="B54" s="61"/>
      <c r="D54" s="284"/>
      <c r="E54" s="284"/>
      <c r="F54" s="284"/>
      <c r="G54" s="284"/>
      <c r="H54" s="284"/>
      <c r="I54" s="284"/>
      <c r="J54" s="284"/>
    </row>
    <row r="55" spans="2:10" ht="12.75">
      <c r="B55" s="61"/>
      <c r="D55" s="284"/>
      <c r="E55" s="284"/>
      <c r="F55" s="284"/>
      <c r="G55" s="284"/>
      <c r="H55" s="284"/>
      <c r="I55" s="284"/>
      <c r="J55" s="284"/>
    </row>
    <row r="56" spans="2:10" ht="12.75">
      <c r="B56" s="61"/>
      <c r="D56" s="284"/>
      <c r="E56" s="284"/>
      <c r="F56" s="284"/>
      <c r="G56" s="284"/>
      <c r="H56" s="284"/>
      <c r="I56" s="284"/>
      <c r="J56" s="284"/>
    </row>
    <row r="57" spans="2:10" ht="12.75">
      <c r="B57" s="61"/>
      <c r="D57" s="284"/>
      <c r="E57" s="284"/>
      <c r="F57" s="284"/>
      <c r="G57" s="284"/>
      <c r="H57" s="284"/>
      <c r="I57" s="284"/>
      <c r="J57" s="284"/>
    </row>
    <row r="58" spans="4:10" ht="12.75">
      <c r="D58" s="284"/>
      <c r="E58" s="284"/>
      <c r="F58" s="284"/>
      <c r="G58" s="284"/>
      <c r="H58" s="284"/>
      <c r="I58" s="284"/>
      <c r="J58" s="284"/>
    </row>
    <row r="59" spans="4:10" ht="12.75">
      <c r="D59" s="284"/>
      <c r="E59" s="284"/>
      <c r="F59" s="284"/>
      <c r="G59" s="284"/>
      <c r="H59" s="284"/>
      <c r="I59" s="284"/>
      <c r="J59" s="284"/>
    </row>
    <row r="60" spans="4:10" ht="12.75">
      <c r="D60" s="284"/>
      <c r="E60" s="284"/>
      <c r="F60" s="284"/>
      <c r="G60" s="284"/>
      <c r="H60" s="284"/>
      <c r="I60" s="284"/>
      <c r="J60" s="284"/>
    </row>
  </sheetData>
  <sheetProtection/>
  <printOptions horizontalCentered="1"/>
  <pageMargins left="0.5" right="0" top="1.5" bottom="0.5" header="0.5" footer="0"/>
  <pageSetup horizontalDpi="300" verticalDpi="300" orientation="portrait" scale="95" r:id="rId1"/>
  <headerFooter alignWithMargins="0">
    <oddHeader>&amp;R
</oddHeader>
  </headerFooter>
</worksheet>
</file>

<file path=xl/worksheets/sheet11.xml><?xml version="1.0" encoding="utf-8"?>
<worksheet xmlns="http://schemas.openxmlformats.org/spreadsheetml/2006/main" xmlns:r="http://schemas.openxmlformats.org/officeDocument/2006/relationships">
  <dimension ref="A2:H63"/>
  <sheetViews>
    <sheetView zoomScalePageLayoutView="0" workbookViewId="0" topLeftCell="A1">
      <pane ySplit="12" topLeftCell="A13" activePane="bottomLeft" state="frozen"/>
      <selection pane="topLeft" activeCell="E40" sqref="E40"/>
      <selection pane="bottomLeft" activeCell="B34" sqref="B34"/>
    </sheetView>
  </sheetViews>
  <sheetFormatPr defaultColWidth="9.140625" defaultRowHeight="12.75"/>
  <cols>
    <col min="1" max="1" width="5.00390625" style="3" bestFit="1" customWidth="1"/>
    <col min="2" max="2" width="55.7109375" style="0" customWidth="1"/>
    <col min="3" max="3" width="2.28125" style="0" customWidth="1"/>
    <col min="4" max="5" width="15.7109375" style="0" customWidth="1"/>
    <col min="6" max="6" width="2.28125" style="0" customWidth="1"/>
    <col min="7" max="7" width="12.7109375" style="0" customWidth="1"/>
    <col min="8" max="8" width="2.28125" style="0" customWidth="1"/>
  </cols>
  <sheetData>
    <row r="2" spans="6:7" ht="12.75">
      <c r="F2" s="2" t="s">
        <v>378</v>
      </c>
      <c r="G2" s="83"/>
    </row>
    <row r="3" spans="6:7" ht="12.75">
      <c r="F3" s="83" t="s">
        <v>380</v>
      </c>
      <c r="G3" s="83"/>
    </row>
    <row r="4" ht="12.75">
      <c r="F4" s="306"/>
    </row>
    <row r="5" spans="1:8" ht="12.75">
      <c r="A5" s="555" t="s">
        <v>381</v>
      </c>
      <c r="B5" s="556"/>
      <c r="C5" s="556"/>
      <c r="D5" s="556"/>
      <c r="E5" s="556"/>
      <c r="F5" s="556"/>
      <c r="G5" s="556"/>
      <c r="H5" s="556"/>
    </row>
    <row r="6" spans="1:8" ht="12.75">
      <c r="A6" s="555" t="s">
        <v>710</v>
      </c>
      <c r="B6" s="557"/>
      <c r="C6" s="557"/>
      <c r="D6" s="557"/>
      <c r="E6" s="557"/>
      <c r="F6" s="557"/>
      <c r="G6" s="557"/>
      <c r="H6" s="557"/>
    </row>
    <row r="7" spans="1:8" ht="12.75">
      <c r="A7" s="555" t="s">
        <v>382</v>
      </c>
      <c r="B7" s="556"/>
      <c r="C7" s="556"/>
      <c r="D7" s="556"/>
      <c r="E7" s="556"/>
      <c r="F7" s="556"/>
      <c r="G7" s="556"/>
      <c r="H7" s="556"/>
    </row>
    <row r="8" spans="1:8" ht="12.75">
      <c r="A8" s="548"/>
      <c r="B8" s="549"/>
      <c r="C8" s="549"/>
      <c r="D8" s="549"/>
      <c r="E8" s="549"/>
      <c r="F8" s="549"/>
      <c r="G8" s="549"/>
      <c r="H8" s="549"/>
    </row>
    <row r="9" spans="1:8" ht="12.75">
      <c r="A9" s="553" t="str">
        <f>+'ES 1.0'!E7</f>
        <v>For the Expense Month of October 2013</v>
      </c>
      <c r="B9" s="554"/>
      <c r="C9" s="554"/>
      <c r="D9" s="554"/>
      <c r="E9" s="554"/>
      <c r="F9" s="554"/>
      <c r="G9" s="554"/>
      <c r="H9" s="554"/>
    </row>
    <row r="10" ht="12.75">
      <c r="B10" s="288"/>
    </row>
    <row r="11" spans="1:7" ht="78.75">
      <c r="A11" s="167" t="s">
        <v>383</v>
      </c>
      <c r="B11" s="137" t="s">
        <v>384</v>
      </c>
      <c r="C11" s="83"/>
      <c r="D11" s="167" t="s">
        <v>429</v>
      </c>
      <c r="E11" s="167" t="s">
        <v>431</v>
      </c>
      <c r="F11" s="83"/>
      <c r="G11" s="256" t="s">
        <v>848</v>
      </c>
    </row>
    <row r="12" spans="1:7" ht="12.75">
      <c r="A12" s="324">
        <v>-1</v>
      </c>
      <c r="B12" s="325">
        <f>+A12-1</f>
        <v>-2</v>
      </c>
      <c r="C12" s="325"/>
      <c r="D12" s="325">
        <f>+B12-1</f>
        <v>-3</v>
      </c>
      <c r="E12" s="325">
        <f>+D12-1</f>
        <v>-4</v>
      </c>
      <c r="F12" s="325"/>
      <c r="G12" s="325">
        <f>+E12-1</f>
        <v>-5</v>
      </c>
    </row>
    <row r="13" spans="1:5" ht="12.75">
      <c r="A13" s="91"/>
      <c r="B13" s="288"/>
      <c r="E13" t="s">
        <v>432</v>
      </c>
    </row>
    <row r="14" spans="1:5" ht="26.25">
      <c r="A14" s="91">
        <v>1</v>
      </c>
      <c r="B14" s="13" t="s">
        <v>784</v>
      </c>
      <c r="D14" s="84">
        <f>+'3.14 P3'!F43</f>
        <v>159067</v>
      </c>
      <c r="E14" s="84"/>
    </row>
    <row r="15" spans="1:5" ht="12.75">
      <c r="A15" s="91"/>
      <c r="B15" s="288"/>
      <c r="D15" s="84"/>
      <c r="E15" s="84"/>
    </row>
    <row r="16" spans="1:5" ht="26.25">
      <c r="A16" s="91">
        <f>+A14+1</f>
        <v>2</v>
      </c>
      <c r="B16" s="13" t="s">
        <v>150</v>
      </c>
      <c r="D16" s="84">
        <f>+'3.14 P4'!F42</f>
        <v>104592</v>
      </c>
      <c r="E16" s="84"/>
    </row>
    <row r="17" spans="1:5" ht="12.75">
      <c r="A17" s="91"/>
      <c r="B17" s="288"/>
      <c r="D17" s="84"/>
      <c r="E17" s="84"/>
    </row>
    <row r="18" spans="1:5" ht="26.25">
      <c r="A18" s="91">
        <f>+A16+1</f>
        <v>3</v>
      </c>
      <c r="B18" s="13" t="s">
        <v>406</v>
      </c>
      <c r="D18" s="84">
        <f>+'3.14 P5'!F43</f>
        <v>300702</v>
      </c>
      <c r="E18" s="84"/>
    </row>
    <row r="19" spans="1:5" ht="12.75">
      <c r="A19" s="91"/>
      <c r="B19" s="288"/>
      <c r="D19" s="84"/>
      <c r="E19" s="84"/>
    </row>
    <row r="20" spans="1:5" ht="26.25">
      <c r="A20" s="91">
        <f>+A18+1</f>
        <v>4</v>
      </c>
      <c r="B20" s="13" t="s">
        <v>638</v>
      </c>
      <c r="D20" s="84">
        <f>+'3.14 P6'!F37</f>
        <v>2179</v>
      </c>
      <c r="E20" s="84"/>
    </row>
    <row r="21" spans="1:5" ht="12.75">
      <c r="A21" s="91"/>
      <c r="B21" s="288"/>
      <c r="D21" s="84"/>
      <c r="E21" s="84"/>
    </row>
    <row r="22" spans="1:5" ht="26.25">
      <c r="A22" s="91">
        <f>+A20+1</f>
        <v>5</v>
      </c>
      <c r="B22" s="13" t="s">
        <v>647</v>
      </c>
      <c r="D22" s="84">
        <f>+'3.14 P7'!F40</f>
        <v>283270</v>
      </c>
      <c r="E22" s="84"/>
    </row>
    <row r="23" spans="1:5" ht="12.75">
      <c r="A23" s="91"/>
      <c r="B23" s="288"/>
      <c r="D23" s="84"/>
      <c r="E23" s="84"/>
    </row>
    <row r="24" spans="1:5" ht="26.25">
      <c r="A24" s="91">
        <f>+A22+1</f>
        <v>6</v>
      </c>
      <c r="B24" s="13" t="s">
        <v>516</v>
      </c>
      <c r="D24" s="84">
        <f>+'3.14 P8'!F37</f>
        <v>28327</v>
      </c>
      <c r="E24" s="84"/>
    </row>
    <row r="25" spans="1:5" ht="12.75">
      <c r="A25" s="91"/>
      <c r="B25" s="288"/>
      <c r="D25" s="84"/>
      <c r="E25" s="84"/>
    </row>
    <row r="26" spans="1:5" ht="26.25">
      <c r="A26" s="91">
        <f>+A24+1</f>
        <v>7</v>
      </c>
      <c r="B26" s="13" t="s">
        <v>656</v>
      </c>
      <c r="D26" s="84">
        <f>+'3.14 P9'!F37</f>
        <v>4358</v>
      </c>
      <c r="E26" s="84"/>
    </row>
    <row r="27" spans="1:5" ht="12.75">
      <c r="A27" s="91"/>
      <c r="B27" s="288"/>
      <c r="D27" s="84"/>
      <c r="E27" s="84"/>
    </row>
    <row r="28" spans="1:5" ht="26.25">
      <c r="A28" s="91">
        <f>+A26+1</f>
        <v>8</v>
      </c>
      <c r="B28" s="128" t="s">
        <v>947</v>
      </c>
      <c r="D28" s="84"/>
      <c r="E28" s="84">
        <f>+'3.14 P10'!J41</f>
        <v>0</v>
      </c>
    </row>
    <row r="29" spans="1:5" ht="12.75">
      <c r="A29" s="91"/>
      <c r="B29" s="11"/>
      <c r="D29" s="84"/>
      <c r="E29" s="84"/>
    </row>
    <row r="30" spans="1:5" ht="39">
      <c r="A30" s="91">
        <f>+A28+1</f>
        <v>9</v>
      </c>
      <c r="B30" s="13" t="s">
        <v>669</v>
      </c>
      <c r="D30" s="84"/>
      <c r="E30" s="84">
        <f>+'3.14 P11'!F37</f>
        <v>2179</v>
      </c>
    </row>
    <row r="31" spans="1:5" ht="12.75">
      <c r="A31" s="91"/>
      <c r="B31" s="288"/>
      <c r="D31" s="84"/>
      <c r="E31" s="84"/>
    </row>
    <row r="32" spans="1:7" ht="26.25">
      <c r="A32" s="91">
        <f>+A30+1</f>
        <v>10</v>
      </c>
      <c r="B32" s="273" t="s">
        <v>436</v>
      </c>
      <c r="D32" s="265">
        <f>SUM(D14:D31)</f>
        <v>882495</v>
      </c>
      <c r="E32" s="265">
        <f>SUM(E14:E31)</f>
        <v>2179</v>
      </c>
      <c r="F32" s="83"/>
      <c r="G32" s="265">
        <f>+D32+E32</f>
        <v>884674</v>
      </c>
    </row>
    <row r="33" spans="1:7" ht="12.75">
      <c r="A33" s="91"/>
      <c r="B33" s="273"/>
      <c r="D33" s="154"/>
      <c r="E33" s="154"/>
      <c r="G33" s="154"/>
    </row>
    <row r="34" spans="1:5" ht="12.75">
      <c r="A34" s="91"/>
      <c r="B34" s="288"/>
      <c r="D34" s="84"/>
      <c r="E34" s="84"/>
    </row>
    <row r="35" spans="1:5" ht="12.75">
      <c r="A35" s="91"/>
      <c r="B35" s="288" t="s">
        <v>437</v>
      </c>
      <c r="D35" s="84"/>
      <c r="E35" s="84"/>
    </row>
    <row r="36" spans="1:5" ht="12.75">
      <c r="A36" s="91"/>
      <c r="B36" s="288"/>
      <c r="D36" s="84"/>
      <c r="E36" s="84"/>
    </row>
    <row r="37" spans="1:5" ht="12.75">
      <c r="A37" s="91"/>
      <c r="B37" s="288"/>
      <c r="D37" s="84"/>
      <c r="E37" s="84"/>
    </row>
    <row r="38" spans="1:5" ht="12.75">
      <c r="A38" s="91"/>
      <c r="B38" s="288"/>
      <c r="D38" s="84"/>
      <c r="E38" s="84"/>
    </row>
    <row r="39" spans="1:5" ht="12.75">
      <c r="A39" s="91"/>
      <c r="B39" s="288"/>
      <c r="D39" s="84"/>
      <c r="E39" s="84"/>
    </row>
    <row r="40" spans="1:5" ht="12.75">
      <c r="A40" s="91"/>
      <c r="B40" s="288"/>
      <c r="D40" s="84"/>
      <c r="E40" s="84"/>
    </row>
    <row r="41" spans="1:5" ht="12.75">
      <c r="A41" s="91"/>
      <c r="B41" s="288"/>
      <c r="D41" s="84"/>
      <c r="E41" s="84"/>
    </row>
    <row r="42" spans="1:5" ht="12.75">
      <c r="A42" s="91"/>
      <c r="B42" s="288"/>
      <c r="D42" s="84"/>
      <c r="E42" s="84"/>
    </row>
    <row r="43" spans="1:5" ht="12.75">
      <c r="A43" s="91"/>
      <c r="B43" s="288"/>
      <c r="D43" s="84"/>
      <c r="E43" s="84"/>
    </row>
    <row r="44" spans="1:5" ht="12.75">
      <c r="A44" s="91"/>
      <c r="B44" s="288"/>
      <c r="D44" s="84"/>
      <c r="E44" s="84"/>
    </row>
    <row r="45" spans="1:5" ht="12.75">
      <c r="A45" s="91"/>
      <c r="B45" s="288"/>
      <c r="D45" s="84"/>
      <c r="E45" s="84"/>
    </row>
    <row r="46" spans="1:5" ht="12.75">
      <c r="A46" s="91"/>
      <c r="B46" s="288"/>
      <c r="D46" s="84"/>
      <c r="E46" s="84"/>
    </row>
    <row r="47" spans="1:5" ht="12.75">
      <c r="A47" s="91"/>
      <c r="B47" s="288"/>
      <c r="D47" s="84"/>
      <c r="E47" s="84"/>
    </row>
    <row r="48" spans="1:5" ht="12.75">
      <c r="A48" s="91"/>
      <c r="B48" s="288"/>
      <c r="D48" s="84"/>
      <c r="E48" s="84"/>
    </row>
    <row r="49" spans="1:5" ht="12.75">
      <c r="A49" s="91"/>
      <c r="B49" s="288"/>
      <c r="D49" s="84"/>
      <c r="E49" s="84"/>
    </row>
    <row r="50" spans="1:5" ht="12.75">
      <c r="A50" s="91"/>
      <c r="B50" s="288"/>
      <c r="D50" s="84"/>
      <c r="E50" s="84"/>
    </row>
    <row r="51" spans="1:5" ht="12.75">
      <c r="A51" s="91"/>
      <c r="B51" s="288"/>
      <c r="D51" s="84"/>
      <c r="E51" s="84"/>
    </row>
    <row r="52" spans="1:5" ht="12.75">
      <c r="A52" s="91"/>
      <c r="B52" s="288"/>
      <c r="D52" s="84"/>
      <c r="E52" s="84"/>
    </row>
    <row r="53" spans="1:5" ht="12.75">
      <c r="A53" s="91"/>
      <c r="B53" s="288"/>
      <c r="D53" s="84"/>
      <c r="E53" s="84"/>
    </row>
    <row r="54" spans="4:5" ht="12.75">
      <c r="D54" s="84"/>
      <c r="E54" s="84"/>
    </row>
    <row r="55" spans="4:5" ht="12.75">
      <c r="D55" s="84"/>
      <c r="E55" s="84"/>
    </row>
    <row r="56" spans="4:5" ht="12.75">
      <c r="D56" s="84"/>
      <c r="E56" s="84"/>
    </row>
    <row r="57" spans="4:5" ht="12.75">
      <c r="D57" s="84"/>
      <c r="E57" s="84"/>
    </row>
    <row r="58" spans="4:5" ht="12.75">
      <c r="D58" s="84"/>
      <c r="E58" s="84"/>
    </row>
    <row r="59" spans="4:5" ht="12.75">
      <c r="D59" s="84"/>
      <c r="E59" s="84"/>
    </row>
    <row r="60" spans="4:5" ht="12.75">
      <c r="D60" s="84"/>
      <c r="E60" s="84"/>
    </row>
    <row r="61" spans="4:5" ht="12.75">
      <c r="D61" s="84"/>
      <c r="E61" s="84"/>
    </row>
    <row r="62" spans="4:5" ht="12.75">
      <c r="D62" s="84"/>
      <c r="E62" s="84"/>
    </row>
    <row r="63" spans="4:5" ht="12.75">
      <c r="D63" s="84"/>
      <c r="E63" s="84"/>
    </row>
  </sheetData>
  <sheetProtection/>
  <mergeCells count="5">
    <mergeCell ref="A9:H9"/>
    <mergeCell ref="A5:H5"/>
    <mergeCell ref="A6:H6"/>
    <mergeCell ref="A7:H7"/>
    <mergeCell ref="A8:H8"/>
  </mergeCells>
  <printOptions horizontalCentered="1" verticalCentered="1"/>
  <pageMargins left="0" right="0" top="0.5" bottom="0.5" header="0" footer="0"/>
  <pageSetup horizontalDpi="300" verticalDpi="300" orientation="portrait" scale="90" r:id="rId1"/>
</worksheet>
</file>

<file path=xl/worksheets/sheet12.xml><?xml version="1.0" encoding="utf-8"?>
<worksheet xmlns="http://schemas.openxmlformats.org/spreadsheetml/2006/main" xmlns:r="http://schemas.openxmlformats.org/officeDocument/2006/relationships">
  <dimension ref="A1:H79"/>
  <sheetViews>
    <sheetView zoomScalePageLayoutView="0" workbookViewId="0" topLeftCell="A1">
      <pane ySplit="13" topLeftCell="A32" activePane="bottomLeft" state="frozen"/>
      <selection pane="topLeft" activeCell="E40" sqref="E40"/>
      <selection pane="bottomLeft" activeCell="N45" sqref="N45"/>
    </sheetView>
  </sheetViews>
  <sheetFormatPr defaultColWidth="9.140625" defaultRowHeight="12.75"/>
  <cols>
    <col min="1" max="1" width="5.00390625" style="3" bestFit="1" customWidth="1"/>
    <col min="2" max="2" width="55.7109375" style="0" customWidth="1"/>
    <col min="3" max="3" width="2.28125" style="0" customWidth="1"/>
    <col min="4" max="5" width="15.7109375" style="0" customWidth="1"/>
    <col min="6" max="6" width="2.28125" style="0" customWidth="1"/>
    <col min="7" max="7" width="12.7109375" style="0" customWidth="1"/>
    <col min="8" max="8" width="2.28125" style="0" customWidth="1"/>
  </cols>
  <sheetData>
    <row r="1" spans="5:7" ht="12.75">
      <c r="E1" s="305"/>
      <c r="F1" s="305"/>
      <c r="G1" s="305"/>
    </row>
    <row r="2" spans="6:7" ht="12.75">
      <c r="F2" s="2" t="s">
        <v>378</v>
      </c>
      <c r="G2" s="83"/>
    </row>
    <row r="3" spans="6:7" ht="12.75">
      <c r="F3" s="83" t="s">
        <v>438</v>
      </c>
      <c r="G3" s="83"/>
    </row>
    <row r="4" ht="12.75">
      <c r="F4" s="1"/>
    </row>
    <row r="5" spans="1:8" ht="12.75">
      <c r="A5" s="555" t="s">
        <v>381</v>
      </c>
      <c r="B5" s="556"/>
      <c r="C5" s="556"/>
      <c r="D5" s="556"/>
      <c r="E5" s="556"/>
      <c r="F5" s="556"/>
      <c r="G5" s="556"/>
      <c r="H5" s="556"/>
    </row>
    <row r="6" spans="1:8" ht="12.75">
      <c r="A6" s="555" t="s">
        <v>710</v>
      </c>
      <c r="B6" s="557"/>
      <c r="C6" s="557"/>
      <c r="D6" s="557"/>
      <c r="E6" s="557"/>
      <c r="F6" s="557"/>
      <c r="G6" s="557"/>
      <c r="H6" s="557"/>
    </row>
    <row r="7" spans="1:8" ht="12.75">
      <c r="A7" s="555" t="s">
        <v>382</v>
      </c>
      <c r="B7" s="556"/>
      <c r="C7" s="556"/>
      <c r="D7" s="556"/>
      <c r="E7" s="556"/>
      <c r="F7" s="556"/>
      <c r="G7" s="556"/>
      <c r="H7" s="556"/>
    </row>
    <row r="8" spans="1:8" ht="12.75">
      <c r="A8" s="555" t="s">
        <v>367</v>
      </c>
      <c r="B8" s="556"/>
      <c r="C8" s="556"/>
      <c r="D8" s="556"/>
      <c r="E8" s="556"/>
      <c r="F8" s="556"/>
      <c r="G8" s="556"/>
      <c r="H8" s="556"/>
    </row>
    <row r="9" spans="1:8" ht="12.75">
      <c r="A9" s="555"/>
      <c r="B9" s="556"/>
      <c r="C9" s="556"/>
      <c r="D9" s="556"/>
      <c r="E9" s="556"/>
      <c r="F9" s="556"/>
      <c r="G9" s="556"/>
      <c r="H9" s="556"/>
    </row>
    <row r="10" spans="1:8" ht="12.75">
      <c r="A10" s="553" t="str">
        <f>+'ES 1.0'!E7</f>
        <v>For the Expense Month of October 2013</v>
      </c>
      <c r="B10" s="554"/>
      <c r="C10" s="554"/>
      <c r="D10" s="554"/>
      <c r="E10" s="554"/>
      <c r="F10" s="554"/>
      <c r="G10" s="554"/>
      <c r="H10" s="554"/>
    </row>
    <row r="11" ht="12.75">
      <c r="B11" s="288"/>
    </row>
    <row r="12" spans="1:7" ht="92.25">
      <c r="A12" s="157" t="s">
        <v>383</v>
      </c>
      <c r="B12" s="147" t="s">
        <v>384</v>
      </c>
      <c r="D12" s="157" t="s">
        <v>442</v>
      </c>
      <c r="E12" s="157" t="s">
        <v>443</v>
      </c>
      <c r="G12" s="251" t="s">
        <v>848</v>
      </c>
    </row>
    <row r="13" spans="1:7" ht="12.75">
      <c r="A13" s="307">
        <v>-1</v>
      </c>
      <c r="B13" s="308">
        <f>+A13-1</f>
        <v>-2</v>
      </c>
      <c r="C13" s="308"/>
      <c r="D13" s="308">
        <f>+B13-1</f>
        <v>-3</v>
      </c>
      <c r="E13" s="308">
        <f>+D13-1</f>
        <v>-4</v>
      </c>
      <c r="F13" s="308"/>
      <c r="G13" s="308">
        <f>+E13-1</f>
        <v>-5</v>
      </c>
    </row>
    <row r="14" spans="1:5" ht="12.75">
      <c r="A14" s="91"/>
      <c r="B14" s="288"/>
      <c r="E14" t="s">
        <v>432</v>
      </c>
    </row>
    <row r="15" spans="1:5" ht="26.25">
      <c r="A15" s="91">
        <v>1</v>
      </c>
      <c r="B15" s="128" t="s">
        <v>948</v>
      </c>
      <c r="D15" s="84">
        <f>+'3.14 P3'!F33</f>
        <v>808548</v>
      </c>
      <c r="E15" s="84"/>
    </row>
    <row r="16" spans="1:5" ht="12.75">
      <c r="A16" s="91"/>
      <c r="B16" s="288"/>
      <c r="D16" s="84"/>
      <c r="E16" s="84"/>
    </row>
    <row r="17" spans="1:5" ht="26.25">
      <c r="A17" s="91">
        <f>+A15+1</f>
        <v>2</v>
      </c>
      <c r="B17" s="128" t="s">
        <v>949</v>
      </c>
      <c r="D17" s="84">
        <f>+'3.14 P4'!F30</f>
        <v>844631.52</v>
      </c>
      <c r="E17" s="84"/>
    </row>
    <row r="18" spans="1:5" ht="12.75">
      <c r="A18" s="91"/>
      <c r="B18" s="288"/>
      <c r="D18" s="84"/>
      <c r="E18" s="84"/>
    </row>
    <row r="19" spans="1:5" ht="26.25">
      <c r="A19" s="91">
        <f>+A17+1</f>
        <v>3</v>
      </c>
      <c r="B19" s="128" t="s">
        <v>950</v>
      </c>
      <c r="D19" s="84">
        <f>+'3.14 P5'!F31</f>
        <v>4639328.72</v>
      </c>
      <c r="E19" s="84"/>
    </row>
    <row r="20" spans="1:5" ht="12.75">
      <c r="A20" s="91"/>
      <c r="B20" s="288"/>
      <c r="D20" s="84"/>
      <c r="E20" s="84"/>
    </row>
    <row r="21" spans="1:5" ht="26.25">
      <c r="A21" s="91">
        <f>+A19+1</f>
        <v>4</v>
      </c>
      <c r="B21" s="13" t="s">
        <v>349</v>
      </c>
      <c r="D21" s="84">
        <f>+'3.14 P6'!F25</f>
        <v>21474</v>
      </c>
      <c r="E21" s="84"/>
    </row>
    <row r="22" spans="1:5" ht="12.75">
      <c r="A22" s="91"/>
      <c r="B22" s="288"/>
      <c r="D22" s="84"/>
      <c r="E22" s="84"/>
    </row>
    <row r="23" spans="1:5" ht="26.25">
      <c r="A23" s="91">
        <f>+A21+1</f>
        <v>5</v>
      </c>
      <c r="B23" s="128" t="s">
        <v>951</v>
      </c>
      <c r="D23" s="84">
        <f>+'3.14 P7'!F28</f>
        <v>1044697.8049999999</v>
      </c>
      <c r="E23" s="84"/>
    </row>
    <row r="24" spans="1:5" ht="12.75">
      <c r="A24" s="91"/>
      <c r="B24" s="288"/>
      <c r="D24" s="84"/>
      <c r="E24" s="84"/>
    </row>
    <row r="25" spans="1:5" ht="26.25">
      <c r="A25" s="91">
        <f>+A23+1</f>
        <v>6</v>
      </c>
      <c r="B25" s="13" t="s">
        <v>515</v>
      </c>
      <c r="D25" s="84">
        <f>+'3.14 P8'!F25</f>
        <v>90216</v>
      </c>
      <c r="E25" s="84"/>
    </row>
    <row r="26" spans="1:5" ht="12.75">
      <c r="A26" s="91"/>
      <c r="B26" s="288"/>
      <c r="D26" s="84"/>
      <c r="E26" s="84"/>
    </row>
    <row r="27" spans="1:5" ht="26.25">
      <c r="A27" s="91">
        <f>+A25+1</f>
        <v>7</v>
      </c>
      <c r="B27" s="13" t="s">
        <v>649</v>
      </c>
      <c r="D27" s="84">
        <f>+'3.14 P9'!F21</f>
        <v>12866</v>
      </c>
      <c r="E27" s="84"/>
    </row>
    <row r="28" spans="1:5" ht="12.75">
      <c r="A28" s="91"/>
      <c r="B28" s="288"/>
      <c r="D28" s="84"/>
      <c r="E28" s="84"/>
    </row>
    <row r="29" spans="1:5" ht="26.25">
      <c r="A29" s="91">
        <f>+A27+1</f>
        <v>8</v>
      </c>
      <c r="B29" s="13" t="s">
        <v>668</v>
      </c>
      <c r="D29" s="84"/>
      <c r="E29" s="84">
        <f>+'3.14 P10'!F26+'3.14 P10'!I26</f>
        <v>15625</v>
      </c>
    </row>
    <row r="30" spans="1:5" ht="12.75">
      <c r="A30" s="91"/>
      <c r="B30" s="11"/>
      <c r="D30" s="84"/>
      <c r="E30" s="84"/>
    </row>
    <row r="31" spans="1:5" ht="26.25">
      <c r="A31" s="91">
        <f>+A29+1</f>
        <v>9</v>
      </c>
      <c r="B31" s="13" t="s">
        <v>266</v>
      </c>
      <c r="D31" s="84"/>
      <c r="E31" s="84">
        <f>+'3.14 P10'!G26+'3.14 P10'!H26</f>
        <v>0</v>
      </c>
    </row>
    <row r="32" spans="1:5" ht="12.75">
      <c r="A32" s="91"/>
      <c r="B32" s="11"/>
      <c r="D32" s="84"/>
      <c r="E32" s="84"/>
    </row>
    <row r="33" spans="1:5" ht="39">
      <c r="A33" s="91">
        <f>+A31+1</f>
        <v>10</v>
      </c>
      <c r="B33" s="13" t="s">
        <v>670</v>
      </c>
      <c r="D33" s="84"/>
      <c r="E33" s="84">
        <f>+'3.14 P11'!F25</f>
        <v>15625</v>
      </c>
    </row>
    <row r="34" spans="1:5" ht="12.75">
      <c r="A34" s="91"/>
      <c r="B34" s="288"/>
      <c r="D34" s="84"/>
      <c r="E34" s="84"/>
    </row>
    <row r="35" spans="1:7" ht="12.75">
      <c r="A35" s="91">
        <f>+A33+1</f>
        <v>11</v>
      </c>
      <c r="B35" s="273" t="s">
        <v>860</v>
      </c>
      <c r="D35" s="265">
        <f>SUM(D15:D34)</f>
        <v>7461762.045</v>
      </c>
      <c r="E35" s="265">
        <f>SUM(E15:E34)</f>
        <v>31250</v>
      </c>
      <c r="G35" s="265"/>
    </row>
    <row r="36" spans="1:7" ht="12.75">
      <c r="A36" s="91"/>
      <c r="B36" s="309"/>
      <c r="D36" s="154"/>
      <c r="E36" s="154"/>
      <c r="G36" s="154"/>
    </row>
    <row r="37" spans="1:7" ht="26.25">
      <c r="A37" s="91">
        <f>+A35+1</f>
        <v>12</v>
      </c>
      <c r="B37" s="273" t="s">
        <v>444</v>
      </c>
      <c r="D37" s="297">
        <v>12665000</v>
      </c>
      <c r="E37" s="297">
        <v>5453000</v>
      </c>
      <c r="G37" s="154"/>
    </row>
    <row r="38" spans="1:7" ht="12.75">
      <c r="A38" s="91"/>
      <c r="B38" s="309"/>
      <c r="D38" s="154"/>
      <c r="E38" s="154"/>
      <c r="G38" s="154"/>
    </row>
    <row r="39" spans="1:7" ht="12.75">
      <c r="A39" s="91">
        <f>+A37+1</f>
        <v>13</v>
      </c>
      <c r="B39" t="s">
        <v>445</v>
      </c>
      <c r="D39" s="310">
        <f>ROUND(D35/D37,2)</f>
        <v>0.59</v>
      </c>
      <c r="E39" s="310">
        <f>ROUND(E35/E37,2)</f>
        <v>0.01</v>
      </c>
      <c r="G39" s="154"/>
    </row>
    <row r="40" spans="1:7" ht="12.75">
      <c r="A40" s="91"/>
      <c r="B40" s="309"/>
      <c r="D40" s="154"/>
      <c r="E40" s="154"/>
      <c r="G40" s="154"/>
    </row>
    <row r="41" spans="1:7" ht="12.75">
      <c r="A41" s="91">
        <f>+A39+1</f>
        <v>14</v>
      </c>
      <c r="B41" s="273" t="s">
        <v>673</v>
      </c>
      <c r="D41" s="328">
        <v>0.98</v>
      </c>
      <c r="E41" s="328">
        <v>0.02</v>
      </c>
      <c r="G41" s="154"/>
    </row>
    <row r="42" spans="1:7" ht="12.75">
      <c r="A42" s="91"/>
      <c r="B42" s="309"/>
      <c r="D42" s="154"/>
      <c r="E42" s="154"/>
      <c r="G42" s="154"/>
    </row>
    <row r="43" spans="1:7" ht="26.25">
      <c r="A43" s="91">
        <f>+A41+1</f>
        <v>15</v>
      </c>
      <c r="B43" s="273" t="s">
        <v>350</v>
      </c>
      <c r="D43" s="310">
        <f>ROUND(D39*D41,2)</f>
        <v>0.58</v>
      </c>
      <c r="E43" s="310">
        <f>ROUND(E39*E41,2)</f>
        <v>0</v>
      </c>
      <c r="G43" s="154"/>
    </row>
    <row r="44" spans="1:7" ht="12.75">
      <c r="A44" s="91"/>
      <c r="B44" s="309"/>
      <c r="D44" s="154"/>
      <c r="E44" s="154"/>
      <c r="G44" s="154"/>
    </row>
    <row r="45" spans="1:7" ht="12.75">
      <c r="A45" s="91">
        <f>+A43+1</f>
        <v>16</v>
      </c>
      <c r="B45" s="273" t="s">
        <v>794</v>
      </c>
      <c r="D45" s="327">
        <v>217900</v>
      </c>
      <c r="E45" s="327">
        <f>+D45</f>
        <v>217900</v>
      </c>
      <c r="G45" s="154"/>
    </row>
    <row r="46" spans="1:5" ht="12.75">
      <c r="A46" s="91"/>
      <c r="B46" s="288"/>
      <c r="D46" s="84"/>
      <c r="E46" s="84"/>
    </row>
    <row r="47" spans="1:7" ht="12.75">
      <c r="A47" s="91">
        <f>+A45+1</f>
        <v>17</v>
      </c>
      <c r="B47" s="288" t="s">
        <v>446</v>
      </c>
      <c r="D47" s="84">
        <f>ROUND(D43*D45,0)</f>
        <v>126382</v>
      </c>
      <c r="E47" s="84">
        <f>ROUND(E43*E45,0)</f>
        <v>0</v>
      </c>
      <c r="G47" s="84">
        <f>+D47+E47</f>
        <v>126382</v>
      </c>
    </row>
    <row r="48" spans="1:5" ht="12.75">
      <c r="A48" s="91"/>
      <c r="B48" s="288"/>
      <c r="D48" s="84"/>
      <c r="E48" s="84"/>
    </row>
    <row r="49" spans="1:5" ht="12.75">
      <c r="A49" s="91"/>
      <c r="B49" s="288"/>
      <c r="D49" s="84"/>
      <c r="E49" s="84"/>
    </row>
    <row r="50" spans="1:5" ht="12.75">
      <c r="A50" s="91"/>
      <c r="B50" s="288"/>
      <c r="D50" s="84"/>
      <c r="E50" s="84"/>
    </row>
    <row r="51" spans="1:5" ht="12.75">
      <c r="A51" s="91"/>
      <c r="B51" s="288" t="s">
        <v>447</v>
      </c>
      <c r="D51" s="84"/>
      <c r="E51" s="84"/>
    </row>
    <row r="52" spans="1:5" ht="12.75">
      <c r="A52" s="91"/>
      <c r="B52" s="288"/>
      <c r="D52" s="84"/>
      <c r="E52" s="84"/>
    </row>
    <row r="53" spans="1:5" ht="12.75">
      <c r="A53" s="91"/>
      <c r="B53" s="288"/>
      <c r="D53" s="84"/>
      <c r="E53" s="84"/>
    </row>
    <row r="54" spans="1:5" ht="12.75">
      <c r="A54" s="91"/>
      <c r="B54" s="288"/>
      <c r="D54" s="84"/>
      <c r="E54" s="84"/>
    </row>
    <row r="55" spans="1:5" ht="12.75">
      <c r="A55" s="91"/>
      <c r="B55" s="288"/>
      <c r="D55" s="84"/>
      <c r="E55" s="84"/>
    </row>
    <row r="56" spans="1:5" ht="12.75">
      <c r="A56" s="91"/>
      <c r="B56" s="288"/>
      <c r="D56" s="84"/>
      <c r="E56" s="84"/>
    </row>
    <row r="57" spans="1:5" ht="12.75">
      <c r="A57" s="91"/>
      <c r="B57" s="288"/>
      <c r="D57" s="84"/>
      <c r="E57" s="84"/>
    </row>
    <row r="58" spans="1:5" ht="12.75">
      <c r="A58" s="91"/>
      <c r="B58" s="288"/>
      <c r="D58" s="84"/>
      <c r="E58" s="84"/>
    </row>
    <row r="59" spans="1:5" ht="12.75">
      <c r="A59" s="91"/>
      <c r="B59" s="288"/>
      <c r="D59" s="84"/>
      <c r="E59" s="84"/>
    </row>
    <row r="60" spans="1:5" ht="12.75">
      <c r="A60" s="91"/>
      <c r="B60" s="288"/>
      <c r="D60" s="84"/>
      <c r="E60" s="84"/>
    </row>
    <row r="61" spans="1:5" ht="12.75">
      <c r="A61" s="91"/>
      <c r="B61" s="288"/>
      <c r="D61" s="84"/>
      <c r="E61" s="84"/>
    </row>
    <row r="62" spans="1:5" ht="12.75">
      <c r="A62" s="91"/>
      <c r="B62" s="288"/>
      <c r="D62" s="84"/>
      <c r="E62" s="84"/>
    </row>
    <row r="63" spans="1:5" ht="12.75">
      <c r="A63" s="91"/>
      <c r="B63" s="288"/>
      <c r="D63" s="84"/>
      <c r="E63" s="84"/>
    </row>
    <row r="64" spans="1:5" ht="12.75">
      <c r="A64" s="91"/>
      <c r="B64" s="288"/>
      <c r="D64" s="84"/>
      <c r="E64" s="84"/>
    </row>
    <row r="65" spans="1:5" ht="12.75">
      <c r="A65" s="91"/>
      <c r="B65" s="288"/>
      <c r="D65" s="84"/>
      <c r="E65" s="84"/>
    </row>
    <row r="66" spans="1:5" ht="12.75">
      <c r="A66" s="91"/>
      <c r="B66" s="288"/>
      <c r="D66" s="84"/>
      <c r="E66" s="84"/>
    </row>
    <row r="67" spans="1:5" ht="12.75">
      <c r="A67" s="91"/>
      <c r="B67" s="288"/>
      <c r="D67" s="84"/>
      <c r="E67" s="84"/>
    </row>
    <row r="68" spans="1:5" ht="12.75">
      <c r="A68" s="91"/>
      <c r="B68" s="288"/>
      <c r="D68" s="84"/>
      <c r="E68" s="84"/>
    </row>
    <row r="69" spans="1:5" ht="12.75">
      <c r="A69" s="91"/>
      <c r="B69" s="288"/>
      <c r="D69" s="84"/>
      <c r="E69" s="84"/>
    </row>
    <row r="70" spans="4:5" ht="12.75">
      <c r="D70" s="84"/>
      <c r="E70" s="84"/>
    </row>
    <row r="71" spans="4:5" ht="12.75">
      <c r="D71" s="84"/>
      <c r="E71" s="84"/>
    </row>
    <row r="72" spans="4:5" ht="12.75">
      <c r="D72" s="84"/>
      <c r="E72" s="84"/>
    </row>
    <row r="73" spans="4:5" ht="12.75">
      <c r="D73" s="84"/>
      <c r="E73" s="84"/>
    </row>
    <row r="74" spans="4:5" ht="12.75">
      <c r="D74" s="84"/>
      <c r="E74" s="84"/>
    </row>
    <row r="75" spans="4:5" ht="12.75">
      <c r="D75" s="84"/>
      <c r="E75" s="84"/>
    </row>
    <row r="76" spans="4:5" ht="12.75">
      <c r="D76" s="84"/>
      <c r="E76" s="84"/>
    </row>
    <row r="77" spans="4:5" ht="12.75">
      <c r="D77" s="84"/>
      <c r="E77" s="84"/>
    </row>
    <row r="78" spans="4:5" ht="12.75">
      <c r="D78" s="84"/>
      <c r="E78" s="84"/>
    </row>
    <row r="79" spans="4:5" ht="12.75">
      <c r="D79" s="84"/>
      <c r="E79" s="84"/>
    </row>
  </sheetData>
  <sheetProtection/>
  <mergeCells count="6">
    <mergeCell ref="A9:H9"/>
    <mergeCell ref="A10:H10"/>
    <mergeCell ref="A5:H5"/>
    <mergeCell ref="A6:H6"/>
    <mergeCell ref="A7:H7"/>
    <mergeCell ref="A8:H8"/>
  </mergeCells>
  <printOptions horizontalCentered="1" verticalCentered="1"/>
  <pageMargins left="0" right="0" top="0.25" bottom="0.25" header="0" footer="0"/>
  <pageSetup horizontalDpi="300" verticalDpi="300" orientation="portrait" scale="80" r:id="rId1"/>
</worksheet>
</file>

<file path=xl/worksheets/sheet13.xml><?xml version="1.0" encoding="utf-8"?>
<worksheet xmlns="http://schemas.openxmlformats.org/spreadsheetml/2006/main" xmlns:r="http://schemas.openxmlformats.org/officeDocument/2006/relationships">
  <dimension ref="B2:L50"/>
  <sheetViews>
    <sheetView zoomScalePageLayoutView="0" workbookViewId="0" topLeftCell="A1">
      <pane ySplit="12" topLeftCell="A13" activePane="bottomLeft" state="frozen"/>
      <selection pane="topLeft" activeCell="E40" sqref="E40"/>
      <selection pane="bottomLeft" activeCell="I30" sqref="I30"/>
    </sheetView>
  </sheetViews>
  <sheetFormatPr defaultColWidth="9.140625" defaultRowHeight="12.75"/>
  <cols>
    <col min="1" max="1" width="3.7109375" style="0" customWidth="1"/>
    <col min="2" max="2" width="5.00390625" style="0" bestFit="1" customWidth="1"/>
    <col min="3" max="3" width="0.5625" style="0" customWidth="1"/>
    <col min="4" max="4" width="70.7109375" style="0" customWidth="1"/>
    <col min="5" max="5" width="0.5625" style="0" customWidth="1"/>
    <col min="6" max="6" width="15.7109375" style="0" customWidth="1"/>
    <col min="7" max="7" width="2.28125" style="0" customWidth="1"/>
    <col min="9" max="9" width="12.7109375" style="0" customWidth="1"/>
    <col min="10" max="10" width="13.00390625" style="0" bestFit="1" customWidth="1"/>
    <col min="11" max="11" width="9.28125" style="0" bestFit="1" customWidth="1"/>
  </cols>
  <sheetData>
    <row r="2" ht="12.75">
      <c r="F2" s="2" t="s">
        <v>378</v>
      </c>
    </row>
    <row r="3" ht="12.75">
      <c r="F3" s="83" t="s">
        <v>448</v>
      </c>
    </row>
    <row r="5" spans="3:4" ht="12.75">
      <c r="C5" s="1"/>
      <c r="D5" s="125" t="s">
        <v>381</v>
      </c>
    </row>
    <row r="6" spans="3:4" ht="12.75">
      <c r="C6" s="1"/>
      <c r="D6" s="125" t="s">
        <v>710</v>
      </c>
    </row>
    <row r="7" spans="4:11" ht="12.75">
      <c r="D7" s="3" t="s">
        <v>449</v>
      </c>
      <c r="I7" s="548" t="s">
        <v>8</v>
      </c>
      <c r="J7" s="548"/>
      <c r="K7" s="548"/>
    </row>
    <row r="8" ht="12.75">
      <c r="D8" s="3"/>
    </row>
    <row r="9" spans="4:11" ht="12.75">
      <c r="D9" s="335" t="str">
        <f>+'ES 1.0'!E7</f>
        <v>For the Expense Month of October 2013</v>
      </c>
      <c r="K9" s="184" t="s">
        <v>650</v>
      </c>
    </row>
    <row r="10" spans="4:11" ht="12.75">
      <c r="D10" s="3"/>
      <c r="K10" s="184" t="s">
        <v>5</v>
      </c>
    </row>
    <row r="11" ht="13.5" thickBot="1">
      <c r="K11" s="184" t="s">
        <v>468</v>
      </c>
    </row>
    <row r="12" spans="2:11" ht="27" thickBot="1">
      <c r="B12" s="36" t="s">
        <v>683</v>
      </c>
      <c r="C12" s="113"/>
      <c r="D12" s="80" t="s">
        <v>788</v>
      </c>
      <c r="E12" s="113"/>
      <c r="F12" s="114" t="s">
        <v>789</v>
      </c>
      <c r="I12" s="147" t="s">
        <v>7</v>
      </c>
      <c r="J12" s="255" t="s">
        <v>4</v>
      </c>
      <c r="K12" s="261" t="s">
        <v>6</v>
      </c>
    </row>
    <row r="13" spans="2:10" ht="12.75">
      <c r="B13" s="99"/>
      <c r="C13" s="18"/>
      <c r="D13" s="6"/>
      <c r="E13" s="18"/>
      <c r="F13" s="7"/>
      <c r="J13" s="157"/>
    </row>
    <row r="14" spans="2:6" ht="12.75">
      <c r="B14" s="10">
        <f>+B13+1</f>
        <v>1</v>
      </c>
      <c r="C14" s="20"/>
      <c r="D14" s="11" t="s">
        <v>804</v>
      </c>
      <c r="E14" s="20"/>
      <c r="F14" s="496">
        <f>601233295-799154+10988430+9060198</f>
        <v>620482769</v>
      </c>
    </row>
    <row r="15" spans="2:6" ht="12.75">
      <c r="B15" s="10">
        <f>+B14+1</f>
        <v>2</v>
      </c>
      <c r="C15" s="20"/>
      <c r="D15" s="11" t="s">
        <v>450</v>
      </c>
      <c r="E15" s="20"/>
      <c r="F15" s="311">
        <v>0.0137</v>
      </c>
    </row>
    <row r="16" spans="2:6" ht="12.75">
      <c r="B16" s="10">
        <f>+B15+1</f>
        <v>3</v>
      </c>
      <c r="C16" s="20"/>
      <c r="D16" s="63" t="s">
        <v>723</v>
      </c>
      <c r="E16" s="20"/>
      <c r="F16" s="87">
        <f>ROUND(F14*F15,0)</f>
        <v>8500614</v>
      </c>
    </row>
    <row r="17" spans="2:6" ht="12.75">
      <c r="B17" s="10">
        <f>+B16+1</f>
        <v>4</v>
      </c>
      <c r="C17" s="20"/>
      <c r="D17" s="63" t="s">
        <v>451</v>
      </c>
      <c r="E17" s="20"/>
      <c r="F17" s="311">
        <v>1</v>
      </c>
    </row>
    <row r="18" spans="2:6" ht="12.75">
      <c r="B18" s="10">
        <f>+B17+1</f>
        <v>5</v>
      </c>
      <c r="C18" s="20"/>
      <c r="D18" s="190" t="s">
        <v>610</v>
      </c>
      <c r="E18" s="20"/>
      <c r="F18" s="87">
        <f>ROUND(F16*F17,0)</f>
        <v>8500614</v>
      </c>
    </row>
    <row r="19" spans="2:6" ht="12.75">
      <c r="B19" s="102"/>
      <c r="C19" s="20"/>
      <c r="D19" s="11" t="s">
        <v>790</v>
      </c>
      <c r="E19" s="20"/>
      <c r="F19" s="15"/>
    </row>
    <row r="20" spans="2:11" ht="12.75">
      <c r="B20" s="10">
        <f>+B18+1</f>
        <v>6</v>
      </c>
      <c r="C20" s="20"/>
      <c r="D20" s="63" t="s">
        <v>603</v>
      </c>
      <c r="E20" s="20"/>
      <c r="F20" s="89">
        <f>+I20</f>
        <v>99181</v>
      </c>
      <c r="I20" s="84">
        <f>ROUND(J20/K20,0)</f>
        <v>99181</v>
      </c>
      <c r="J20" s="253">
        <v>66123.86</v>
      </c>
      <c r="K20" s="422">
        <v>0.6667</v>
      </c>
    </row>
    <row r="21" spans="2:11" ht="12.75">
      <c r="B21" s="10">
        <f>+B20+1</f>
        <v>7</v>
      </c>
      <c r="C21" s="20"/>
      <c r="D21" s="11" t="s">
        <v>452</v>
      </c>
      <c r="E21" s="20"/>
      <c r="F21" s="89">
        <f>+I21</f>
        <v>381271</v>
      </c>
      <c r="I21" s="84">
        <f>ROUND(J21/K21,0)</f>
        <v>381271</v>
      </c>
      <c r="J21" s="253">
        <v>254193.24</v>
      </c>
      <c r="K21" s="422">
        <v>0.6667</v>
      </c>
    </row>
    <row r="22" spans="2:11" ht="12.75" customHeight="1">
      <c r="B22" s="10">
        <f>+B21+1</f>
        <v>8</v>
      </c>
      <c r="C22" s="20"/>
      <c r="D22" s="11" t="s">
        <v>453</v>
      </c>
      <c r="E22" s="20"/>
      <c r="F22" s="89">
        <f>+I22</f>
        <v>226387</v>
      </c>
      <c r="I22" s="84">
        <f>ROUND(J22/K22,0)</f>
        <v>226387</v>
      </c>
      <c r="J22" s="253">
        <v>150932.17</v>
      </c>
      <c r="K22" s="422">
        <v>0.6667</v>
      </c>
    </row>
    <row r="23" spans="2:11" ht="12.75" customHeight="1">
      <c r="B23" s="10">
        <f>+B22+1</f>
        <v>9</v>
      </c>
      <c r="C23" s="20"/>
      <c r="D23" s="63" t="s">
        <v>604</v>
      </c>
      <c r="E23" s="20"/>
      <c r="F23" s="89">
        <f>+I23</f>
        <v>406722</v>
      </c>
      <c r="I23" s="84">
        <f>ROUND(J23/K23,0)</f>
        <v>406722</v>
      </c>
      <c r="J23" s="253">
        <v>271161.23</v>
      </c>
      <c r="K23" s="422">
        <v>0.6667</v>
      </c>
    </row>
    <row r="24" spans="2:11" ht="12.75" customHeight="1">
      <c r="B24" s="10">
        <f>+B23+1</f>
        <v>10</v>
      </c>
      <c r="C24" s="20"/>
      <c r="D24" s="63" t="s">
        <v>454</v>
      </c>
      <c r="E24" s="20"/>
      <c r="F24" s="188">
        <f>+I24</f>
        <v>10552</v>
      </c>
      <c r="I24" s="423">
        <f>ROUND(J24/K24,0)</f>
        <v>10552</v>
      </c>
      <c r="J24" s="503">
        <f>'Air Emission Fees - OPCo'!J5</f>
        <v>7035</v>
      </c>
      <c r="K24" s="422">
        <v>0.6667</v>
      </c>
    </row>
    <row r="25" spans="2:10" ht="12.75" customHeight="1">
      <c r="B25" s="10">
        <f>+B24+1</f>
        <v>11</v>
      </c>
      <c r="C25" s="20"/>
      <c r="D25" s="11" t="s">
        <v>605</v>
      </c>
      <c r="E25" s="20"/>
      <c r="F25" s="187">
        <f>SUM(F20:F24)</f>
        <v>1124113</v>
      </c>
      <c r="I25" s="84">
        <f>SUM(I20:I24)</f>
        <v>1124113</v>
      </c>
      <c r="J25" s="84">
        <f>SUM(J20:J24)</f>
        <v>749445.5</v>
      </c>
    </row>
    <row r="26" spans="2:6" ht="12.75">
      <c r="B26" s="10"/>
      <c r="C26" s="20"/>
      <c r="D26" s="11" t="s">
        <v>791</v>
      </c>
      <c r="E26" s="20"/>
      <c r="F26" s="87"/>
    </row>
    <row r="27" spans="2:11" ht="12.75">
      <c r="B27" s="10">
        <f>+B25+1</f>
        <v>12</v>
      </c>
      <c r="C27" s="20"/>
      <c r="D27" s="11" t="s">
        <v>456</v>
      </c>
      <c r="E27" s="20"/>
      <c r="F27" s="89">
        <f>+I27</f>
        <v>18547</v>
      </c>
      <c r="I27" s="84">
        <f>ROUND(J27/K27,0)</f>
        <v>18547</v>
      </c>
      <c r="J27" s="84">
        <v>12365.6</v>
      </c>
      <c r="K27" s="422">
        <v>0.6667</v>
      </c>
    </row>
    <row r="28" spans="2:11" ht="12.75">
      <c r="B28" s="10">
        <f>+B27+1</f>
        <v>13</v>
      </c>
      <c r="C28" s="20"/>
      <c r="D28" s="11" t="s">
        <v>25</v>
      </c>
      <c r="E28" s="20"/>
      <c r="F28" s="188">
        <f>+I28</f>
        <v>158748</v>
      </c>
      <c r="I28" s="423">
        <f>ROUND(J28/K28,0)</f>
        <v>158748</v>
      </c>
      <c r="J28" s="423">
        <v>105837.44</v>
      </c>
      <c r="K28" s="422">
        <v>0.6667</v>
      </c>
    </row>
    <row r="29" spans="2:11" ht="12.75">
      <c r="B29" s="10">
        <f>+B28+1</f>
        <v>14</v>
      </c>
      <c r="C29" s="20"/>
      <c r="D29" s="63" t="s">
        <v>778</v>
      </c>
      <c r="E29" s="20"/>
      <c r="F29" s="188">
        <f>+F27+F28</f>
        <v>177295</v>
      </c>
      <c r="I29" s="423">
        <f>+I27+I28</f>
        <v>177295</v>
      </c>
      <c r="J29" s="423">
        <f>+J27+J28</f>
        <v>118203.04000000001</v>
      </c>
      <c r="K29" s="422"/>
    </row>
    <row r="30" spans="2:11" ht="12.75">
      <c r="B30" s="10">
        <f>+B29+1</f>
        <v>15</v>
      </c>
      <c r="C30" s="20"/>
      <c r="D30" s="11" t="s">
        <v>779</v>
      </c>
      <c r="E30" s="20"/>
      <c r="F30" s="97">
        <f>ROUND(F29*0.5,0)</f>
        <v>88648</v>
      </c>
      <c r="I30" s="423">
        <f>ROUND(J30/K30,0)</f>
        <v>88649</v>
      </c>
      <c r="J30" s="145">
        <f>ROUND(J29*0.5,0)</f>
        <v>59102</v>
      </c>
      <c r="K30" s="67">
        <v>0.6667</v>
      </c>
    </row>
    <row r="31" spans="2:10" ht="12.75">
      <c r="B31" s="10">
        <f aca="true" t="shared" si="0" ref="B31:B38">+B30+1</f>
        <v>16</v>
      </c>
      <c r="C31" s="20"/>
      <c r="D31" s="11" t="s">
        <v>399</v>
      </c>
      <c r="E31" s="20"/>
      <c r="F31" s="119">
        <f>+F25+F30</f>
        <v>1212761</v>
      </c>
      <c r="I31" s="84">
        <f>+I25+I30</f>
        <v>1212762</v>
      </c>
      <c r="J31" s="84">
        <f>+J25+J30</f>
        <v>808547.5</v>
      </c>
    </row>
    <row r="32" spans="2:10" ht="12.75">
      <c r="B32" s="10">
        <f t="shared" si="0"/>
        <v>17</v>
      </c>
      <c r="C32" s="20"/>
      <c r="D32" s="63" t="s">
        <v>457</v>
      </c>
      <c r="E32" s="20"/>
      <c r="F32" s="311">
        <v>0.6667</v>
      </c>
      <c r="I32" s="424">
        <v>0.6667</v>
      </c>
      <c r="J32" s="424">
        <v>1</v>
      </c>
    </row>
    <row r="33" spans="2:11" ht="12.75">
      <c r="B33" s="10">
        <f t="shared" si="0"/>
        <v>18</v>
      </c>
      <c r="C33" s="20"/>
      <c r="D33" s="312" t="s">
        <v>780</v>
      </c>
      <c r="E33" s="20"/>
      <c r="F33" s="97">
        <f>ROUND(F31*F32,0)</f>
        <v>808548</v>
      </c>
      <c r="I33" s="154">
        <f>ROUND(I31*I32,0)</f>
        <v>808548</v>
      </c>
      <c r="J33" s="154">
        <f>ROUND(J31*J32,0)+1</f>
        <v>808549</v>
      </c>
      <c r="K33" s="304" t="s">
        <v>9</v>
      </c>
    </row>
    <row r="34" spans="2:6" ht="26.25">
      <c r="B34" s="10">
        <f>+B33+1</f>
        <v>19</v>
      </c>
      <c r="C34" s="20"/>
      <c r="D34" s="190" t="s">
        <v>781</v>
      </c>
      <c r="E34" s="20"/>
      <c r="F34" s="119">
        <f>+F18+F33</f>
        <v>9309162</v>
      </c>
    </row>
    <row r="35" spans="2:6" ht="12.75">
      <c r="B35" s="10">
        <f>+B34+1</f>
        <v>20</v>
      </c>
      <c r="C35" s="20"/>
      <c r="D35" s="11" t="s">
        <v>458</v>
      </c>
      <c r="E35" s="20"/>
      <c r="F35" s="170">
        <f>+'3.14 P2'!D37</f>
        <v>12665000</v>
      </c>
    </row>
    <row r="36" spans="2:12" ht="12.75" customHeight="1">
      <c r="B36" s="10">
        <f t="shared" si="0"/>
        <v>21</v>
      </c>
      <c r="C36" s="20"/>
      <c r="D36" s="11" t="s">
        <v>460</v>
      </c>
      <c r="E36" s="20"/>
      <c r="F36" s="116">
        <f>ROUND(F34/F35,2)</f>
        <v>0.74</v>
      </c>
      <c r="I36" s="558" t="s">
        <v>765</v>
      </c>
      <c r="J36" s="558"/>
      <c r="K36" s="558"/>
      <c r="L36" s="558"/>
    </row>
    <row r="37" spans="2:12" ht="12.75">
      <c r="B37" s="10">
        <f t="shared" si="0"/>
        <v>22</v>
      </c>
      <c r="C37" s="20"/>
      <c r="D37" s="11" t="s">
        <v>792</v>
      </c>
      <c r="E37" s="20"/>
      <c r="F37" s="171">
        <f>+'3.14 P2'!D41</f>
        <v>0.98</v>
      </c>
      <c r="I37" s="558"/>
      <c r="J37" s="558"/>
      <c r="K37" s="558"/>
      <c r="L37" s="558"/>
    </row>
    <row r="38" spans="2:12" ht="12.75">
      <c r="B38" s="10">
        <f t="shared" si="0"/>
        <v>23</v>
      </c>
      <c r="C38" s="20"/>
      <c r="D38" s="11" t="s">
        <v>793</v>
      </c>
      <c r="E38" s="20"/>
      <c r="F38" s="87"/>
      <c r="I38" s="558"/>
      <c r="J38" s="558"/>
      <c r="K38" s="558"/>
      <c r="L38" s="558"/>
    </row>
    <row r="39" spans="2:12" ht="12.75">
      <c r="B39" s="102"/>
      <c r="C39" s="20"/>
      <c r="D39" s="11" t="s">
        <v>782</v>
      </c>
      <c r="E39" s="20"/>
      <c r="F39" s="116">
        <f>ROUND(F36*F37,2)</f>
        <v>0.73</v>
      </c>
      <c r="I39" s="558"/>
      <c r="J39" s="558"/>
      <c r="K39" s="558"/>
      <c r="L39" s="558"/>
    </row>
    <row r="40" spans="2:12" ht="12.75">
      <c r="B40" s="102"/>
      <c r="C40" s="20"/>
      <c r="D40" s="11" t="s">
        <v>461</v>
      </c>
      <c r="E40" s="20"/>
      <c r="F40" s="116"/>
      <c r="I40" s="558"/>
      <c r="J40" s="558"/>
      <c r="K40" s="558"/>
      <c r="L40" s="558"/>
    </row>
    <row r="41" spans="2:12" ht="12.75">
      <c r="B41" s="10">
        <f>+B38+1</f>
        <v>24</v>
      </c>
      <c r="C41" s="20"/>
      <c r="D41" s="11" t="s">
        <v>783</v>
      </c>
      <c r="E41" s="20"/>
      <c r="F41" s="116">
        <f>+F39</f>
        <v>0.73</v>
      </c>
      <c r="I41" s="558"/>
      <c r="J41" s="558"/>
      <c r="K41" s="558"/>
      <c r="L41" s="558"/>
    </row>
    <row r="42" spans="2:12" ht="12.75">
      <c r="B42" s="10">
        <f>+B41+1</f>
        <v>25</v>
      </c>
      <c r="C42" s="20"/>
      <c r="D42" s="11" t="s">
        <v>794</v>
      </c>
      <c r="E42" s="20"/>
      <c r="F42" s="246">
        <f>+'3.14 P2'!D45</f>
        <v>217900</v>
      </c>
      <c r="I42" s="558"/>
      <c r="J42" s="558"/>
      <c r="K42" s="558"/>
      <c r="L42" s="558"/>
    </row>
    <row r="43" spans="2:6" ht="26.25">
      <c r="B43" s="10">
        <f>+B42+1</f>
        <v>26</v>
      </c>
      <c r="C43" s="20"/>
      <c r="D43" s="13" t="s">
        <v>149</v>
      </c>
      <c r="E43" s="20"/>
      <c r="F43" s="87">
        <f>ROUND(F41*F42,0)</f>
        <v>159067</v>
      </c>
    </row>
    <row r="44" spans="2:6" ht="13.5" thickBot="1">
      <c r="B44" s="76"/>
      <c r="C44" s="21"/>
      <c r="D44" s="16"/>
      <c r="E44" s="21"/>
      <c r="F44" s="117"/>
    </row>
    <row r="50" ht="12.75">
      <c r="D50" s="11"/>
    </row>
  </sheetData>
  <sheetProtection/>
  <mergeCells count="2">
    <mergeCell ref="I7:K7"/>
    <mergeCell ref="I36:L42"/>
  </mergeCells>
  <printOptions horizontalCentered="1"/>
  <pageMargins left="0" right="0" top="1" bottom="0.5" header="0" footer="0"/>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B2:M49"/>
  <sheetViews>
    <sheetView zoomScalePageLayoutView="0" workbookViewId="0" topLeftCell="A1">
      <pane ySplit="12" topLeftCell="A13" activePane="bottomLeft" state="frozen"/>
      <selection pane="topLeft" activeCell="E40" sqref="E40"/>
      <selection pane="bottomLeft" activeCell="M47" sqref="M47"/>
    </sheetView>
  </sheetViews>
  <sheetFormatPr defaultColWidth="9.140625" defaultRowHeight="12.75"/>
  <cols>
    <col min="1" max="1" width="3.7109375" style="0" customWidth="1"/>
    <col min="2" max="2" width="5.140625" style="0" bestFit="1" customWidth="1"/>
    <col min="3" max="3" width="0.5625" style="0" customWidth="1"/>
    <col min="4" max="4" width="60.7109375" style="0" customWidth="1"/>
    <col min="5" max="5" width="0.5625" style="0" customWidth="1"/>
    <col min="6" max="6" width="15.7109375" style="0" customWidth="1"/>
    <col min="7" max="7" width="3.7109375" style="0" customWidth="1"/>
    <col min="10" max="10" width="11.28125" style="0" bestFit="1" customWidth="1"/>
    <col min="13" max="13" width="12.7109375" style="0" bestFit="1" customWidth="1"/>
  </cols>
  <sheetData>
    <row r="2" ht="12.75">
      <c r="F2" s="2" t="s">
        <v>378</v>
      </c>
    </row>
    <row r="3" ht="12.75">
      <c r="F3" s="83" t="s">
        <v>462</v>
      </c>
    </row>
    <row r="5" spans="3:4" ht="12.75">
      <c r="C5" s="1"/>
      <c r="D5" s="125" t="s">
        <v>381</v>
      </c>
    </row>
    <row r="6" spans="3:4" ht="12.75">
      <c r="C6" s="1"/>
      <c r="D6" s="125" t="s">
        <v>710</v>
      </c>
    </row>
    <row r="7" ht="12.75">
      <c r="D7" s="3" t="s">
        <v>463</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398290892+2671253+2044074-10982452</f>
        <v>392023767</v>
      </c>
    </row>
    <row r="15" spans="2:6" ht="12.75">
      <c r="B15" s="10">
        <f>+B14+1</f>
        <v>2</v>
      </c>
      <c r="C15" s="20"/>
      <c r="D15" s="11" t="s">
        <v>450</v>
      </c>
      <c r="E15" s="20"/>
      <c r="F15" s="311">
        <v>0.0137</v>
      </c>
    </row>
    <row r="16" spans="2:6" ht="12.75">
      <c r="B16" s="10">
        <f>+B15+1</f>
        <v>3</v>
      </c>
      <c r="C16" s="20"/>
      <c r="D16" s="63" t="s">
        <v>723</v>
      </c>
      <c r="E16" s="20"/>
      <c r="F16" s="87">
        <f>ROUND(F14*F15,0)</f>
        <v>5370726</v>
      </c>
    </row>
    <row r="17" spans="2:6" ht="12.75">
      <c r="B17" s="102"/>
      <c r="C17" s="20"/>
      <c r="D17" s="11" t="s">
        <v>790</v>
      </c>
      <c r="E17" s="20"/>
      <c r="F17" s="15"/>
    </row>
    <row r="18" spans="2:6" ht="12.75">
      <c r="B18" s="10">
        <f>+B16+1</f>
        <v>4</v>
      </c>
      <c r="C18" s="20"/>
      <c r="D18" s="63" t="s">
        <v>603</v>
      </c>
      <c r="E18" s="20"/>
      <c r="F18" s="89">
        <f>-602797.23+14626.24</f>
        <v>-588170.99</v>
      </c>
    </row>
    <row r="19" spans="2:6" ht="12.75">
      <c r="B19" s="10">
        <f aca="true" t="shared" si="0" ref="B19:B24">B18+1</f>
        <v>5</v>
      </c>
      <c r="C19" s="20"/>
      <c r="D19" s="63" t="s">
        <v>925</v>
      </c>
      <c r="E19" s="20"/>
      <c r="F19" s="89">
        <v>0</v>
      </c>
    </row>
    <row r="20" spans="2:6" ht="12.75">
      <c r="B20" s="10">
        <f t="shared" si="0"/>
        <v>6</v>
      </c>
      <c r="C20" s="20"/>
      <c r="D20" s="11" t="s">
        <v>452</v>
      </c>
      <c r="E20" s="20"/>
      <c r="F20" s="89">
        <v>258872.45</v>
      </c>
    </row>
    <row r="21" spans="2:9" ht="12.75">
      <c r="B21" s="10">
        <f t="shared" si="0"/>
        <v>7</v>
      </c>
      <c r="C21" s="20"/>
      <c r="D21" s="11" t="s">
        <v>453</v>
      </c>
      <c r="E21" s="20"/>
      <c r="F21" s="89">
        <v>215314.08</v>
      </c>
      <c r="I21" s="84"/>
    </row>
    <row r="22" spans="2:6" ht="12.75">
      <c r="B22" s="10">
        <f t="shared" si="0"/>
        <v>8</v>
      </c>
      <c r="C22" s="20"/>
      <c r="D22" s="63" t="s">
        <v>604</v>
      </c>
      <c r="E22" s="20"/>
      <c r="F22" s="89">
        <v>712421.98</v>
      </c>
    </row>
    <row r="23" spans="2:13" ht="12.75">
      <c r="B23" s="10">
        <f t="shared" si="0"/>
        <v>9</v>
      </c>
      <c r="C23" s="20"/>
      <c r="D23" s="63" t="s">
        <v>454</v>
      </c>
      <c r="E23" s="20"/>
      <c r="F23" s="502">
        <f>'Air Emission Fees - OPCo'!J7</f>
        <v>8794</v>
      </c>
      <c r="M23" s="501">
        <v>317785.72</v>
      </c>
    </row>
    <row r="24" spans="2:13" ht="12.75">
      <c r="B24" s="10">
        <f t="shared" si="0"/>
        <v>10</v>
      </c>
      <c r="C24" s="20"/>
      <c r="D24" s="11" t="s">
        <v>148</v>
      </c>
      <c r="E24" s="20"/>
      <c r="F24" s="187">
        <f>SUM(F18:F23)</f>
        <v>607231.52</v>
      </c>
      <c r="M24" s="494">
        <v>0.32558</v>
      </c>
    </row>
    <row r="25" spans="2:13" ht="12.75">
      <c r="B25" s="10"/>
      <c r="C25" s="20"/>
      <c r="D25" s="11" t="s">
        <v>791</v>
      </c>
      <c r="E25" s="20"/>
      <c r="F25" s="87"/>
      <c r="M25" s="501">
        <f>M23*M24</f>
        <v>103464.67471759999</v>
      </c>
    </row>
    <row r="26" spans="2:13" ht="12.75">
      <c r="B26" s="10">
        <f>+B24+1</f>
        <v>11</v>
      </c>
      <c r="C26" s="20"/>
      <c r="D26" s="11" t="s">
        <v>456</v>
      </c>
      <c r="E26" s="20"/>
      <c r="F26" s="443">
        <f>1000.82+24091.27</f>
        <v>25092.09</v>
      </c>
      <c r="M26" s="501">
        <f>M25/12</f>
        <v>8622.056226466666</v>
      </c>
    </row>
    <row r="27" spans="2:6" ht="12.75">
      <c r="B27" s="10">
        <f>+B26+1</f>
        <v>12</v>
      </c>
      <c r="C27" s="20"/>
      <c r="D27" s="11" t="s">
        <v>25</v>
      </c>
      <c r="E27" s="20"/>
      <c r="F27" s="188">
        <f>447268.05-743.04+3183.38</f>
        <v>449708.39</v>
      </c>
    </row>
    <row r="28" spans="2:6" ht="12.75">
      <c r="B28" s="10">
        <f aca="true" t="shared" si="1" ref="B28:B37">+B27+1</f>
        <v>13</v>
      </c>
      <c r="C28" s="20"/>
      <c r="D28" s="63" t="s">
        <v>118</v>
      </c>
      <c r="E28" s="20"/>
      <c r="F28" s="119">
        <f>+F26+F27</f>
        <v>474800.48000000004</v>
      </c>
    </row>
    <row r="29" spans="2:6" ht="12.75">
      <c r="B29" s="10">
        <f t="shared" si="1"/>
        <v>14</v>
      </c>
      <c r="C29" s="20"/>
      <c r="D29" s="63" t="s">
        <v>119</v>
      </c>
      <c r="E29" s="20"/>
      <c r="F29" s="97">
        <f>ROUND(F28*0.5,0)</f>
        <v>237400</v>
      </c>
    </row>
    <row r="30" spans="2:6" ht="12.75">
      <c r="B30" s="10">
        <f t="shared" si="1"/>
        <v>15</v>
      </c>
      <c r="C30" s="20"/>
      <c r="D30" s="11" t="s">
        <v>117</v>
      </c>
      <c r="E30" s="20"/>
      <c r="F30" s="97">
        <f>+F24+F29</f>
        <v>844631.52</v>
      </c>
    </row>
    <row r="31" spans="2:6" ht="26.25">
      <c r="B31" s="10">
        <f t="shared" si="1"/>
        <v>16</v>
      </c>
      <c r="C31" s="20"/>
      <c r="D31" s="190" t="s">
        <v>120</v>
      </c>
      <c r="E31" s="20"/>
      <c r="F31" s="97">
        <f>+F16+F30</f>
        <v>6215357.52</v>
      </c>
    </row>
    <row r="32" spans="2:6" ht="12.75">
      <c r="B32" s="10">
        <f t="shared" si="1"/>
        <v>17</v>
      </c>
      <c r="C32" s="20"/>
      <c r="D32" s="63" t="s">
        <v>466</v>
      </c>
      <c r="E32" s="20"/>
      <c r="F32" s="206">
        <v>1</v>
      </c>
    </row>
    <row r="33" spans="2:6" ht="12.75">
      <c r="B33" s="10">
        <f t="shared" si="1"/>
        <v>18</v>
      </c>
      <c r="C33" s="20"/>
      <c r="D33" s="190" t="s">
        <v>121</v>
      </c>
      <c r="E33" s="20"/>
      <c r="F33" s="87">
        <f>ROUND(F31*F32,0)</f>
        <v>6215358</v>
      </c>
    </row>
    <row r="34" spans="2:6" ht="12.75">
      <c r="B34" s="10">
        <f t="shared" si="1"/>
        <v>19</v>
      </c>
      <c r="C34" s="20"/>
      <c r="D34" s="11" t="s">
        <v>458</v>
      </c>
      <c r="E34" s="20"/>
      <c r="F34" s="170">
        <f>+'3.14 P2'!D37</f>
        <v>12665000</v>
      </c>
    </row>
    <row r="35" spans="2:6" ht="12.75">
      <c r="B35" s="10">
        <f t="shared" si="1"/>
        <v>20</v>
      </c>
      <c r="C35" s="20"/>
      <c r="D35" s="11" t="s">
        <v>500</v>
      </c>
      <c r="E35" s="20"/>
      <c r="F35" s="116">
        <f>ROUND(F33/F34,2)</f>
        <v>0.49</v>
      </c>
    </row>
    <row r="36" spans="2:6" ht="12.75">
      <c r="B36" s="10">
        <f t="shared" si="1"/>
        <v>21</v>
      </c>
      <c r="C36" s="20"/>
      <c r="D36" s="11" t="s">
        <v>792</v>
      </c>
      <c r="E36" s="20"/>
      <c r="F36" s="171">
        <f>+'3.14 P2'!D41</f>
        <v>0.98</v>
      </c>
    </row>
    <row r="37" spans="2:6" ht="12.75">
      <c r="B37" s="10">
        <f t="shared" si="1"/>
        <v>22</v>
      </c>
      <c r="C37" s="20"/>
      <c r="D37" s="11" t="s">
        <v>793</v>
      </c>
      <c r="E37" s="20"/>
      <c r="F37" s="87"/>
    </row>
    <row r="38" spans="2:6" ht="12.75">
      <c r="B38" s="102"/>
      <c r="C38" s="20"/>
      <c r="D38" s="11" t="s">
        <v>122</v>
      </c>
      <c r="E38" s="20"/>
      <c r="F38" s="116">
        <f>ROUND(F35*F36,2)</f>
        <v>0.48</v>
      </c>
    </row>
    <row r="39" spans="2:6" ht="12.75">
      <c r="B39" s="102"/>
      <c r="C39" s="20"/>
      <c r="D39" s="11" t="s">
        <v>501</v>
      </c>
      <c r="E39" s="20"/>
      <c r="F39" s="116"/>
    </row>
    <row r="40" spans="2:6" ht="12.75">
      <c r="B40" s="10">
        <f>+B37+1</f>
        <v>23</v>
      </c>
      <c r="C40" s="20"/>
      <c r="D40" s="11" t="s">
        <v>123</v>
      </c>
      <c r="E40" s="20"/>
      <c r="F40" s="116">
        <f>+F38</f>
        <v>0.48</v>
      </c>
    </row>
    <row r="41" spans="2:6" ht="12.75">
      <c r="B41" s="10">
        <f>+B40+1</f>
        <v>24</v>
      </c>
      <c r="C41" s="20"/>
      <c r="D41" s="11" t="s">
        <v>794</v>
      </c>
      <c r="E41" s="20"/>
      <c r="F41" s="246">
        <f>+'3.14 P2'!D45</f>
        <v>217900</v>
      </c>
    </row>
    <row r="42" spans="2:6" ht="26.25">
      <c r="B42" s="10">
        <f>+B41+1</f>
        <v>25</v>
      </c>
      <c r="C42" s="20"/>
      <c r="D42" s="13" t="s">
        <v>147</v>
      </c>
      <c r="E42" s="20"/>
      <c r="F42" s="87">
        <f>ROUND(F40*F41,0)</f>
        <v>104592</v>
      </c>
    </row>
    <row r="43" spans="2:6" ht="13.5" thickBot="1">
      <c r="B43" s="76"/>
      <c r="C43" s="21"/>
      <c r="D43" s="16"/>
      <c r="E43" s="21"/>
      <c r="F43" s="117"/>
    </row>
    <row r="49" ht="12.75">
      <c r="D49" s="11"/>
    </row>
  </sheetData>
  <sheetProtection/>
  <printOptions horizontalCentered="1"/>
  <pageMargins left="0" right="0" top="1" bottom="0.5" header="0" footer="0"/>
  <pageSetup horizontalDpi="300" verticalDpi="300" orientation="portrait" scale="105" r:id="rId1"/>
</worksheet>
</file>

<file path=xl/worksheets/sheet15.xml><?xml version="1.0" encoding="utf-8"?>
<worksheet xmlns="http://schemas.openxmlformats.org/spreadsheetml/2006/main" xmlns:r="http://schemas.openxmlformats.org/officeDocument/2006/relationships">
  <dimension ref="B2:F50"/>
  <sheetViews>
    <sheetView zoomScalePageLayoutView="0" workbookViewId="0" topLeftCell="A1">
      <pane ySplit="12" topLeftCell="A13" activePane="bottomLeft" state="frozen"/>
      <selection pane="topLeft" activeCell="E40" sqref="E40"/>
      <selection pane="bottomLeft" activeCell="F28" sqref="F28"/>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5.7109375" style="0" customWidth="1"/>
    <col min="7" max="7" width="3.7109375" style="0" customWidth="1"/>
  </cols>
  <sheetData>
    <row r="2" ht="12.75">
      <c r="F2" s="2" t="s">
        <v>378</v>
      </c>
    </row>
    <row r="3" ht="12.75">
      <c r="F3" s="83" t="s">
        <v>629</v>
      </c>
    </row>
    <row r="5" spans="3:4" ht="12.75">
      <c r="C5" s="1"/>
      <c r="D5" s="125" t="s">
        <v>381</v>
      </c>
    </row>
    <row r="6" spans="3:4" ht="12.75">
      <c r="C6" s="1"/>
      <c r="D6" s="125" t="s">
        <v>710</v>
      </c>
    </row>
    <row r="7" ht="12.75">
      <c r="D7" s="3" t="s">
        <v>630</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957056293+7092427+418811+3210104</f>
        <v>967777635</v>
      </c>
    </row>
    <row r="15" spans="2:6" ht="12.75">
      <c r="B15" s="10">
        <f>+B14+1</f>
        <v>2</v>
      </c>
      <c r="C15" s="20"/>
      <c r="D15" s="11" t="s">
        <v>450</v>
      </c>
      <c r="E15" s="20"/>
      <c r="F15" s="311">
        <v>0.0137</v>
      </c>
    </row>
    <row r="16" spans="2:6" ht="12.75">
      <c r="B16" s="10">
        <f>+B15+1</f>
        <v>3</v>
      </c>
      <c r="C16" s="20"/>
      <c r="D16" s="63" t="s">
        <v>723</v>
      </c>
      <c r="E16" s="20"/>
      <c r="F16" s="87">
        <f>ROUND(F14*F15,0)</f>
        <v>13258554</v>
      </c>
    </row>
    <row r="17" spans="2:6" ht="12.75">
      <c r="B17" s="102"/>
      <c r="C17" s="20"/>
      <c r="D17" s="11" t="s">
        <v>790</v>
      </c>
      <c r="E17" s="20"/>
      <c r="F17" s="15"/>
    </row>
    <row r="18" spans="2:6" ht="12.75">
      <c r="B18" s="10">
        <f>+B16+1</f>
        <v>4</v>
      </c>
      <c r="C18" s="20"/>
      <c r="D18" s="11" t="s">
        <v>631</v>
      </c>
      <c r="E18" s="20"/>
      <c r="F18" s="89">
        <v>829552.32</v>
      </c>
    </row>
    <row r="19" spans="2:6" ht="12.75">
      <c r="B19" s="10">
        <f aca="true" t="shared" si="0" ref="B19:B25">+B18+1</f>
        <v>5</v>
      </c>
      <c r="C19" s="20"/>
      <c r="D19" s="11" t="s">
        <v>925</v>
      </c>
      <c r="E19" s="20"/>
      <c r="F19" s="89">
        <v>2550940.31</v>
      </c>
    </row>
    <row r="20" spans="2:6" ht="12.75">
      <c r="B20" s="10">
        <f t="shared" si="0"/>
        <v>6</v>
      </c>
      <c r="C20" s="20"/>
      <c r="D20" s="11" t="s">
        <v>452</v>
      </c>
      <c r="E20" s="20"/>
      <c r="F20" s="89">
        <v>414722.51</v>
      </c>
    </row>
    <row r="21" spans="2:6" ht="12.75">
      <c r="B21" s="10">
        <f t="shared" si="0"/>
        <v>7</v>
      </c>
      <c r="C21" s="20"/>
      <c r="D21" s="11" t="s">
        <v>453</v>
      </c>
      <c r="E21" s="20"/>
      <c r="F21" s="89">
        <v>238288.58</v>
      </c>
    </row>
    <row r="22" spans="2:6" ht="12.75">
      <c r="B22" s="10">
        <f t="shared" si="0"/>
        <v>8</v>
      </c>
      <c r="C22" s="20"/>
      <c r="D22" s="63" t="s">
        <v>604</v>
      </c>
      <c r="E22" s="20"/>
      <c r="F22" s="89">
        <v>0</v>
      </c>
    </row>
    <row r="23" spans="2:6" ht="12.75">
      <c r="B23" s="10">
        <f t="shared" si="0"/>
        <v>9</v>
      </c>
      <c r="C23" s="20"/>
      <c r="D23" s="63" t="s">
        <v>454</v>
      </c>
      <c r="E23" s="20"/>
      <c r="F23" s="493">
        <f>'Air Emission Fees - OPCo'!J12</f>
        <v>35191</v>
      </c>
    </row>
    <row r="24" spans="2:6" ht="12.75">
      <c r="B24" s="10">
        <f t="shared" si="0"/>
        <v>10</v>
      </c>
      <c r="C24" s="20"/>
      <c r="D24" s="63" t="s">
        <v>90</v>
      </c>
      <c r="E24" s="20"/>
      <c r="F24" s="188">
        <v>0</v>
      </c>
    </row>
    <row r="25" spans="2:6" ht="12.75">
      <c r="B25" s="10">
        <f t="shared" si="0"/>
        <v>11</v>
      </c>
      <c r="C25" s="20"/>
      <c r="D25" s="11" t="s">
        <v>387</v>
      </c>
      <c r="E25" s="20"/>
      <c r="F25" s="187">
        <f>SUM(F18:F24)</f>
        <v>4068694.7199999997</v>
      </c>
    </row>
    <row r="26" spans="2:6" ht="12.75">
      <c r="B26" s="10"/>
      <c r="C26" s="20"/>
      <c r="D26" s="11" t="s">
        <v>791</v>
      </c>
      <c r="E26" s="20"/>
      <c r="F26" s="87"/>
    </row>
    <row r="27" spans="2:6" ht="12.75">
      <c r="B27" s="10">
        <f>+B25+1</f>
        <v>12</v>
      </c>
      <c r="C27" s="20"/>
      <c r="D27" s="11" t="s">
        <v>456</v>
      </c>
      <c r="E27" s="20"/>
      <c r="F27" s="89">
        <f>208661.61+39805.4</f>
        <v>248467.00999999998</v>
      </c>
    </row>
    <row r="28" spans="2:6" ht="12.75">
      <c r="B28" s="10">
        <f>+B27+1</f>
        <v>13</v>
      </c>
      <c r="C28" s="20"/>
      <c r="D28" s="11" t="s">
        <v>633</v>
      </c>
      <c r="E28" s="20"/>
      <c r="F28" s="188">
        <f>188.19+892613.66</f>
        <v>892801.85</v>
      </c>
    </row>
    <row r="29" spans="2:6" ht="12.75">
      <c r="B29" s="10">
        <f>+B28+1</f>
        <v>14</v>
      </c>
      <c r="C29" s="20"/>
      <c r="D29" s="11" t="s">
        <v>398</v>
      </c>
      <c r="E29" s="20"/>
      <c r="F29" s="89">
        <f>SUM(F27:F28)</f>
        <v>1141268.8599999999</v>
      </c>
    </row>
    <row r="30" spans="2:6" ht="12.75">
      <c r="B30" s="10">
        <f>+B29+1</f>
        <v>15</v>
      </c>
      <c r="C30" s="20"/>
      <c r="D30" s="11" t="s">
        <v>634</v>
      </c>
      <c r="E30" s="20"/>
      <c r="F30" s="97">
        <f>ROUND(F29*0.5,0)</f>
        <v>570634</v>
      </c>
    </row>
    <row r="31" spans="2:6" ht="12.75">
      <c r="B31" s="10">
        <f aca="true" t="shared" si="1" ref="B31:B38">+B30+1</f>
        <v>16</v>
      </c>
      <c r="C31" s="20"/>
      <c r="D31" s="11" t="s">
        <v>399</v>
      </c>
      <c r="E31" s="20"/>
      <c r="F31" s="97">
        <f>+F25+F30</f>
        <v>4639328.72</v>
      </c>
    </row>
    <row r="32" spans="2:6" ht="26.25">
      <c r="B32" s="10">
        <f t="shared" si="1"/>
        <v>17</v>
      </c>
      <c r="C32" s="20"/>
      <c r="D32" s="190" t="s">
        <v>124</v>
      </c>
      <c r="E32" s="20"/>
      <c r="F32" s="119">
        <f>+F16+F31</f>
        <v>17897882.72</v>
      </c>
    </row>
    <row r="33" spans="2:6" ht="12.75">
      <c r="B33" s="10">
        <f t="shared" si="1"/>
        <v>18</v>
      </c>
      <c r="C33" s="20"/>
      <c r="D33" s="63" t="s">
        <v>466</v>
      </c>
      <c r="E33" s="20"/>
      <c r="F33" s="206">
        <v>1</v>
      </c>
    </row>
    <row r="34" spans="2:6" ht="12.75">
      <c r="B34" s="10">
        <f t="shared" si="1"/>
        <v>19</v>
      </c>
      <c r="C34" s="20"/>
      <c r="D34" s="190" t="s">
        <v>400</v>
      </c>
      <c r="E34" s="20"/>
      <c r="F34" s="87">
        <f>ROUND(F32*F33,0)</f>
        <v>17897883</v>
      </c>
    </row>
    <row r="35" spans="2:6" ht="12.75">
      <c r="B35" s="10">
        <f t="shared" si="1"/>
        <v>20</v>
      </c>
      <c r="C35" s="20"/>
      <c r="D35" s="11" t="s">
        <v>458</v>
      </c>
      <c r="E35" s="20"/>
      <c r="F35" s="170">
        <f>+'3.14 P2'!D37</f>
        <v>12665000</v>
      </c>
    </row>
    <row r="36" spans="2:6" ht="12.75">
      <c r="B36" s="10">
        <f t="shared" si="1"/>
        <v>21</v>
      </c>
      <c r="C36" s="20"/>
      <c r="D36" s="11" t="s">
        <v>635</v>
      </c>
      <c r="E36" s="20"/>
      <c r="F36" s="116">
        <f>ROUND(F34/F35,2)</f>
        <v>1.41</v>
      </c>
    </row>
    <row r="37" spans="2:6" ht="12.75">
      <c r="B37" s="10">
        <f t="shared" si="1"/>
        <v>22</v>
      </c>
      <c r="C37" s="20"/>
      <c r="D37" s="11" t="s">
        <v>792</v>
      </c>
      <c r="E37" s="20"/>
      <c r="F37" s="171">
        <f>+'3.14 P2'!D41</f>
        <v>0.98</v>
      </c>
    </row>
    <row r="38" spans="2:6" ht="12.75">
      <c r="B38" s="10">
        <f t="shared" si="1"/>
        <v>23</v>
      </c>
      <c r="C38" s="20"/>
      <c r="D38" s="11" t="s">
        <v>793</v>
      </c>
      <c r="E38" s="20"/>
      <c r="F38" s="87"/>
    </row>
    <row r="39" spans="2:6" ht="12.75">
      <c r="B39" s="102"/>
      <c r="C39" s="20"/>
      <c r="D39" s="11" t="s">
        <v>401</v>
      </c>
      <c r="E39" s="20"/>
      <c r="F39" s="116">
        <f>ROUND(F36*F37,2)</f>
        <v>1.38</v>
      </c>
    </row>
    <row r="40" spans="2:6" ht="12.75">
      <c r="B40" s="102"/>
      <c r="C40" s="20"/>
      <c r="D40" s="11" t="s">
        <v>636</v>
      </c>
      <c r="E40" s="20"/>
      <c r="F40" s="116"/>
    </row>
    <row r="41" spans="2:6" ht="12.75">
      <c r="B41" s="10">
        <f>+B38+1</f>
        <v>24</v>
      </c>
      <c r="C41" s="20"/>
      <c r="D41" s="11" t="s">
        <v>403</v>
      </c>
      <c r="E41" s="20"/>
      <c r="F41" s="116">
        <f>+F39</f>
        <v>1.38</v>
      </c>
    </row>
    <row r="42" spans="2:6" ht="12.75">
      <c r="B42" s="10">
        <f>+B41+1</f>
        <v>25</v>
      </c>
      <c r="C42" s="20"/>
      <c r="D42" s="11" t="s">
        <v>794</v>
      </c>
      <c r="E42" s="20"/>
      <c r="F42" s="246">
        <f>+'3.14 P2'!D45</f>
        <v>217900</v>
      </c>
    </row>
    <row r="43" spans="2:6" ht="26.25">
      <c r="B43" s="10">
        <f>+B42+1</f>
        <v>26</v>
      </c>
      <c r="C43" s="20"/>
      <c r="D43" s="13" t="s">
        <v>146</v>
      </c>
      <c r="E43" s="20"/>
      <c r="F43" s="87">
        <f>ROUND(F41*F42,0)</f>
        <v>300702</v>
      </c>
    </row>
    <row r="44" spans="2:6" ht="13.5" thickBot="1">
      <c r="B44" s="76"/>
      <c r="C44" s="21"/>
      <c r="D44" s="16"/>
      <c r="E44" s="21"/>
      <c r="F44" s="117"/>
    </row>
    <row r="50" ht="12.75">
      <c r="D50" s="11"/>
    </row>
  </sheetData>
  <sheetProtection/>
  <printOptions horizontalCentered="1"/>
  <pageMargins left="0" right="0" top="0.5" bottom="0.5" header="0" footer="0"/>
  <pageSetup horizontalDpi="300" verticalDpi="300" orientation="portrait" scale="105" r:id="rId1"/>
</worksheet>
</file>

<file path=xl/worksheets/sheet16.xml><?xml version="1.0" encoding="utf-8"?>
<worksheet xmlns="http://schemas.openxmlformats.org/spreadsheetml/2006/main" xmlns:r="http://schemas.openxmlformats.org/officeDocument/2006/relationships">
  <dimension ref="B2:H44"/>
  <sheetViews>
    <sheetView zoomScalePageLayoutView="0" workbookViewId="0" topLeftCell="A1">
      <pane ySplit="12" topLeftCell="A13" activePane="bottomLeft" state="frozen"/>
      <selection pane="topLeft" activeCell="E40" sqref="E40"/>
      <selection pane="bottomLeft" activeCell="F18" sqref="F18"/>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5.7109375" style="0" customWidth="1"/>
    <col min="7" max="7" width="10.7109375" style="0" customWidth="1"/>
  </cols>
  <sheetData>
    <row r="2" ht="12.75">
      <c r="F2" s="2" t="s">
        <v>378</v>
      </c>
    </row>
    <row r="3" ht="12.75">
      <c r="F3" s="83" t="s">
        <v>502</v>
      </c>
    </row>
    <row r="5" spans="3:4" ht="12.75">
      <c r="C5" s="1"/>
      <c r="D5" s="125" t="s">
        <v>381</v>
      </c>
    </row>
    <row r="6" spans="3:4" ht="12.75">
      <c r="C6" s="1"/>
      <c r="D6" s="125" t="s">
        <v>710</v>
      </c>
    </row>
    <row r="7" ht="12.75">
      <c r="D7" s="3" t="s">
        <v>503</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7173756+18+1277850+36244+46429</f>
        <v>8534297</v>
      </c>
    </row>
    <row r="15" spans="2:6" ht="12.75">
      <c r="B15" s="10">
        <f>+B14+1</f>
        <v>2</v>
      </c>
      <c r="C15" s="20"/>
      <c r="D15" s="11" t="s">
        <v>450</v>
      </c>
      <c r="E15" s="20"/>
      <c r="F15" s="311">
        <v>0.0137</v>
      </c>
    </row>
    <row r="16" spans="2:6" ht="12.75">
      <c r="B16" s="10">
        <f>+B15+1</f>
        <v>3</v>
      </c>
      <c r="C16" s="20"/>
      <c r="D16" s="63" t="s">
        <v>723</v>
      </c>
      <c r="E16" s="20"/>
      <c r="F16" s="87">
        <f>ROUND(F14*F15,0)</f>
        <v>116920</v>
      </c>
    </row>
    <row r="17" spans="2:6" ht="12.75">
      <c r="B17" s="102"/>
      <c r="C17" s="20"/>
      <c r="D17" s="11" t="s">
        <v>790</v>
      </c>
      <c r="E17" s="20"/>
      <c r="F17" s="15"/>
    </row>
    <row r="18" spans="2:6" ht="12.75">
      <c r="B18" s="10">
        <f>+B16+1</f>
        <v>4</v>
      </c>
      <c r="C18" s="20"/>
      <c r="D18" s="11" t="s">
        <v>452</v>
      </c>
      <c r="E18" s="20"/>
      <c r="F18" s="89">
        <v>0</v>
      </c>
    </row>
    <row r="19" spans="2:6" ht="12.75">
      <c r="B19" s="10">
        <f>+B18+1</f>
        <v>5</v>
      </c>
      <c r="C19" s="20"/>
      <c r="D19" s="11" t="s">
        <v>453</v>
      </c>
      <c r="E19" s="20"/>
      <c r="F19" s="89">
        <v>0</v>
      </c>
    </row>
    <row r="20" spans="2:8" ht="12.75">
      <c r="B20" s="10">
        <f>+B19+1</f>
        <v>6</v>
      </c>
      <c r="C20" s="20"/>
      <c r="D20" s="63" t="s">
        <v>454</v>
      </c>
      <c r="E20" s="20"/>
      <c r="F20" s="188">
        <f>'Air Emission Fees - OPCo'!J14</f>
        <v>21474</v>
      </c>
      <c r="H20" t="s">
        <v>578</v>
      </c>
    </row>
    <row r="21" spans="2:6" ht="12.75">
      <c r="B21" s="10">
        <f>+B20+1</f>
        <v>7</v>
      </c>
      <c r="C21" s="20"/>
      <c r="D21" s="11" t="s">
        <v>455</v>
      </c>
      <c r="E21" s="20"/>
      <c r="F21" s="187">
        <f>SUM(F18:F20)</f>
        <v>21474</v>
      </c>
    </row>
    <row r="22" spans="2:6" ht="12.75">
      <c r="B22" s="10"/>
      <c r="C22" s="20"/>
      <c r="D22" s="11" t="s">
        <v>791</v>
      </c>
      <c r="E22" s="20"/>
      <c r="F22" s="87"/>
    </row>
    <row r="23" spans="2:6" ht="12.75">
      <c r="B23" s="10">
        <f>+B21+1</f>
        <v>8</v>
      </c>
      <c r="C23" s="20"/>
      <c r="D23" s="11" t="s">
        <v>456</v>
      </c>
      <c r="E23" s="20"/>
      <c r="F23" s="89">
        <v>0</v>
      </c>
    </row>
    <row r="24" spans="2:6" ht="12.75">
      <c r="B24" s="10">
        <f aca="true" t="shared" si="0" ref="B24:B32">+B23+1</f>
        <v>9</v>
      </c>
      <c r="C24" s="20"/>
      <c r="D24" s="11" t="s">
        <v>464</v>
      </c>
      <c r="E24" s="20"/>
      <c r="F24" s="97">
        <f>ROUND(F23*0.5,0)</f>
        <v>0</v>
      </c>
    </row>
    <row r="25" spans="2:6" ht="12.75">
      <c r="B25" s="10">
        <f t="shared" si="0"/>
        <v>10</v>
      </c>
      <c r="C25" s="20"/>
      <c r="D25" s="11" t="s">
        <v>465</v>
      </c>
      <c r="E25" s="20"/>
      <c r="F25" s="97">
        <f>+F21+F24</f>
        <v>21474</v>
      </c>
    </row>
    <row r="26" spans="2:6" ht="26.25">
      <c r="B26" s="10">
        <f t="shared" si="0"/>
        <v>11</v>
      </c>
      <c r="C26" s="20"/>
      <c r="D26" s="190" t="s">
        <v>504</v>
      </c>
      <c r="E26" s="20"/>
      <c r="F26" s="97">
        <f>+F16+F25</f>
        <v>138394</v>
      </c>
    </row>
    <row r="27" spans="2:6" ht="12.75">
      <c r="B27" s="10">
        <f t="shared" si="0"/>
        <v>12</v>
      </c>
      <c r="C27" s="20"/>
      <c r="D27" s="63" t="s">
        <v>466</v>
      </c>
      <c r="E27" s="20"/>
      <c r="F27" s="206">
        <v>1</v>
      </c>
    </row>
    <row r="28" spans="2:6" ht="12.75">
      <c r="B28" s="10">
        <f t="shared" si="0"/>
        <v>13</v>
      </c>
      <c r="C28" s="20"/>
      <c r="D28" s="190" t="s">
        <v>505</v>
      </c>
      <c r="E28" s="20"/>
      <c r="F28" s="87">
        <f>ROUND(F26*F27,0)</f>
        <v>138394</v>
      </c>
    </row>
    <row r="29" spans="2:6" ht="12.75">
      <c r="B29" s="10">
        <f t="shared" si="0"/>
        <v>14</v>
      </c>
      <c r="C29" s="20"/>
      <c r="D29" s="11" t="s">
        <v>458</v>
      </c>
      <c r="E29" s="20"/>
      <c r="F29" s="170">
        <f>+'3.14 P2'!D37</f>
        <v>12665000</v>
      </c>
    </row>
    <row r="30" spans="2:6" ht="12.75">
      <c r="B30" s="10">
        <f t="shared" si="0"/>
        <v>15</v>
      </c>
      <c r="C30" s="20"/>
      <c r="D30" s="11" t="s">
        <v>506</v>
      </c>
      <c r="E30" s="20"/>
      <c r="F30" s="116">
        <f>ROUND(F28/F29,2)</f>
        <v>0.01</v>
      </c>
    </row>
    <row r="31" spans="2:6" ht="12.75">
      <c r="B31" s="10">
        <f t="shared" si="0"/>
        <v>16</v>
      </c>
      <c r="C31" s="20"/>
      <c r="D31" s="11" t="s">
        <v>792</v>
      </c>
      <c r="E31" s="20"/>
      <c r="F31" s="171">
        <f>+'3.14 P2'!D41</f>
        <v>0.98</v>
      </c>
    </row>
    <row r="32" spans="2:6" ht="12.75">
      <c r="B32" s="10">
        <f t="shared" si="0"/>
        <v>17</v>
      </c>
      <c r="C32" s="20"/>
      <c r="D32" s="11" t="s">
        <v>793</v>
      </c>
      <c r="E32" s="20"/>
      <c r="F32" s="87"/>
    </row>
    <row r="33" spans="2:6" ht="12.75">
      <c r="B33" s="102"/>
      <c r="C33" s="20"/>
      <c r="D33" s="11" t="s">
        <v>507</v>
      </c>
      <c r="E33" s="20"/>
      <c r="F33" s="116">
        <f>ROUND(F30*F31,2)</f>
        <v>0.01</v>
      </c>
    </row>
    <row r="34" spans="2:6" ht="12.75">
      <c r="B34" s="102"/>
      <c r="C34" s="20"/>
      <c r="D34" s="11" t="s">
        <v>508</v>
      </c>
      <c r="E34" s="20"/>
      <c r="F34" s="116"/>
    </row>
    <row r="35" spans="2:6" ht="12.75">
      <c r="B35" s="10">
        <f>+B32+1</f>
        <v>18</v>
      </c>
      <c r="C35" s="20"/>
      <c r="D35" s="11" t="s">
        <v>509</v>
      </c>
      <c r="E35" s="20"/>
      <c r="F35" s="116">
        <f>+F33</f>
        <v>0.01</v>
      </c>
    </row>
    <row r="36" spans="2:6" ht="12.75">
      <c r="B36" s="10">
        <f>+B35+1</f>
        <v>19</v>
      </c>
      <c r="C36" s="20"/>
      <c r="D36" s="11" t="s">
        <v>794</v>
      </c>
      <c r="E36" s="20"/>
      <c r="F36" s="246">
        <f>+'3.14 P2'!D45</f>
        <v>217900</v>
      </c>
    </row>
    <row r="37" spans="2:6" ht="26.25">
      <c r="B37" s="10">
        <f>+B36+1</f>
        <v>20</v>
      </c>
      <c r="C37" s="20"/>
      <c r="D37" s="13" t="s">
        <v>145</v>
      </c>
      <c r="E37" s="20"/>
      <c r="F37" s="87">
        <f>ROUND(F35*F36,0)</f>
        <v>2179</v>
      </c>
    </row>
    <row r="38" spans="2:6" ht="13.5" thickBot="1">
      <c r="B38" s="76"/>
      <c r="C38" s="21"/>
      <c r="D38" s="16"/>
      <c r="E38" s="21"/>
      <c r="F38" s="117"/>
    </row>
    <row r="44" ht="12.75">
      <c r="D44" s="11"/>
    </row>
  </sheetData>
  <sheetProtection/>
  <printOptions horizontalCentered="1"/>
  <pageMargins left="0" right="0" top="1" bottom="0.5" header="0" footer="0"/>
  <pageSetup horizontalDpi="300" verticalDpi="300" orientation="portrait" scale="105" r:id="rId1"/>
</worksheet>
</file>

<file path=xl/worksheets/sheet17.xml><?xml version="1.0" encoding="utf-8"?>
<worksheet xmlns="http://schemas.openxmlformats.org/spreadsheetml/2006/main" xmlns:r="http://schemas.openxmlformats.org/officeDocument/2006/relationships">
  <dimension ref="B2:N47"/>
  <sheetViews>
    <sheetView zoomScalePageLayoutView="0" workbookViewId="0" topLeftCell="A1">
      <pane ySplit="12" topLeftCell="A13" activePane="bottomLeft" state="frozen"/>
      <selection pane="topLeft" activeCell="E40" sqref="E40"/>
      <selection pane="bottomLeft" activeCell="F26" sqref="F26"/>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5.7109375" style="0" customWidth="1"/>
    <col min="7" max="7" width="10.7109375" style="0" customWidth="1"/>
  </cols>
  <sheetData>
    <row r="2" ht="12.75">
      <c r="F2" s="2" t="s">
        <v>378</v>
      </c>
    </row>
    <row r="3" ht="12.75">
      <c r="F3" s="83" t="s">
        <v>510</v>
      </c>
    </row>
    <row r="5" spans="3:4" ht="12.75">
      <c r="C5" s="1"/>
      <c r="D5" s="125" t="s">
        <v>381</v>
      </c>
    </row>
    <row r="6" spans="3:4" ht="12.75">
      <c r="C6" s="1"/>
      <c r="D6" s="125" t="s">
        <v>710</v>
      </c>
    </row>
    <row r="7" ht="12.75">
      <c r="D7" s="3" t="s">
        <v>511</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1139062655+4030446+6726225+4696354</f>
        <v>1154515680</v>
      </c>
    </row>
    <row r="15" spans="2:6" ht="12.75">
      <c r="B15" s="10">
        <f>+B14+1</f>
        <v>2</v>
      </c>
      <c r="C15" s="20"/>
      <c r="D15" s="11" t="s">
        <v>450</v>
      </c>
      <c r="E15" s="20"/>
      <c r="F15" s="411">
        <v>0.0137</v>
      </c>
    </row>
    <row r="16" spans="2:6" ht="12.75">
      <c r="B16" s="10">
        <f>+B15+1</f>
        <v>3</v>
      </c>
      <c r="C16" s="20"/>
      <c r="D16" s="63" t="s">
        <v>723</v>
      </c>
      <c r="E16" s="20"/>
      <c r="F16" s="87">
        <f>ROUND(F14*F15,0)</f>
        <v>15816865</v>
      </c>
    </row>
    <row r="17" spans="2:6" ht="12.75">
      <c r="B17" s="102"/>
      <c r="C17" s="20"/>
      <c r="D17" s="11" t="s">
        <v>790</v>
      </c>
      <c r="E17" s="20"/>
      <c r="F17" s="15"/>
    </row>
    <row r="18" spans="2:6" ht="12.75">
      <c r="B18" s="10">
        <f>+B16+1</f>
        <v>4</v>
      </c>
      <c r="C18" s="20"/>
      <c r="D18" s="11" t="s">
        <v>603</v>
      </c>
      <c r="E18" s="20"/>
      <c r="F18" s="89">
        <f>8234.23+129706.69+-136829.01+26670</f>
        <v>27781.910000000003</v>
      </c>
    </row>
    <row r="19" spans="2:6" ht="12.75">
      <c r="B19" s="10">
        <f>+B18+1</f>
        <v>5</v>
      </c>
      <c r="C19" s="20"/>
      <c r="D19" s="11" t="s">
        <v>452</v>
      </c>
      <c r="E19" s="20"/>
      <c r="F19" s="89">
        <v>246621</v>
      </c>
    </row>
    <row r="20" spans="2:6" ht="12.75">
      <c r="B20" s="10">
        <f>+B19+1</f>
        <v>6</v>
      </c>
      <c r="C20" s="20"/>
      <c r="D20" s="11" t="s">
        <v>453</v>
      </c>
      <c r="E20" s="20"/>
      <c r="F20" s="89">
        <v>131023</v>
      </c>
    </row>
    <row r="21" spans="2:6" ht="12.75">
      <c r="B21" s="10">
        <f>+B20+1</f>
        <v>7</v>
      </c>
      <c r="C21" s="20"/>
      <c r="D21" s="63" t="s">
        <v>604</v>
      </c>
      <c r="E21" s="20"/>
      <c r="F21" s="89">
        <v>551282.94</v>
      </c>
    </row>
    <row r="22" spans="2:8" ht="12.75">
      <c r="B22" s="10">
        <f>+B21+1</f>
        <v>8</v>
      </c>
      <c r="C22" s="20"/>
      <c r="D22" s="63" t="s">
        <v>454</v>
      </c>
      <c r="E22" s="20"/>
      <c r="F22" s="492">
        <f>'Air Emission Fees - OPCo'!J16</f>
        <v>19493</v>
      </c>
      <c r="H22" t="s">
        <v>578</v>
      </c>
    </row>
    <row r="23" spans="2:6" ht="12.75">
      <c r="B23" s="10">
        <f>+B22+1</f>
        <v>9</v>
      </c>
      <c r="C23" s="20"/>
      <c r="D23" s="11" t="s">
        <v>639</v>
      </c>
      <c r="E23" s="20"/>
      <c r="F23" s="187">
        <f>SUM(F18:F22)</f>
        <v>976201.85</v>
      </c>
    </row>
    <row r="24" spans="2:6" ht="12.75">
      <c r="B24" s="10"/>
      <c r="C24" s="20"/>
      <c r="D24" s="11" t="s">
        <v>791</v>
      </c>
      <c r="E24" s="20"/>
      <c r="F24" s="87"/>
    </row>
    <row r="25" spans="2:6" ht="12.75">
      <c r="B25" s="10">
        <f>+B23+1</f>
        <v>10</v>
      </c>
      <c r="C25" s="20"/>
      <c r="D25" s="11" t="s">
        <v>456</v>
      </c>
      <c r="E25" s="20"/>
      <c r="F25" s="443">
        <f>8982.62</f>
        <v>8982.62</v>
      </c>
    </row>
    <row r="26" spans="2:6" ht="12.75">
      <c r="B26" s="10">
        <f>+B25+1</f>
        <v>11</v>
      </c>
      <c r="C26" s="20"/>
      <c r="D26" s="369" t="s">
        <v>963</v>
      </c>
      <c r="E26" s="20"/>
      <c r="F26" s="188">
        <f>549+127460.29</f>
        <v>128009.29</v>
      </c>
    </row>
    <row r="27" spans="2:14" ht="12.75">
      <c r="B27" s="10">
        <f aca="true" t="shared" si="0" ref="B27:B35">+B26+1</f>
        <v>12</v>
      </c>
      <c r="C27" s="20"/>
      <c r="D27" s="11" t="s">
        <v>402</v>
      </c>
      <c r="E27" s="20"/>
      <c r="F27" s="97">
        <f>(F25+F26)*0.5</f>
        <v>68495.955</v>
      </c>
      <c r="N27" t="s">
        <v>136</v>
      </c>
    </row>
    <row r="28" spans="2:6" ht="12.75">
      <c r="B28" s="10">
        <f t="shared" si="0"/>
        <v>13</v>
      </c>
      <c r="C28" s="20"/>
      <c r="D28" s="11" t="s">
        <v>640</v>
      </c>
      <c r="E28" s="20"/>
      <c r="F28" s="97">
        <f>+F23+F27</f>
        <v>1044697.8049999999</v>
      </c>
    </row>
    <row r="29" spans="2:6" ht="26.25">
      <c r="B29" s="10">
        <f t="shared" si="0"/>
        <v>14</v>
      </c>
      <c r="C29" s="20"/>
      <c r="D29" s="190" t="s">
        <v>642</v>
      </c>
      <c r="E29" s="20"/>
      <c r="F29" s="97">
        <f>+F16+F28</f>
        <v>16861562.805</v>
      </c>
    </row>
    <row r="30" spans="2:6" ht="12.75">
      <c r="B30" s="10">
        <f t="shared" si="0"/>
        <v>15</v>
      </c>
      <c r="C30" s="20"/>
      <c r="D30" s="63" t="s">
        <v>466</v>
      </c>
      <c r="E30" s="20"/>
      <c r="F30" s="206">
        <v>1</v>
      </c>
    </row>
    <row r="31" spans="2:6" ht="12.75">
      <c r="B31" s="10">
        <f t="shared" si="0"/>
        <v>16</v>
      </c>
      <c r="C31" s="20"/>
      <c r="D31" s="190" t="s">
        <v>643</v>
      </c>
      <c r="E31" s="20"/>
      <c r="F31" s="87">
        <f>ROUND(F29*F30,0)</f>
        <v>16861563</v>
      </c>
    </row>
    <row r="32" spans="2:6" ht="12.75">
      <c r="B32" s="10">
        <f t="shared" si="0"/>
        <v>17</v>
      </c>
      <c r="C32" s="20"/>
      <c r="D32" s="11" t="s">
        <v>458</v>
      </c>
      <c r="E32" s="20"/>
      <c r="F32" s="170">
        <f>+'3.14 P2'!D37</f>
        <v>12665000</v>
      </c>
    </row>
    <row r="33" spans="2:6" ht="12.75">
      <c r="B33" s="10">
        <f t="shared" si="0"/>
        <v>18</v>
      </c>
      <c r="C33" s="20"/>
      <c r="D33" s="11" t="s">
        <v>512</v>
      </c>
      <c r="E33" s="20"/>
      <c r="F33" s="116">
        <f>ROUND(F31/F32,2)</f>
        <v>1.33</v>
      </c>
    </row>
    <row r="34" spans="2:6" ht="12.75">
      <c r="B34" s="10">
        <f t="shared" si="0"/>
        <v>19</v>
      </c>
      <c r="C34" s="20"/>
      <c r="D34" s="11" t="s">
        <v>792</v>
      </c>
      <c r="E34" s="20"/>
      <c r="F34" s="171">
        <f>+'3.14 P2'!D41</f>
        <v>0.98</v>
      </c>
    </row>
    <row r="35" spans="2:6" ht="12.75">
      <c r="B35" s="10">
        <f t="shared" si="0"/>
        <v>20</v>
      </c>
      <c r="C35" s="20"/>
      <c r="D35" s="11" t="s">
        <v>793</v>
      </c>
      <c r="E35" s="20"/>
      <c r="F35" s="87"/>
    </row>
    <row r="36" spans="2:6" ht="12.75">
      <c r="B36" s="102"/>
      <c r="C36" s="20"/>
      <c r="D36" s="11" t="s">
        <v>645</v>
      </c>
      <c r="E36" s="20"/>
      <c r="F36" s="116">
        <f>ROUND(F33*F34,2)</f>
        <v>1.3</v>
      </c>
    </row>
    <row r="37" spans="2:6" ht="12.75">
      <c r="B37" s="102"/>
      <c r="C37" s="20"/>
      <c r="D37" s="11" t="s">
        <v>513</v>
      </c>
      <c r="E37" s="20"/>
      <c r="F37" s="116"/>
    </row>
    <row r="38" spans="2:6" ht="12.75">
      <c r="B38" s="10">
        <f>+B35+1</f>
        <v>21</v>
      </c>
      <c r="C38" s="20"/>
      <c r="D38" s="11" t="s">
        <v>646</v>
      </c>
      <c r="E38" s="20"/>
      <c r="F38" s="116">
        <f>+F36</f>
        <v>1.3</v>
      </c>
    </row>
    <row r="39" spans="2:6" ht="12.75">
      <c r="B39" s="10">
        <f>+B38+1</f>
        <v>22</v>
      </c>
      <c r="C39" s="20"/>
      <c r="D39" s="11" t="s">
        <v>794</v>
      </c>
      <c r="E39" s="20"/>
      <c r="F39" s="246">
        <f>+'3.14 P2'!D45</f>
        <v>217900</v>
      </c>
    </row>
    <row r="40" spans="2:6" ht="26.25">
      <c r="B40" s="10">
        <f>+B39+1</f>
        <v>23</v>
      </c>
      <c r="C40" s="20"/>
      <c r="D40" s="13" t="s">
        <v>144</v>
      </c>
      <c r="E40" s="20"/>
      <c r="F40" s="87">
        <f>ROUND(F38*F39,0)</f>
        <v>283270</v>
      </c>
    </row>
    <row r="41" spans="2:6" ht="13.5" thickBot="1">
      <c r="B41" s="76"/>
      <c r="C41" s="21"/>
      <c r="D41" s="16"/>
      <c r="E41" s="21"/>
      <c r="F41" s="117"/>
    </row>
    <row r="45" spans="6:7" ht="12.75">
      <c r="F45" s="518"/>
      <c r="G45" s="11"/>
    </row>
    <row r="46" spans="6:7" ht="12.75">
      <c r="F46" s="11"/>
      <c r="G46" s="11"/>
    </row>
    <row r="47" ht="12.75">
      <c r="D47" s="11"/>
    </row>
  </sheetData>
  <sheetProtection/>
  <printOptions horizontalCentered="1"/>
  <pageMargins left="0" right="0" top="1" bottom="0.5" header="0" footer="0"/>
  <pageSetup horizontalDpi="300" verticalDpi="300" orientation="portrait" scale="105" r:id="rId1"/>
</worksheet>
</file>

<file path=xl/worksheets/sheet18.xml><?xml version="1.0" encoding="utf-8"?>
<worksheet xmlns="http://schemas.openxmlformats.org/spreadsheetml/2006/main" xmlns:r="http://schemas.openxmlformats.org/officeDocument/2006/relationships">
  <dimension ref="B2:H44"/>
  <sheetViews>
    <sheetView zoomScalePageLayoutView="0" workbookViewId="0" topLeftCell="A1">
      <pane ySplit="12" topLeftCell="A13" activePane="bottomLeft" state="frozen"/>
      <selection pane="topLeft" activeCell="E40" sqref="E40"/>
      <selection pane="bottomLeft" activeCell="G20" sqref="G20"/>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5.7109375" style="0" customWidth="1"/>
    <col min="7" max="7" width="10.7109375" style="0" customWidth="1"/>
  </cols>
  <sheetData>
    <row r="2" ht="12.75">
      <c r="F2" s="2" t="s">
        <v>378</v>
      </c>
    </row>
    <row r="3" ht="12.75">
      <c r="F3" s="83" t="s">
        <v>550</v>
      </c>
    </row>
    <row r="5" spans="3:4" ht="12.75">
      <c r="C5" s="1"/>
      <c r="D5" s="125" t="s">
        <v>381</v>
      </c>
    </row>
    <row r="6" spans="3:4" ht="12.75">
      <c r="C6" s="1"/>
      <c r="D6" s="125" t="s">
        <v>710</v>
      </c>
    </row>
    <row r="7" ht="12.75">
      <c r="D7" s="3" t="s">
        <v>514</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107185185+1487632+5563293+1770831</f>
        <v>116006941</v>
      </c>
    </row>
    <row r="15" spans="2:6" ht="12.75">
      <c r="B15" s="10">
        <f>+B14+1</f>
        <v>2</v>
      </c>
      <c r="C15" s="20"/>
      <c r="D15" s="11" t="s">
        <v>450</v>
      </c>
      <c r="E15" s="20"/>
      <c r="F15" s="311">
        <v>0.0137</v>
      </c>
    </row>
    <row r="16" spans="2:6" ht="12.75">
      <c r="B16" s="10">
        <f>+B15+1</f>
        <v>3</v>
      </c>
      <c r="C16" s="20"/>
      <c r="D16" s="63" t="s">
        <v>723</v>
      </c>
      <c r="E16" s="20"/>
      <c r="F16" s="87">
        <f>ROUND(F14*F15,0)</f>
        <v>1589295</v>
      </c>
    </row>
    <row r="17" spans="2:6" ht="12.75">
      <c r="B17" s="102"/>
      <c r="C17" s="20"/>
      <c r="D17" s="11" t="s">
        <v>790</v>
      </c>
      <c r="E17" s="20"/>
      <c r="F17" s="15"/>
    </row>
    <row r="18" spans="2:6" ht="12.75">
      <c r="B18" s="10">
        <f>+B16+1</f>
        <v>4</v>
      </c>
      <c r="C18" s="20"/>
      <c r="D18" s="11" t="s">
        <v>452</v>
      </c>
      <c r="E18" s="20"/>
      <c r="F18" s="89">
        <v>54405</v>
      </c>
    </row>
    <row r="19" spans="2:6" ht="12.75">
      <c r="B19" s="10">
        <f>+B18+1</f>
        <v>5</v>
      </c>
      <c r="C19" s="20"/>
      <c r="D19" s="11" t="s">
        <v>453</v>
      </c>
      <c r="E19" s="20"/>
      <c r="F19" s="89">
        <v>0</v>
      </c>
    </row>
    <row r="20" spans="2:8" ht="12.75">
      <c r="B20" s="10">
        <f>+B19+1</f>
        <v>6</v>
      </c>
      <c r="C20" s="20"/>
      <c r="D20" s="63" t="s">
        <v>454</v>
      </c>
      <c r="E20" s="20"/>
      <c r="F20" s="492">
        <f>'Air Emission Fees - OPCo'!J18</f>
        <v>34061</v>
      </c>
      <c r="H20" t="s">
        <v>578</v>
      </c>
    </row>
    <row r="21" spans="2:6" ht="12.75">
      <c r="B21" s="10">
        <f>+B20+1</f>
        <v>7</v>
      </c>
      <c r="C21" s="20"/>
      <c r="D21" s="11" t="s">
        <v>455</v>
      </c>
      <c r="E21" s="20"/>
      <c r="F21" s="187">
        <f>SUM(F18:F20)</f>
        <v>88466</v>
      </c>
    </row>
    <row r="22" spans="2:6" ht="12.75">
      <c r="B22" s="10"/>
      <c r="C22" s="20"/>
      <c r="D22" s="11" t="s">
        <v>791</v>
      </c>
      <c r="E22" s="20"/>
      <c r="F22" s="87"/>
    </row>
    <row r="23" spans="2:6" ht="12.75">
      <c r="B23" s="10">
        <f>+B21+1</f>
        <v>8</v>
      </c>
      <c r="C23" s="20"/>
      <c r="D23" s="11" t="s">
        <v>456</v>
      </c>
      <c r="E23" s="20"/>
      <c r="F23" s="89">
        <f>2790+709</f>
        <v>3499</v>
      </c>
    </row>
    <row r="24" spans="2:6" ht="12.75">
      <c r="B24" s="10">
        <f aca="true" t="shared" si="0" ref="B24:B32">+B23+1</f>
        <v>9</v>
      </c>
      <c r="C24" s="20"/>
      <c r="D24" s="11" t="s">
        <v>464</v>
      </c>
      <c r="E24" s="20"/>
      <c r="F24" s="97">
        <f>ROUND(F23*0.5,0)</f>
        <v>1750</v>
      </c>
    </row>
    <row r="25" spans="2:6" ht="12.75">
      <c r="B25" s="10">
        <f t="shared" si="0"/>
        <v>10</v>
      </c>
      <c r="C25" s="20"/>
      <c r="D25" s="11" t="s">
        <v>465</v>
      </c>
      <c r="E25" s="20"/>
      <c r="F25" s="97">
        <f>+F21+F24</f>
        <v>90216</v>
      </c>
    </row>
    <row r="26" spans="2:6" ht="26.25">
      <c r="B26" s="10">
        <f t="shared" si="0"/>
        <v>11</v>
      </c>
      <c r="C26" s="20"/>
      <c r="D26" s="190" t="s">
        <v>551</v>
      </c>
      <c r="E26" s="20"/>
      <c r="F26" s="97">
        <f>+F16+F25</f>
        <v>1679511</v>
      </c>
    </row>
    <row r="27" spans="2:6" ht="12.75">
      <c r="B27" s="10">
        <f t="shared" si="0"/>
        <v>12</v>
      </c>
      <c r="C27" s="20"/>
      <c r="D27" s="63" t="s">
        <v>466</v>
      </c>
      <c r="E27" s="20"/>
      <c r="F27" s="206">
        <v>1</v>
      </c>
    </row>
    <row r="28" spans="2:6" ht="12.75">
      <c r="B28" s="10">
        <f t="shared" si="0"/>
        <v>13</v>
      </c>
      <c r="C28" s="20"/>
      <c r="D28" s="190" t="s">
        <v>552</v>
      </c>
      <c r="E28" s="20"/>
      <c r="F28" s="87">
        <f>ROUND(F26*F27,0)</f>
        <v>1679511</v>
      </c>
    </row>
    <row r="29" spans="2:6" ht="12.75">
      <c r="B29" s="10">
        <f t="shared" si="0"/>
        <v>14</v>
      </c>
      <c r="C29" s="20"/>
      <c r="D29" s="11" t="s">
        <v>458</v>
      </c>
      <c r="E29" s="20"/>
      <c r="F29" s="170">
        <f>+'3.14 P2'!D37</f>
        <v>12665000</v>
      </c>
    </row>
    <row r="30" spans="2:6" ht="12.75">
      <c r="B30" s="10">
        <f t="shared" si="0"/>
        <v>15</v>
      </c>
      <c r="C30" s="20"/>
      <c r="D30" s="11" t="s">
        <v>553</v>
      </c>
      <c r="E30" s="20"/>
      <c r="F30" s="116">
        <f>ROUND(F28/F29,2)</f>
        <v>0.13</v>
      </c>
    </row>
    <row r="31" spans="2:6" ht="12.75">
      <c r="B31" s="10">
        <f t="shared" si="0"/>
        <v>16</v>
      </c>
      <c r="C31" s="20"/>
      <c r="D31" s="11" t="s">
        <v>792</v>
      </c>
      <c r="E31" s="20"/>
      <c r="F31" s="171">
        <f>+'3.14 P2'!D41</f>
        <v>0.98</v>
      </c>
    </row>
    <row r="32" spans="2:6" ht="12.75">
      <c r="B32" s="10">
        <f t="shared" si="0"/>
        <v>17</v>
      </c>
      <c r="C32" s="20"/>
      <c r="D32" s="11" t="s">
        <v>793</v>
      </c>
      <c r="E32" s="20"/>
      <c r="F32" s="87"/>
    </row>
    <row r="33" spans="2:6" ht="12.75">
      <c r="B33" s="102"/>
      <c r="C33" s="20"/>
      <c r="D33" s="11" t="s">
        <v>554</v>
      </c>
      <c r="E33" s="20"/>
      <c r="F33" s="116">
        <f>ROUND(F30*F31,2)</f>
        <v>0.13</v>
      </c>
    </row>
    <row r="34" spans="2:6" ht="12.75">
      <c r="B34" s="102"/>
      <c r="C34" s="20"/>
      <c r="D34" s="11" t="s">
        <v>555</v>
      </c>
      <c r="E34" s="20"/>
      <c r="F34" s="116"/>
    </row>
    <row r="35" spans="2:6" ht="12.75">
      <c r="B35" s="10">
        <f>+B32+1</f>
        <v>18</v>
      </c>
      <c r="C35" s="20"/>
      <c r="D35" s="11" t="s">
        <v>556</v>
      </c>
      <c r="E35" s="20"/>
      <c r="F35" s="116">
        <f>+F33</f>
        <v>0.13</v>
      </c>
    </row>
    <row r="36" spans="2:6" ht="12.75">
      <c r="B36" s="10">
        <f>+B35+1</f>
        <v>19</v>
      </c>
      <c r="C36" s="20"/>
      <c r="D36" s="11" t="s">
        <v>794</v>
      </c>
      <c r="E36" s="20"/>
      <c r="F36" s="246">
        <f>+'3.14 P2'!D45</f>
        <v>217900</v>
      </c>
    </row>
    <row r="37" spans="2:6" ht="26.25">
      <c r="B37" s="10">
        <f>+B36+1</f>
        <v>20</v>
      </c>
      <c r="C37" s="20"/>
      <c r="D37" s="13" t="s">
        <v>143</v>
      </c>
      <c r="E37" s="20"/>
      <c r="F37" s="87">
        <f>ROUND(F35*F36,0)</f>
        <v>28327</v>
      </c>
    </row>
    <row r="38" spans="2:6" ht="13.5" thickBot="1">
      <c r="B38" s="76"/>
      <c r="C38" s="21"/>
      <c r="D38" s="16"/>
      <c r="E38" s="21"/>
      <c r="F38" s="117"/>
    </row>
    <row r="44" ht="12.75">
      <c r="D44" s="11"/>
    </row>
  </sheetData>
  <sheetProtection/>
  <printOptions horizontalCentered="1"/>
  <pageMargins left="0" right="0" top="1" bottom="0.5" header="0" footer="0"/>
  <pageSetup horizontalDpi="300" verticalDpi="300" orientation="portrait" scale="105" r:id="rId1"/>
</worksheet>
</file>

<file path=xl/worksheets/sheet19.xml><?xml version="1.0" encoding="utf-8"?>
<worksheet xmlns="http://schemas.openxmlformats.org/spreadsheetml/2006/main" xmlns:r="http://schemas.openxmlformats.org/officeDocument/2006/relationships">
  <dimension ref="B2:L44"/>
  <sheetViews>
    <sheetView zoomScalePageLayoutView="0" workbookViewId="0" topLeftCell="A1">
      <pane ySplit="12" topLeftCell="A13" activePane="bottomLeft" state="frozen"/>
      <selection pane="topLeft" activeCell="E40" sqref="E40"/>
      <selection pane="bottomLeft" activeCell="L32" sqref="L32"/>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5.7109375" style="0" customWidth="1"/>
    <col min="7" max="7" width="10.7109375" style="0" customWidth="1"/>
    <col min="8" max="8" width="10.7109375" style="0" bestFit="1" customWidth="1"/>
    <col min="9" max="9" width="2.28125" style="0" customWidth="1"/>
    <col min="11" max="11" width="2.28125" style="0" customWidth="1"/>
    <col min="12" max="12" width="9.7109375" style="0" bestFit="1" customWidth="1"/>
  </cols>
  <sheetData>
    <row r="2" ht="12.75">
      <c r="F2" s="2" t="s">
        <v>378</v>
      </c>
    </row>
    <row r="3" ht="12.75">
      <c r="F3" s="83" t="s">
        <v>557</v>
      </c>
    </row>
    <row r="5" spans="3:4" ht="12.75">
      <c r="C5" s="1"/>
      <c r="D5" s="125" t="s">
        <v>381</v>
      </c>
    </row>
    <row r="6" spans="3:4" ht="12.75">
      <c r="C6" s="1"/>
      <c r="D6" s="125" t="s">
        <v>710</v>
      </c>
    </row>
    <row r="7" ht="12.75">
      <c r="D7" s="3" t="s">
        <v>558</v>
      </c>
    </row>
    <row r="8" ht="12.75">
      <c r="D8" s="3"/>
    </row>
    <row r="9" ht="12.75">
      <c r="D9" s="335" t="str">
        <f>+'ES 1.0'!E7</f>
        <v>For the Expense Month of October 2013</v>
      </c>
    </row>
    <row r="10" ht="12.75">
      <c r="D10" s="3"/>
    </row>
    <row r="11" ht="13.5" thickBot="1"/>
    <row r="12" spans="2:6" ht="27" thickBot="1">
      <c r="B12" s="36" t="s">
        <v>683</v>
      </c>
      <c r="C12" s="113"/>
      <c r="D12" s="80" t="s">
        <v>788</v>
      </c>
      <c r="E12" s="113"/>
      <c r="F12" s="114" t="s">
        <v>789</v>
      </c>
    </row>
    <row r="13" spans="2:6" ht="12.75">
      <c r="B13" s="99"/>
      <c r="C13" s="18"/>
      <c r="D13" s="6"/>
      <c r="E13" s="18"/>
      <c r="F13" s="7"/>
    </row>
    <row r="14" spans="2:6" ht="12.75">
      <c r="B14" s="10">
        <f>+B13+1</f>
        <v>1</v>
      </c>
      <c r="C14" s="20"/>
      <c r="D14" s="11" t="s">
        <v>804</v>
      </c>
      <c r="E14" s="20"/>
      <c r="F14" s="496">
        <f>20298007+12288+485793+409879</f>
        <v>21205967</v>
      </c>
    </row>
    <row r="15" spans="2:6" ht="12.75">
      <c r="B15" s="10">
        <f>+B14+1</f>
        <v>2</v>
      </c>
      <c r="C15" s="20"/>
      <c r="D15" s="11" t="s">
        <v>450</v>
      </c>
      <c r="E15" s="20"/>
      <c r="F15" s="311">
        <v>0.0137</v>
      </c>
    </row>
    <row r="16" spans="2:6" ht="12.75">
      <c r="B16" s="10">
        <f>+B15+1</f>
        <v>3</v>
      </c>
      <c r="C16" s="20"/>
      <c r="D16" s="63" t="s">
        <v>723</v>
      </c>
      <c r="E16" s="20"/>
      <c r="F16" s="87">
        <f>ROUND(F14*F15,0)</f>
        <v>290522</v>
      </c>
    </row>
    <row r="17" spans="2:6" ht="12.75">
      <c r="B17" s="102"/>
      <c r="C17" s="20"/>
      <c r="D17" s="11" t="s">
        <v>790</v>
      </c>
      <c r="E17" s="20"/>
      <c r="F17" s="15"/>
    </row>
    <row r="18" spans="2:6" ht="12.75">
      <c r="B18" s="10">
        <f>+B16+1</f>
        <v>4</v>
      </c>
      <c r="C18" s="20"/>
      <c r="D18" s="11" t="s">
        <v>452</v>
      </c>
      <c r="E18" s="20"/>
      <c r="F18" s="89">
        <v>0</v>
      </c>
    </row>
    <row r="19" spans="2:6" ht="12.75">
      <c r="B19" s="10">
        <f>+B18+1</f>
        <v>5</v>
      </c>
      <c r="C19" s="20"/>
      <c r="D19" s="11" t="s">
        <v>453</v>
      </c>
      <c r="E19" s="20"/>
      <c r="F19" s="89">
        <v>0</v>
      </c>
    </row>
    <row r="20" spans="2:12" ht="12.75">
      <c r="B20" s="10">
        <f>+B19+1</f>
        <v>6</v>
      </c>
      <c r="C20" s="20"/>
      <c r="D20" s="63" t="s">
        <v>454</v>
      </c>
      <c r="E20" s="20"/>
      <c r="F20" s="500">
        <f>'Air Emission Fees - OPCo'!J20</f>
        <v>12866</v>
      </c>
      <c r="H20" s="159"/>
      <c r="J20" s="62"/>
      <c r="K20" s="183"/>
      <c r="L20" s="62"/>
    </row>
    <row r="21" spans="2:6" ht="12.75">
      <c r="B21" s="10">
        <f>+B20+1</f>
        <v>7</v>
      </c>
      <c r="C21" s="20"/>
      <c r="D21" s="11" t="s">
        <v>455</v>
      </c>
      <c r="E21" s="20"/>
      <c r="F21" s="187">
        <f>SUM(F18:F20)</f>
        <v>12866</v>
      </c>
    </row>
    <row r="22" spans="2:6" ht="12.75">
      <c r="B22" s="10"/>
      <c r="C22" s="20"/>
      <c r="D22" s="11" t="s">
        <v>791</v>
      </c>
      <c r="E22" s="20"/>
      <c r="F22" s="87"/>
    </row>
    <row r="23" spans="2:6" ht="12.75">
      <c r="B23" s="10">
        <f>+B21+1</f>
        <v>8</v>
      </c>
      <c r="C23" s="20"/>
      <c r="D23" s="11" t="s">
        <v>456</v>
      </c>
      <c r="E23" s="20"/>
      <c r="F23" s="89">
        <v>0</v>
      </c>
    </row>
    <row r="24" spans="2:6" ht="12.75">
      <c r="B24" s="10">
        <f aca="true" t="shared" si="0" ref="B24:B32">+B23+1</f>
        <v>9</v>
      </c>
      <c r="C24" s="20"/>
      <c r="D24" s="11" t="s">
        <v>464</v>
      </c>
      <c r="E24" s="20"/>
      <c r="F24" s="97">
        <f>ROUND(F23*0.5,0)</f>
        <v>0</v>
      </c>
    </row>
    <row r="25" spans="2:6" ht="12.75">
      <c r="B25" s="10">
        <f t="shared" si="0"/>
        <v>10</v>
      </c>
      <c r="C25" s="20"/>
      <c r="D25" s="11" t="s">
        <v>465</v>
      </c>
      <c r="E25" s="20"/>
      <c r="F25" s="97">
        <f>+F21+F24</f>
        <v>12866</v>
      </c>
    </row>
    <row r="26" spans="2:6" ht="26.25">
      <c r="B26" s="10">
        <f t="shared" si="0"/>
        <v>11</v>
      </c>
      <c r="C26" s="20"/>
      <c r="D26" s="190" t="s">
        <v>559</v>
      </c>
      <c r="E26" s="20"/>
      <c r="F26" s="97">
        <f>+F16+F25</f>
        <v>303388</v>
      </c>
    </row>
    <row r="27" spans="2:6" ht="12.75">
      <c r="B27" s="10">
        <f t="shared" si="0"/>
        <v>12</v>
      </c>
      <c r="C27" s="20"/>
      <c r="D27" s="63" t="s">
        <v>466</v>
      </c>
      <c r="E27" s="20"/>
      <c r="F27" s="206">
        <v>1</v>
      </c>
    </row>
    <row r="28" spans="2:6" ht="12.75">
      <c r="B28" s="10">
        <f t="shared" si="0"/>
        <v>13</v>
      </c>
      <c r="C28" s="20"/>
      <c r="D28" s="190" t="s">
        <v>560</v>
      </c>
      <c r="E28" s="20"/>
      <c r="F28" s="87">
        <f>ROUND(F26*F27,0)</f>
        <v>303388</v>
      </c>
    </row>
    <row r="29" spans="2:6" ht="12.75">
      <c r="B29" s="10">
        <f t="shared" si="0"/>
        <v>14</v>
      </c>
      <c r="C29" s="20"/>
      <c r="D29" s="11" t="s">
        <v>458</v>
      </c>
      <c r="E29" s="20"/>
      <c r="F29" s="170">
        <f>+'3.14 P2'!D37</f>
        <v>12665000</v>
      </c>
    </row>
    <row r="30" spans="2:6" ht="12.75">
      <c r="B30" s="10">
        <f t="shared" si="0"/>
        <v>15</v>
      </c>
      <c r="C30" s="20"/>
      <c r="D30" s="11" t="s">
        <v>561</v>
      </c>
      <c r="E30" s="20"/>
      <c r="F30" s="116">
        <f>ROUND(F28/F29,2)</f>
        <v>0.02</v>
      </c>
    </row>
    <row r="31" spans="2:6" ht="12.75">
      <c r="B31" s="10">
        <f t="shared" si="0"/>
        <v>16</v>
      </c>
      <c r="C31" s="20"/>
      <c r="D31" s="11" t="s">
        <v>792</v>
      </c>
      <c r="E31" s="20"/>
      <c r="F31" s="171">
        <f>+'3.14 P2'!D41</f>
        <v>0.98</v>
      </c>
    </row>
    <row r="32" spans="2:6" ht="12.75">
      <c r="B32" s="10">
        <f t="shared" si="0"/>
        <v>17</v>
      </c>
      <c r="C32" s="20"/>
      <c r="D32" s="11" t="s">
        <v>793</v>
      </c>
      <c r="E32" s="20"/>
      <c r="F32" s="87"/>
    </row>
    <row r="33" spans="2:6" ht="12.75">
      <c r="B33" s="102"/>
      <c r="C33" s="20"/>
      <c r="D33" s="11" t="s">
        <v>562</v>
      </c>
      <c r="E33" s="20"/>
      <c r="F33" s="116">
        <f>ROUND(F30*F31,2)</f>
        <v>0.02</v>
      </c>
    </row>
    <row r="34" spans="2:6" ht="12.75">
      <c r="B34" s="102"/>
      <c r="C34" s="20"/>
      <c r="D34" s="11" t="s">
        <v>568</v>
      </c>
      <c r="E34" s="20"/>
      <c r="F34" s="116"/>
    </row>
    <row r="35" spans="2:6" ht="12.75">
      <c r="B35" s="10">
        <f>+B32+1</f>
        <v>18</v>
      </c>
      <c r="C35" s="20"/>
      <c r="D35" s="11" t="s">
        <v>569</v>
      </c>
      <c r="E35" s="20"/>
      <c r="F35" s="116">
        <f>+F33</f>
        <v>0.02</v>
      </c>
    </row>
    <row r="36" spans="2:6" ht="12.75">
      <c r="B36" s="10">
        <f>+B35+1</f>
        <v>19</v>
      </c>
      <c r="C36" s="20"/>
      <c r="D36" s="11" t="s">
        <v>794</v>
      </c>
      <c r="E36" s="20"/>
      <c r="F36" s="246">
        <f>+'3.14 P2'!D45</f>
        <v>217900</v>
      </c>
    </row>
    <row r="37" spans="2:6" ht="26.25">
      <c r="B37" s="10">
        <f>+B36+1</f>
        <v>20</v>
      </c>
      <c r="C37" s="20"/>
      <c r="D37" s="13" t="s">
        <v>142</v>
      </c>
      <c r="E37" s="20"/>
      <c r="F37" s="87">
        <f>ROUND(F35*F36,0)</f>
        <v>4358</v>
      </c>
    </row>
    <row r="38" spans="2:6" ht="13.5" thickBot="1">
      <c r="B38" s="76"/>
      <c r="C38" s="21"/>
      <c r="D38" s="16"/>
      <c r="E38" s="21"/>
      <c r="F38" s="117"/>
    </row>
    <row r="44" ht="12.75">
      <c r="D44" s="11"/>
    </row>
  </sheetData>
  <sheetProtection/>
  <printOptions horizontalCentered="1"/>
  <pageMargins left="0" right="0" top="1" bottom="0.5" header="0" footer="0"/>
  <pageSetup horizontalDpi="300" verticalDpi="300" orientation="portrait" scale="105" r:id="rId1"/>
</worksheet>
</file>

<file path=xl/worksheets/sheet2.xml><?xml version="1.0" encoding="utf-8"?>
<worksheet xmlns="http://schemas.openxmlformats.org/spreadsheetml/2006/main" xmlns:r="http://schemas.openxmlformats.org/officeDocument/2006/relationships">
  <dimension ref="A1:H49"/>
  <sheetViews>
    <sheetView zoomScalePageLayoutView="0" workbookViewId="0" topLeftCell="A1">
      <selection activeCell="E39" sqref="E39"/>
    </sheetView>
  </sheetViews>
  <sheetFormatPr defaultColWidth="9.140625" defaultRowHeight="12.75"/>
  <cols>
    <col min="1" max="1" width="3.7109375" style="0" customWidth="1"/>
    <col min="2" max="2" width="0.5625" style="0" customWidth="1"/>
    <col min="3" max="3" width="68.57421875" style="0" bestFit="1" customWidth="1"/>
    <col min="4" max="4" width="0.5625" style="0" customWidth="1"/>
    <col min="5" max="5" width="15.00390625" style="0" bestFit="1" customWidth="1"/>
    <col min="6" max="6" width="0.5625" style="0" customWidth="1"/>
    <col min="7" max="7" width="3.7109375" style="0" customWidth="1"/>
    <col min="8" max="8" width="12.57421875" style="0" bestFit="1" customWidth="1"/>
    <col min="9" max="9" width="2.28125" style="0" customWidth="1"/>
  </cols>
  <sheetData>
    <row r="1" spans="5:7" ht="12.75">
      <c r="E1" s="3"/>
      <c r="G1" s="4"/>
    </row>
    <row r="2" spans="5:7" ht="12.75">
      <c r="E2" s="33" t="s">
        <v>733</v>
      </c>
      <c r="G2" s="4"/>
    </row>
    <row r="4" ht="12.75">
      <c r="C4" s="125" t="s">
        <v>381</v>
      </c>
    </row>
    <row r="5" ht="12.75">
      <c r="C5" s="1" t="s">
        <v>820</v>
      </c>
    </row>
    <row r="6" ht="12.75">
      <c r="C6" s="3" t="str">
        <f>+'ES 1.0'!E7</f>
        <v>For the Expense Month of October 2013</v>
      </c>
    </row>
    <row r="8" spans="3:8" ht="12.75">
      <c r="C8" s="176" t="s">
        <v>728</v>
      </c>
      <c r="H8" s="304"/>
    </row>
    <row r="9" spans="3:8" ht="12.75">
      <c r="C9" s="176"/>
      <c r="H9" s="304"/>
    </row>
    <row r="10" spans="1:8" ht="13.5" thickBot="1">
      <c r="A10" s="63"/>
      <c r="B10" s="63"/>
      <c r="C10" s="63"/>
      <c r="D10" s="63"/>
      <c r="E10" s="63"/>
      <c r="F10" s="63"/>
      <c r="G10" s="63"/>
      <c r="H10" s="459"/>
    </row>
    <row r="11" spans="1:8" ht="39.75" thickBot="1">
      <c r="A11" s="63"/>
      <c r="B11" s="340"/>
      <c r="C11" s="342" t="s">
        <v>735</v>
      </c>
      <c r="D11" s="344"/>
      <c r="E11" s="343" t="s">
        <v>734</v>
      </c>
      <c r="F11" s="341"/>
      <c r="G11" s="63"/>
      <c r="H11" s="196"/>
    </row>
    <row r="12" spans="1:8" ht="12.75">
      <c r="A12" s="63"/>
      <c r="B12" s="338"/>
      <c r="C12" s="63"/>
      <c r="D12" s="211"/>
      <c r="E12" s="63"/>
      <c r="F12" s="339"/>
      <c r="G12" s="63"/>
      <c r="H12" s="11"/>
    </row>
    <row r="13" spans="1:8" ht="12.75">
      <c r="A13" s="63"/>
      <c r="B13" s="338"/>
      <c r="C13" s="369" t="s">
        <v>736</v>
      </c>
      <c r="D13" s="211"/>
      <c r="E13" s="453">
        <v>3991163</v>
      </c>
      <c r="F13" s="339"/>
      <c r="G13" s="63"/>
      <c r="H13" s="453"/>
    </row>
    <row r="14" spans="1:8" ht="12.75">
      <c r="A14" s="63"/>
      <c r="B14" s="338"/>
      <c r="C14" s="369" t="s">
        <v>737</v>
      </c>
      <c r="D14" s="211"/>
      <c r="E14" s="425">
        <v>3590810</v>
      </c>
      <c r="F14" s="339"/>
      <c r="G14" s="63"/>
      <c r="H14" s="425"/>
    </row>
    <row r="15" spans="1:8" ht="12.75">
      <c r="A15" s="63"/>
      <c r="B15" s="338"/>
      <c r="C15" s="369" t="s">
        <v>738</v>
      </c>
      <c r="D15" s="211"/>
      <c r="E15" s="425">
        <v>3651374</v>
      </c>
      <c r="F15" s="339"/>
      <c r="G15" s="63"/>
      <c r="H15" s="425"/>
    </row>
    <row r="16" spans="1:8" ht="12.75">
      <c r="A16" s="63"/>
      <c r="B16" s="338"/>
      <c r="C16" s="362" t="s">
        <v>739</v>
      </c>
      <c r="D16" s="211"/>
      <c r="E16" s="224">
        <v>3647040</v>
      </c>
      <c r="F16" s="339"/>
      <c r="G16" s="63"/>
      <c r="H16" s="224"/>
    </row>
    <row r="17" spans="1:8" ht="12.75">
      <c r="A17" s="63"/>
      <c r="B17" s="338"/>
      <c r="C17" s="362" t="s">
        <v>740</v>
      </c>
      <c r="D17" s="211"/>
      <c r="E17" s="224">
        <v>3922590</v>
      </c>
      <c r="F17" s="339"/>
      <c r="G17" s="63"/>
      <c r="H17" s="224"/>
    </row>
    <row r="18" spans="2:8" ht="12.75">
      <c r="B18" s="102"/>
      <c r="C18" s="362" t="s">
        <v>741</v>
      </c>
      <c r="D18" s="345"/>
      <c r="E18" s="169">
        <v>3627274</v>
      </c>
      <c r="F18" s="15"/>
      <c r="H18" s="169"/>
    </row>
    <row r="19" spans="2:8" ht="12.75">
      <c r="B19" s="102"/>
      <c r="C19" s="369" t="s">
        <v>742</v>
      </c>
      <c r="D19" s="520"/>
      <c r="E19" s="368">
        <v>3805325</v>
      </c>
      <c r="F19" s="15"/>
      <c r="H19" s="368"/>
    </row>
    <row r="20" spans="2:8" ht="12.75">
      <c r="B20" s="102"/>
      <c r="C20" s="369" t="s">
        <v>743</v>
      </c>
      <c r="D20" s="520"/>
      <c r="E20" s="368">
        <v>4088830</v>
      </c>
      <c r="F20" s="15"/>
      <c r="H20" s="368"/>
    </row>
    <row r="21" spans="2:8" ht="12.75">
      <c r="B21" s="102"/>
      <c r="C21" s="369" t="s">
        <v>744</v>
      </c>
      <c r="D21" s="520"/>
      <c r="E21" s="368">
        <v>3740010</v>
      </c>
      <c r="F21" s="15"/>
      <c r="H21" s="368"/>
    </row>
    <row r="22" spans="2:8" ht="12.75">
      <c r="B22" s="102"/>
      <c r="C22" s="198" t="s">
        <v>745</v>
      </c>
      <c r="D22" s="521"/>
      <c r="E22" s="519">
        <v>3260302</v>
      </c>
      <c r="F22" s="15"/>
      <c r="H22" s="368"/>
    </row>
    <row r="23" spans="2:8" ht="12.75">
      <c r="B23" s="102"/>
      <c r="C23" s="369" t="s">
        <v>746</v>
      </c>
      <c r="D23" s="345"/>
      <c r="E23" s="368">
        <v>2786040</v>
      </c>
      <c r="F23" s="15"/>
      <c r="H23" s="368"/>
    </row>
    <row r="24" spans="2:8" ht="12.75">
      <c r="B24" s="102"/>
      <c r="C24" s="369" t="s">
        <v>747</v>
      </c>
      <c r="D24" s="345"/>
      <c r="E24" s="368">
        <v>4074321</v>
      </c>
      <c r="F24" s="15"/>
      <c r="H24" s="368"/>
    </row>
    <row r="25" spans="2:8" ht="12.75">
      <c r="B25" s="102"/>
      <c r="C25" s="11"/>
      <c r="D25" s="345"/>
      <c r="E25" s="120" t="s">
        <v>748</v>
      </c>
      <c r="F25" s="15"/>
      <c r="H25" s="120"/>
    </row>
    <row r="26" spans="2:8" ht="12.75">
      <c r="B26" s="102"/>
      <c r="C26" s="11" t="s">
        <v>687</v>
      </c>
      <c r="D26" s="345"/>
      <c r="E26" s="12">
        <f>SUM(E13:E25)</f>
        <v>44185079</v>
      </c>
      <c r="F26" s="15"/>
      <c r="H26" s="12"/>
    </row>
    <row r="27" spans="2:8" ht="12.75">
      <c r="B27" s="102"/>
      <c r="C27" s="11"/>
      <c r="D27" s="345"/>
      <c r="E27" s="120" t="s">
        <v>688</v>
      </c>
      <c r="F27" s="15"/>
      <c r="H27" s="120"/>
    </row>
    <row r="28" spans="2:6" ht="13.5" thickBot="1">
      <c r="B28" s="76"/>
      <c r="C28" s="16"/>
      <c r="D28" s="346"/>
      <c r="E28" s="106"/>
      <c r="F28" s="17"/>
    </row>
    <row r="29" ht="12.75">
      <c r="E29" s="62"/>
    </row>
    <row r="30" ht="12.75">
      <c r="E30" s="62"/>
    </row>
    <row r="31" ht="12.75">
      <c r="E31" s="62"/>
    </row>
    <row r="39" ht="12.75">
      <c r="E39" s="83"/>
    </row>
    <row r="49" ht="12.75">
      <c r="E49" s="83"/>
    </row>
  </sheetData>
  <sheetProtection/>
  <printOptions horizontalCentered="1"/>
  <pageMargins left="0" right="0" top="1" bottom="0.5" header="1" footer="0"/>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J48"/>
  <sheetViews>
    <sheetView zoomScalePageLayoutView="0" workbookViewId="0" topLeftCell="A1">
      <pane ySplit="13" topLeftCell="A14" activePane="bottomLeft" state="frozen"/>
      <selection pane="topLeft" activeCell="E40" sqref="E40"/>
      <selection pane="bottomLeft" activeCell="I14" sqref="I14"/>
    </sheetView>
  </sheetViews>
  <sheetFormatPr defaultColWidth="9.140625" defaultRowHeight="12.75"/>
  <cols>
    <col min="1" max="1" width="3.7109375" style="0" customWidth="1"/>
    <col min="2" max="2" width="5.00390625" style="0" bestFit="1" customWidth="1"/>
    <col min="3" max="3" width="0.5625" style="0" customWidth="1"/>
    <col min="4" max="4" width="57.00390625" style="0" bestFit="1" customWidth="1"/>
    <col min="5" max="5" width="0.5625" style="0" customWidth="1"/>
    <col min="6" max="6" width="12.7109375" style="172" customWidth="1"/>
    <col min="7" max="8" width="11.7109375" style="0" bestFit="1" customWidth="1"/>
    <col min="9" max="9" width="11.7109375" style="0" customWidth="1"/>
    <col min="10" max="10" width="13.8515625" style="0" bestFit="1" customWidth="1"/>
  </cols>
  <sheetData>
    <row r="1" spans="1:10" ht="12.75">
      <c r="A1" s="560"/>
      <c r="B1" s="560"/>
      <c r="C1" s="560"/>
      <c r="D1" s="560"/>
      <c r="E1" s="560"/>
      <c r="F1" s="560"/>
      <c r="G1" s="560"/>
      <c r="H1" s="560"/>
      <c r="I1" s="560"/>
      <c r="J1" s="560"/>
    </row>
    <row r="2" ht="12.75">
      <c r="J2" s="2" t="s">
        <v>378</v>
      </c>
    </row>
    <row r="3" ht="12.75">
      <c r="J3" s="83" t="s">
        <v>570</v>
      </c>
    </row>
    <row r="5" spans="1:10" ht="12.75">
      <c r="A5" s="547" t="s">
        <v>381</v>
      </c>
      <c r="B5" s="549"/>
      <c r="C5" s="549"/>
      <c r="D5" s="549"/>
      <c r="E5" s="549"/>
      <c r="F5" s="549"/>
      <c r="G5" s="549"/>
      <c r="H5" s="549"/>
      <c r="I5" s="549"/>
      <c r="J5" s="549"/>
    </row>
    <row r="6" spans="1:10" ht="12.75">
      <c r="A6" s="547" t="s">
        <v>710</v>
      </c>
      <c r="B6" s="549"/>
      <c r="C6" s="549"/>
      <c r="D6" s="549"/>
      <c r="E6" s="549"/>
      <c r="F6" s="549"/>
      <c r="G6" s="549"/>
      <c r="H6" s="549"/>
      <c r="I6" s="549"/>
      <c r="J6" s="549"/>
    </row>
    <row r="7" spans="1:10" ht="12.75">
      <c r="A7" s="547" t="s">
        <v>571</v>
      </c>
      <c r="B7" s="549"/>
      <c r="C7" s="549"/>
      <c r="D7" s="549"/>
      <c r="E7" s="549"/>
      <c r="F7" s="549"/>
      <c r="G7" s="549"/>
      <c r="H7" s="549"/>
      <c r="I7" s="549"/>
      <c r="J7" s="549"/>
    </row>
    <row r="8" ht="12.75">
      <c r="D8" s="3"/>
    </row>
    <row r="9" spans="1:10" ht="12.75">
      <c r="A9" s="559" t="str">
        <f>+'ES 1.0'!E7</f>
        <v>For the Expense Month of October 2013</v>
      </c>
      <c r="B9" s="549"/>
      <c r="C9" s="549"/>
      <c r="D9" s="549"/>
      <c r="E9" s="549"/>
      <c r="F9" s="549"/>
      <c r="G9" s="549"/>
      <c r="H9" s="549"/>
      <c r="I9" s="549"/>
      <c r="J9" s="549"/>
    </row>
    <row r="10" ht="12.75">
      <c r="D10" s="3"/>
    </row>
    <row r="11" ht="13.5" thickBot="1"/>
    <row r="12" spans="2:10" ht="39.75" thickBot="1">
      <c r="B12" s="36" t="s">
        <v>683</v>
      </c>
      <c r="C12" s="113"/>
      <c r="D12" s="80" t="s">
        <v>788</v>
      </c>
      <c r="E12" s="113"/>
      <c r="F12" s="343" t="s">
        <v>659</v>
      </c>
      <c r="G12" s="205" t="s">
        <v>572</v>
      </c>
      <c r="H12" s="39" t="s">
        <v>573</v>
      </c>
      <c r="I12" s="205" t="s">
        <v>755</v>
      </c>
      <c r="J12" s="205" t="s">
        <v>848</v>
      </c>
    </row>
    <row r="13" spans="2:10" ht="13.5" customHeight="1" thickBot="1">
      <c r="B13" s="313" t="s">
        <v>758</v>
      </c>
      <c r="C13" s="126"/>
      <c r="D13" s="53">
        <f>+B13-1</f>
        <v>-2</v>
      </c>
      <c r="E13" s="126"/>
      <c r="F13" s="397">
        <f>+D13-1</f>
        <v>-3</v>
      </c>
      <c r="G13" s="386">
        <f>+F13-1</f>
        <v>-4</v>
      </c>
      <c r="H13" s="314">
        <f>+G13-1</f>
        <v>-5</v>
      </c>
      <c r="I13" s="314">
        <f>+H13-1</f>
        <v>-6</v>
      </c>
      <c r="J13" s="438">
        <f>+I13-1</f>
        <v>-7</v>
      </c>
    </row>
    <row r="14" spans="2:10" ht="12.75">
      <c r="B14" s="99"/>
      <c r="C14" s="18"/>
      <c r="D14" s="6"/>
      <c r="E14" s="18"/>
      <c r="F14" s="384"/>
      <c r="G14" s="112"/>
      <c r="H14" s="7"/>
      <c r="I14" s="7"/>
      <c r="J14" s="7"/>
    </row>
    <row r="15" spans="2:10" ht="12.75">
      <c r="B15" s="10">
        <f>+B14+1</f>
        <v>1</v>
      </c>
      <c r="C15" s="20"/>
      <c r="D15" s="11" t="s">
        <v>804</v>
      </c>
      <c r="E15" s="20"/>
      <c r="F15" s="497">
        <f>1776759+469+10768-2448</f>
        <v>1785548</v>
      </c>
      <c r="G15" s="498">
        <f>16754028-6209352+1842364</f>
        <v>12387040</v>
      </c>
      <c r="H15" s="496">
        <f>16714682-5266+45366</f>
        <v>16754782</v>
      </c>
      <c r="I15" s="496">
        <f>1502263+699757+325321+58643</f>
        <v>2585984</v>
      </c>
      <c r="J15" s="87"/>
    </row>
    <row r="16" spans="2:10" ht="12.75">
      <c r="B16" s="10">
        <f>+B15+1</f>
        <v>2</v>
      </c>
      <c r="C16" s="20"/>
      <c r="D16" s="11" t="s">
        <v>450</v>
      </c>
      <c r="E16" s="20"/>
      <c r="F16" s="311">
        <v>0.0137</v>
      </c>
      <c r="G16" s="311">
        <v>0.0137</v>
      </c>
      <c r="H16" s="311">
        <v>0.0137</v>
      </c>
      <c r="I16" s="311">
        <v>0.0137</v>
      </c>
      <c r="J16" s="311"/>
    </row>
    <row r="17" spans="2:10" ht="12.75">
      <c r="B17" s="10">
        <f>+B16+1</f>
        <v>3</v>
      </c>
      <c r="C17" s="20"/>
      <c r="D17" s="63" t="s">
        <v>723</v>
      </c>
      <c r="E17" s="20"/>
      <c r="F17" s="142">
        <f>ROUND(F15*F16,0)</f>
        <v>24462</v>
      </c>
      <c r="G17" s="349">
        <f>ROUND(G15*G16,0)</f>
        <v>169702</v>
      </c>
      <c r="H17" s="87">
        <f>ROUND(H15*H16,0)</f>
        <v>229541</v>
      </c>
      <c r="I17" s="87">
        <f>ROUND(I15*I16,0)</f>
        <v>35428</v>
      </c>
      <c r="J17" s="87"/>
    </row>
    <row r="18" spans="2:10" ht="12.75">
      <c r="B18" s="102"/>
      <c r="C18" s="20"/>
      <c r="D18" s="11" t="s">
        <v>790</v>
      </c>
      <c r="E18" s="20"/>
      <c r="F18" s="63"/>
      <c r="G18" s="345"/>
      <c r="H18" s="15"/>
      <c r="I18" s="15"/>
      <c r="J18" s="15"/>
    </row>
    <row r="19" spans="2:10" ht="12.75">
      <c r="B19" s="10">
        <f>+B17+1</f>
        <v>4</v>
      </c>
      <c r="C19" s="20"/>
      <c r="D19" s="11" t="s">
        <v>452</v>
      </c>
      <c r="E19" s="20"/>
      <c r="F19" s="142">
        <v>0</v>
      </c>
      <c r="G19" s="352">
        <v>0</v>
      </c>
      <c r="H19" s="89">
        <v>0</v>
      </c>
      <c r="I19" s="89">
        <v>0</v>
      </c>
      <c r="J19" s="89"/>
    </row>
    <row r="20" spans="2:10" ht="12.75">
      <c r="B20" s="10">
        <f>+B19+1</f>
        <v>5</v>
      </c>
      <c r="C20" s="20"/>
      <c r="D20" s="11" t="s">
        <v>453</v>
      </c>
      <c r="E20" s="20"/>
      <c r="F20" s="142">
        <v>0</v>
      </c>
      <c r="G20" s="352">
        <v>0</v>
      </c>
      <c r="H20" s="89">
        <v>0</v>
      </c>
      <c r="I20" s="89">
        <v>0</v>
      </c>
      <c r="J20" s="89"/>
    </row>
    <row r="21" spans="2:10" ht="12.75">
      <c r="B21" s="10">
        <f>+B20+1</f>
        <v>6</v>
      </c>
      <c r="C21" s="20"/>
      <c r="D21" s="63" t="s">
        <v>454</v>
      </c>
      <c r="E21" s="20"/>
      <c r="F21" s="398">
        <f>ROUND(187500/12,0)</f>
        <v>15625</v>
      </c>
      <c r="G21" s="393">
        <v>0</v>
      </c>
      <c r="H21" s="188">
        <v>0</v>
      </c>
      <c r="I21" s="188">
        <v>0</v>
      </c>
      <c r="J21" s="188"/>
    </row>
    <row r="22" spans="2:10" ht="12.75">
      <c r="B22" s="10">
        <f>+B21+1</f>
        <v>7</v>
      </c>
      <c r="C22" s="20"/>
      <c r="D22" s="11" t="s">
        <v>455</v>
      </c>
      <c r="E22" s="20"/>
      <c r="F22" s="142">
        <f>SUM(F19:F21)</f>
        <v>15625</v>
      </c>
      <c r="G22" s="394">
        <f>SUM(G19:G21)</f>
        <v>0</v>
      </c>
      <c r="H22" s="187">
        <f>SUM(H19:H21)</f>
        <v>0</v>
      </c>
      <c r="I22" s="187">
        <f>SUM(I19:I21)</f>
        <v>0</v>
      </c>
      <c r="J22" s="187"/>
    </row>
    <row r="23" spans="2:10" ht="12.75">
      <c r="B23" s="10"/>
      <c r="C23" s="20"/>
      <c r="D23" s="11" t="s">
        <v>791</v>
      </c>
      <c r="E23" s="20"/>
      <c r="F23" s="142"/>
      <c r="G23" s="349"/>
      <c r="H23" s="87"/>
      <c r="I23" s="87"/>
      <c r="J23" s="87"/>
    </row>
    <row r="24" spans="2:10" ht="12.75">
      <c r="B24" s="10">
        <f>+B22+1</f>
        <v>8</v>
      </c>
      <c r="C24" s="20"/>
      <c r="D24" s="11" t="s">
        <v>456</v>
      </c>
      <c r="E24" s="20"/>
      <c r="F24" s="142">
        <v>0</v>
      </c>
      <c r="G24" s="352">
        <v>0</v>
      </c>
      <c r="H24" s="89">
        <v>0</v>
      </c>
      <c r="I24" s="89">
        <v>0</v>
      </c>
      <c r="J24" s="89"/>
    </row>
    <row r="25" spans="2:10" ht="12.75">
      <c r="B25" s="10">
        <f aca="true" t="shared" si="0" ref="B25:B41">+B24+1</f>
        <v>9</v>
      </c>
      <c r="C25" s="20"/>
      <c r="D25" s="11" t="s">
        <v>464</v>
      </c>
      <c r="E25" s="20"/>
      <c r="F25" s="398">
        <v>0</v>
      </c>
      <c r="G25" s="395">
        <f>ROUND(G24*0.5,0)</f>
        <v>0</v>
      </c>
      <c r="H25" s="97">
        <f>ROUND(H24*0.5,0)</f>
        <v>0</v>
      </c>
      <c r="I25" s="97">
        <f>ROUND(I24*0.5,0)</f>
        <v>0</v>
      </c>
      <c r="J25" s="97"/>
    </row>
    <row r="26" spans="2:10" ht="12.75">
      <c r="B26" s="10">
        <f t="shared" si="0"/>
        <v>10</v>
      </c>
      <c r="C26" s="20"/>
      <c r="D26" s="11" t="s">
        <v>465</v>
      </c>
      <c r="E26" s="20"/>
      <c r="F26" s="398">
        <f>+F22+F25</f>
        <v>15625</v>
      </c>
      <c r="G26" s="395">
        <f>+G22+G25</f>
        <v>0</v>
      </c>
      <c r="H26" s="97">
        <f>+H22+H25</f>
        <v>0</v>
      </c>
      <c r="I26" s="97">
        <f>+I22+I25</f>
        <v>0</v>
      </c>
      <c r="J26" s="97"/>
    </row>
    <row r="27" spans="2:10" ht="26.25">
      <c r="B27" s="10">
        <f t="shared" si="0"/>
        <v>11</v>
      </c>
      <c r="C27" s="20"/>
      <c r="D27" s="190" t="s">
        <v>126</v>
      </c>
      <c r="E27" s="20"/>
      <c r="F27" s="142">
        <f>+F17+F26</f>
        <v>40087</v>
      </c>
      <c r="G27" s="396">
        <f>+G17+G26</f>
        <v>169702</v>
      </c>
      <c r="H27" s="119">
        <f>+H17+H26</f>
        <v>229541</v>
      </c>
      <c r="I27" s="119">
        <f>+I17+I26</f>
        <v>35428</v>
      </c>
      <c r="J27" s="119"/>
    </row>
    <row r="28" spans="2:10" ht="12.75">
      <c r="B28" s="10">
        <f t="shared" si="0"/>
        <v>12</v>
      </c>
      <c r="C28" s="20"/>
      <c r="D28" s="63" t="s">
        <v>574</v>
      </c>
      <c r="E28" s="20"/>
      <c r="F28" s="399">
        <v>0.5</v>
      </c>
      <c r="G28" s="392">
        <v>0.85</v>
      </c>
      <c r="H28" s="392">
        <v>0.85</v>
      </c>
      <c r="I28" s="311">
        <v>0.5</v>
      </c>
      <c r="J28" s="311"/>
    </row>
    <row r="29" spans="2:10" ht="12.75">
      <c r="B29" s="10">
        <f t="shared" si="0"/>
        <v>13</v>
      </c>
      <c r="C29" s="20"/>
      <c r="D29" s="190" t="s">
        <v>575</v>
      </c>
      <c r="E29" s="20"/>
      <c r="F29" s="142">
        <f>ROUND(F27*F28,0)</f>
        <v>20044</v>
      </c>
      <c r="G29" s="349">
        <f>ROUND(G27*G28,0)</f>
        <v>144247</v>
      </c>
      <c r="H29" s="87">
        <f>ROUND(H27*H28,0)</f>
        <v>195110</v>
      </c>
      <c r="I29" s="87">
        <f>ROUND(I27*I28,0)</f>
        <v>17714</v>
      </c>
      <c r="J29" s="87"/>
    </row>
    <row r="30" spans="2:10" ht="12.75">
      <c r="B30" s="10"/>
      <c r="C30" s="20"/>
      <c r="D30" s="190"/>
      <c r="E30" s="20"/>
      <c r="F30" s="63"/>
      <c r="G30" s="349"/>
      <c r="H30" s="87"/>
      <c r="I30" s="87"/>
      <c r="J30" s="87"/>
    </row>
    <row r="31" spans="2:10" ht="12.75">
      <c r="B31" s="10">
        <f>+B29+1</f>
        <v>14</v>
      </c>
      <c r="C31" s="20"/>
      <c r="D31" s="190" t="s">
        <v>127</v>
      </c>
      <c r="E31" s="20"/>
      <c r="F31" s="63"/>
      <c r="G31" s="388"/>
      <c r="H31" s="87"/>
      <c r="I31" s="87"/>
      <c r="J31" s="87">
        <f>+F29+G29+H29+I29</f>
        <v>377115</v>
      </c>
    </row>
    <row r="32" spans="2:10" ht="12.75">
      <c r="B32" s="10"/>
      <c r="C32" s="20"/>
      <c r="D32" s="190"/>
      <c r="E32" s="20"/>
      <c r="F32" s="63"/>
      <c r="G32" s="388"/>
      <c r="H32" s="87"/>
      <c r="I32" s="87"/>
      <c r="J32" s="87"/>
    </row>
    <row r="33" spans="2:10" ht="12.75">
      <c r="B33" s="10">
        <f>+B31+1</f>
        <v>15</v>
      </c>
      <c r="C33" s="20"/>
      <c r="D33" s="11" t="s">
        <v>576</v>
      </c>
      <c r="E33" s="20"/>
      <c r="F33" s="63"/>
      <c r="G33" s="387"/>
      <c r="H33" s="170"/>
      <c r="I33" s="170"/>
      <c r="J33" s="170">
        <f>+'3.14 P2'!E37</f>
        <v>5453000</v>
      </c>
    </row>
    <row r="34" spans="2:10" ht="12.75">
      <c r="B34" s="10">
        <f t="shared" si="0"/>
        <v>16</v>
      </c>
      <c r="C34" s="20"/>
      <c r="D34" s="11" t="s">
        <v>577</v>
      </c>
      <c r="E34" s="20"/>
      <c r="F34" s="63"/>
      <c r="G34" s="388"/>
      <c r="H34" s="116"/>
      <c r="I34" s="116"/>
      <c r="J34" s="116">
        <f>ROUND(J31/J33,2)</f>
        <v>0.07</v>
      </c>
    </row>
    <row r="35" spans="2:10" ht="26.25">
      <c r="B35" s="10">
        <f t="shared" si="0"/>
        <v>17</v>
      </c>
      <c r="C35" s="20"/>
      <c r="D35" s="13" t="s">
        <v>587</v>
      </c>
      <c r="E35" s="20"/>
      <c r="F35" s="63"/>
      <c r="G35" s="389"/>
      <c r="H35" s="171"/>
      <c r="I35" s="171"/>
      <c r="J35" s="323">
        <f>+'3.14 P2'!E41</f>
        <v>0.02</v>
      </c>
    </row>
    <row r="36" spans="2:10" ht="12.75">
      <c r="B36" s="10">
        <f t="shared" si="0"/>
        <v>18</v>
      </c>
      <c r="C36" s="20"/>
      <c r="D36" s="11" t="s">
        <v>793</v>
      </c>
      <c r="E36" s="20"/>
      <c r="F36" s="63"/>
      <c r="G36" s="349"/>
      <c r="H36" s="87"/>
      <c r="I36" s="87"/>
      <c r="J36" s="87"/>
    </row>
    <row r="37" spans="2:10" ht="12.75">
      <c r="B37" s="10"/>
      <c r="C37" s="20"/>
      <c r="D37" s="11" t="s">
        <v>593</v>
      </c>
      <c r="E37" s="20"/>
      <c r="F37" s="63"/>
      <c r="G37" s="388"/>
      <c r="H37" s="116"/>
      <c r="I37" s="116"/>
      <c r="J37" s="116">
        <f>ROUND(J34*J35,2)</f>
        <v>0</v>
      </c>
    </row>
    <row r="38" spans="2:10" ht="12.75">
      <c r="B38" s="10"/>
      <c r="C38" s="20"/>
      <c r="D38" s="11" t="s">
        <v>594</v>
      </c>
      <c r="E38" s="20"/>
      <c r="F38" s="63"/>
      <c r="G38" s="388"/>
      <c r="H38" s="116"/>
      <c r="I38" s="116"/>
      <c r="J38" s="116"/>
    </row>
    <row r="39" spans="2:10" ht="12.75">
      <c r="B39" s="10">
        <f>+B36+1</f>
        <v>19</v>
      </c>
      <c r="C39" s="20"/>
      <c r="D39" s="11" t="s">
        <v>595</v>
      </c>
      <c r="E39" s="20"/>
      <c r="F39" s="63"/>
      <c r="G39" s="388"/>
      <c r="H39" s="116"/>
      <c r="I39" s="116"/>
      <c r="J39" s="116">
        <f>+J37</f>
        <v>0</v>
      </c>
    </row>
    <row r="40" spans="2:10" ht="12.75">
      <c r="B40" s="10">
        <f t="shared" si="0"/>
        <v>20</v>
      </c>
      <c r="C40" s="20"/>
      <c r="D40" s="11" t="s">
        <v>794</v>
      </c>
      <c r="E40" s="20"/>
      <c r="F40" s="63"/>
      <c r="G40" s="390"/>
      <c r="H40" s="246"/>
      <c r="I40" s="246"/>
      <c r="J40" s="246">
        <f>+'3.14 P2'!E45</f>
        <v>217900</v>
      </c>
    </row>
    <row r="41" spans="2:10" ht="26.25">
      <c r="B41" s="10">
        <f t="shared" si="0"/>
        <v>21</v>
      </c>
      <c r="C41" s="20"/>
      <c r="D41" s="13" t="s">
        <v>141</v>
      </c>
      <c r="E41" s="20"/>
      <c r="F41" s="63"/>
      <c r="G41" s="349"/>
      <c r="H41" s="87"/>
      <c r="I41" s="87"/>
      <c r="J41" s="87">
        <f>ROUND(J39*J40,0)</f>
        <v>0</v>
      </c>
    </row>
    <row r="42" spans="2:10" ht="13.5" thickBot="1">
      <c r="B42" s="76"/>
      <c r="C42" s="21"/>
      <c r="D42" s="16"/>
      <c r="E42" s="21"/>
      <c r="F42" s="385"/>
      <c r="G42" s="391"/>
      <c r="H42" s="117"/>
      <c r="I42" s="117"/>
      <c r="J42" s="117"/>
    </row>
    <row r="48" ht="12.75">
      <c r="D48" s="11"/>
    </row>
  </sheetData>
  <sheetProtection/>
  <mergeCells count="5">
    <mergeCell ref="A9:J9"/>
    <mergeCell ref="A1:J1"/>
    <mergeCell ref="A5:J5"/>
    <mergeCell ref="A6:J6"/>
    <mergeCell ref="A7:J7"/>
  </mergeCells>
  <printOptions horizontalCentered="1"/>
  <pageMargins left="0" right="0" top="1" bottom="0.5" header="0" footer="0"/>
  <pageSetup horizontalDpi="300" verticalDpi="300" orientation="landscape" scale="85" r:id="rId1"/>
</worksheet>
</file>

<file path=xl/worksheets/sheet21.xml><?xml version="1.0" encoding="utf-8"?>
<worksheet xmlns="http://schemas.openxmlformats.org/spreadsheetml/2006/main" xmlns:r="http://schemas.openxmlformats.org/officeDocument/2006/relationships">
  <dimension ref="A1:F44"/>
  <sheetViews>
    <sheetView zoomScalePageLayoutView="0" workbookViewId="0" topLeftCell="A1">
      <pane ySplit="12" topLeftCell="A13" activePane="bottomLeft" state="frozen"/>
      <selection pane="topLeft" activeCell="E40" sqref="E40"/>
      <selection pane="bottomLeft" activeCell="F14" sqref="F14"/>
    </sheetView>
  </sheetViews>
  <sheetFormatPr defaultColWidth="9.140625" defaultRowHeight="12.75"/>
  <cols>
    <col min="1" max="1" width="3.7109375" style="0" customWidth="1"/>
    <col min="2" max="2" width="5.00390625" style="0" bestFit="1" customWidth="1"/>
    <col min="3" max="3" width="0.5625" style="0" customWidth="1"/>
    <col min="4" max="4" width="60.7109375" style="0" customWidth="1"/>
    <col min="5" max="5" width="0.5625" style="0" customWidth="1"/>
    <col min="6" max="6" width="13.8515625" style="0" bestFit="1" customWidth="1"/>
  </cols>
  <sheetData>
    <row r="1" spans="1:6" ht="12.75">
      <c r="A1" s="560"/>
      <c r="B1" s="560"/>
      <c r="C1" s="560"/>
      <c r="D1" s="560"/>
      <c r="E1" s="560"/>
      <c r="F1" s="560"/>
    </row>
    <row r="2" ht="12.75">
      <c r="F2" s="2" t="s">
        <v>378</v>
      </c>
    </row>
    <row r="3" ht="12.75">
      <c r="F3" s="83" t="s">
        <v>602</v>
      </c>
    </row>
    <row r="5" spans="1:6" ht="12.75">
      <c r="A5" s="547" t="s">
        <v>381</v>
      </c>
      <c r="B5" s="549"/>
      <c r="C5" s="549"/>
      <c r="D5" s="549"/>
      <c r="E5" s="549"/>
      <c r="F5" s="549"/>
    </row>
    <row r="6" spans="1:6" ht="12.75">
      <c r="A6" s="547" t="s">
        <v>710</v>
      </c>
      <c r="B6" s="549"/>
      <c r="C6" s="549"/>
      <c r="D6" s="549"/>
      <c r="E6" s="549"/>
      <c r="F6" s="549"/>
    </row>
    <row r="7" spans="1:6" ht="12.75">
      <c r="A7" s="547" t="s">
        <v>611</v>
      </c>
      <c r="B7" s="549"/>
      <c r="C7" s="549"/>
      <c r="D7" s="549"/>
      <c r="E7" s="549"/>
      <c r="F7" s="549"/>
    </row>
    <row r="8" ht="12.75">
      <c r="D8" s="3"/>
    </row>
    <row r="9" spans="1:6" ht="12.75">
      <c r="A9" s="559" t="str">
        <f>+'ES 1.0'!E7</f>
        <v>For the Expense Month of October 2013</v>
      </c>
      <c r="B9" s="549"/>
      <c r="C9" s="549"/>
      <c r="D9" s="549"/>
      <c r="E9" s="549"/>
      <c r="F9" s="549"/>
    </row>
    <row r="10" ht="12.75">
      <c r="D10" s="3"/>
    </row>
    <row r="11" ht="13.5" thickBot="1"/>
    <row r="12" spans="2:6" ht="27" thickBot="1">
      <c r="B12" s="36" t="s">
        <v>683</v>
      </c>
      <c r="C12" s="113"/>
      <c r="D12" s="80" t="s">
        <v>788</v>
      </c>
      <c r="E12" s="113"/>
      <c r="F12" s="39" t="s">
        <v>789</v>
      </c>
    </row>
    <row r="13" spans="2:6" ht="12.75">
      <c r="B13" s="99"/>
      <c r="C13" s="18"/>
      <c r="D13" s="6"/>
      <c r="E13" s="18"/>
      <c r="F13" s="7"/>
    </row>
    <row r="14" spans="2:6" ht="12.75">
      <c r="B14" s="10">
        <f>+B13+1</f>
        <v>1</v>
      </c>
      <c r="C14" s="20"/>
      <c r="D14" s="11" t="s">
        <v>804</v>
      </c>
      <c r="E14" s="20"/>
      <c r="F14" s="499">
        <f>98439622+17957+106862+174049</f>
        <v>98738490</v>
      </c>
    </row>
    <row r="15" spans="2:6" ht="12.75">
      <c r="B15" s="10">
        <f>+B14+1</f>
        <v>2</v>
      </c>
      <c r="C15" s="20"/>
      <c r="D15" s="11" t="s">
        <v>450</v>
      </c>
      <c r="E15" s="20"/>
      <c r="F15" s="311">
        <v>0.0137</v>
      </c>
    </row>
    <row r="16" spans="2:6" ht="12.75">
      <c r="B16" s="10">
        <f>+B15+1</f>
        <v>3</v>
      </c>
      <c r="C16" s="20"/>
      <c r="D16" s="63" t="s">
        <v>723</v>
      </c>
      <c r="E16" s="20"/>
      <c r="F16" s="87">
        <f>ROUND(F14*F15,0)</f>
        <v>1352717</v>
      </c>
    </row>
    <row r="17" spans="2:6" ht="12.75">
      <c r="B17" s="102"/>
      <c r="C17" s="20"/>
      <c r="D17" s="11" t="s">
        <v>790</v>
      </c>
      <c r="E17" s="20"/>
      <c r="F17" s="15"/>
    </row>
    <row r="18" spans="2:6" ht="12.75">
      <c r="B18" s="10">
        <f>+B16+1</f>
        <v>4</v>
      </c>
      <c r="C18" s="20"/>
      <c r="D18" s="11" t="s">
        <v>452</v>
      </c>
      <c r="E18" s="20"/>
      <c r="F18" s="89">
        <v>0</v>
      </c>
    </row>
    <row r="19" spans="2:6" ht="12.75">
      <c r="B19" s="10">
        <f>+B18+1</f>
        <v>5</v>
      </c>
      <c r="C19" s="20"/>
      <c r="D19" s="11" t="s">
        <v>453</v>
      </c>
      <c r="E19" s="20"/>
      <c r="F19" s="89">
        <v>0</v>
      </c>
    </row>
    <row r="20" spans="2:6" ht="12.75">
      <c r="B20" s="10">
        <f>+B19+1</f>
        <v>6</v>
      </c>
      <c r="C20" s="20"/>
      <c r="D20" s="63" t="s">
        <v>454</v>
      </c>
      <c r="E20" s="20"/>
      <c r="F20" s="188">
        <f>ROUND(187500/12,0)</f>
        <v>15625</v>
      </c>
    </row>
    <row r="21" spans="2:6" ht="12.75">
      <c r="B21" s="10">
        <f>+B20+1</f>
        <v>7</v>
      </c>
      <c r="C21" s="20"/>
      <c r="D21" s="11" t="s">
        <v>455</v>
      </c>
      <c r="E21" s="20"/>
      <c r="F21" s="187">
        <f>SUM(F18:F20)</f>
        <v>15625</v>
      </c>
    </row>
    <row r="22" spans="2:6" ht="12.75">
      <c r="B22" s="10"/>
      <c r="C22" s="20"/>
      <c r="D22" s="11" t="s">
        <v>791</v>
      </c>
      <c r="E22" s="20"/>
      <c r="F22" s="87"/>
    </row>
    <row r="23" spans="2:6" ht="12.75">
      <c r="B23" s="10">
        <f>+B21+1</f>
        <v>8</v>
      </c>
      <c r="C23" s="20"/>
      <c r="D23" s="11" t="s">
        <v>456</v>
      </c>
      <c r="E23" s="20"/>
      <c r="F23" s="89">
        <v>0</v>
      </c>
    </row>
    <row r="24" spans="2:6" ht="12.75">
      <c r="B24" s="10">
        <f aca="true" t="shared" si="0" ref="B24:B32">+B23+1</f>
        <v>9</v>
      </c>
      <c r="C24" s="20"/>
      <c r="D24" s="11" t="s">
        <v>464</v>
      </c>
      <c r="E24" s="20"/>
      <c r="F24" s="97">
        <f>ROUND(F23*0.5,0)</f>
        <v>0</v>
      </c>
    </row>
    <row r="25" spans="2:6" ht="12.75">
      <c r="B25" s="10">
        <f t="shared" si="0"/>
        <v>10</v>
      </c>
      <c r="C25" s="20"/>
      <c r="D25" s="11" t="s">
        <v>465</v>
      </c>
      <c r="E25" s="20"/>
      <c r="F25" s="97">
        <f>+F21+F24</f>
        <v>15625</v>
      </c>
    </row>
    <row r="26" spans="2:6" ht="26.25">
      <c r="B26" s="10">
        <f t="shared" si="0"/>
        <v>11</v>
      </c>
      <c r="C26" s="20"/>
      <c r="D26" s="190" t="s">
        <v>615</v>
      </c>
      <c r="E26" s="20"/>
      <c r="F26" s="97">
        <f>+F16+F25</f>
        <v>1368342</v>
      </c>
    </row>
    <row r="27" spans="2:6" ht="12.75">
      <c r="B27" s="10">
        <f t="shared" si="0"/>
        <v>12</v>
      </c>
      <c r="C27" s="20"/>
      <c r="D27" s="63" t="s">
        <v>574</v>
      </c>
      <c r="E27" s="20"/>
      <c r="F27" s="206">
        <v>1</v>
      </c>
    </row>
    <row r="28" spans="2:6" ht="12.75">
      <c r="B28" s="10">
        <f t="shared" si="0"/>
        <v>13</v>
      </c>
      <c r="C28" s="20"/>
      <c r="D28" s="190" t="s">
        <v>623</v>
      </c>
      <c r="E28" s="20"/>
      <c r="F28" s="87">
        <f>ROUND(F26*F27,0)</f>
        <v>1368342</v>
      </c>
    </row>
    <row r="29" spans="2:6" ht="12.75">
      <c r="B29" s="10">
        <f t="shared" si="0"/>
        <v>14</v>
      </c>
      <c r="C29" s="20"/>
      <c r="D29" s="11" t="s">
        <v>576</v>
      </c>
      <c r="E29" s="20"/>
      <c r="F29" s="170">
        <f>+'3.14 P2'!E37</f>
        <v>5453000</v>
      </c>
    </row>
    <row r="30" spans="2:6" ht="12.75">
      <c r="B30" s="10">
        <f t="shared" si="0"/>
        <v>15</v>
      </c>
      <c r="C30" s="20"/>
      <c r="D30" s="11" t="s">
        <v>624</v>
      </c>
      <c r="E30" s="20"/>
      <c r="F30" s="116">
        <f>ROUND(F28/F29,2)</f>
        <v>0.25</v>
      </c>
    </row>
    <row r="31" spans="2:6" ht="12.75">
      <c r="B31" s="10">
        <f t="shared" si="0"/>
        <v>16</v>
      </c>
      <c r="C31" s="20"/>
      <c r="D31" s="11" t="s">
        <v>625</v>
      </c>
      <c r="E31" s="20"/>
      <c r="F31" s="171">
        <f>+'3.14 P2'!E41</f>
        <v>0.02</v>
      </c>
    </row>
    <row r="32" spans="2:6" ht="12.75">
      <c r="B32" s="10">
        <f t="shared" si="0"/>
        <v>17</v>
      </c>
      <c r="C32" s="20"/>
      <c r="D32" s="11" t="s">
        <v>793</v>
      </c>
      <c r="E32" s="20"/>
      <c r="F32" s="87"/>
    </row>
    <row r="33" spans="2:6" ht="12.75">
      <c r="B33" s="102"/>
      <c r="C33" s="20"/>
      <c r="D33" s="11" t="s">
        <v>626</v>
      </c>
      <c r="E33" s="20"/>
      <c r="F33" s="116">
        <f>ROUND(F30*F31,2)</f>
        <v>0.01</v>
      </c>
    </row>
    <row r="34" spans="2:6" ht="12.75">
      <c r="B34" s="102"/>
      <c r="C34" s="20"/>
      <c r="D34" s="11" t="s">
        <v>627</v>
      </c>
      <c r="E34" s="20"/>
      <c r="F34" s="116"/>
    </row>
    <row r="35" spans="2:6" ht="12.75">
      <c r="B35" s="10">
        <f>+B32+1</f>
        <v>18</v>
      </c>
      <c r="C35" s="20"/>
      <c r="D35" s="11" t="s">
        <v>628</v>
      </c>
      <c r="E35" s="20"/>
      <c r="F35" s="116">
        <f>+F33</f>
        <v>0.01</v>
      </c>
    </row>
    <row r="36" spans="2:6" ht="12.75">
      <c r="B36" s="10">
        <f>+B35+1</f>
        <v>19</v>
      </c>
      <c r="C36" s="20"/>
      <c r="D36" s="11" t="s">
        <v>794</v>
      </c>
      <c r="E36" s="20"/>
      <c r="F36" s="246">
        <f>+'3.14 P2'!E45</f>
        <v>217900</v>
      </c>
    </row>
    <row r="37" spans="2:6" ht="26.25">
      <c r="B37" s="10">
        <f>+B36+1</f>
        <v>20</v>
      </c>
      <c r="C37" s="20"/>
      <c r="D37" s="13" t="s">
        <v>140</v>
      </c>
      <c r="E37" s="20"/>
      <c r="F37" s="87">
        <f>ROUND(F35*F36,0)</f>
        <v>2179</v>
      </c>
    </row>
    <row r="38" spans="2:6" ht="13.5" thickBot="1">
      <c r="B38" s="76"/>
      <c r="C38" s="21"/>
      <c r="D38" s="16"/>
      <c r="E38" s="21"/>
      <c r="F38" s="117"/>
    </row>
    <row r="44" ht="12.75">
      <c r="D44" s="11"/>
    </row>
  </sheetData>
  <sheetProtection/>
  <mergeCells count="5">
    <mergeCell ref="A7:F7"/>
    <mergeCell ref="A9:F9"/>
    <mergeCell ref="A1:F1"/>
    <mergeCell ref="A5:F5"/>
    <mergeCell ref="A6:F6"/>
  </mergeCells>
  <printOptions horizontalCentered="1"/>
  <pageMargins left="0" right="0" top="1" bottom="0.5" header="0" footer="0"/>
  <pageSetup horizontalDpi="300" verticalDpi="300" orientation="portrait" r:id="rId1"/>
</worksheet>
</file>

<file path=xl/worksheets/sheet22.xml><?xml version="1.0" encoding="utf-8"?>
<worksheet xmlns="http://schemas.openxmlformats.org/spreadsheetml/2006/main" xmlns:r="http://schemas.openxmlformats.org/officeDocument/2006/relationships">
  <dimension ref="A2:T75"/>
  <sheetViews>
    <sheetView zoomScalePageLayoutView="0" workbookViewId="0" topLeftCell="A1">
      <pane ySplit="8" topLeftCell="A33" activePane="bottomLeft" state="frozen"/>
      <selection pane="topLeft" activeCell="E40" sqref="E40"/>
      <selection pane="bottomLeft" activeCell="W52" sqref="W52"/>
    </sheetView>
  </sheetViews>
  <sheetFormatPr defaultColWidth="9.140625" defaultRowHeight="12.75"/>
  <cols>
    <col min="1" max="1" width="10.7109375" style="0" customWidth="1"/>
    <col min="2" max="2" width="5.00390625" style="3" bestFit="1" customWidth="1"/>
    <col min="3" max="3" width="0.2890625" style="0" customWidth="1"/>
    <col min="4" max="4" width="12.7109375" style="0" customWidth="1"/>
    <col min="5" max="5" width="0.2890625" style="0" customWidth="1"/>
    <col min="6" max="6" width="15.7109375" style="0" customWidth="1"/>
    <col min="7" max="7" width="0.2890625" style="0" customWidth="1"/>
    <col min="8" max="8" width="12.8515625" style="0" customWidth="1"/>
    <col min="9" max="9" width="0.2890625" style="0" customWidth="1"/>
    <col min="10" max="10" width="12.7109375" style="0" customWidth="1"/>
    <col min="11" max="11" width="3.7109375" style="0" customWidth="1"/>
    <col min="12" max="12" width="0.2890625" style="0" customWidth="1"/>
    <col min="13" max="13" width="12.7109375" style="0" customWidth="1"/>
    <col min="14" max="14" width="0.2890625" style="0" customWidth="1"/>
    <col min="16" max="16" width="0.2890625" style="0" customWidth="1"/>
    <col min="17" max="17" width="3.7109375" style="0" customWidth="1"/>
    <col min="18" max="18" width="0.2890625" style="0" customWidth="1"/>
    <col min="19" max="19" width="9.8515625" style="0" bestFit="1" customWidth="1"/>
    <col min="20" max="20" width="2.28125" style="0" customWidth="1"/>
  </cols>
  <sheetData>
    <row r="1" ht="15" customHeight="1"/>
    <row r="2" ht="12.75">
      <c r="Q2" t="s">
        <v>15</v>
      </c>
    </row>
    <row r="4" ht="12.75">
      <c r="F4" s="1" t="s">
        <v>381</v>
      </c>
    </row>
    <row r="5" ht="12.75">
      <c r="H5" t="s">
        <v>710</v>
      </c>
    </row>
    <row r="6" ht="12.75">
      <c r="H6" t="s">
        <v>711</v>
      </c>
    </row>
    <row r="8" ht="12.75">
      <c r="J8" s="3" t="str">
        <f>+'ES 1.0'!E7</f>
        <v>For the Expense Month of October 2013</v>
      </c>
    </row>
    <row r="9" spans="2:20" ht="13.5" thickBot="1">
      <c r="B9" s="29"/>
      <c r="C9" s="11"/>
      <c r="D9" s="11"/>
      <c r="E9" s="11"/>
      <c r="F9" s="11"/>
      <c r="G9" s="11"/>
      <c r="H9" s="11"/>
      <c r="I9" s="11"/>
      <c r="J9" s="11"/>
      <c r="K9" s="11"/>
      <c r="L9" s="11"/>
      <c r="M9" s="11"/>
      <c r="N9" s="11"/>
      <c r="O9" s="11"/>
      <c r="P9" s="11"/>
      <c r="Q9" s="11"/>
      <c r="R9" s="11"/>
      <c r="S9" s="11"/>
      <c r="T9" s="11"/>
    </row>
    <row r="10" spans="2:20" ht="30" customHeight="1" thickBot="1">
      <c r="B10" s="205" t="s">
        <v>683</v>
      </c>
      <c r="C10" s="71"/>
      <c r="D10" s="36" t="s">
        <v>93</v>
      </c>
      <c r="E10" s="88"/>
      <c r="F10" s="37" t="s">
        <v>94</v>
      </c>
      <c r="G10" s="88"/>
      <c r="H10" s="37" t="s">
        <v>133</v>
      </c>
      <c r="I10" s="88"/>
      <c r="J10" s="37" t="s">
        <v>96</v>
      </c>
      <c r="K10" s="208"/>
      <c r="L10" s="88"/>
      <c r="M10" s="37" t="s">
        <v>134</v>
      </c>
      <c r="N10" s="113"/>
      <c r="O10" s="80" t="s">
        <v>690</v>
      </c>
      <c r="P10" s="79"/>
      <c r="Q10" s="123"/>
      <c r="R10" s="113"/>
      <c r="S10" s="39" t="s">
        <v>135</v>
      </c>
      <c r="T10" s="65"/>
    </row>
    <row r="11" spans="2:20" ht="30" customHeight="1" thickBot="1">
      <c r="B11" s="204"/>
      <c r="C11" s="64"/>
      <c r="D11" s="65"/>
      <c r="E11" s="64"/>
      <c r="F11" s="431" t="s">
        <v>953</v>
      </c>
      <c r="G11" s="64"/>
      <c r="H11" s="65"/>
      <c r="I11" s="64"/>
      <c r="J11" s="65"/>
      <c r="K11" s="209"/>
      <c r="L11" s="64"/>
      <c r="M11" s="65"/>
      <c r="N11" s="20"/>
      <c r="O11" s="29"/>
      <c r="P11" s="32"/>
      <c r="Q11" s="11"/>
      <c r="R11" s="20"/>
      <c r="S11" s="66"/>
      <c r="T11" s="65"/>
    </row>
    <row r="12" spans="2:20" ht="12.75" customHeight="1">
      <c r="B12" s="5"/>
      <c r="C12" s="18"/>
      <c r="D12" s="6"/>
      <c r="E12" s="18"/>
      <c r="F12" s="6"/>
      <c r="G12" s="18"/>
      <c r="H12" s="6"/>
      <c r="I12" s="18"/>
      <c r="J12" s="6"/>
      <c r="K12" s="210"/>
      <c r="L12" s="18"/>
      <c r="M12" s="6"/>
      <c r="N12" s="18"/>
      <c r="O12" s="6"/>
      <c r="P12" s="18"/>
      <c r="Q12" s="6"/>
      <c r="R12" s="18"/>
      <c r="S12" s="7"/>
      <c r="T12" s="11"/>
    </row>
    <row r="13" spans="2:20" ht="15" customHeight="1">
      <c r="B13" s="14">
        <v>1</v>
      </c>
      <c r="C13" s="20"/>
      <c r="D13" s="11" t="s">
        <v>682</v>
      </c>
      <c r="E13" s="20"/>
      <c r="F13" s="175">
        <v>550000000</v>
      </c>
      <c r="G13" s="20"/>
      <c r="H13" s="68">
        <f>F13/$F$18</f>
        <v>0.510434798161422</v>
      </c>
      <c r="I13" s="20"/>
      <c r="J13" s="429">
        <v>0.0648</v>
      </c>
      <c r="K13" s="211"/>
      <c r="L13" s="20"/>
      <c r="M13" s="54">
        <f>ROUND(H13*J13,4)</f>
        <v>0.0331</v>
      </c>
      <c r="N13" s="20"/>
      <c r="O13" s="11"/>
      <c r="P13" s="20"/>
      <c r="Q13" s="11"/>
      <c r="R13" s="20"/>
      <c r="S13" s="206">
        <f>+M13</f>
        <v>0.0331</v>
      </c>
      <c r="T13" s="54"/>
    </row>
    <row r="14" spans="2:20" ht="12.75">
      <c r="B14" s="14">
        <f>+B13+1</f>
        <v>2</v>
      </c>
      <c r="C14" s="20"/>
      <c r="D14" s="11" t="s">
        <v>684</v>
      </c>
      <c r="E14" s="20"/>
      <c r="F14" s="175">
        <v>0</v>
      </c>
      <c r="G14" s="20"/>
      <c r="H14" s="68">
        <f>F14/$F$18</f>
        <v>0</v>
      </c>
      <c r="I14" s="20"/>
      <c r="J14" s="429">
        <v>0</v>
      </c>
      <c r="K14" s="211"/>
      <c r="L14" s="20"/>
      <c r="M14" s="54">
        <f>ROUND(H14*J14,4)</f>
        <v>0</v>
      </c>
      <c r="N14" s="20"/>
      <c r="O14" s="11"/>
      <c r="P14" s="20"/>
      <c r="Q14" s="11"/>
      <c r="R14" s="20"/>
      <c r="S14" s="206">
        <f>+M14</f>
        <v>0</v>
      </c>
      <c r="T14" s="54"/>
    </row>
    <row r="15" spans="2:20" ht="26.25">
      <c r="B15" s="14">
        <f>+B14+1</f>
        <v>3</v>
      </c>
      <c r="C15" s="20"/>
      <c r="D15" s="190" t="s">
        <v>14</v>
      </c>
      <c r="E15" s="20"/>
      <c r="F15" s="175">
        <v>46627938</v>
      </c>
      <c r="G15" s="20"/>
      <c r="H15" s="68">
        <f>F15/$F$18</f>
        <v>0.04327367658493327</v>
      </c>
      <c r="I15" s="20"/>
      <c r="J15" s="429">
        <v>0.0116</v>
      </c>
      <c r="K15" s="211"/>
      <c r="L15" s="20"/>
      <c r="M15" s="54">
        <f>ROUND(H15*J15,4)</f>
        <v>0.0005</v>
      </c>
      <c r="N15" s="20"/>
      <c r="O15" s="11"/>
      <c r="P15" s="20"/>
      <c r="Q15" s="11"/>
      <c r="R15" s="20"/>
      <c r="S15" s="206">
        <f>+M15</f>
        <v>0.0005</v>
      </c>
      <c r="T15" s="54"/>
    </row>
    <row r="16" spans="2:20" ht="12.75">
      <c r="B16" s="14">
        <f>+B15+1</f>
        <v>4</v>
      </c>
      <c r="C16" s="20"/>
      <c r="D16" s="11" t="s">
        <v>686</v>
      </c>
      <c r="E16" s="20"/>
      <c r="F16" s="175">
        <v>480884806</v>
      </c>
      <c r="G16" s="20"/>
      <c r="H16" s="68">
        <f>F16/$F$18</f>
        <v>0.4462915252536447</v>
      </c>
      <c r="I16" s="20"/>
      <c r="J16" s="430">
        <v>0.105</v>
      </c>
      <c r="K16" s="213" t="s">
        <v>691</v>
      </c>
      <c r="L16" s="20"/>
      <c r="M16" s="54">
        <f>ROUND(H16*J16,4)</f>
        <v>0.0469</v>
      </c>
      <c r="N16" s="20"/>
      <c r="O16" s="432">
        <f>+O57</f>
        <v>1.549</v>
      </c>
      <c r="P16" s="20"/>
      <c r="Q16" s="29" t="s">
        <v>692</v>
      </c>
      <c r="R16" s="20"/>
      <c r="S16" s="206">
        <f>ROUND(H16*J16*O16,5)</f>
        <v>0.07259</v>
      </c>
      <c r="T16" s="54"/>
    </row>
    <row r="17" spans="2:20" ht="12.75">
      <c r="B17" s="14"/>
      <c r="C17" s="20"/>
      <c r="D17" s="11"/>
      <c r="E17" s="20"/>
      <c r="F17" s="175"/>
      <c r="G17" s="20"/>
      <c r="H17" s="68"/>
      <c r="I17" s="20"/>
      <c r="J17" s="207"/>
      <c r="K17" s="211"/>
      <c r="L17" s="20"/>
      <c r="M17" s="68"/>
      <c r="N17" s="20"/>
      <c r="O17" s="11"/>
      <c r="P17" s="20"/>
      <c r="Q17" s="11"/>
      <c r="R17" s="20"/>
      <c r="S17" s="69"/>
      <c r="T17" s="67"/>
    </row>
    <row r="18" spans="2:20" ht="12.75">
      <c r="B18" s="14">
        <f>+B16+1</f>
        <v>5</v>
      </c>
      <c r="C18" s="20"/>
      <c r="D18" s="11" t="s">
        <v>687</v>
      </c>
      <c r="E18" s="20"/>
      <c r="F18" s="401">
        <f>SUM(F13:F16)</f>
        <v>1077512744</v>
      </c>
      <c r="G18" s="20"/>
      <c r="H18" s="400">
        <f>SUM(H13:H16)</f>
        <v>1</v>
      </c>
      <c r="I18" s="20"/>
      <c r="J18" s="207"/>
      <c r="K18" s="211"/>
      <c r="L18" s="20"/>
      <c r="M18" s="214">
        <f>SUM(M13:M16)</f>
        <v>0.08049999999999999</v>
      </c>
      <c r="N18" s="20"/>
      <c r="O18" s="11"/>
      <c r="P18" s="20"/>
      <c r="Q18" s="11"/>
      <c r="R18" s="20"/>
      <c r="S18" s="337">
        <f>SUM(S13:S17)</f>
        <v>0.10619</v>
      </c>
      <c r="T18" s="320"/>
    </row>
    <row r="19" spans="2:20" ht="12.75">
      <c r="B19" s="14"/>
      <c r="C19" s="20"/>
      <c r="D19" s="11"/>
      <c r="E19" s="20"/>
      <c r="F19" s="11"/>
      <c r="G19" s="20"/>
      <c r="H19" s="11"/>
      <c r="I19" s="20"/>
      <c r="J19" s="11"/>
      <c r="K19" s="211"/>
      <c r="L19" s="20"/>
      <c r="M19" s="11"/>
      <c r="N19" s="20"/>
      <c r="O19" s="11"/>
      <c r="P19" s="20"/>
      <c r="Q19" s="11"/>
      <c r="R19" s="20"/>
      <c r="S19" s="15"/>
      <c r="T19" s="11"/>
    </row>
    <row r="20" spans="2:20" ht="13.5" thickBot="1">
      <c r="B20" s="8"/>
      <c r="C20" s="21"/>
      <c r="D20" s="16"/>
      <c r="E20" s="21"/>
      <c r="F20" s="16"/>
      <c r="G20" s="21"/>
      <c r="H20" s="16"/>
      <c r="I20" s="21"/>
      <c r="J20" s="16"/>
      <c r="K20" s="212"/>
      <c r="L20" s="21"/>
      <c r="M20" s="16"/>
      <c r="N20" s="21"/>
      <c r="O20" s="16"/>
      <c r="P20" s="21"/>
      <c r="Q20" s="16"/>
      <c r="R20" s="21"/>
      <c r="S20" s="17"/>
      <c r="T20" s="11"/>
    </row>
    <row r="21" spans="2:20" ht="12.75">
      <c r="B21" s="14"/>
      <c r="C21" s="20"/>
      <c r="D21" s="11"/>
      <c r="E21" s="11"/>
      <c r="F21" s="11"/>
      <c r="G21" s="11"/>
      <c r="H21" s="11"/>
      <c r="I21" s="11"/>
      <c r="J21" s="11"/>
      <c r="K21" s="11"/>
      <c r="L21" s="11"/>
      <c r="M21" s="11"/>
      <c r="N21" s="20"/>
      <c r="O21" s="11"/>
      <c r="P21" s="32"/>
      <c r="Q21" s="11"/>
      <c r="R21" s="11"/>
      <c r="S21" s="15"/>
      <c r="T21" s="11"/>
    </row>
    <row r="22" spans="2:20" ht="12" customHeight="1">
      <c r="B22" s="14"/>
      <c r="C22" s="20"/>
      <c r="D22" s="11"/>
      <c r="E22" s="11"/>
      <c r="F22" s="11"/>
      <c r="G22" s="11"/>
      <c r="H22" s="11"/>
      <c r="I22" s="11"/>
      <c r="J22" s="11"/>
      <c r="K22" s="11"/>
      <c r="L22" s="11"/>
      <c r="M22" s="11"/>
      <c r="N22" s="20"/>
      <c r="O22" s="11"/>
      <c r="P22" s="32"/>
      <c r="Q22" s="11"/>
      <c r="R22" s="11"/>
      <c r="S22" s="15"/>
      <c r="T22" s="11"/>
    </row>
    <row r="23" spans="2:20" ht="12.75">
      <c r="B23" s="204" t="s">
        <v>691</v>
      </c>
      <c r="C23" s="31"/>
      <c r="D23" s="11" t="s">
        <v>130</v>
      </c>
      <c r="E23" s="11"/>
      <c r="F23" s="11"/>
      <c r="G23" s="11"/>
      <c r="H23" s="11"/>
      <c r="I23" s="11"/>
      <c r="J23" s="11"/>
      <c r="K23" s="11"/>
      <c r="L23" s="11"/>
      <c r="M23" s="11"/>
      <c r="N23" s="20"/>
      <c r="O23" s="54"/>
      <c r="P23" s="32"/>
      <c r="Q23" s="11"/>
      <c r="R23" s="11"/>
      <c r="S23" s="15"/>
      <c r="T23" s="11"/>
    </row>
    <row r="24" spans="2:20" ht="12.75">
      <c r="B24" s="14"/>
      <c r="C24" s="31"/>
      <c r="D24" s="11" t="s">
        <v>957</v>
      </c>
      <c r="E24" s="11"/>
      <c r="F24" s="11"/>
      <c r="G24" s="11"/>
      <c r="H24" s="11"/>
      <c r="I24" s="11"/>
      <c r="J24" s="11"/>
      <c r="K24" s="11"/>
      <c r="L24" s="11"/>
      <c r="M24" s="11"/>
      <c r="N24" s="20"/>
      <c r="O24" s="11"/>
      <c r="P24" s="32"/>
      <c r="Q24" s="11"/>
      <c r="R24" s="11"/>
      <c r="S24" s="15"/>
      <c r="T24" s="11"/>
    </row>
    <row r="25" spans="2:20" ht="12.75">
      <c r="B25" s="10"/>
      <c r="C25" s="31"/>
      <c r="D25" s="11"/>
      <c r="E25" s="11"/>
      <c r="F25" s="11"/>
      <c r="G25" s="11"/>
      <c r="H25" s="11"/>
      <c r="I25" s="11"/>
      <c r="J25" s="11"/>
      <c r="K25" s="11"/>
      <c r="L25" s="11"/>
      <c r="M25" s="11"/>
      <c r="N25" s="20"/>
      <c r="O25" s="11"/>
      <c r="P25" s="32"/>
      <c r="Q25" s="11"/>
      <c r="R25" s="11"/>
      <c r="S25" s="15"/>
      <c r="T25" s="11"/>
    </row>
    <row r="26" spans="2:20" ht="12.75">
      <c r="B26" s="204" t="s">
        <v>692</v>
      </c>
      <c r="C26" s="31"/>
      <c r="D26" s="11" t="s">
        <v>132</v>
      </c>
      <c r="E26" s="11"/>
      <c r="F26" s="11"/>
      <c r="G26" s="11"/>
      <c r="H26" s="11"/>
      <c r="I26" s="11"/>
      <c r="J26" s="11"/>
      <c r="K26" s="11"/>
      <c r="L26" s="11"/>
      <c r="M26" s="11"/>
      <c r="N26" s="20"/>
      <c r="O26" s="11"/>
      <c r="P26" s="32"/>
      <c r="Q26" s="11"/>
      <c r="R26" s="11"/>
      <c r="S26" s="15"/>
      <c r="T26" s="11"/>
    </row>
    <row r="27" spans="2:20" ht="12.75">
      <c r="B27" s="204"/>
      <c r="C27" s="31"/>
      <c r="D27" s="63" t="s">
        <v>958</v>
      </c>
      <c r="E27" s="11"/>
      <c r="F27" s="11"/>
      <c r="G27" s="11"/>
      <c r="H27" s="11"/>
      <c r="I27" s="11"/>
      <c r="J27" s="11"/>
      <c r="K27" s="11"/>
      <c r="L27" s="11"/>
      <c r="M27" s="11"/>
      <c r="N27" s="20"/>
      <c r="O27" s="11"/>
      <c r="P27" s="32"/>
      <c r="Q27" s="11"/>
      <c r="R27" s="11"/>
      <c r="S27" s="15"/>
      <c r="T27" s="11"/>
    </row>
    <row r="28" spans="2:20" ht="12.75">
      <c r="B28" s="10"/>
      <c r="C28" s="31"/>
      <c r="D28" s="11"/>
      <c r="E28" s="11"/>
      <c r="F28" s="11"/>
      <c r="G28" s="11"/>
      <c r="H28" s="11"/>
      <c r="I28" s="11"/>
      <c r="J28" s="11"/>
      <c r="K28" s="11"/>
      <c r="L28" s="11"/>
      <c r="M28" s="11"/>
      <c r="N28" s="20"/>
      <c r="O28" s="11"/>
      <c r="P28" s="32"/>
      <c r="Q28" s="11"/>
      <c r="R28" s="11"/>
      <c r="S28" s="15"/>
      <c r="T28" s="11"/>
    </row>
    <row r="29" spans="2:20" ht="12.75">
      <c r="B29" s="10">
        <v>1</v>
      </c>
      <c r="C29" s="31"/>
      <c r="D29" s="11" t="s">
        <v>693</v>
      </c>
      <c r="E29" s="11"/>
      <c r="F29" s="11"/>
      <c r="G29" s="11"/>
      <c r="H29" s="11"/>
      <c r="I29" s="11"/>
      <c r="J29" s="11"/>
      <c r="K29" s="11"/>
      <c r="L29" s="11"/>
      <c r="M29" s="11"/>
      <c r="N29" s="20"/>
      <c r="O29" s="67">
        <f>+O61</f>
        <v>100</v>
      </c>
      <c r="P29" s="32"/>
      <c r="Q29" s="11"/>
      <c r="R29" s="11"/>
      <c r="S29" s="15"/>
      <c r="T29" s="11"/>
    </row>
    <row r="30" spans="2:20" ht="12.75">
      <c r="B30" s="10">
        <f>+B29+1</f>
        <v>2</v>
      </c>
      <c r="C30" s="31"/>
      <c r="D30" s="63" t="s">
        <v>956</v>
      </c>
      <c r="E30" s="11"/>
      <c r="F30" s="11"/>
      <c r="G30" s="11"/>
      <c r="H30" s="11"/>
      <c r="I30" s="11"/>
      <c r="J30" s="11"/>
      <c r="K30" s="11"/>
      <c r="L30" s="11"/>
      <c r="M30" s="11"/>
      <c r="N30" s="20"/>
      <c r="O30" s="316">
        <f>+O62</f>
        <v>0.24</v>
      </c>
      <c r="P30" s="32"/>
      <c r="Q30" s="11"/>
      <c r="R30" s="11"/>
      <c r="S30" s="15"/>
      <c r="T30" s="11"/>
    </row>
    <row r="31" spans="2:20" ht="12.75">
      <c r="B31" s="10">
        <f>+B30+1</f>
        <v>3</v>
      </c>
      <c r="C31" s="31"/>
      <c r="D31" s="63" t="s">
        <v>955</v>
      </c>
      <c r="E31" s="11"/>
      <c r="F31" s="11"/>
      <c r="G31" s="11"/>
      <c r="H31" s="11"/>
      <c r="I31" s="11"/>
      <c r="J31" s="11"/>
      <c r="K31" s="11"/>
      <c r="L31" s="11"/>
      <c r="M31" s="11"/>
      <c r="N31" s="20"/>
      <c r="O31" s="318">
        <f>+O63</f>
        <v>0.18</v>
      </c>
      <c r="P31" s="32"/>
      <c r="Q31" s="11"/>
      <c r="R31" s="11"/>
      <c r="S31" s="15"/>
      <c r="T31" s="11"/>
    </row>
    <row r="32" spans="2:20" ht="12.75">
      <c r="B32" s="10"/>
      <c r="C32" s="31"/>
      <c r="D32" s="63"/>
      <c r="E32" s="11"/>
      <c r="F32" s="11"/>
      <c r="G32" s="11"/>
      <c r="H32" s="11"/>
      <c r="I32" s="11"/>
      <c r="J32" s="11"/>
      <c r="K32" s="11"/>
      <c r="L32" s="11"/>
      <c r="M32" s="11"/>
      <c r="N32" s="20"/>
      <c r="O32" s="315"/>
      <c r="P32" s="32"/>
      <c r="Q32" s="11"/>
      <c r="R32" s="11"/>
      <c r="S32" s="15"/>
      <c r="T32" s="11"/>
    </row>
    <row r="33" spans="2:20" ht="12.75">
      <c r="B33" s="10">
        <f>+B31+1</f>
        <v>4</v>
      </c>
      <c r="C33" s="31"/>
      <c r="D33" s="63" t="s">
        <v>517</v>
      </c>
      <c r="E33" s="11"/>
      <c r="F33" s="11"/>
      <c r="G33" s="11"/>
      <c r="H33" s="11"/>
      <c r="I33" s="11"/>
      <c r="J33" s="11"/>
      <c r="K33" s="11"/>
      <c r="L33" s="11"/>
      <c r="M33" s="11"/>
      <c r="N33" s="20"/>
      <c r="O33" s="316">
        <f>+O29-O30-O31</f>
        <v>99.58</v>
      </c>
      <c r="P33" s="32"/>
      <c r="Q33" s="11"/>
      <c r="R33" s="11"/>
      <c r="S33" s="15"/>
      <c r="T33" s="11"/>
    </row>
    <row r="34" spans="2:20" ht="12.75">
      <c r="B34" s="10">
        <f aca="true" t="shared" si="0" ref="B34:B40">+B33+1</f>
        <v>5</v>
      </c>
      <c r="C34" s="31"/>
      <c r="D34" s="63" t="s">
        <v>518</v>
      </c>
      <c r="E34" s="11"/>
      <c r="F34" s="11"/>
      <c r="G34" s="11"/>
      <c r="H34" s="11"/>
      <c r="I34" s="11"/>
      <c r="J34" s="11"/>
      <c r="K34" s="11"/>
      <c r="L34" s="11"/>
      <c r="M34" s="11"/>
      <c r="N34" s="20"/>
      <c r="O34" s="318">
        <f>+O71</f>
        <v>5.466588000000001</v>
      </c>
      <c r="P34" s="32"/>
      <c r="Q34" s="11"/>
      <c r="R34" s="11"/>
      <c r="S34" s="15"/>
      <c r="T34" s="11"/>
    </row>
    <row r="35" spans="2:20" ht="12.75">
      <c r="B35" s="10"/>
      <c r="C35" s="31"/>
      <c r="D35" s="63"/>
      <c r="E35" s="11"/>
      <c r="F35" s="11"/>
      <c r="G35" s="11"/>
      <c r="H35" s="11"/>
      <c r="I35" s="11"/>
      <c r="J35" s="11"/>
      <c r="K35" s="11"/>
      <c r="L35" s="11"/>
      <c r="M35" s="11"/>
      <c r="N35" s="20"/>
      <c r="O35" s="67"/>
      <c r="P35" s="32"/>
      <c r="Q35" s="11"/>
      <c r="R35" s="11"/>
      <c r="S35" s="15"/>
      <c r="T35" s="11"/>
    </row>
    <row r="36" spans="2:20" ht="12.75">
      <c r="B36" s="10">
        <f>+B34+1</f>
        <v>6</v>
      </c>
      <c r="C36" s="31"/>
      <c r="D36" s="63" t="s">
        <v>519</v>
      </c>
      <c r="E36" s="11"/>
      <c r="F36" s="11"/>
      <c r="G36" s="11"/>
      <c r="H36" s="11"/>
      <c r="I36" s="11"/>
      <c r="J36" s="11"/>
      <c r="K36" s="11"/>
      <c r="L36" s="11"/>
      <c r="M36" s="11"/>
      <c r="N36" s="20"/>
      <c r="O36" s="316">
        <f>+O33-O34</f>
        <v>94.113412</v>
      </c>
      <c r="P36" s="32"/>
      <c r="Q36" s="11"/>
      <c r="R36" s="11"/>
      <c r="S36" s="15"/>
      <c r="T36" s="11"/>
    </row>
    <row r="37" spans="2:20" ht="12.75">
      <c r="B37" s="10">
        <f t="shared" si="0"/>
        <v>7</v>
      </c>
      <c r="C37" s="31"/>
      <c r="D37" s="63" t="s">
        <v>520</v>
      </c>
      <c r="E37" s="11"/>
      <c r="F37" s="11"/>
      <c r="G37" s="11"/>
      <c r="H37" s="11"/>
      <c r="I37" s="11"/>
      <c r="J37" s="11"/>
      <c r="K37" s="11"/>
      <c r="L37" s="11"/>
      <c r="M37" s="11"/>
      <c r="N37" s="20"/>
      <c r="O37" s="318">
        <f>+O66</f>
        <v>8.4702</v>
      </c>
      <c r="P37" s="32"/>
      <c r="Q37" s="11"/>
      <c r="R37" s="11"/>
      <c r="S37" s="15"/>
      <c r="T37" s="11"/>
    </row>
    <row r="38" spans="2:20" ht="12.75">
      <c r="B38" s="10"/>
      <c r="C38" s="31"/>
      <c r="D38" s="63"/>
      <c r="E38" s="11"/>
      <c r="F38" s="11"/>
      <c r="G38" s="11"/>
      <c r="H38" s="11"/>
      <c r="I38" s="11"/>
      <c r="J38" s="11"/>
      <c r="K38" s="11"/>
      <c r="L38" s="11"/>
      <c r="M38" s="11"/>
      <c r="N38" s="20"/>
      <c r="O38" s="315"/>
      <c r="P38" s="32"/>
      <c r="Q38" s="11"/>
      <c r="R38" s="11"/>
      <c r="S38" s="15"/>
      <c r="T38" s="11"/>
    </row>
    <row r="39" spans="2:20" ht="12.75">
      <c r="B39" s="10">
        <f>+B37+1</f>
        <v>8</v>
      </c>
      <c r="C39" s="32"/>
      <c r="D39" s="63" t="s">
        <v>521</v>
      </c>
      <c r="E39" s="11"/>
      <c r="F39" s="11"/>
      <c r="G39" s="11"/>
      <c r="H39" s="11"/>
      <c r="I39" s="11"/>
      <c r="J39" s="11"/>
      <c r="K39" s="11"/>
      <c r="L39" s="11"/>
      <c r="M39" s="11"/>
      <c r="N39" s="20"/>
      <c r="O39" s="67">
        <f>+O36-O37</f>
        <v>85.64321199999999</v>
      </c>
      <c r="P39" s="32"/>
      <c r="Q39" s="11"/>
      <c r="R39" s="11"/>
      <c r="S39" s="15"/>
      <c r="T39" s="11"/>
    </row>
    <row r="40" spans="2:20" ht="12.75">
      <c r="B40" s="10">
        <f t="shared" si="0"/>
        <v>9</v>
      </c>
      <c r="C40" s="32"/>
      <c r="D40" s="63" t="s">
        <v>522</v>
      </c>
      <c r="E40" s="11"/>
      <c r="F40" s="11"/>
      <c r="G40" s="11"/>
      <c r="H40" s="11"/>
      <c r="I40" s="11"/>
      <c r="J40" s="11"/>
      <c r="K40" s="11"/>
      <c r="L40" s="11"/>
      <c r="M40" s="11"/>
      <c r="N40" s="20"/>
      <c r="O40" s="318">
        <f>ROUND(O39*0.35,4)</f>
        <v>29.9751</v>
      </c>
      <c r="P40" s="32"/>
      <c r="Q40" s="11"/>
      <c r="R40" s="11"/>
      <c r="S40" s="15"/>
      <c r="T40" s="11"/>
    </row>
    <row r="41" spans="2:20" ht="12.75">
      <c r="B41" s="10"/>
      <c r="C41" s="32"/>
      <c r="D41" s="63"/>
      <c r="E41" s="11"/>
      <c r="F41" s="11"/>
      <c r="G41" s="11"/>
      <c r="H41" s="11"/>
      <c r="I41" s="11"/>
      <c r="J41" s="11"/>
      <c r="K41" s="11"/>
      <c r="L41" s="11"/>
      <c r="M41" s="11"/>
      <c r="N41" s="20"/>
      <c r="O41" s="315"/>
      <c r="P41" s="32"/>
      <c r="Q41" s="11"/>
      <c r="R41" s="11"/>
      <c r="S41" s="15"/>
      <c r="T41" s="11"/>
    </row>
    <row r="42" spans="2:20" ht="13.5" thickBot="1">
      <c r="B42" s="10">
        <f>+B40+1</f>
        <v>10</v>
      </c>
      <c r="C42" s="32"/>
      <c r="D42" s="63" t="s">
        <v>523</v>
      </c>
      <c r="E42" s="11"/>
      <c r="F42" s="11"/>
      <c r="G42" s="11"/>
      <c r="H42" s="11"/>
      <c r="I42" s="11"/>
      <c r="J42" s="11"/>
      <c r="K42" s="11"/>
      <c r="L42" s="11"/>
      <c r="M42" s="11"/>
      <c r="N42" s="20"/>
      <c r="O42" s="317">
        <f>+O39-O40</f>
        <v>55.668111999999994</v>
      </c>
      <c r="P42" s="32"/>
      <c r="Q42" s="11"/>
      <c r="R42" s="11"/>
      <c r="S42" s="15"/>
      <c r="T42" s="11"/>
    </row>
    <row r="43" spans="2:20" ht="13.5" thickTop="1">
      <c r="B43" s="10"/>
      <c r="C43" s="32"/>
      <c r="D43" s="63"/>
      <c r="E43" s="11"/>
      <c r="F43" s="11"/>
      <c r="G43" s="11"/>
      <c r="H43" s="11"/>
      <c r="I43" s="11"/>
      <c r="J43" s="11"/>
      <c r="K43" s="11"/>
      <c r="L43" s="11"/>
      <c r="M43" s="11"/>
      <c r="N43" s="20"/>
      <c r="O43" s="316"/>
      <c r="P43" s="32"/>
      <c r="Q43" s="11"/>
      <c r="R43" s="11"/>
      <c r="S43" s="15"/>
      <c r="T43" s="11"/>
    </row>
    <row r="44" spans="2:20" ht="12.75">
      <c r="B44" s="10">
        <f>+B42+1</f>
        <v>11</v>
      </c>
      <c r="C44" s="32"/>
      <c r="D44" s="63" t="s">
        <v>524</v>
      </c>
      <c r="E44" s="11"/>
      <c r="F44" s="11"/>
      <c r="G44" s="11"/>
      <c r="H44" s="11"/>
      <c r="I44" s="11"/>
      <c r="J44" s="11"/>
      <c r="K44" s="11"/>
      <c r="L44" s="11"/>
      <c r="M44" s="11"/>
      <c r="N44" s="20"/>
      <c r="O44" s="315"/>
      <c r="P44" s="32"/>
      <c r="Q44" s="11"/>
      <c r="R44" s="11"/>
      <c r="S44" s="15"/>
      <c r="T44" s="11"/>
    </row>
    <row r="45" spans="2:20" ht="12.75">
      <c r="B45" s="10">
        <f>+B44+1</f>
        <v>12</v>
      </c>
      <c r="C45" s="32"/>
      <c r="D45" s="63" t="s">
        <v>525</v>
      </c>
      <c r="E45" s="11"/>
      <c r="F45" s="11"/>
      <c r="G45" s="11"/>
      <c r="H45" s="11"/>
      <c r="I45" s="11"/>
      <c r="J45" s="11"/>
      <c r="K45" s="11"/>
      <c r="L45" s="11"/>
      <c r="M45" s="11"/>
      <c r="N45" s="20"/>
      <c r="O45" s="316">
        <f>+O42</f>
        <v>55.668111999999994</v>
      </c>
      <c r="P45" s="32"/>
      <c r="Q45" s="11"/>
      <c r="R45" s="11"/>
      <c r="S45" s="15"/>
      <c r="T45" s="11"/>
    </row>
    <row r="46" spans="2:20" ht="12.75">
      <c r="B46" s="10">
        <f>+B45+1</f>
        <v>13</v>
      </c>
      <c r="C46" s="32"/>
      <c r="D46" s="63" t="s">
        <v>526</v>
      </c>
      <c r="E46" s="11"/>
      <c r="F46" s="11"/>
      <c r="G46" s="11"/>
      <c r="H46" s="11"/>
      <c r="I46" s="11"/>
      <c r="J46" s="11"/>
      <c r="K46" s="11"/>
      <c r="L46" s="11"/>
      <c r="M46" s="11"/>
      <c r="N46" s="20"/>
      <c r="O46" s="316">
        <f>+O66</f>
        <v>8.4702</v>
      </c>
      <c r="P46" s="32"/>
      <c r="Q46" s="11"/>
      <c r="R46" s="11"/>
      <c r="S46" s="15"/>
      <c r="T46" s="11"/>
    </row>
    <row r="47" spans="2:20" ht="12.75">
      <c r="B47" s="10">
        <f>+B46+1</f>
        <v>14</v>
      </c>
      <c r="C47" s="32"/>
      <c r="D47" s="63" t="s">
        <v>527</v>
      </c>
      <c r="E47" s="11"/>
      <c r="F47" s="11"/>
      <c r="G47" s="11"/>
      <c r="H47" s="11"/>
      <c r="I47" s="11"/>
      <c r="J47" s="11"/>
      <c r="K47" s="11"/>
      <c r="L47" s="11"/>
      <c r="M47" s="11"/>
      <c r="N47" s="20"/>
      <c r="O47" s="316">
        <f>+O62</f>
        <v>0.24</v>
      </c>
      <c r="P47" s="32"/>
      <c r="Q47" s="11"/>
      <c r="R47" s="11"/>
      <c r="S47" s="15"/>
      <c r="T47" s="11"/>
    </row>
    <row r="48" spans="2:20" ht="12.75">
      <c r="B48" s="10">
        <f>+B47+1</f>
        <v>15</v>
      </c>
      <c r="C48" s="32"/>
      <c r="D48" s="63" t="s">
        <v>954</v>
      </c>
      <c r="E48" s="11"/>
      <c r="F48" s="11"/>
      <c r="G48" s="11"/>
      <c r="H48" s="11"/>
      <c r="I48" s="11"/>
      <c r="J48" s="11"/>
      <c r="K48" s="11"/>
      <c r="L48" s="11"/>
      <c r="M48" s="11"/>
      <c r="N48" s="20"/>
      <c r="O48" s="318">
        <f>+O63</f>
        <v>0.18</v>
      </c>
      <c r="P48" s="32"/>
      <c r="Q48" s="11"/>
      <c r="R48" s="11"/>
      <c r="S48" s="15"/>
      <c r="T48" s="11"/>
    </row>
    <row r="49" spans="2:20" ht="12.75">
      <c r="B49" s="10"/>
      <c r="C49" s="32"/>
      <c r="D49" s="63"/>
      <c r="E49" s="11"/>
      <c r="F49" s="11"/>
      <c r="G49" s="11"/>
      <c r="H49" s="11"/>
      <c r="I49" s="11"/>
      <c r="J49" s="11"/>
      <c r="K49" s="11"/>
      <c r="L49" s="11"/>
      <c r="M49" s="11"/>
      <c r="N49" s="20"/>
      <c r="O49" s="315"/>
      <c r="P49" s="32"/>
      <c r="Q49" s="11"/>
      <c r="R49" s="11"/>
      <c r="S49" s="15"/>
      <c r="T49" s="11"/>
    </row>
    <row r="50" spans="2:20" ht="13.5" thickBot="1">
      <c r="B50" s="10">
        <f>+B48+1</f>
        <v>16</v>
      </c>
      <c r="C50" s="32"/>
      <c r="D50" s="63" t="s">
        <v>528</v>
      </c>
      <c r="E50" s="11"/>
      <c r="F50" s="11"/>
      <c r="G50" s="11"/>
      <c r="H50" s="11"/>
      <c r="I50" s="11"/>
      <c r="J50" s="11"/>
      <c r="K50" s="11"/>
      <c r="L50" s="11"/>
      <c r="M50" s="11"/>
      <c r="N50" s="20"/>
      <c r="O50" s="317">
        <f>SUM(O45:O49)</f>
        <v>64.558312</v>
      </c>
      <c r="P50" s="32"/>
      <c r="Q50" s="11"/>
      <c r="R50" s="11"/>
      <c r="S50" s="15"/>
      <c r="T50" s="11"/>
    </row>
    <row r="51" spans="2:20" ht="13.5" thickTop="1">
      <c r="B51" s="10"/>
      <c r="C51" s="32"/>
      <c r="D51" s="63"/>
      <c r="E51" s="11"/>
      <c r="F51" s="11"/>
      <c r="G51" s="11"/>
      <c r="H51" s="11"/>
      <c r="I51" s="11"/>
      <c r="J51" s="11"/>
      <c r="K51" s="11"/>
      <c r="L51" s="11"/>
      <c r="M51" s="11"/>
      <c r="N51" s="20"/>
      <c r="O51" s="315"/>
      <c r="P51" s="32"/>
      <c r="Q51" s="11"/>
      <c r="R51" s="11"/>
      <c r="S51" s="15"/>
      <c r="T51" s="11"/>
    </row>
    <row r="52" spans="2:20" ht="12.75">
      <c r="B52" s="10">
        <f>+B50+1</f>
        <v>17</v>
      </c>
      <c r="C52" s="32"/>
      <c r="D52" s="63" t="s">
        <v>529</v>
      </c>
      <c r="E52" s="11"/>
      <c r="F52" s="11"/>
      <c r="G52" s="11"/>
      <c r="H52" s="11"/>
      <c r="I52" s="11"/>
      <c r="J52" s="11"/>
      <c r="K52" s="11"/>
      <c r="L52" s="11"/>
      <c r="M52" s="11"/>
      <c r="N52" s="20"/>
      <c r="O52" s="315"/>
      <c r="P52" s="32"/>
      <c r="Q52" s="11"/>
      <c r="R52" s="11"/>
      <c r="S52" s="15"/>
      <c r="T52" s="11"/>
    </row>
    <row r="53" spans="2:20" ht="12.75">
      <c r="B53" s="10">
        <f>+B52+1</f>
        <v>18</v>
      </c>
      <c r="C53" s="32"/>
      <c r="D53" s="63" t="s">
        <v>530</v>
      </c>
      <c r="E53" s="11"/>
      <c r="F53" s="11"/>
      <c r="G53" s="11"/>
      <c r="H53" s="11"/>
      <c r="I53" s="11"/>
      <c r="J53" s="11"/>
      <c r="K53" s="11"/>
      <c r="L53" s="11"/>
      <c r="M53" s="11"/>
      <c r="N53" s="20"/>
      <c r="O53" s="316">
        <f>+O40</f>
        <v>29.9751</v>
      </c>
      <c r="P53" s="32"/>
      <c r="Q53" s="11"/>
      <c r="R53" s="11"/>
      <c r="S53" s="15"/>
      <c r="T53" s="11"/>
    </row>
    <row r="54" spans="2:20" ht="12.75">
      <c r="B54" s="10">
        <f>+B53+1</f>
        <v>19</v>
      </c>
      <c r="C54" s="32"/>
      <c r="D54" s="63" t="s">
        <v>531</v>
      </c>
      <c r="E54" s="11"/>
      <c r="F54" s="11"/>
      <c r="G54" s="11"/>
      <c r="H54" s="11"/>
      <c r="I54" s="11"/>
      <c r="J54" s="11"/>
      <c r="K54" s="11"/>
      <c r="L54" s="11"/>
      <c r="M54" s="11"/>
      <c r="N54" s="20"/>
      <c r="O54" s="318">
        <f>+O34</f>
        <v>5.466588000000001</v>
      </c>
      <c r="P54" s="32"/>
      <c r="Q54" s="11"/>
      <c r="R54" s="11"/>
      <c r="S54" s="15"/>
      <c r="T54" s="11"/>
    </row>
    <row r="55" spans="2:20" ht="13.5" thickBot="1">
      <c r="B55" s="10">
        <f>+B54+1</f>
        <v>20</v>
      </c>
      <c r="C55" s="32"/>
      <c r="D55" s="63" t="s">
        <v>532</v>
      </c>
      <c r="E55" s="11"/>
      <c r="F55" s="11"/>
      <c r="G55" s="11"/>
      <c r="H55" s="11"/>
      <c r="I55" s="11"/>
      <c r="J55" s="11"/>
      <c r="K55" s="11"/>
      <c r="L55" s="11"/>
      <c r="M55" s="11"/>
      <c r="N55" s="20"/>
      <c r="O55" s="319">
        <f>SUM(O53:O54)</f>
        <v>35.441688</v>
      </c>
      <c r="P55" s="32"/>
      <c r="Q55" s="11"/>
      <c r="R55" s="11"/>
      <c r="S55" s="15"/>
      <c r="T55" s="11"/>
    </row>
    <row r="56" spans="2:20" ht="13.5" thickTop="1">
      <c r="B56" s="10"/>
      <c r="C56" s="32"/>
      <c r="D56" s="63"/>
      <c r="E56" s="11"/>
      <c r="F56" s="11"/>
      <c r="G56" s="11"/>
      <c r="H56" s="11"/>
      <c r="I56" s="11"/>
      <c r="J56" s="11"/>
      <c r="K56" s="11"/>
      <c r="L56" s="11"/>
      <c r="M56" s="11"/>
      <c r="N56" s="20"/>
      <c r="O56" s="315"/>
      <c r="P56" s="32"/>
      <c r="Q56" s="11"/>
      <c r="R56" s="11"/>
      <c r="S56" s="15"/>
      <c r="T56" s="11"/>
    </row>
    <row r="57" spans="2:20" ht="13.5" thickBot="1">
      <c r="B57" s="10">
        <f>+B55+1</f>
        <v>21</v>
      </c>
      <c r="C57" s="32"/>
      <c r="D57" s="63" t="s">
        <v>533</v>
      </c>
      <c r="E57" s="11"/>
      <c r="F57" s="11"/>
      <c r="G57" s="11"/>
      <c r="H57" s="11"/>
      <c r="I57" s="11"/>
      <c r="J57" s="11"/>
      <c r="K57" s="11"/>
      <c r="L57" s="11"/>
      <c r="M57" s="11"/>
      <c r="N57" s="20"/>
      <c r="O57" s="317">
        <f>ROUND(O29/O50,4)</f>
        <v>1.549</v>
      </c>
      <c r="P57" s="32"/>
      <c r="Q57" s="11"/>
      <c r="R57" s="11"/>
      <c r="S57" s="15"/>
      <c r="T57" s="11"/>
    </row>
    <row r="58" spans="2:20" ht="13.5" thickTop="1">
      <c r="B58" s="10"/>
      <c r="C58" s="32"/>
      <c r="D58" s="63"/>
      <c r="E58" s="11"/>
      <c r="F58" s="11"/>
      <c r="G58" s="11"/>
      <c r="H58" s="11"/>
      <c r="I58" s="11"/>
      <c r="J58" s="11"/>
      <c r="K58" s="11"/>
      <c r="L58" s="11"/>
      <c r="M58" s="11"/>
      <c r="N58" s="20"/>
      <c r="O58" s="316"/>
      <c r="P58" s="32"/>
      <c r="Q58" s="11"/>
      <c r="R58" s="11"/>
      <c r="S58" s="15"/>
      <c r="T58" s="11"/>
    </row>
    <row r="59" spans="2:20" ht="12.75">
      <c r="B59" s="10"/>
      <c r="C59" s="32"/>
      <c r="D59" s="63"/>
      <c r="E59" s="11"/>
      <c r="F59" s="11"/>
      <c r="G59" s="11"/>
      <c r="H59" s="11"/>
      <c r="I59" s="11"/>
      <c r="J59" s="11"/>
      <c r="K59" s="11"/>
      <c r="L59" s="11"/>
      <c r="M59" s="11"/>
      <c r="N59" s="20"/>
      <c r="O59" s="315"/>
      <c r="P59" s="32"/>
      <c r="Q59" s="11"/>
      <c r="R59" s="11"/>
      <c r="S59" s="15"/>
      <c r="T59" s="11"/>
    </row>
    <row r="60" spans="2:20" ht="12.75">
      <c r="B60" s="10"/>
      <c r="C60" s="32"/>
      <c r="D60" s="63" t="s">
        <v>534</v>
      </c>
      <c r="E60" s="11"/>
      <c r="F60" s="11"/>
      <c r="G60" s="11"/>
      <c r="H60" s="11"/>
      <c r="I60" s="11"/>
      <c r="J60" s="11"/>
      <c r="K60" s="11"/>
      <c r="L60" s="11"/>
      <c r="M60" s="11"/>
      <c r="N60" s="20"/>
      <c r="O60" s="315"/>
      <c r="P60" s="32"/>
      <c r="Q60" s="11"/>
      <c r="R60" s="11"/>
      <c r="S60" s="15"/>
      <c r="T60" s="11"/>
    </row>
    <row r="61" spans="2:20" ht="12.75">
      <c r="B61" s="10">
        <v>1</v>
      </c>
      <c r="C61" s="32"/>
      <c r="D61" s="63" t="s">
        <v>537</v>
      </c>
      <c r="E61" s="11"/>
      <c r="F61" s="11"/>
      <c r="G61" s="11"/>
      <c r="H61" s="11"/>
      <c r="I61" s="11"/>
      <c r="J61" s="11"/>
      <c r="K61" s="11"/>
      <c r="L61" s="11"/>
      <c r="M61" s="11"/>
      <c r="N61" s="20"/>
      <c r="O61" s="67">
        <v>100</v>
      </c>
      <c r="P61" s="32"/>
      <c r="Q61" s="11"/>
      <c r="R61" s="11"/>
      <c r="S61" s="15"/>
      <c r="T61" s="11"/>
    </row>
    <row r="62" spans="2:20" ht="12.75">
      <c r="B62" s="10">
        <f>+B61+1</f>
        <v>2</v>
      </c>
      <c r="C62" s="32"/>
      <c r="D62" s="63" t="s">
        <v>959</v>
      </c>
      <c r="E62" s="11"/>
      <c r="F62" s="11"/>
      <c r="G62" s="11"/>
      <c r="H62" s="11"/>
      <c r="I62" s="11"/>
      <c r="J62" s="11"/>
      <c r="K62" s="11"/>
      <c r="L62" s="11"/>
      <c r="M62" s="11"/>
      <c r="N62" s="20"/>
      <c r="O62" s="316">
        <v>0.24</v>
      </c>
      <c r="P62" s="32"/>
      <c r="Q62" s="11"/>
      <c r="R62" s="11"/>
      <c r="S62" s="15"/>
      <c r="T62" s="11"/>
    </row>
    <row r="63" spans="2:20" ht="12.75">
      <c r="B63" s="10">
        <f>+B62+1</f>
        <v>3</v>
      </c>
      <c r="C63" s="32"/>
      <c r="D63" s="63" t="s">
        <v>954</v>
      </c>
      <c r="E63" s="11"/>
      <c r="F63" s="11"/>
      <c r="G63" s="11"/>
      <c r="H63" s="11"/>
      <c r="I63" s="11"/>
      <c r="J63" s="11"/>
      <c r="K63" s="11"/>
      <c r="L63" s="11"/>
      <c r="M63" s="11"/>
      <c r="N63" s="20"/>
      <c r="O63" s="318">
        <v>0.18</v>
      </c>
      <c r="P63" s="32"/>
      <c r="Q63" s="11"/>
      <c r="R63" s="11"/>
      <c r="S63" s="15"/>
      <c r="T63" s="11"/>
    </row>
    <row r="64" spans="2:20" ht="12.75">
      <c r="B64" s="10"/>
      <c r="C64" s="32"/>
      <c r="D64" s="63"/>
      <c r="E64" s="11"/>
      <c r="F64" s="11"/>
      <c r="G64" s="11"/>
      <c r="H64" s="11"/>
      <c r="I64" s="11"/>
      <c r="J64" s="11"/>
      <c r="K64" s="11"/>
      <c r="L64" s="11"/>
      <c r="M64" s="11"/>
      <c r="N64" s="20"/>
      <c r="O64" s="315"/>
      <c r="P64" s="32"/>
      <c r="Q64" s="11"/>
      <c r="R64" s="11"/>
      <c r="S64" s="15"/>
      <c r="T64" s="11"/>
    </row>
    <row r="65" spans="2:20" ht="12.75">
      <c r="B65" s="10">
        <f>+B63+1</f>
        <v>4</v>
      </c>
      <c r="C65" s="32"/>
      <c r="D65" s="63" t="s">
        <v>544</v>
      </c>
      <c r="E65" s="11"/>
      <c r="F65" s="11"/>
      <c r="G65" s="11"/>
      <c r="H65" s="11"/>
      <c r="I65" s="11"/>
      <c r="J65" s="11"/>
      <c r="K65" s="11"/>
      <c r="L65" s="11"/>
      <c r="M65" s="11"/>
      <c r="N65" s="20"/>
      <c r="O65" s="316">
        <f>+O61-O62-O63</f>
        <v>99.58</v>
      </c>
      <c r="P65" s="32"/>
      <c r="Q65" s="11"/>
      <c r="R65" s="11"/>
      <c r="S65" s="15"/>
      <c r="T65" s="11"/>
    </row>
    <row r="66" spans="2:20" ht="12.75">
      <c r="B66" s="10">
        <f>+B65+1</f>
        <v>5</v>
      </c>
      <c r="C66" s="32"/>
      <c r="D66" s="63" t="s">
        <v>546</v>
      </c>
      <c r="E66" s="11"/>
      <c r="F66" s="11"/>
      <c r="G66" s="11"/>
      <c r="H66" s="11"/>
      <c r="I66" s="11"/>
      <c r="J66" s="11"/>
      <c r="K66" s="11"/>
      <c r="L66" s="11"/>
      <c r="M66" s="11"/>
      <c r="N66" s="20"/>
      <c r="O66" s="318">
        <v>8.4702</v>
      </c>
      <c r="P66" s="32"/>
      <c r="Q66" s="11"/>
      <c r="R66" s="11"/>
      <c r="S66" s="15"/>
      <c r="T66" s="11"/>
    </row>
    <row r="67" spans="2:20" ht="12.75">
      <c r="B67" s="10"/>
      <c r="C67" s="32"/>
      <c r="D67" s="63"/>
      <c r="E67" s="11"/>
      <c r="F67" s="11"/>
      <c r="G67" s="11"/>
      <c r="H67" s="11"/>
      <c r="I67" s="11"/>
      <c r="J67" s="11"/>
      <c r="K67" s="11"/>
      <c r="L67" s="11"/>
      <c r="M67" s="11"/>
      <c r="N67" s="20"/>
      <c r="O67" s="315"/>
      <c r="P67" s="32"/>
      <c r="Q67" s="11"/>
      <c r="R67" s="11"/>
      <c r="S67" s="15"/>
      <c r="T67" s="11"/>
    </row>
    <row r="68" spans="2:20" ht="12.75">
      <c r="B68" s="10">
        <f>+B66+1</f>
        <v>6</v>
      </c>
      <c r="C68" s="32"/>
      <c r="D68" s="63" t="s">
        <v>544</v>
      </c>
      <c r="E68" s="11"/>
      <c r="F68" s="11"/>
      <c r="G68" s="11"/>
      <c r="H68" s="11"/>
      <c r="I68" s="11"/>
      <c r="J68" s="11"/>
      <c r="K68" s="11"/>
      <c r="L68" s="11"/>
      <c r="M68" s="11"/>
      <c r="N68" s="20"/>
      <c r="O68" s="316">
        <f>+O65-O66</f>
        <v>91.10979999999999</v>
      </c>
      <c r="P68" s="32"/>
      <c r="Q68" s="11"/>
      <c r="R68" s="11"/>
      <c r="S68" s="15"/>
      <c r="T68" s="11"/>
    </row>
    <row r="69" spans="2:20" ht="12.75">
      <c r="B69" s="10">
        <f>+B68+1</f>
        <v>7</v>
      </c>
      <c r="C69" s="32"/>
      <c r="D69" s="63" t="s">
        <v>548</v>
      </c>
      <c r="E69" s="11"/>
      <c r="F69" s="11"/>
      <c r="G69" s="11"/>
      <c r="H69" s="11"/>
      <c r="I69" s="11"/>
      <c r="J69" s="11"/>
      <c r="K69" s="11"/>
      <c r="L69" s="11"/>
      <c r="M69" s="11"/>
      <c r="N69" s="20"/>
      <c r="O69" s="318">
        <v>6</v>
      </c>
      <c r="P69" s="32"/>
      <c r="Q69" s="11"/>
      <c r="R69" s="11"/>
      <c r="S69" s="15"/>
      <c r="T69" s="11"/>
    </row>
    <row r="70" spans="2:20" ht="12.75">
      <c r="B70" s="10"/>
      <c r="C70" s="32"/>
      <c r="D70" s="63"/>
      <c r="E70" s="11"/>
      <c r="F70" s="11"/>
      <c r="G70" s="11"/>
      <c r="H70" s="11"/>
      <c r="I70" s="11"/>
      <c r="J70" s="11"/>
      <c r="K70" s="11"/>
      <c r="L70" s="11"/>
      <c r="M70" s="11"/>
      <c r="N70" s="20"/>
      <c r="O70" s="315"/>
      <c r="P70" s="32"/>
      <c r="Q70" s="11"/>
      <c r="R70" s="11"/>
      <c r="S70" s="15"/>
      <c r="T70" s="11"/>
    </row>
    <row r="71" spans="2:20" ht="13.5" thickBot="1">
      <c r="B71" s="10">
        <f>+B69+1</f>
        <v>8</v>
      </c>
      <c r="C71" s="32"/>
      <c r="D71" s="63" t="s">
        <v>549</v>
      </c>
      <c r="E71" s="11"/>
      <c r="F71" s="11"/>
      <c r="G71" s="11"/>
      <c r="H71" s="11"/>
      <c r="I71" s="11"/>
      <c r="J71" s="11"/>
      <c r="K71" s="11"/>
      <c r="L71" s="11"/>
      <c r="M71" s="11"/>
      <c r="N71" s="20"/>
      <c r="O71" s="317">
        <f>ROUND(O68*O69,4)/100</f>
        <v>5.466588000000001</v>
      </c>
      <c r="P71" s="32"/>
      <c r="Q71" s="11"/>
      <c r="R71" s="11"/>
      <c r="S71" s="15"/>
      <c r="T71" s="11"/>
    </row>
    <row r="72" spans="1:20" ht="14.25" thickBot="1" thickTop="1">
      <c r="A72" s="63"/>
      <c r="B72" s="76"/>
      <c r="C72" s="19"/>
      <c r="D72" s="16"/>
      <c r="E72" s="16"/>
      <c r="F72" s="16"/>
      <c r="G72" s="16"/>
      <c r="H72" s="16"/>
      <c r="I72" s="16"/>
      <c r="J72" s="16"/>
      <c r="K72" s="16"/>
      <c r="L72" s="16"/>
      <c r="M72" s="16"/>
      <c r="N72" s="21"/>
      <c r="O72" s="77"/>
      <c r="P72" s="19"/>
      <c r="Q72" s="16"/>
      <c r="R72" s="16"/>
      <c r="S72" s="17"/>
      <c r="T72" s="11"/>
    </row>
    <row r="74" ht="12.75">
      <c r="B74" t="s">
        <v>324</v>
      </c>
    </row>
    <row r="75" ht="12.75">
      <c r="B75" t="s">
        <v>960</v>
      </c>
    </row>
  </sheetData>
  <sheetProtection/>
  <printOptions horizontalCentered="1" verticalCentered="1"/>
  <pageMargins left="0" right="0" top="0" bottom="0.2" header="0" footer="0"/>
  <pageSetup horizontalDpi="300" verticalDpi="300" orientation="portrait" scale="75" r:id="rId1"/>
</worksheet>
</file>

<file path=xl/worksheets/sheet23.xml><?xml version="1.0" encoding="utf-8"?>
<worksheet xmlns="http://schemas.openxmlformats.org/spreadsheetml/2006/main" xmlns:r="http://schemas.openxmlformats.org/officeDocument/2006/relationships">
  <dimension ref="A1:V53"/>
  <sheetViews>
    <sheetView zoomScalePageLayoutView="0" workbookViewId="0" topLeftCell="A1">
      <pane xSplit="5" ySplit="11" topLeftCell="F12" activePane="bottomRight" state="frozen"/>
      <selection pane="topLeft" activeCell="E40" sqref="E40"/>
      <selection pane="topRight" activeCell="E40" sqref="E40"/>
      <selection pane="bottomLeft" activeCell="E40" sqref="E40"/>
      <selection pane="bottomRight" activeCell="A5" sqref="A5:M5"/>
    </sheetView>
  </sheetViews>
  <sheetFormatPr defaultColWidth="9.140625" defaultRowHeight="12.75"/>
  <cols>
    <col min="1" max="1" width="3.7109375" style="0" customWidth="1"/>
    <col min="2" max="2" width="5.00390625" style="3" bestFit="1" customWidth="1"/>
    <col min="3" max="3" width="0.2890625" style="0" customWidth="1"/>
    <col min="4" max="4" width="60.7109375" style="0" customWidth="1"/>
    <col min="5" max="5" width="0.2890625" style="0" customWidth="1"/>
    <col min="6" max="6" width="12.7109375" style="0" customWidth="1"/>
    <col min="7" max="7" width="0.2890625" style="0" customWidth="1"/>
    <col min="8" max="11" width="13.8515625" style="0" bestFit="1" customWidth="1"/>
    <col min="12" max="12" width="13.8515625" style="0" customWidth="1"/>
    <col min="13" max="13" width="13.8515625" style="0" bestFit="1" customWidth="1"/>
    <col min="14" max="14" width="2.28125" style="0" customWidth="1"/>
    <col min="15" max="18" width="8.7109375" style="0" customWidth="1"/>
    <col min="19" max="19" width="9.00390625" style="0" bestFit="1" customWidth="1"/>
    <col min="20" max="20" width="8.8515625" style="0" customWidth="1"/>
    <col min="21" max="21" width="10.28125" style="0" bestFit="1" customWidth="1"/>
  </cols>
  <sheetData>
    <row r="1" spans="6:13" ht="12.75">
      <c r="F1" s="33"/>
      <c r="H1" s="33"/>
      <c r="I1" s="33"/>
      <c r="J1" s="33"/>
      <c r="K1" s="33"/>
      <c r="L1" s="33"/>
      <c r="M1" s="33" t="s">
        <v>12</v>
      </c>
    </row>
    <row r="2" spans="10:19" ht="12.75">
      <c r="J2" s="11"/>
      <c r="R2" s="150"/>
      <c r="S2" s="150"/>
    </row>
    <row r="3" spans="1:22" ht="12.75">
      <c r="A3" s="547" t="s">
        <v>381</v>
      </c>
      <c r="B3" s="549"/>
      <c r="C3" s="549"/>
      <c r="D3" s="549"/>
      <c r="E3" s="549"/>
      <c r="F3" s="549"/>
      <c r="G3" s="549"/>
      <c r="H3" s="549"/>
      <c r="I3" s="549"/>
      <c r="J3" s="549"/>
      <c r="K3" s="549"/>
      <c r="L3" s="549"/>
      <c r="M3" s="549"/>
      <c r="N3" s="157"/>
      <c r="O3" s="157"/>
      <c r="P3" s="147"/>
      <c r="R3" s="157"/>
      <c r="S3" s="157"/>
      <c r="T3" s="157"/>
      <c r="U3" s="157"/>
      <c r="V3" s="147"/>
    </row>
    <row r="4" spans="1:21" ht="12.75">
      <c r="A4" s="547" t="s">
        <v>710</v>
      </c>
      <c r="B4" s="549"/>
      <c r="C4" s="549"/>
      <c r="D4" s="549"/>
      <c r="E4" s="549"/>
      <c r="F4" s="549"/>
      <c r="G4" s="549"/>
      <c r="H4" s="549"/>
      <c r="I4" s="549"/>
      <c r="J4" s="549"/>
      <c r="K4" s="549"/>
      <c r="L4" s="549"/>
      <c r="M4" s="549"/>
      <c r="N4" s="61"/>
      <c r="O4" s="61"/>
      <c r="R4" s="61"/>
      <c r="S4" s="61"/>
      <c r="T4" s="61"/>
      <c r="U4" s="61"/>
    </row>
    <row r="5" spans="1:22" ht="12.75">
      <c r="A5" s="547" t="s">
        <v>21</v>
      </c>
      <c r="B5" s="549"/>
      <c r="C5" s="549"/>
      <c r="D5" s="549"/>
      <c r="E5" s="549"/>
      <c r="F5" s="549"/>
      <c r="G5" s="549"/>
      <c r="H5" s="549"/>
      <c r="I5" s="549"/>
      <c r="J5" s="549"/>
      <c r="K5" s="549"/>
      <c r="L5" s="549"/>
      <c r="M5" s="549"/>
      <c r="N5" s="62"/>
      <c r="O5" s="62"/>
      <c r="P5" s="62"/>
      <c r="R5" s="3"/>
      <c r="S5" s="125"/>
      <c r="T5" s="62"/>
      <c r="U5" s="62"/>
      <c r="V5" s="62"/>
    </row>
    <row r="6" spans="4:22" ht="12.75">
      <c r="D6" s="3"/>
      <c r="N6" s="62"/>
      <c r="O6" s="62"/>
      <c r="P6" s="62"/>
      <c r="R6" s="3"/>
      <c r="S6" s="125"/>
      <c r="T6" s="62"/>
      <c r="U6" s="62"/>
      <c r="V6" s="62"/>
    </row>
    <row r="7" spans="1:22" ht="12.75">
      <c r="A7" s="561" t="str">
        <f>+'ES 1.0'!E7</f>
        <v>For the Expense Month of October 2013</v>
      </c>
      <c r="B7" s="562"/>
      <c r="C7" s="562"/>
      <c r="D7" s="562"/>
      <c r="E7" s="562"/>
      <c r="F7" s="562"/>
      <c r="G7" s="562"/>
      <c r="H7" s="562"/>
      <c r="I7" s="562"/>
      <c r="J7" s="562"/>
      <c r="K7" s="562"/>
      <c r="L7" s="562"/>
      <c r="M7" s="562"/>
      <c r="N7" s="62"/>
      <c r="O7" s="62"/>
      <c r="P7" s="62"/>
      <c r="R7" s="3"/>
      <c r="S7" s="125"/>
      <c r="T7" s="62"/>
      <c r="U7" s="62"/>
      <c r="V7" s="62"/>
    </row>
    <row r="8" spans="14:22" ht="12.75">
      <c r="N8" s="62"/>
      <c r="O8" s="62"/>
      <c r="P8" s="62"/>
      <c r="R8" s="3"/>
      <c r="S8" s="125"/>
      <c r="T8" s="62"/>
      <c r="U8" s="62"/>
      <c r="V8" s="62"/>
    </row>
    <row r="9" spans="14:22" ht="13.5" thickBot="1">
      <c r="N9" s="62"/>
      <c r="O9" s="62"/>
      <c r="P9" s="62"/>
      <c r="R9" s="3"/>
      <c r="S9" s="125"/>
      <c r="T9" s="62"/>
      <c r="U9" s="62"/>
      <c r="V9" s="62"/>
    </row>
    <row r="10" spans="2:22" ht="54" customHeight="1" thickBot="1">
      <c r="B10" s="36" t="s">
        <v>683</v>
      </c>
      <c r="C10" s="88"/>
      <c r="D10" s="37" t="s">
        <v>717</v>
      </c>
      <c r="E10" s="88"/>
      <c r="F10" s="85"/>
      <c r="G10" s="88"/>
      <c r="H10" s="39" t="s">
        <v>659</v>
      </c>
      <c r="I10" s="39" t="s">
        <v>660</v>
      </c>
      <c r="J10" s="39" t="s">
        <v>661</v>
      </c>
      <c r="K10" s="39" t="s">
        <v>609</v>
      </c>
      <c r="L10" s="39" t="s">
        <v>659</v>
      </c>
      <c r="M10" s="39" t="s">
        <v>848</v>
      </c>
      <c r="N10" s="62"/>
      <c r="O10" s="62"/>
      <c r="P10" s="62"/>
      <c r="R10" s="3"/>
      <c r="S10" s="125"/>
      <c r="T10" s="62"/>
      <c r="U10" s="62"/>
      <c r="V10" s="62"/>
    </row>
    <row r="11" spans="2:22" ht="12.75" customHeight="1" thickBot="1">
      <c r="B11" s="313">
        <v>-1</v>
      </c>
      <c r="C11" s="71"/>
      <c r="D11" s="100">
        <f>+B11-1</f>
        <v>-2</v>
      </c>
      <c r="E11" s="71"/>
      <c r="F11" s="100">
        <f>+D11-1</f>
        <v>-3</v>
      </c>
      <c r="G11" s="370"/>
      <c r="H11" s="371">
        <f>+F11-1</f>
        <v>-4</v>
      </c>
      <c r="I11" s="371">
        <f>+H11-1</f>
        <v>-5</v>
      </c>
      <c r="J11" s="371">
        <f>+I11-1</f>
        <v>-6</v>
      </c>
      <c r="K11" s="371">
        <f>+J11-1</f>
        <v>-7</v>
      </c>
      <c r="L11" s="371">
        <f>+K11-1</f>
        <v>-8</v>
      </c>
      <c r="M11" s="371">
        <f>+L11-1</f>
        <v>-9</v>
      </c>
      <c r="N11" s="62"/>
      <c r="O11" s="62"/>
      <c r="P11" s="62"/>
      <c r="R11" s="3"/>
      <c r="S11" s="125"/>
      <c r="T11" s="62"/>
      <c r="U11" s="62"/>
      <c r="V11" s="62"/>
    </row>
    <row r="12" spans="2:22" ht="12.75">
      <c r="B12" s="70"/>
      <c r="C12" s="71"/>
      <c r="D12" s="72"/>
      <c r="E12" s="71"/>
      <c r="F12" s="73"/>
      <c r="G12" s="71"/>
      <c r="H12" s="339"/>
      <c r="I12" s="339"/>
      <c r="J12" s="339"/>
      <c r="K12" s="339"/>
      <c r="L12" s="339"/>
      <c r="M12" s="339"/>
      <c r="N12" s="62"/>
      <c r="O12" s="62"/>
      <c r="P12" s="62"/>
      <c r="R12" s="3"/>
      <c r="S12" s="125"/>
      <c r="T12" s="62"/>
      <c r="U12" s="62"/>
      <c r="V12" s="62"/>
    </row>
    <row r="13" spans="2:22" ht="12.75">
      <c r="B13" s="14"/>
      <c r="C13" s="20"/>
      <c r="D13" s="29" t="s">
        <v>718</v>
      </c>
      <c r="E13" s="20"/>
      <c r="F13" s="11"/>
      <c r="G13" s="20"/>
      <c r="H13" s="339"/>
      <c r="I13" s="339"/>
      <c r="J13" s="339"/>
      <c r="K13" s="339"/>
      <c r="L13" s="339"/>
      <c r="M13" s="339"/>
      <c r="N13" s="62"/>
      <c r="O13" s="62"/>
      <c r="P13" s="62"/>
      <c r="R13" s="3"/>
      <c r="S13" s="125"/>
      <c r="T13" s="62"/>
      <c r="U13" s="62"/>
      <c r="V13" s="62"/>
    </row>
    <row r="14" spans="2:22" ht="12.75">
      <c r="B14" s="14"/>
      <c r="C14" s="20"/>
      <c r="D14" s="372" t="s">
        <v>662</v>
      </c>
      <c r="E14" s="20"/>
      <c r="F14" s="108"/>
      <c r="G14" s="20"/>
      <c r="H14" s="339"/>
      <c r="I14" s="339"/>
      <c r="J14" s="339"/>
      <c r="K14" s="339"/>
      <c r="L14" s="339"/>
      <c r="M14" s="109"/>
      <c r="N14" s="62"/>
      <c r="O14" s="62"/>
      <c r="P14" s="62"/>
      <c r="R14" s="3"/>
      <c r="S14" s="125"/>
      <c r="T14" s="62"/>
      <c r="U14" s="62"/>
      <c r="V14" s="62"/>
    </row>
    <row r="15" spans="2:22" ht="12.75">
      <c r="B15" s="10">
        <v>1</v>
      </c>
      <c r="C15" s="20"/>
      <c r="D15" s="11" t="s">
        <v>804</v>
      </c>
      <c r="E15" s="20"/>
      <c r="F15" s="108"/>
      <c r="G15" s="26"/>
      <c r="H15" s="118">
        <f>1369721+2599+8503+329690+34105+32141+447-2448+1402</f>
        <v>1776160</v>
      </c>
      <c r="I15" s="118"/>
      <c r="J15" s="118"/>
      <c r="K15" s="118"/>
      <c r="L15" s="118"/>
      <c r="M15" s="373"/>
      <c r="N15" s="62"/>
      <c r="O15" s="62"/>
      <c r="P15" s="62"/>
      <c r="R15" s="3"/>
      <c r="S15" s="125"/>
      <c r="T15" s="62"/>
      <c r="U15" s="62"/>
      <c r="V15" s="62"/>
    </row>
    <row r="16" spans="2:22" ht="12.75">
      <c r="B16" s="10">
        <f aca="true" t="shared" si="0" ref="B16:B23">+B15+1</f>
        <v>2</v>
      </c>
      <c r="C16" s="20"/>
      <c r="D16" s="11" t="s">
        <v>663</v>
      </c>
      <c r="E16" s="20"/>
      <c r="F16" s="108"/>
      <c r="G16" s="26"/>
      <c r="H16" s="118"/>
      <c r="I16" s="118">
        <v>5272657</v>
      </c>
      <c r="J16" s="118">
        <f>8355717-2633</f>
        <v>8353084</v>
      </c>
      <c r="K16" s="118"/>
      <c r="L16" s="118"/>
      <c r="M16" s="373"/>
      <c r="N16" s="62"/>
      <c r="O16" s="62"/>
      <c r="P16" s="62"/>
      <c r="R16" s="3"/>
      <c r="S16" s="125"/>
      <c r="T16" s="62"/>
      <c r="U16" s="62"/>
      <c r="V16" s="62"/>
    </row>
    <row r="17" spans="2:22" ht="12.75">
      <c r="B17" s="10">
        <f t="shared" si="0"/>
        <v>3</v>
      </c>
      <c r="C17" s="20"/>
      <c r="D17" s="11" t="s">
        <v>184</v>
      </c>
      <c r="E17" s="20"/>
      <c r="F17" s="108"/>
      <c r="G17" s="26"/>
      <c r="H17" s="118"/>
      <c r="I17" s="118"/>
      <c r="J17" s="118"/>
      <c r="K17" s="118"/>
      <c r="L17" s="118">
        <f>1488211+486059+211022+325321</f>
        <v>2510613</v>
      </c>
      <c r="M17" s="373"/>
      <c r="N17" s="62"/>
      <c r="O17" s="62"/>
      <c r="P17" s="62"/>
      <c r="R17" s="3"/>
      <c r="S17" s="125"/>
      <c r="T17" s="62"/>
      <c r="U17" s="62"/>
      <c r="V17" s="62"/>
    </row>
    <row r="18" spans="2:22" ht="12.75">
      <c r="B18" s="10">
        <f t="shared" si="0"/>
        <v>4</v>
      </c>
      <c r="C18" s="20"/>
      <c r="D18" s="95" t="s">
        <v>719</v>
      </c>
      <c r="E18" s="20"/>
      <c r="F18" s="108"/>
      <c r="G18" s="26"/>
      <c r="H18" s="533">
        <f>-887344-1378-4393-114106-11300-8980</f>
        <v>-1027501</v>
      </c>
      <c r="I18" s="533">
        <v>-1837747</v>
      </c>
      <c r="J18" s="533">
        <f>-2792264+744</f>
        <v>-2791520</v>
      </c>
      <c r="K18" s="118"/>
      <c r="L18" s="533">
        <v>-340830</v>
      </c>
      <c r="M18" s="373"/>
      <c r="N18" s="62"/>
      <c r="O18" s="62"/>
      <c r="P18" s="62"/>
      <c r="R18" s="3"/>
      <c r="S18" s="125"/>
      <c r="T18" s="62"/>
      <c r="U18" s="62"/>
      <c r="V18" s="62"/>
    </row>
    <row r="19" spans="2:22" ht="12.75">
      <c r="B19" s="10">
        <f t="shared" si="0"/>
        <v>5</v>
      </c>
      <c r="C19" s="20"/>
      <c r="D19" s="11" t="s">
        <v>720</v>
      </c>
      <c r="E19" s="20"/>
      <c r="F19" s="108"/>
      <c r="G19" s="26"/>
      <c r="H19" s="542">
        <f>-146567-238-736-23796-2366-1971</f>
        <v>-175674</v>
      </c>
      <c r="I19" s="534">
        <v>-623906</v>
      </c>
      <c r="J19" s="534">
        <f>-984150+140</f>
        <v>-984010</v>
      </c>
      <c r="K19" s="118"/>
      <c r="L19" s="534">
        <v>-131880</v>
      </c>
      <c r="M19" s="373"/>
      <c r="N19" s="62"/>
      <c r="O19" s="62"/>
      <c r="P19" s="62"/>
      <c r="R19" s="3"/>
      <c r="S19" s="125"/>
      <c r="T19" s="62"/>
      <c r="U19" s="62"/>
      <c r="V19" s="62"/>
    </row>
    <row r="20" spans="2:22" ht="12.75">
      <c r="B20" s="10">
        <f t="shared" si="0"/>
        <v>6</v>
      </c>
      <c r="C20" s="20"/>
      <c r="D20" s="11" t="s">
        <v>723</v>
      </c>
      <c r="E20" s="20"/>
      <c r="F20" s="108"/>
      <c r="G20" s="26"/>
      <c r="H20" s="118">
        <f>+H15+H18+H19</f>
        <v>572985</v>
      </c>
      <c r="I20" s="118">
        <f>+I16+I18+I19</f>
        <v>2811004</v>
      </c>
      <c r="J20" s="118">
        <f>+J16+J18+J19</f>
        <v>4577554</v>
      </c>
      <c r="K20" s="118">
        <f>+I20+J20</f>
        <v>7388558</v>
      </c>
      <c r="L20" s="118">
        <f>+L17+L18+L19</f>
        <v>2037903</v>
      </c>
      <c r="M20" s="373"/>
      <c r="N20" s="62"/>
      <c r="O20" s="62"/>
      <c r="P20" s="62"/>
      <c r="R20" s="3"/>
      <c r="S20" s="125"/>
      <c r="T20" s="62"/>
      <c r="U20" s="62"/>
      <c r="V20" s="62"/>
    </row>
    <row r="21" spans="2:22" ht="12.75">
      <c r="B21" s="10">
        <f t="shared" si="0"/>
        <v>7</v>
      </c>
      <c r="C21" s="20"/>
      <c r="D21" s="11" t="s">
        <v>91</v>
      </c>
      <c r="E21" s="20"/>
      <c r="F21" s="96">
        <f>+'ES 3.21'!T19</f>
        <v>0.087114</v>
      </c>
      <c r="G21" s="98"/>
      <c r="H21" s="339"/>
      <c r="I21" s="339"/>
      <c r="J21" s="339"/>
      <c r="K21" s="339"/>
      <c r="L21" s="339"/>
      <c r="M21" s="109"/>
      <c r="N21" s="62"/>
      <c r="O21" s="62"/>
      <c r="P21" s="62"/>
      <c r="R21" s="3"/>
      <c r="S21" s="125"/>
      <c r="T21" s="62"/>
      <c r="U21" s="62"/>
      <c r="V21" s="62"/>
    </row>
    <row r="22" spans="2:22" ht="12.75">
      <c r="B22" s="10">
        <f t="shared" si="0"/>
        <v>8</v>
      </c>
      <c r="C22" s="20"/>
      <c r="D22" s="11" t="s">
        <v>185</v>
      </c>
      <c r="E22" s="20"/>
      <c r="F22" s="108"/>
      <c r="G22" s="26"/>
      <c r="H22" s="374">
        <f>ROUND($F$21/12,6)</f>
        <v>0.00726</v>
      </c>
      <c r="I22" s="124"/>
      <c r="J22" s="124"/>
      <c r="K22" s="375">
        <f>ROUND($F$21/12,6)</f>
        <v>0.00726</v>
      </c>
      <c r="L22" s="375">
        <f>ROUND($F$21/12,6)</f>
        <v>0.00726</v>
      </c>
      <c r="M22" s="376"/>
      <c r="N22" s="149"/>
      <c r="O22" s="149"/>
      <c r="P22" s="149"/>
      <c r="R22" s="147"/>
      <c r="S22" s="147"/>
      <c r="T22" s="149"/>
      <c r="U22" s="149"/>
      <c r="V22" s="149"/>
    </row>
    <row r="23" spans="2:22" ht="12.75">
      <c r="B23" s="10">
        <f t="shared" si="0"/>
        <v>9</v>
      </c>
      <c r="C23" s="20"/>
      <c r="D23" s="11" t="s">
        <v>186</v>
      </c>
      <c r="E23" s="20"/>
      <c r="F23" s="110"/>
      <c r="G23" s="20"/>
      <c r="H23" s="87">
        <f>ROUND(H20*H22,0)</f>
        <v>4160</v>
      </c>
      <c r="I23" s="87"/>
      <c r="J23" s="87"/>
      <c r="K23" s="87">
        <f>ROUND(K20*K22,0)</f>
        <v>53641</v>
      </c>
      <c r="L23" s="87">
        <f>ROUND(L20*L22,0)</f>
        <v>14795</v>
      </c>
      <c r="M23" s="373"/>
      <c r="N23" s="62"/>
      <c r="O23" s="62"/>
      <c r="P23" s="62"/>
      <c r="T23" s="62"/>
      <c r="U23" s="62"/>
      <c r="V23" s="62"/>
    </row>
    <row r="24" spans="2:13" ht="12.75">
      <c r="B24" s="10"/>
      <c r="C24" s="20"/>
      <c r="D24" s="29" t="s">
        <v>726</v>
      </c>
      <c r="E24" s="20"/>
      <c r="F24" s="110"/>
      <c r="G24" s="20"/>
      <c r="H24" s="87"/>
      <c r="I24" s="87"/>
      <c r="J24" s="87"/>
      <c r="K24" s="87"/>
      <c r="L24" s="87"/>
      <c r="M24" s="373"/>
    </row>
    <row r="25" spans="2:22" ht="12.75">
      <c r="B25" s="10">
        <f>+B23+1</f>
        <v>10</v>
      </c>
      <c r="C25" s="20"/>
      <c r="D25" s="11" t="s">
        <v>749</v>
      </c>
      <c r="E25" s="20"/>
      <c r="F25" s="110"/>
      <c r="G25" s="20"/>
      <c r="H25" s="87">
        <f>ROUND(H15*0.0352/12,0)-1</f>
        <v>5209</v>
      </c>
      <c r="I25" s="87">
        <f>ROUND(I16*0.0352/12,0)</f>
        <v>15466</v>
      </c>
      <c r="J25" s="87">
        <f>ROUND(J16*0.0352/12,0)</f>
        <v>24502</v>
      </c>
      <c r="K25" s="87">
        <f>+I25+J25</f>
        <v>39968</v>
      </c>
      <c r="L25" s="87">
        <v>6410</v>
      </c>
      <c r="M25" s="373"/>
      <c r="U25" s="62"/>
      <c r="V25" s="62"/>
    </row>
    <row r="26" spans="2:13" ht="12.75">
      <c r="B26" s="10">
        <f>+B25+1</f>
        <v>11</v>
      </c>
      <c r="C26" s="20"/>
      <c r="D26" s="11" t="s">
        <v>750</v>
      </c>
      <c r="E26" s="20"/>
      <c r="F26" s="110"/>
      <c r="G26" s="20"/>
      <c r="H26" s="377">
        <f>ROUND(187500/12,0)</f>
        <v>15625</v>
      </c>
      <c r="I26" s="378">
        <v>0</v>
      </c>
      <c r="J26" s="378">
        <v>0</v>
      </c>
      <c r="K26" s="377">
        <f>+I26+J26</f>
        <v>0</v>
      </c>
      <c r="L26" s="378">
        <v>0</v>
      </c>
      <c r="M26" s="379"/>
    </row>
    <row r="27" spans="2:13" ht="12.75">
      <c r="B27" s="10">
        <f>+B26+1</f>
        <v>12</v>
      </c>
      <c r="C27" s="20"/>
      <c r="D27" s="11" t="s">
        <v>183</v>
      </c>
      <c r="E27" s="20"/>
      <c r="F27" s="110"/>
      <c r="G27" s="20"/>
      <c r="H27" s="87">
        <f>+H25+H26</f>
        <v>20834</v>
      </c>
      <c r="I27" s="87"/>
      <c r="J27" s="87"/>
      <c r="K27" s="87">
        <f>+K25+K26</f>
        <v>39968</v>
      </c>
      <c r="L27" s="87">
        <f>+L25+L26</f>
        <v>6410</v>
      </c>
      <c r="M27" s="379"/>
    </row>
    <row r="28" spans="2:13" ht="12.75">
      <c r="B28" s="10"/>
      <c r="C28" s="20"/>
      <c r="D28" s="11"/>
      <c r="E28" s="20"/>
      <c r="F28" s="110"/>
      <c r="G28" s="20"/>
      <c r="H28" s="97"/>
      <c r="I28" s="97"/>
      <c r="J28" s="97"/>
      <c r="K28" s="97"/>
      <c r="L28" s="97"/>
      <c r="M28" s="379"/>
    </row>
    <row r="29" spans="2:13" ht="12.75">
      <c r="B29" s="10"/>
      <c r="C29" s="20"/>
      <c r="D29" s="63" t="s">
        <v>664</v>
      </c>
      <c r="E29" s="20"/>
      <c r="F29" s="110"/>
      <c r="G29" s="20"/>
      <c r="H29" s="97"/>
      <c r="I29" s="97"/>
      <c r="J29" s="97"/>
      <c r="K29" s="97"/>
      <c r="L29" s="97"/>
      <c r="M29" s="379"/>
    </row>
    <row r="30" spans="2:13" ht="12.75">
      <c r="B30" s="10">
        <f>+B27+1</f>
        <v>13</v>
      </c>
      <c r="C30" s="20"/>
      <c r="D30" s="11" t="s">
        <v>187</v>
      </c>
      <c r="E30" s="20"/>
      <c r="F30" s="110"/>
      <c r="G30" s="20"/>
      <c r="H30" s="380">
        <f>+H23+H27</f>
        <v>24994</v>
      </c>
      <c r="I30" s="87"/>
      <c r="J30" s="87"/>
      <c r="K30" s="381">
        <f>+K23+K27</f>
        <v>93609</v>
      </c>
      <c r="L30" s="381">
        <f>+L23+L27</f>
        <v>21205</v>
      </c>
      <c r="M30" s="373"/>
    </row>
    <row r="31" spans="2:18" ht="12.75">
      <c r="B31" s="10">
        <f>+B30+1</f>
        <v>14</v>
      </c>
      <c r="C31" s="20"/>
      <c r="D31" s="11" t="s">
        <v>190</v>
      </c>
      <c r="E31" s="20"/>
      <c r="F31" s="110"/>
      <c r="G31" s="20"/>
      <c r="H31" s="87">
        <f>ROUND(H30*0.15,0)</f>
        <v>3749</v>
      </c>
      <c r="I31" s="87"/>
      <c r="J31" s="87"/>
      <c r="K31" s="87"/>
      <c r="L31" s="87"/>
      <c r="M31" s="373"/>
      <c r="R31" s="150"/>
    </row>
    <row r="32" spans="2:18" ht="12.75">
      <c r="B32" s="10">
        <f>+B31+1</f>
        <v>15</v>
      </c>
      <c r="C32" s="20"/>
      <c r="D32" s="11" t="s">
        <v>191</v>
      </c>
      <c r="E32" s="20"/>
      <c r="F32" s="110"/>
      <c r="G32" s="20"/>
      <c r="H32" s="87"/>
      <c r="I32" s="87"/>
      <c r="J32" s="87"/>
      <c r="K32" s="87">
        <f>ROUND(K30*0.3,0)</f>
        <v>28083</v>
      </c>
      <c r="L32" s="87">
        <f>ROUND(L30*0.3,0)</f>
        <v>6362</v>
      </c>
      <c r="M32" s="373"/>
      <c r="R32" s="150"/>
    </row>
    <row r="33" spans="2:22" ht="12.75">
      <c r="B33" s="10"/>
      <c r="C33" s="20"/>
      <c r="D33" s="11" t="s">
        <v>665</v>
      </c>
      <c r="E33" s="20"/>
      <c r="F33" s="110"/>
      <c r="G33" s="20"/>
      <c r="H33" s="87"/>
      <c r="I33" s="87"/>
      <c r="J33" s="87"/>
      <c r="K33" s="87"/>
      <c r="L33" s="87"/>
      <c r="M33" s="373"/>
      <c r="N33" s="157"/>
      <c r="O33" s="157"/>
      <c r="P33" s="147"/>
      <c r="R33" s="157"/>
      <c r="S33" s="157"/>
      <c r="T33" s="157"/>
      <c r="U33" s="157"/>
      <c r="V33" s="147"/>
    </row>
    <row r="34" spans="2:21" ht="12.75">
      <c r="B34" s="10"/>
      <c r="C34" s="20"/>
      <c r="D34" s="11" t="s">
        <v>192</v>
      </c>
      <c r="E34" s="20"/>
      <c r="F34" s="110"/>
      <c r="G34" s="20"/>
      <c r="H34" s="109"/>
      <c r="I34" s="109"/>
      <c r="J34" s="109"/>
      <c r="K34" s="109"/>
      <c r="L34" s="109"/>
      <c r="M34" s="109"/>
      <c r="N34" s="61"/>
      <c r="O34" s="61"/>
      <c r="R34" s="61"/>
      <c r="T34" s="61"/>
      <c r="U34" s="61"/>
    </row>
    <row r="35" spans="2:21" ht="12.75">
      <c r="B35" s="10"/>
      <c r="C35" s="20"/>
      <c r="D35" s="198" t="s">
        <v>193</v>
      </c>
      <c r="E35" s="20"/>
      <c r="F35" s="110"/>
      <c r="G35" s="20"/>
      <c r="H35" s="109"/>
      <c r="I35" s="109"/>
      <c r="J35" s="109"/>
      <c r="K35" s="109"/>
      <c r="L35" s="109"/>
      <c r="M35" s="15"/>
      <c r="N35" s="61"/>
      <c r="O35" s="61"/>
      <c r="R35" s="61"/>
      <c r="T35" s="61"/>
      <c r="U35" s="61"/>
    </row>
    <row r="36" spans="2:22" ht="12.75">
      <c r="B36" s="10">
        <f>+B32+1</f>
        <v>16</v>
      </c>
      <c r="C36" s="20"/>
      <c r="D36" s="11" t="s">
        <v>666</v>
      </c>
      <c r="E36" s="20"/>
      <c r="F36" s="110"/>
      <c r="G36" s="20"/>
      <c r="H36" s="373"/>
      <c r="I36" s="373"/>
      <c r="J36" s="373"/>
      <c r="K36" s="373"/>
      <c r="L36" s="373"/>
      <c r="M36" s="382">
        <f>+H31+K32+L32</f>
        <v>38194</v>
      </c>
      <c r="N36" s="62"/>
      <c r="O36" s="62"/>
      <c r="P36" s="62"/>
      <c r="R36" s="3"/>
      <c r="S36" s="125"/>
      <c r="T36" s="62"/>
      <c r="U36" s="62"/>
      <c r="V36" s="62"/>
    </row>
    <row r="37" spans="2:22" ht="12.75">
      <c r="B37" s="10"/>
      <c r="C37" s="20"/>
      <c r="D37" s="11"/>
      <c r="E37" s="20"/>
      <c r="F37" s="110"/>
      <c r="G37" s="20"/>
      <c r="H37" s="373"/>
      <c r="I37" s="373"/>
      <c r="J37" s="373"/>
      <c r="K37" s="373"/>
      <c r="L37" s="373"/>
      <c r="M37" s="87"/>
      <c r="N37" s="62"/>
      <c r="O37" s="62"/>
      <c r="P37" s="62"/>
      <c r="R37" s="3"/>
      <c r="S37" s="125"/>
      <c r="T37" s="62"/>
      <c r="U37" s="62"/>
      <c r="V37" s="62"/>
    </row>
    <row r="38" spans="2:22" ht="13.5" thickBot="1">
      <c r="B38" s="44"/>
      <c r="C38" s="21"/>
      <c r="D38" s="16"/>
      <c r="E38" s="21"/>
      <c r="F38" s="111"/>
      <c r="G38" s="21"/>
      <c r="H38" s="383"/>
      <c r="I38" s="383"/>
      <c r="J38" s="383"/>
      <c r="K38" s="383"/>
      <c r="L38" s="383"/>
      <c r="M38" s="383"/>
      <c r="N38" s="62"/>
      <c r="O38" s="62"/>
      <c r="P38" s="62"/>
      <c r="R38" s="3"/>
      <c r="S38" s="125"/>
      <c r="T38" s="62"/>
      <c r="U38" s="62"/>
      <c r="V38" s="62"/>
    </row>
    <row r="39" spans="2:22" ht="12.75">
      <c r="B39" s="91"/>
      <c r="N39" s="62"/>
      <c r="O39" s="62"/>
      <c r="P39" s="62"/>
      <c r="R39" s="3"/>
      <c r="S39" s="125"/>
      <c r="T39" s="62"/>
      <c r="U39" s="62"/>
      <c r="V39" s="62"/>
    </row>
    <row r="40" spans="14:22" ht="12.75">
      <c r="N40" s="62"/>
      <c r="O40" s="62"/>
      <c r="P40" s="62"/>
      <c r="R40" s="3"/>
      <c r="S40" s="125"/>
      <c r="T40" s="62"/>
      <c r="U40" s="62"/>
      <c r="V40" s="62"/>
    </row>
    <row r="41" spans="4:22" ht="12.75">
      <c r="D41" t="s">
        <v>751</v>
      </c>
      <c r="N41" s="62"/>
      <c r="O41" s="62"/>
      <c r="P41" s="62"/>
      <c r="R41" s="3"/>
      <c r="S41" s="125"/>
      <c r="T41" s="62"/>
      <c r="U41" s="62"/>
      <c r="V41" s="62"/>
    </row>
    <row r="42" spans="4:22" ht="12.75">
      <c r="D42" t="s">
        <v>752</v>
      </c>
      <c r="N42" s="62"/>
      <c r="O42" s="62"/>
      <c r="P42" s="62"/>
      <c r="R42" s="3"/>
      <c r="S42" s="125"/>
      <c r="T42" s="62"/>
      <c r="U42" s="62"/>
      <c r="V42" s="62"/>
    </row>
    <row r="43" spans="4:22" ht="12.75">
      <c r="D43" t="s">
        <v>754</v>
      </c>
      <c r="N43" s="62"/>
      <c r="O43" s="62"/>
      <c r="P43" s="62"/>
      <c r="R43" s="3"/>
      <c r="S43" s="125"/>
      <c r="T43" s="62"/>
      <c r="U43" s="62"/>
      <c r="V43" s="62"/>
    </row>
    <row r="44" spans="4:22" ht="12.75">
      <c r="D44" t="s">
        <v>756</v>
      </c>
      <c r="N44" s="62"/>
      <c r="O44" s="62"/>
      <c r="P44" s="62"/>
      <c r="R44" s="3"/>
      <c r="S44" s="125"/>
      <c r="T44" s="62"/>
      <c r="U44" s="62"/>
      <c r="V44" s="62"/>
    </row>
    <row r="45" spans="14:22" ht="12.75">
      <c r="N45" s="62"/>
      <c r="O45" s="62"/>
      <c r="P45" s="62"/>
      <c r="R45" s="3"/>
      <c r="S45" s="125"/>
      <c r="T45" s="62"/>
      <c r="U45" s="62"/>
      <c r="V45" s="62"/>
    </row>
    <row r="46" spans="14:22" ht="12.75">
      <c r="N46" s="62"/>
      <c r="O46" s="62"/>
      <c r="P46" s="62"/>
      <c r="R46" s="3"/>
      <c r="S46" s="125"/>
      <c r="T46" s="62"/>
      <c r="U46" s="62"/>
      <c r="V46" s="62"/>
    </row>
    <row r="47" spans="14:22" ht="12.75">
      <c r="N47" s="62"/>
      <c r="O47" s="62"/>
      <c r="P47" s="62"/>
      <c r="R47" s="3"/>
      <c r="S47" s="125"/>
      <c r="T47" s="62"/>
      <c r="U47" s="62"/>
      <c r="V47" s="62"/>
    </row>
    <row r="48" spans="14:22" ht="12.75">
      <c r="N48" s="62"/>
      <c r="O48" s="62"/>
      <c r="P48" s="62"/>
      <c r="R48" s="3"/>
      <c r="S48" s="125"/>
      <c r="T48" s="62"/>
      <c r="U48" s="62"/>
      <c r="V48" s="62"/>
    </row>
    <row r="49" spans="14:22" ht="12.75">
      <c r="N49" s="62"/>
      <c r="O49" s="62"/>
      <c r="P49" s="62"/>
      <c r="R49" s="3"/>
      <c r="T49" s="62"/>
      <c r="U49" s="62"/>
      <c r="V49" s="62"/>
    </row>
    <row r="50" spans="14:22" ht="12.75">
      <c r="N50" s="149"/>
      <c r="O50" s="149"/>
      <c r="P50" s="149"/>
      <c r="R50" s="147"/>
      <c r="T50" s="149"/>
      <c r="U50" s="149"/>
      <c r="V50" s="149"/>
    </row>
    <row r="51" spans="14:21" ht="12.75">
      <c r="N51" s="62"/>
      <c r="O51" s="62"/>
      <c r="P51" s="62"/>
      <c r="S51" s="62"/>
      <c r="T51" s="62"/>
      <c r="U51" s="62"/>
    </row>
    <row r="52" spans="14:21" ht="12.75">
      <c r="N52" s="149"/>
      <c r="O52" s="149"/>
      <c r="P52" s="149"/>
      <c r="R52" s="147"/>
      <c r="S52" s="149"/>
      <c r="T52" s="149"/>
      <c r="U52" s="149"/>
    </row>
    <row r="53" spans="14:16" ht="12.75">
      <c r="N53" s="62"/>
      <c r="O53" s="62"/>
      <c r="P53" s="62"/>
    </row>
  </sheetData>
  <sheetProtection/>
  <mergeCells count="4">
    <mergeCell ref="A7:M7"/>
    <mergeCell ref="A3:M3"/>
    <mergeCell ref="A4:M4"/>
    <mergeCell ref="A5:M5"/>
  </mergeCells>
  <printOptions horizontalCentered="1"/>
  <pageMargins left="0" right="0" top="1" bottom="0" header="0" footer="0"/>
  <pageSetup horizontalDpi="300" verticalDpi="300" orientation="landscape" scale="80" r:id="rId1"/>
</worksheet>
</file>

<file path=xl/worksheets/sheet24.xml><?xml version="1.0" encoding="utf-8"?>
<worksheet xmlns="http://schemas.openxmlformats.org/spreadsheetml/2006/main" xmlns:r="http://schemas.openxmlformats.org/officeDocument/2006/relationships">
  <dimension ref="B2:AP66"/>
  <sheetViews>
    <sheetView zoomScalePageLayoutView="0" workbookViewId="0" topLeftCell="A1">
      <selection activeCell="H47" sqref="H47"/>
    </sheetView>
  </sheetViews>
  <sheetFormatPr defaultColWidth="9.140625" defaultRowHeight="12.75"/>
  <cols>
    <col min="1" max="1" width="3.7109375" style="0" customWidth="1"/>
    <col min="2" max="2" width="6.7109375" style="3" customWidth="1"/>
    <col min="3" max="3" width="0.2890625" style="3" customWidth="1"/>
    <col min="4" max="4" width="15.8515625" style="0" customWidth="1"/>
    <col min="5" max="5" width="0.2890625" style="0" customWidth="1"/>
    <col min="6" max="6" width="12.7109375" style="0" customWidth="1"/>
    <col min="7" max="7" width="0.2890625" style="0" customWidth="1"/>
    <col min="8" max="8" width="12.7109375" style="0" customWidth="1"/>
    <col min="9" max="9" width="0.2890625" style="0" customWidth="1"/>
    <col min="10" max="10" width="12.7109375" style="0" customWidth="1"/>
    <col min="11" max="11" width="0.2890625" style="0" customWidth="1"/>
    <col min="12" max="12" width="2.57421875" style="0" bestFit="1" customWidth="1"/>
    <col min="13" max="13" width="0.2890625" style="0" customWidth="1"/>
    <col min="14" max="14" width="14.7109375" style="0" customWidth="1"/>
    <col min="15" max="15" width="0.2890625" style="0" customWidth="1"/>
    <col min="16" max="16" width="9.8515625" style="0" bestFit="1" customWidth="1"/>
    <col min="17" max="17" width="0.2890625" style="0" customWidth="1"/>
    <col min="18" max="18" width="2.57421875" style="0" bestFit="1" customWidth="1"/>
    <col min="19" max="19" width="0.2890625" style="0" customWidth="1"/>
    <col min="20" max="20" width="14.00390625" style="0" bestFit="1" customWidth="1"/>
    <col min="21" max="21" width="3.7109375" style="0" customWidth="1"/>
    <col min="22" max="22" width="8.7109375" style="0" customWidth="1"/>
    <col min="23" max="24" width="8.7109375" style="197" customWidth="1"/>
    <col min="25" max="42" width="8.7109375" style="63" customWidth="1"/>
    <col min="43" max="45" width="8.7109375" style="0" customWidth="1"/>
  </cols>
  <sheetData>
    <row r="2" ht="12.75">
      <c r="T2" t="s">
        <v>13</v>
      </c>
    </row>
    <row r="4" spans="2:29" ht="12.75">
      <c r="B4" s="547" t="s">
        <v>381</v>
      </c>
      <c r="C4" s="547"/>
      <c r="D4" s="547"/>
      <c r="E4" s="547"/>
      <c r="F4" s="547"/>
      <c r="G4" s="547"/>
      <c r="H4" s="547"/>
      <c r="I4" s="547"/>
      <c r="J4" s="547"/>
      <c r="K4" s="547"/>
      <c r="L4" s="547"/>
      <c r="M4" s="547"/>
      <c r="N4" s="547"/>
      <c r="O4" s="547"/>
      <c r="P4" s="547"/>
      <c r="Q4" s="547"/>
      <c r="R4" s="547"/>
      <c r="S4" s="547"/>
      <c r="T4" s="547"/>
      <c r="AB4" s="230"/>
      <c r="AC4" s="197"/>
    </row>
    <row r="5" spans="2:29" ht="12.75">
      <c r="B5" s="563" t="s">
        <v>710</v>
      </c>
      <c r="C5" s="563"/>
      <c r="D5" s="563"/>
      <c r="E5" s="563"/>
      <c r="F5" s="563"/>
      <c r="G5" s="563"/>
      <c r="H5" s="563"/>
      <c r="I5" s="563"/>
      <c r="J5" s="563"/>
      <c r="K5" s="563"/>
      <c r="L5" s="563"/>
      <c r="M5" s="563"/>
      <c r="N5" s="563"/>
      <c r="O5" s="563"/>
      <c r="P5" s="563"/>
      <c r="Q5" s="563"/>
      <c r="R5" s="563"/>
      <c r="S5" s="563"/>
      <c r="T5" s="563"/>
      <c r="AB5" s="230"/>
      <c r="AC5" s="197"/>
    </row>
    <row r="6" spans="2:29" ht="12.75">
      <c r="B6" s="563" t="s">
        <v>89</v>
      </c>
      <c r="C6" s="563"/>
      <c r="D6" s="563"/>
      <c r="E6" s="563"/>
      <c r="F6" s="563"/>
      <c r="G6" s="563"/>
      <c r="H6" s="563"/>
      <c r="I6" s="563"/>
      <c r="J6" s="563"/>
      <c r="K6" s="563"/>
      <c r="L6" s="563"/>
      <c r="M6" s="563"/>
      <c r="N6" s="563"/>
      <c r="O6" s="563"/>
      <c r="P6" s="563"/>
      <c r="Q6" s="563"/>
      <c r="R6" s="563"/>
      <c r="S6" s="563"/>
      <c r="T6" s="563"/>
      <c r="AC6" s="197"/>
    </row>
    <row r="7" spans="6:31" ht="12.75">
      <c r="F7" s="168"/>
      <c r="G7" s="35"/>
      <c r="H7" s="60"/>
      <c r="J7" s="33"/>
      <c r="AA7" s="231"/>
      <c r="AB7" s="232"/>
      <c r="AC7" s="233"/>
      <c r="AE7" s="234"/>
    </row>
    <row r="8" spans="2:29" ht="12.75">
      <c r="B8" s="561" t="str">
        <f>+'ES 1.0'!E7</f>
        <v>For the Expense Month of October 2013</v>
      </c>
      <c r="C8" s="561"/>
      <c r="D8" s="561"/>
      <c r="E8" s="561"/>
      <c r="F8" s="561"/>
      <c r="G8" s="561"/>
      <c r="H8" s="561"/>
      <c r="I8" s="561"/>
      <c r="J8" s="561"/>
      <c r="K8" s="561"/>
      <c r="L8" s="561"/>
      <c r="M8" s="561"/>
      <c r="N8" s="561"/>
      <c r="O8" s="561"/>
      <c r="P8" s="561"/>
      <c r="Q8" s="561"/>
      <c r="R8" s="561"/>
      <c r="S8" s="561"/>
      <c r="T8" s="561"/>
      <c r="AC8" s="235"/>
    </row>
    <row r="9" ht="13.5" thickBot="1"/>
    <row r="10" spans="2:42" ht="30" customHeight="1" thickBot="1">
      <c r="B10" s="36" t="s">
        <v>683</v>
      </c>
      <c r="C10" s="45"/>
      <c r="D10" s="37" t="s">
        <v>93</v>
      </c>
      <c r="E10" s="45"/>
      <c r="F10" s="37" t="s">
        <v>94</v>
      </c>
      <c r="G10" s="45"/>
      <c r="H10" s="37" t="s">
        <v>95</v>
      </c>
      <c r="I10" s="45"/>
      <c r="J10" s="38" t="s">
        <v>96</v>
      </c>
      <c r="K10" s="50"/>
      <c r="L10" s="37"/>
      <c r="M10" s="45"/>
      <c r="N10" s="38" t="s">
        <v>97</v>
      </c>
      <c r="O10" s="50"/>
      <c r="P10" s="37" t="s">
        <v>690</v>
      </c>
      <c r="Q10" s="45"/>
      <c r="R10" s="37"/>
      <c r="S10" s="45"/>
      <c r="T10" s="39" t="s">
        <v>98</v>
      </c>
      <c r="U10" s="4"/>
      <c r="W10" s="196"/>
      <c r="X10" s="196"/>
      <c r="Y10" s="196"/>
      <c r="Z10" s="196"/>
      <c r="AA10" s="196"/>
      <c r="AB10" s="196"/>
      <c r="AC10" s="196"/>
      <c r="AD10" s="196"/>
      <c r="AE10" s="236"/>
      <c r="AF10" s="236"/>
      <c r="AG10" s="196"/>
      <c r="AH10" s="196"/>
      <c r="AI10" s="236"/>
      <c r="AJ10" s="236"/>
      <c r="AK10" s="196"/>
      <c r="AL10" s="196"/>
      <c r="AM10" s="196"/>
      <c r="AN10" s="196"/>
      <c r="AO10" s="196"/>
      <c r="AP10" s="196"/>
    </row>
    <row r="11" spans="2:42" ht="30" customHeight="1" thickBot="1">
      <c r="B11" s="70"/>
      <c r="C11" s="215"/>
      <c r="D11" s="72"/>
      <c r="E11" s="215"/>
      <c r="F11" s="266" t="s">
        <v>969</v>
      </c>
      <c r="G11" s="215"/>
      <c r="H11" s="72"/>
      <c r="I11" s="215"/>
      <c r="J11" s="216"/>
      <c r="K11" s="217"/>
      <c r="L11" s="72"/>
      <c r="M11" s="215"/>
      <c r="N11" s="216"/>
      <c r="O11" s="217"/>
      <c r="P11" s="72"/>
      <c r="Q11" s="215"/>
      <c r="R11" s="72"/>
      <c r="S11" s="215"/>
      <c r="T11" s="75"/>
      <c r="U11" s="4"/>
      <c r="W11" s="196"/>
      <c r="X11" s="196"/>
      <c r="Y11" s="196"/>
      <c r="Z11" s="196"/>
      <c r="AA11" s="196"/>
      <c r="AB11" s="196"/>
      <c r="AC11" s="196"/>
      <c r="AD11" s="196"/>
      <c r="AE11" s="236"/>
      <c r="AF11" s="236"/>
      <c r="AG11" s="196"/>
      <c r="AH11" s="196"/>
      <c r="AI11" s="236"/>
      <c r="AJ11" s="236"/>
      <c r="AK11" s="196"/>
      <c r="AL11" s="196"/>
      <c r="AM11" s="196"/>
      <c r="AN11" s="196"/>
      <c r="AO11" s="196"/>
      <c r="AP11" s="196"/>
    </row>
    <row r="12" spans="2:20" ht="12.75">
      <c r="B12" s="5"/>
      <c r="C12" s="30"/>
      <c r="D12" s="6"/>
      <c r="E12" s="18"/>
      <c r="F12" s="6"/>
      <c r="G12" s="18"/>
      <c r="H12" s="6"/>
      <c r="I12" s="18"/>
      <c r="J12" s="6"/>
      <c r="K12" s="18"/>
      <c r="L12" s="6"/>
      <c r="M12" s="18"/>
      <c r="N12" s="6"/>
      <c r="O12" s="18"/>
      <c r="P12" s="6"/>
      <c r="Q12" s="18"/>
      <c r="R12" s="6"/>
      <c r="S12" s="18"/>
      <c r="T12" s="7"/>
    </row>
    <row r="13" spans="2:41" ht="12.75">
      <c r="B13" s="10">
        <v>1</v>
      </c>
      <c r="C13" s="31"/>
      <c r="D13" s="11" t="s">
        <v>682</v>
      </c>
      <c r="E13" s="20"/>
      <c r="F13" s="529">
        <v>64834718</v>
      </c>
      <c r="G13" s="47"/>
      <c r="H13" s="96">
        <f>ROUND(F13/$F$19,6)</f>
        <v>0.278384</v>
      </c>
      <c r="I13" s="49"/>
      <c r="J13" s="530">
        <v>0.028357</v>
      </c>
      <c r="K13" s="49"/>
      <c r="L13" s="11"/>
      <c r="M13" s="20"/>
      <c r="N13" s="243">
        <f>ROUND(H13*J13,6)</f>
        <v>0.007894</v>
      </c>
      <c r="O13" s="49"/>
      <c r="P13" s="11"/>
      <c r="Q13" s="20"/>
      <c r="R13" s="11"/>
      <c r="S13" s="20"/>
      <c r="T13" s="86">
        <f>+N13</f>
        <v>0.007894</v>
      </c>
      <c r="W13" s="199"/>
      <c r="X13" s="199"/>
      <c r="AA13" s="218"/>
      <c r="AB13" s="219"/>
      <c r="AC13" s="220"/>
      <c r="AD13" s="220"/>
      <c r="AE13" s="221"/>
      <c r="AF13" s="220"/>
      <c r="AI13" s="221"/>
      <c r="AJ13" s="220"/>
      <c r="AO13" s="220"/>
    </row>
    <row r="14" spans="2:41" ht="12.75">
      <c r="B14" s="10">
        <f>+B13+1</f>
        <v>2</v>
      </c>
      <c r="C14" s="31"/>
      <c r="D14" s="11" t="s">
        <v>684</v>
      </c>
      <c r="E14" s="20"/>
      <c r="F14" s="529">
        <v>79096135</v>
      </c>
      <c r="G14" s="47"/>
      <c r="H14" s="96">
        <f>ROUND(F14/$F$19,6)</f>
        <v>0.339619</v>
      </c>
      <c r="I14" s="49"/>
      <c r="J14" s="530">
        <v>0.003292</v>
      </c>
      <c r="K14" s="49"/>
      <c r="L14" s="11"/>
      <c r="M14" s="20"/>
      <c r="N14" s="243">
        <f>ROUND(H14*J14,6)</f>
        <v>0.001118</v>
      </c>
      <c r="O14" s="49"/>
      <c r="P14" s="11"/>
      <c r="Q14" s="20"/>
      <c r="R14" s="11"/>
      <c r="S14" s="20"/>
      <c r="T14" s="86">
        <f>+N14</f>
        <v>0.001118</v>
      </c>
      <c r="W14" s="199"/>
      <c r="X14" s="199"/>
      <c r="AA14" s="218"/>
      <c r="AB14" s="219"/>
      <c r="AC14" s="220"/>
      <c r="AD14" s="220"/>
      <c r="AE14" s="221"/>
      <c r="AF14" s="220"/>
      <c r="AI14" s="221"/>
      <c r="AJ14" s="220"/>
      <c r="AO14" s="220"/>
    </row>
    <row r="15" spans="2:41" ht="26.25">
      <c r="B15" s="10">
        <f>+B14+1</f>
        <v>3</v>
      </c>
      <c r="C15" s="31"/>
      <c r="D15" s="13" t="s">
        <v>430</v>
      </c>
      <c r="E15" s="20">
        <v>0</v>
      </c>
      <c r="F15" s="529">
        <v>0</v>
      </c>
      <c r="G15" s="47"/>
      <c r="H15" s="96">
        <v>0</v>
      </c>
      <c r="I15" s="49"/>
      <c r="J15" s="530">
        <v>0.014583</v>
      </c>
      <c r="K15" s="49"/>
      <c r="L15" s="11"/>
      <c r="M15" s="20"/>
      <c r="N15" s="243">
        <f>ROUND(H15*J15,6)</f>
        <v>0</v>
      </c>
      <c r="O15" s="49"/>
      <c r="P15" s="11"/>
      <c r="Q15" s="20"/>
      <c r="R15" s="11"/>
      <c r="S15" s="20"/>
      <c r="T15" s="86">
        <f>+N15</f>
        <v>0</v>
      </c>
      <c r="W15" s="199"/>
      <c r="X15" s="199"/>
      <c r="AA15" s="218"/>
      <c r="AB15" s="219"/>
      <c r="AC15" s="220"/>
      <c r="AD15" s="220"/>
      <c r="AE15" s="221"/>
      <c r="AF15" s="220"/>
      <c r="AI15" s="221"/>
      <c r="AJ15" s="220"/>
      <c r="AO15" s="220"/>
    </row>
    <row r="16" spans="2:41" ht="12.75">
      <c r="B16" s="10">
        <f>+B15+1</f>
        <v>4</v>
      </c>
      <c r="C16" s="31"/>
      <c r="D16" s="29" t="s">
        <v>685</v>
      </c>
      <c r="E16" s="32"/>
      <c r="F16" s="529"/>
      <c r="G16" s="47"/>
      <c r="H16" s="96"/>
      <c r="I16" s="49"/>
      <c r="J16" s="531"/>
      <c r="K16" s="49"/>
      <c r="L16" s="11"/>
      <c r="M16" s="20"/>
      <c r="N16" s="96"/>
      <c r="O16" s="49"/>
      <c r="P16" s="11"/>
      <c r="Q16" s="20"/>
      <c r="R16" s="11"/>
      <c r="S16" s="20"/>
      <c r="T16" s="86"/>
      <c r="W16" s="199"/>
      <c r="X16" s="199"/>
      <c r="Y16" s="197"/>
      <c r="Z16" s="197"/>
      <c r="AA16" s="218"/>
      <c r="AB16" s="219"/>
      <c r="AC16" s="220"/>
      <c r="AD16" s="220"/>
      <c r="AE16" s="220"/>
      <c r="AF16" s="220"/>
      <c r="AI16" s="220"/>
      <c r="AJ16" s="220"/>
      <c r="AO16" s="220"/>
    </row>
    <row r="17" spans="2:41" ht="12.75">
      <c r="B17" s="10">
        <f>+B16+1</f>
        <v>5</v>
      </c>
      <c r="C17" s="31"/>
      <c r="D17" s="11" t="s">
        <v>686</v>
      </c>
      <c r="E17" s="20"/>
      <c r="F17" s="529">
        <v>88965716</v>
      </c>
      <c r="G17" s="47"/>
      <c r="H17" s="96">
        <f>ROUND(F17/$F$19,6)</f>
        <v>0.381997</v>
      </c>
      <c r="I17" s="49"/>
      <c r="J17" s="532">
        <v>0.1216</v>
      </c>
      <c r="K17" s="49"/>
      <c r="L17" s="42" t="s">
        <v>691</v>
      </c>
      <c r="M17" s="51"/>
      <c r="N17" s="243">
        <f>ROUND(H17*J17,6)</f>
        <v>0.046451</v>
      </c>
      <c r="O17" s="49"/>
      <c r="P17" s="41">
        <f>+P36</f>
        <v>1.6813787305590584</v>
      </c>
      <c r="Q17" s="49"/>
      <c r="R17" s="42" t="s">
        <v>692</v>
      </c>
      <c r="S17" s="51"/>
      <c r="T17" s="86">
        <f>ROUND(N17*P17,6)</f>
        <v>0.078102</v>
      </c>
      <c r="W17" s="199"/>
      <c r="X17" s="199"/>
      <c r="AA17" s="218"/>
      <c r="AB17" s="219"/>
      <c r="AC17" s="220"/>
      <c r="AD17" s="220"/>
      <c r="AE17" s="220"/>
      <c r="AF17" s="220"/>
      <c r="AG17" s="222"/>
      <c r="AH17" s="222"/>
      <c r="AI17" s="221"/>
      <c r="AJ17" s="220"/>
      <c r="AK17" s="220"/>
      <c r="AL17" s="220"/>
      <c r="AM17" s="222"/>
      <c r="AN17" s="222"/>
      <c r="AO17" s="220"/>
    </row>
    <row r="18" spans="2:41" ht="12.75">
      <c r="B18" s="10"/>
      <c r="C18" s="31"/>
      <c r="D18" s="11"/>
      <c r="E18" s="20"/>
      <c r="F18" s="43" t="s">
        <v>689</v>
      </c>
      <c r="G18" s="48"/>
      <c r="H18" s="242" t="s">
        <v>689</v>
      </c>
      <c r="I18" s="48"/>
      <c r="J18" s="41"/>
      <c r="K18" s="49"/>
      <c r="L18" s="11"/>
      <c r="M18" s="20"/>
      <c r="N18" s="242" t="s">
        <v>689</v>
      </c>
      <c r="O18" s="48"/>
      <c r="P18" s="11"/>
      <c r="Q18" s="20"/>
      <c r="R18" s="11"/>
      <c r="S18" s="20"/>
      <c r="T18" s="244" t="s">
        <v>689</v>
      </c>
      <c r="W18" s="199"/>
      <c r="X18" s="199"/>
      <c r="AA18" s="223"/>
      <c r="AB18" s="223"/>
      <c r="AC18" s="223"/>
      <c r="AD18" s="223"/>
      <c r="AE18" s="220"/>
      <c r="AF18" s="220"/>
      <c r="AI18" s="223"/>
      <c r="AJ18" s="223"/>
      <c r="AO18" s="223"/>
    </row>
    <row r="19" spans="2:41" ht="12.75">
      <c r="B19" s="10">
        <f>+B17+1</f>
        <v>6</v>
      </c>
      <c r="C19" s="31"/>
      <c r="D19" s="29" t="s">
        <v>687</v>
      </c>
      <c r="E19" s="20"/>
      <c r="F19" s="169">
        <f>SUM(F13:F17)</f>
        <v>232896569</v>
      </c>
      <c r="G19" s="47"/>
      <c r="H19" s="96">
        <f>SUM(H13:H17)</f>
        <v>1</v>
      </c>
      <c r="I19" s="49"/>
      <c r="J19" s="41"/>
      <c r="K19" s="49"/>
      <c r="L19" s="11"/>
      <c r="M19" s="20"/>
      <c r="N19" s="96">
        <f>SUM(N13:N18)</f>
        <v>0.055463</v>
      </c>
      <c r="O19" s="49"/>
      <c r="P19" s="11"/>
      <c r="Q19" s="20"/>
      <c r="R19" s="11"/>
      <c r="S19" s="20"/>
      <c r="T19" s="86">
        <f>SUM(T13:T18)</f>
        <v>0.087114</v>
      </c>
      <c r="W19" s="199"/>
      <c r="X19" s="199"/>
      <c r="Y19" s="197"/>
      <c r="AA19" s="224"/>
      <c r="AB19" s="219"/>
      <c r="AC19" s="220"/>
      <c r="AD19" s="220"/>
      <c r="AE19" s="220"/>
      <c r="AF19" s="220"/>
      <c r="AI19" s="220"/>
      <c r="AJ19" s="220"/>
      <c r="AO19" s="220"/>
    </row>
    <row r="20" spans="2:41" ht="12.75">
      <c r="B20" s="10"/>
      <c r="C20" s="31"/>
      <c r="D20" s="11"/>
      <c r="E20" s="20"/>
      <c r="F20" s="43" t="s">
        <v>688</v>
      </c>
      <c r="G20" s="48"/>
      <c r="H20" s="43" t="s">
        <v>688</v>
      </c>
      <c r="I20" s="48"/>
      <c r="J20" s="11"/>
      <c r="K20" s="20"/>
      <c r="L20" s="11"/>
      <c r="M20" s="20"/>
      <c r="N20" s="242" t="s">
        <v>688</v>
      </c>
      <c r="O20" s="48"/>
      <c r="P20" s="11"/>
      <c r="Q20" s="20"/>
      <c r="R20" s="11"/>
      <c r="S20" s="20"/>
      <c r="T20" s="244" t="s">
        <v>688</v>
      </c>
      <c r="W20" s="199"/>
      <c r="X20" s="199"/>
      <c r="AA20" s="223"/>
      <c r="AB20" s="223"/>
      <c r="AC20" s="223"/>
      <c r="AD20" s="223"/>
      <c r="AI20" s="223"/>
      <c r="AJ20" s="223"/>
      <c r="AO20" s="223"/>
    </row>
    <row r="21" spans="2:24" ht="13.5" thickBot="1">
      <c r="B21" s="44"/>
      <c r="C21" s="46"/>
      <c r="D21" s="16"/>
      <c r="E21" s="21"/>
      <c r="F21" s="16"/>
      <c r="G21" s="21"/>
      <c r="H21" s="16"/>
      <c r="I21" s="21"/>
      <c r="J21" s="16"/>
      <c r="K21" s="21"/>
      <c r="L21" s="16"/>
      <c r="M21" s="21"/>
      <c r="N21" s="16"/>
      <c r="O21" s="21"/>
      <c r="P21" s="16"/>
      <c r="Q21" s="21"/>
      <c r="R21" s="16"/>
      <c r="S21" s="21"/>
      <c r="T21" s="17"/>
      <c r="W21" s="199"/>
      <c r="X21" s="199"/>
    </row>
    <row r="22" spans="2:24" ht="12.75">
      <c r="B22" s="52"/>
      <c r="C22" s="53"/>
      <c r="D22" s="6"/>
      <c r="E22" s="6"/>
      <c r="F22" s="6"/>
      <c r="G22" s="6"/>
      <c r="H22" s="6"/>
      <c r="I22" s="6"/>
      <c r="J22" s="6"/>
      <c r="K22" s="6"/>
      <c r="L22" s="6"/>
      <c r="M22" s="6"/>
      <c r="N22" s="6"/>
      <c r="O22" s="18"/>
      <c r="P22" s="6"/>
      <c r="Q22" s="18"/>
      <c r="R22" s="6"/>
      <c r="S22" s="6"/>
      <c r="T22" s="7"/>
      <c r="W22" s="199"/>
      <c r="X22" s="199"/>
    </row>
    <row r="23" spans="2:37" ht="12.75">
      <c r="B23" s="204"/>
      <c r="C23" s="28"/>
      <c r="D23" s="11" t="s">
        <v>130</v>
      </c>
      <c r="E23" s="11"/>
      <c r="F23" s="11"/>
      <c r="G23" s="11"/>
      <c r="H23" s="11"/>
      <c r="I23" s="11"/>
      <c r="J23" s="11"/>
      <c r="K23" s="11"/>
      <c r="L23" s="11"/>
      <c r="M23" s="11"/>
      <c r="N23" s="11"/>
      <c r="O23" s="20"/>
      <c r="P23" s="54"/>
      <c r="Q23" s="20"/>
      <c r="R23" s="11"/>
      <c r="S23" s="11"/>
      <c r="T23" s="15"/>
      <c r="W23" s="199"/>
      <c r="X23" s="199"/>
      <c r="AK23" s="225"/>
    </row>
    <row r="24" spans="2:24" ht="12.75">
      <c r="B24" s="204" t="s">
        <v>691</v>
      </c>
      <c r="C24" s="28"/>
      <c r="D24" s="11" t="s">
        <v>131</v>
      </c>
      <c r="E24" s="11"/>
      <c r="F24" s="11"/>
      <c r="G24" s="11"/>
      <c r="H24" s="11"/>
      <c r="I24" s="11"/>
      <c r="J24" s="11"/>
      <c r="K24" s="11"/>
      <c r="L24" s="11"/>
      <c r="M24" s="11"/>
      <c r="N24" s="11"/>
      <c r="O24" s="20"/>
      <c r="P24" s="11"/>
      <c r="Q24" s="20"/>
      <c r="R24" s="11"/>
      <c r="S24" s="11"/>
      <c r="T24" s="15"/>
      <c r="W24" s="199"/>
      <c r="X24" s="199"/>
    </row>
    <row r="25" spans="2:24" ht="12.75">
      <c r="B25" s="10"/>
      <c r="C25" s="28"/>
      <c r="D25" s="11"/>
      <c r="E25" s="11"/>
      <c r="F25" s="11"/>
      <c r="G25" s="11"/>
      <c r="H25" s="11"/>
      <c r="I25" s="11"/>
      <c r="J25" s="11"/>
      <c r="K25" s="11"/>
      <c r="L25" s="11"/>
      <c r="M25" s="11"/>
      <c r="N25" s="11"/>
      <c r="O25" s="20"/>
      <c r="P25" s="11"/>
      <c r="Q25" s="20"/>
      <c r="R25" s="11"/>
      <c r="S25" s="11"/>
      <c r="T25" s="15"/>
      <c r="W25" s="199"/>
      <c r="X25" s="199"/>
    </row>
    <row r="26" spans="2:24" ht="12.75">
      <c r="B26" s="204" t="s">
        <v>692</v>
      </c>
      <c r="C26" s="28"/>
      <c r="D26" s="11" t="s">
        <v>132</v>
      </c>
      <c r="E26" s="11"/>
      <c r="F26" s="11"/>
      <c r="G26" s="11"/>
      <c r="H26" s="11"/>
      <c r="I26" s="11"/>
      <c r="J26" s="11"/>
      <c r="K26" s="11"/>
      <c r="L26" s="11"/>
      <c r="M26" s="11"/>
      <c r="N26" s="11"/>
      <c r="O26" s="20"/>
      <c r="P26" s="11"/>
      <c r="Q26" s="20"/>
      <c r="R26" s="11"/>
      <c r="S26" s="11"/>
      <c r="T26" s="15"/>
      <c r="W26" s="199"/>
      <c r="X26" s="199"/>
    </row>
    <row r="27" spans="2:24" ht="12.75">
      <c r="B27" s="10"/>
      <c r="C27" s="28"/>
      <c r="D27" s="11"/>
      <c r="E27" s="11"/>
      <c r="F27" s="11"/>
      <c r="G27" s="11"/>
      <c r="H27" s="11"/>
      <c r="I27" s="11"/>
      <c r="J27" s="11"/>
      <c r="K27" s="11"/>
      <c r="L27" s="11"/>
      <c r="M27" s="11"/>
      <c r="N27" s="11"/>
      <c r="O27" s="20"/>
      <c r="P27" s="11"/>
      <c r="Q27" s="20"/>
      <c r="R27" s="11"/>
      <c r="S27" s="11"/>
      <c r="T27" s="15"/>
      <c r="W27" s="199"/>
      <c r="X27" s="199"/>
    </row>
    <row r="28" spans="2:37" ht="12.75">
      <c r="B28" s="10">
        <v>1</v>
      </c>
      <c r="C28" s="28"/>
      <c r="D28" s="11" t="s">
        <v>693</v>
      </c>
      <c r="E28" s="11"/>
      <c r="F28" s="11"/>
      <c r="G28" s="11"/>
      <c r="H28" s="11"/>
      <c r="I28" s="11"/>
      <c r="J28" s="11"/>
      <c r="K28" s="11"/>
      <c r="L28" s="11"/>
      <c r="M28" s="11"/>
      <c r="N28" s="11"/>
      <c r="O28" s="20"/>
      <c r="P28" s="55">
        <v>100</v>
      </c>
      <c r="Q28" s="20"/>
      <c r="R28" s="11"/>
      <c r="S28" s="11"/>
      <c r="T28" s="15"/>
      <c r="W28" s="199"/>
      <c r="X28" s="199"/>
      <c r="AK28" s="226"/>
    </row>
    <row r="29" spans="2:24" ht="12.75">
      <c r="B29" s="10">
        <f>+B28+1</f>
        <v>2</v>
      </c>
      <c r="C29" s="28"/>
      <c r="D29" s="237" t="s">
        <v>138</v>
      </c>
      <c r="E29" s="11"/>
      <c r="F29" s="11"/>
      <c r="G29" s="11"/>
      <c r="H29" s="11"/>
      <c r="I29" s="11"/>
      <c r="J29" s="11"/>
      <c r="K29" s="11"/>
      <c r="L29" s="11"/>
      <c r="M29" s="11"/>
      <c r="N29" s="11"/>
      <c r="O29" s="20"/>
      <c r="P29" s="11"/>
      <c r="Q29" s="20"/>
      <c r="R29" s="11"/>
      <c r="S29" s="11"/>
      <c r="T29" s="15"/>
      <c r="W29" s="199"/>
      <c r="X29" s="199"/>
    </row>
    <row r="30" spans="2:37" ht="12.75">
      <c r="B30" s="10">
        <f aca="true" t="shared" si="0" ref="B30:B36">+B29+1</f>
        <v>3</v>
      </c>
      <c r="C30" s="28"/>
      <c r="D30" s="237" t="s">
        <v>137</v>
      </c>
      <c r="E30" s="11"/>
      <c r="F30" s="11"/>
      <c r="G30" s="11"/>
      <c r="H30" s="11"/>
      <c r="I30" s="11"/>
      <c r="J30" s="11"/>
      <c r="K30" s="11"/>
      <c r="L30" s="11"/>
      <c r="M30" s="11"/>
      <c r="N30" s="11"/>
      <c r="O30" s="20"/>
      <c r="P30" s="56">
        <f>ROUND(P28*0.085,3)</f>
        <v>8.5</v>
      </c>
      <c r="Q30" s="20"/>
      <c r="R30" s="11"/>
      <c r="S30" s="11"/>
      <c r="T30" s="15"/>
      <c r="W30" s="199"/>
      <c r="X30" s="199"/>
      <c r="AK30" s="227"/>
    </row>
    <row r="31" spans="2:37" ht="12.75">
      <c r="B31" s="10">
        <f t="shared" si="0"/>
        <v>4</v>
      </c>
      <c r="C31" s="28"/>
      <c r="D31" s="11" t="s">
        <v>704</v>
      </c>
      <c r="E31" s="11"/>
      <c r="F31" s="11"/>
      <c r="G31" s="11"/>
      <c r="H31" s="11"/>
      <c r="I31" s="11"/>
      <c r="J31" s="11"/>
      <c r="K31" s="11"/>
      <c r="L31" s="11"/>
      <c r="M31" s="11"/>
      <c r="N31" s="11"/>
      <c r="O31" s="20"/>
      <c r="P31" s="57">
        <f>+P28-P30</f>
        <v>91.5</v>
      </c>
      <c r="Q31" s="20"/>
      <c r="R31" s="11"/>
      <c r="S31" s="11"/>
      <c r="T31" s="15"/>
      <c r="W31" s="199"/>
      <c r="X31" s="199"/>
      <c r="AK31" s="228"/>
    </row>
    <row r="32" spans="2:37" ht="12.75">
      <c r="B32" s="10">
        <f t="shared" si="0"/>
        <v>5</v>
      </c>
      <c r="C32" s="28"/>
      <c r="D32" s="11" t="s">
        <v>705</v>
      </c>
      <c r="E32" s="11"/>
      <c r="F32" s="11"/>
      <c r="G32" s="11"/>
      <c r="H32" s="11"/>
      <c r="I32" s="11"/>
      <c r="J32" s="11"/>
      <c r="K32" s="11"/>
      <c r="L32" s="11"/>
      <c r="M32" s="11"/>
      <c r="N32" s="11"/>
      <c r="O32" s="20"/>
      <c r="P32" s="57"/>
      <c r="Q32" s="20"/>
      <c r="R32" s="11"/>
      <c r="S32" s="11"/>
      <c r="T32" s="15"/>
      <c r="W32" s="199"/>
      <c r="X32" s="199"/>
      <c r="AK32" s="228"/>
    </row>
    <row r="33" spans="2:37" ht="12.75">
      <c r="B33" s="10">
        <f t="shared" si="0"/>
        <v>6</v>
      </c>
      <c r="C33" s="28"/>
      <c r="D33" s="11" t="s">
        <v>709</v>
      </c>
      <c r="E33" s="11"/>
      <c r="F33" s="11"/>
      <c r="G33" s="11"/>
      <c r="H33" s="11"/>
      <c r="I33" s="11"/>
      <c r="J33" s="11"/>
      <c r="K33" s="11"/>
      <c r="L33" s="11"/>
      <c r="M33" s="11"/>
      <c r="N33" s="11"/>
      <c r="O33" s="20"/>
      <c r="P33" s="56">
        <f>ROUND(P31*0.35,3)</f>
        <v>32.025</v>
      </c>
      <c r="Q33" s="20"/>
      <c r="R33" s="11"/>
      <c r="S33" s="11"/>
      <c r="T33" s="15"/>
      <c r="W33" s="199"/>
      <c r="X33" s="199"/>
      <c r="AK33" s="227"/>
    </row>
    <row r="34" spans="2:37" ht="12.75">
      <c r="B34" s="10">
        <f t="shared" si="0"/>
        <v>7</v>
      </c>
      <c r="C34" s="29"/>
      <c r="D34" s="11" t="s">
        <v>706</v>
      </c>
      <c r="E34" s="11"/>
      <c r="F34" s="11"/>
      <c r="G34" s="11"/>
      <c r="H34" s="11"/>
      <c r="I34" s="11"/>
      <c r="J34" s="11"/>
      <c r="K34" s="11"/>
      <c r="L34" s="11"/>
      <c r="M34" s="11"/>
      <c r="N34" s="11"/>
      <c r="O34" s="20"/>
      <c r="P34" s="57">
        <f>+P31-P33</f>
        <v>59.475</v>
      </c>
      <c r="Q34" s="20"/>
      <c r="R34" s="11"/>
      <c r="S34" s="11"/>
      <c r="T34" s="15"/>
      <c r="W34" s="199"/>
      <c r="AK34" s="228"/>
    </row>
    <row r="35" spans="2:37" ht="12.75">
      <c r="B35" s="10">
        <f t="shared" si="0"/>
        <v>8</v>
      </c>
      <c r="C35" s="29"/>
      <c r="D35" s="11" t="s">
        <v>707</v>
      </c>
      <c r="E35" s="11"/>
      <c r="F35" s="11"/>
      <c r="G35" s="11"/>
      <c r="H35" s="11"/>
      <c r="I35" s="11"/>
      <c r="J35" s="11"/>
      <c r="K35" s="11"/>
      <c r="L35" s="11"/>
      <c r="M35" s="11"/>
      <c r="N35" s="11"/>
      <c r="O35" s="20"/>
      <c r="P35" s="57"/>
      <c r="Q35" s="20"/>
      <c r="R35" s="11"/>
      <c r="S35" s="11"/>
      <c r="T35" s="15"/>
      <c r="W35" s="199"/>
      <c r="AK35" s="228"/>
    </row>
    <row r="36" spans="2:37" ht="12.75">
      <c r="B36" s="10">
        <f t="shared" si="0"/>
        <v>9</v>
      </c>
      <c r="C36" s="29"/>
      <c r="D36" s="11" t="s">
        <v>708</v>
      </c>
      <c r="E36" s="11"/>
      <c r="F36" s="11"/>
      <c r="G36" s="11"/>
      <c r="H36" s="11"/>
      <c r="I36" s="11"/>
      <c r="J36" s="11"/>
      <c r="K36" s="11"/>
      <c r="L36" s="11"/>
      <c r="M36" s="11"/>
      <c r="N36" s="11"/>
      <c r="O36" s="20"/>
      <c r="P36" s="59">
        <f>100/P34</f>
        <v>1.6813787305590584</v>
      </c>
      <c r="Q36" s="20"/>
      <c r="R36" s="11"/>
      <c r="S36" s="11"/>
      <c r="T36" s="15"/>
      <c r="W36" s="199"/>
      <c r="AK36" s="229"/>
    </row>
    <row r="37" spans="2:37" ht="13.5" thickBot="1">
      <c r="B37" s="44"/>
      <c r="C37" s="9"/>
      <c r="D37" s="16"/>
      <c r="E37" s="16"/>
      <c r="F37" s="16"/>
      <c r="G37" s="16"/>
      <c r="H37" s="16"/>
      <c r="I37" s="16"/>
      <c r="J37" s="16"/>
      <c r="K37" s="16"/>
      <c r="L37" s="16"/>
      <c r="M37" s="16"/>
      <c r="N37" s="16"/>
      <c r="O37" s="21"/>
      <c r="P37" s="58"/>
      <c r="Q37" s="21"/>
      <c r="R37" s="16"/>
      <c r="S37" s="16"/>
      <c r="T37" s="17"/>
      <c r="W37" s="199"/>
      <c r="AK37" s="228"/>
    </row>
    <row r="40" ht="12.75">
      <c r="D40" t="s">
        <v>139</v>
      </c>
    </row>
    <row r="63" ht="12.75">
      <c r="D63" s="156" t="s">
        <v>153</v>
      </c>
    </row>
    <row r="65" spans="4:8" ht="12.75">
      <c r="D65" s="237" t="s">
        <v>152</v>
      </c>
      <c r="E65" s="11"/>
      <c r="F65" s="11"/>
      <c r="G65" s="11"/>
      <c r="H65" s="11"/>
    </row>
    <row r="66" spans="4:8" ht="12.75">
      <c r="D66" s="237"/>
      <c r="E66" s="11"/>
      <c r="F66" s="11"/>
      <c r="G66" s="11"/>
      <c r="H66" s="11"/>
    </row>
  </sheetData>
  <sheetProtection/>
  <mergeCells count="4">
    <mergeCell ref="B4:T4"/>
    <mergeCell ref="B5:T5"/>
    <mergeCell ref="B6:T6"/>
    <mergeCell ref="B8:T8"/>
  </mergeCells>
  <printOptions horizontalCentered="1"/>
  <pageMargins left="0" right="0" top="0.5" bottom="0.5" header="0" footer="0"/>
  <pageSetup horizontalDpi="300" verticalDpi="300" orientation="portrait" scale="90" r:id="rId1"/>
</worksheet>
</file>

<file path=xl/worksheets/sheet25.xml><?xml version="1.0" encoding="utf-8"?>
<worksheet xmlns="http://schemas.openxmlformats.org/spreadsheetml/2006/main" xmlns:r="http://schemas.openxmlformats.org/officeDocument/2006/relationships">
  <dimension ref="B2:O63"/>
  <sheetViews>
    <sheetView zoomScalePageLayoutView="0" workbookViewId="0" topLeftCell="A1">
      <pane ySplit="12" topLeftCell="A13" activePane="bottomLeft" state="frozen"/>
      <selection pane="topLeft" activeCell="E40" sqref="E40"/>
      <selection pane="bottomLeft" activeCell="D8" sqref="D8"/>
    </sheetView>
  </sheetViews>
  <sheetFormatPr defaultColWidth="9.140625" defaultRowHeight="12.75"/>
  <cols>
    <col min="1" max="1" width="3.7109375" style="0" customWidth="1"/>
    <col min="2" max="2" width="4.421875" style="3" bestFit="1" customWidth="1"/>
    <col min="3" max="3" width="0.2890625" style="3" customWidth="1"/>
    <col min="4" max="4" width="35.7109375" style="0" customWidth="1"/>
    <col min="5" max="5" width="0.2890625" style="0" customWidth="1"/>
    <col min="6" max="6" width="30.7109375" style="0" customWidth="1"/>
    <col min="7" max="7" width="0.2890625" style="0" customWidth="1"/>
    <col min="8" max="8" width="22.7109375" style="0" customWidth="1"/>
    <col min="9" max="9" width="3.7109375" style="0" customWidth="1"/>
    <col min="11" max="11" width="13.421875" style="0" bestFit="1" customWidth="1"/>
  </cols>
  <sheetData>
    <row r="2" ht="12.75">
      <c r="H2" s="33" t="s">
        <v>11</v>
      </c>
    </row>
    <row r="4" spans="5:13" ht="12.75">
      <c r="E4" s="1"/>
      <c r="F4" s="125" t="s">
        <v>381</v>
      </c>
      <c r="G4" s="1"/>
      <c r="H4" s="1"/>
      <c r="I4" s="1"/>
      <c r="J4" s="1"/>
      <c r="K4" s="1"/>
      <c r="L4" s="1"/>
      <c r="M4" s="1"/>
    </row>
    <row r="5" spans="5:13" ht="12.75">
      <c r="E5" s="1"/>
      <c r="F5" s="125" t="s">
        <v>710</v>
      </c>
      <c r="G5" s="1"/>
      <c r="H5" s="1"/>
      <c r="I5" s="1"/>
      <c r="J5" s="1"/>
      <c r="K5" s="1"/>
      <c r="L5" s="1"/>
      <c r="M5" s="1"/>
    </row>
    <row r="6" spans="5:13" ht="12.75">
      <c r="E6" s="1"/>
      <c r="F6" s="125" t="s">
        <v>18</v>
      </c>
      <c r="G6" s="1"/>
      <c r="H6" s="1"/>
      <c r="I6" s="1"/>
      <c r="J6" s="1"/>
      <c r="K6" s="1"/>
      <c r="L6" s="1"/>
      <c r="M6" s="1"/>
    </row>
    <row r="7" spans="5:13" ht="12.75">
      <c r="E7" s="1"/>
      <c r="F7" s="125" t="s">
        <v>19</v>
      </c>
      <c r="G7" s="1"/>
      <c r="H7" s="1"/>
      <c r="I7" s="1"/>
      <c r="J7" s="1"/>
      <c r="K7" s="1"/>
      <c r="L7" s="1"/>
      <c r="M7" s="1"/>
    </row>
    <row r="8" spans="5:13" ht="12.75">
      <c r="E8" s="1"/>
      <c r="F8" s="174"/>
      <c r="G8" s="1"/>
      <c r="H8" s="1"/>
      <c r="I8" s="1"/>
      <c r="J8" s="1"/>
      <c r="K8" s="1"/>
      <c r="L8" s="1"/>
      <c r="M8" s="1"/>
    </row>
    <row r="9" spans="5:13" ht="12.75">
      <c r="E9" s="1"/>
      <c r="F9" s="183" t="str">
        <f>+'ES 1.0'!E7</f>
        <v>For the Expense Month of October 2013</v>
      </c>
      <c r="G9" s="1"/>
      <c r="H9" s="1"/>
      <c r="I9" s="1"/>
      <c r="J9" s="1"/>
      <c r="K9" s="1"/>
      <c r="L9" s="1"/>
      <c r="M9" s="1"/>
    </row>
    <row r="10" spans="5:13" ht="12.75">
      <c r="E10" s="1"/>
      <c r="F10" s="125"/>
      <c r="G10" s="1"/>
      <c r="H10" s="1"/>
      <c r="I10" s="1"/>
      <c r="J10" s="1"/>
      <c r="K10" s="1"/>
      <c r="L10" s="1"/>
      <c r="M10" s="1"/>
    </row>
    <row r="11" spans="5:13" ht="12.75">
      <c r="E11" s="2"/>
      <c r="F11" s="191" t="s">
        <v>20</v>
      </c>
      <c r="G11" s="1"/>
      <c r="H11" s="1"/>
      <c r="I11" s="1"/>
      <c r="J11" s="1"/>
      <c r="K11" s="1"/>
      <c r="L11" s="1"/>
      <c r="M11" s="1"/>
    </row>
    <row r="12" ht="13.5" thickBot="1"/>
    <row r="13" spans="2:8" ht="30" customHeight="1" thickBot="1">
      <c r="B13" s="78" t="s">
        <v>681</v>
      </c>
      <c r="C13" s="79"/>
      <c r="D13" s="80" t="s">
        <v>674</v>
      </c>
      <c r="E13" s="81"/>
      <c r="F13" s="37" t="s">
        <v>679</v>
      </c>
      <c r="G13" s="45"/>
      <c r="H13" s="39" t="s">
        <v>680</v>
      </c>
    </row>
    <row r="14" spans="2:8" ht="12.75">
      <c r="B14" s="5"/>
      <c r="C14" s="30"/>
      <c r="D14" s="6"/>
      <c r="E14" s="22"/>
      <c r="F14" s="6"/>
      <c r="G14" s="18"/>
      <c r="H14" s="112"/>
    </row>
    <row r="15" spans="2:8" ht="12.75">
      <c r="B15" s="10">
        <v>1</v>
      </c>
      <c r="C15" s="31"/>
      <c r="D15" s="11" t="s">
        <v>675</v>
      </c>
      <c r="E15" s="23"/>
      <c r="F15" s="144">
        <v>35398439.19</v>
      </c>
      <c r="G15" s="26"/>
      <c r="H15" s="353">
        <f>ROUND(F15/$F$20,3)</f>
        <v>0.84</v>
      </c>
    </row>
    <row r="16" spans="2:8" ht="12.75">
      <c r="B16" s="10">
        <f>+B15+1</f>
        <v>2</v>
      </c>
      <c r="C16" s="31"/>
      <c r="D16" s="11" t="s">
        <v>676</v>
      </c>
      <c r="E16" s="23"/>
      <c r="F16" s="144">
        <v>359165.56</v>
      </c>
      <c r="G16" s="26"/>
      <c r="H16" s="354">
        <f>ROUND(F16/$F$20,3)</f>
        <v>0.009</v>
      </c>
    </row>
    <row r="17" spans="2:8" ht="12.75">
      <c r="B17" s="10">
        <f>+B16+1</f>
        <v>3</v>
      </c>
      <c r="C17" s="31"/>
      <c r="D17" s="11" t="s">
        <v>677</v>
      </c>
      <c r="E17" s="23"/>
      <c r="F17" s="144">
        <v>1154752.5</v>
      </c>
      <c r="G17" s="26"/>
      <c r="H17" s="354">
        <f>ROUND(F17/$F$20,3)</f>
        <v>0.027</v>
      </c>
    </row>
    <row r="18" spans="2:8" ht="12.75">
      <c r="B18" s="10">
        <f>+B17+1</f>
        <v>4</v>
      </c>
      <c r="C18" s="31"/>
      <c r="D18" s="11" t="s">
        <v>678</v>
      </c>
      <c r="E18" s="23"/>
      <c r="F18" s="144">
        <v>5222217.99</v>
      </c>
      <c r="G18" s="26"/>
      <c r="H18" s="354">
        <f>ROUND(F18/$F$20,3)</f>
        <v>0.124</v>
      </c>
    </row>
    <row r="19" spans="2:8" ht="12.75" customHeight="1">
      <c r="B19" s="10"/>
      <c r="C19" s="31"/>
      <c r="D19" s="11"/>
      <c r="E19" s="23"/>
      <c r="F19" s="242" t="s">
        <v>689</v>
      </c>
      <c r="G19" s="27"/>
      <c r="H19" s="350" t="s">
        <v>689</v>
      </c>
    </row>
    <row r="20" spans="2:8" ht="12.75">
      <c r="B20" s="10">
        <f>+B18+1</f>
        <v>5</v>
      </c>
      <c r="C20" s="31"/>
      <c r="D20" s="13" t="s">
        <v>924</v>
      </c>
      <c r="E20" s="24"/>
      <c r="F20" s="12">
        <f>SUM(F15:F18)</f>
        <v>42134575.24</v>
      </c>
      <c r="G20" s="26"/>
      <c r="H20" s="354">
        <f>SUM(H15:H18)</f>
        <v>1</v>
      </c>
    </row>
    <row r="21" spans="2:8" ht="12.75">
      <c r="B21" s="10"/>
      <c r="C21" s="31"/>
      <c r="D21" s="13"/>
      <c r="E21" s="24"/>
      <c r="F21" s="12"/>
      <c r="G21" s="26"/>
      <c r="H21" s="354"/>
    </row>
    <row r="22" spans="2:8" ht="12.75">
      <c r="B22" s="10">
        <f>+B20+1</f>
        <v>6</v>
      </c>
      <c r="C22" s="31"/>
      <c r="D22" s="13" t="s">
        <v>922</v>
      </c>
      <c r="E22" s="24"/>
      <c r="F22" s="144">
        <v>62674.95</v>
      </c>
      <c r="G22" s="26"/>
      <c r="H22" s="354"/>
    </row>
    <row r="23" spans="2:8" ht="12.75">
      <c r="B23" s="14"/>
      <c r="C23" s="32"/>
      <c r="D23" s="11"/>
      <c r="E23" s="23"/>
      <c r="F23" s="303"/>
      <c r="G23" s="20"/>
      <c r="H23" s="345"/>
    </row>
    <row r="24" spans="2:8" ht="13.5" thickBot="1">
      <c r="B24" s="10">
        <f>+B22+1</f>
        <v>7</v>
      </c>
      <c r="C24" s="19"/>
      <c r="D24" s="11" t="s">
        <v>923</v>
      </c>
      <c r="E24" s="23"/>
      <c r="F24" s="12">
        <f>+F20+F22</f>
        <v>42197250.190000005</v>
      </c>
      <c r="G24" s="20"/>
      <c r="H24" s="345"/>
    </row>
    <row r="25" spans="2:8" ht="13.5" thickBot="1">
      <c r="B25" s="44"/>
      <c r="C25" s="19"/>
      <c r="D25" s="16"/>
      <c r="E25" s="25"/>
      <c r="F25" s="186"/>
      <c r="G25" s="21"/>
      <c r="H25" s="346"/>
    </row>
    <row r="26" ht="15" customHeight="1"/>
    <row r="28" ht="12.75">
      <c r="D28" t="s">
        <v>712</v>
      </c>
    </row>
    <row r="29" ht="12.75">
      <c r="D29" t="s">
        <v>74</v>
      </c>
    </row>
    <row r="30" ht="12.75">
      <c r="D30" t="s">
        <v>713</v>
      </c>
    </row>
    <row r="31" ht="12.75">
      <c r="D31" t="s">
        <v>154</v>
      </c>
    </row>
    <row r="34" spans="4:8" ht="12.75">
      <c r="D34" s="83" t="s">
        <v>714</v>
      </c>
      <c r="E34" s="83"/>
      <c r="F34" s="83"/>
      <c r="G34" s="83"/>
      <c r="H34" s="83"/>
    </row>
    <row r="35" ht="13.5" thickBot="1"/>
    <row r="36" spans="2:8" ht="30" customHeight="1" thickBot="1">
      <c r="B36" s="78" t="s">
        <v>681</v>
      </c>
      <c r="C36" s="37"/>
      <c r="D36" s="37" t="s">
        <v>674</v>
      </c>
      <c r="E36" s="85"/>
      <c r="F36" s="85"/>
      <c r="G36" s="88"/>
      <c r="H36" s="39" t="s">
        <v>715</v>
      </c>
    </row>
    <row r="37" spans="2:8" ht="12.75">
      <c r="B37" s="355"/>
      <c r="C37" s="357"/>
      <c r="D37" s="6"/>
      <c r="E37" s="6"/>
      <c r="F37" s="6"/>
      <c r="G37" s="18"/>
      <c r="H37" s="112"/>
    </row>
    <row r="38" spans="2:13" ht="12.75">
      <c r="B38" s="213">
        <v>1</v>
      </c>
      <c r="C38" s="358"/>
      <c r="D38" s="517" t="s">
        <v>968</v>
      </c>
      <c r="E38" s="11"/>
      <c r="F38" s="11"/>
      <c r="G38" s="20"/>
      <c r="H38" s="348">
        <v>-0.022637</v>
      </c>
      <c r="M38" s="172"/>
    </row>
    <row r="39" spans="2:8" ht="12.75">
      <c r="B39" s="213"/>
      <c r="C39" s="358"/>
      <c r="D39" s="11"/>
      <c r="E39" s="11"/>
      <c r="F39" s="11"/>
      <c r="G39" s="20"/>
      <c r="H39" s="345"/>
    </row>
    <row r="40" spans="2:14" ht="12.75">
      <c r="B40" s="213">
        <v>2</v>
      </c>
      <c r="C40" s="358"/>
      <c r="D40" s="11" t="s">
        <v>459</v>
      </c>
      <c r="E40" s="11"/>
      <c r="F40" s="11"/>
      <c r="G40" s="20"/>
      <c r="H40" s="349">
        <f>ROUND(H42/H38,0)</f>
        <v>36623794</v>
      </c>
      <c r="N40" t="s">
        <v>136</v>
      </c>
    </row>
    <row r="41" spans="2:8" ht="12.75">
      <c r="B41" s="213"/>
      <c r="C41" s="358"/>
      <c r="D41" s="11"/>
      <c r="E41" s="11"/>
      <c r="F41" s="11"/>
      <c r="G41" s="20"/>
      <c r="H41" s="350" t="s">
        <v>689</v>
      </c>
    </row>
    <row r="42" spans="2:11" ht="12.75">
      <c r="B42" s="213">
        <v>3</v>
      </c>
      <c r="C42" s="358"/>
      <c r="D42" s="11" t="s">
        <v>716</v>
      </c>
      <c r="E42" s="11"/>
      <c r="F42" s="11"/>
      <c r="G42" s="20"/>
      <c r="H42" s="351">
        <v>-829052.82</v>
      </c>
      <c r="K42" s="284"/>
    </row>
    <row r="43" spans="2:8" ht="12.75">
      <c r="B43" s="213"/>
      <c r="C43" s="358"/>
      <c r="D43" s="11"/>
      <c r="E43" s="11"/>
      <c r="F43" s="11"/>
      <c r="G43" s="20"/>
      <c r="H43" s="351"/>
    </row>
    <row r="44" spans="2:8" ht="12.75">
      <c r="B44" s="213">
        <v>4</v>
      </c>
      <c r="C44" s="358"/>
      <c r="D44" s="11" t="s">
        <v>259</v>
      </c>
      <c r="E44" s="11"/>
      <c r="F44" s="11"/>
      <c r="G44" s="20"/>
      <c r="H44" s="351">
        <v>-939455</v>
      </c>
    </row>
    <row r="45" spans="2:11" ht="12.75">
      <c r="B45" s="213"/>
      <c r="C45" s="358"/>
      <c r="D45" s="11"/>
      <c r="E45" s="11"/>
      <c r="F45" s="11"/>
      <c r="G45" s="20"/>
      <c r="H45" s="350"/>
      <c r="J45" s="11"/>
      <c r="K45" s="242"/>
    </row>
    <row r="46" spans="2:8" ht="12.75">
      <c r="B46" s="213">
        <v>5</v>
      </c>
      <c r="C46" s="358"/>
      <c r="D46" s="11" t="s">
        <v>722</v>
      </c>
      <c r="E46" s="11"/>
      <c r="F46" s="11"/>
      <c r="G46" s="20"/>
      <c r="H46" s="349">
        <f>+H42-H44</f>
        <v>110402.18000000005</v>
      </c>
    </row>
    <row r="47" spans="2:8" ht="13.5" thickBot="1">
      <c r="B47" s="356"/>
      <c r="C47" s="359"/>
      <c r="D47" s="16"/>
      <c r="E47" s="16"/>
      <c r="F47" s="16"/>
      <c r="G47" s="21"/>
      <c r="H47" s="346"/>
    </row>
    <row r="49" ht="12.75">
      <c r="D49" t="s">
        <v>79</v>
      </c>
    </row>
    <row r="51" ht="12.75">
      <c r="D51" s="146" t="s">
        <v>156</v>
      </c>
    </row>
    <row r="52" ht="12.75">
      <c r="D52" t="s">
        <v>155</v>
      </c>
    </row>
    <row r="63" ht="12.75">
      <c r="O63" t="s">
        <v>136</v>
      </c>
    </row>
  </sheetData>
  <sheetProtection/>
  <printOptions horizontalCentered="1"/>
  <pageMargins left="0" right="0" top="0.5" bottom="0.5" header="0.5" footer="0"/>
  <pageSetup horizontalDpi="300" verticalDpi="300" orientation="portrait" scale="97" r:id="rId1"/>
</worksheet>
</file>

<file path=xl/worksheets/sheet26.xml><?xml version="1.0" encoding="utf-8"?>
<worksheet xmlns="http://schemas.openxmlformats.org/spreadsheetml/2006/main" xmlns:r="http://schemas.openxmlformats.org/officeDocument/2006/relationships">
  <dimension ref="A1:F179"/>
  <sheetViews>
    <sheetView zoomScalePageLayoutView="0" workbookViewId="0" topLeftCell="A1">
      <pane ySplit="4" topLeftCell="A156" activePane="bottomLeft" state="frozen"/>
      <selection pane="topLeft" activeCell="A1" sqref="A1"/>
      <selection pane="bottomLeft" activeCell="D176" sqref="D176"/>
    </sheetView>
  </sheetViews>
  <sheetFormatPr defaultColWidth="9.140625" defaultRowHeight="12.75"/>
  <cols>
    <col min="2" max="2" width="8.7109375" style="0" customWidth="1"/>
    <col min="3" max="3" width="3.7109375" style="0" customWidth="1"/>
    <col min="4" max="4" width="19.140625" style="0" bestFit="1" customWidth="1"/>
    <col min="5" max="5" width="3.7109375" style="0" customWidth="1"/>
    <col min="6" max="6" width="13.421875" style="0" customWidth="1"/>
  </cols>
  <sheetData>
    <row r="1" spans="1:3" ht="12.75">
      <c r="A1" s="270"/>
      <c r="C1" s="147" t="s">
        <v>269</v>
      </c>
    </row>
    <row r="4" spans="1:6" ht="52.5">
      <c r="A4" s="147" t="s">
        <v>868</v>
      </c>
      <c r="B4" s="147" t="s">
        <v>867</v>
      </c>
      <c r="D4" s="157" t="s">
        <v>376</v>
      </c>
      <c r="F4" s="61"/>
    </row>
    <row r="6" spans="1:4" ht="12.75">
      <c r="A6" s="33" t="s">
        <v>836</v>
      </c>
      <c r="B6" s="125">
        <v>2003</v>
      </c>
      <c r="D6" s="159">
        <v>793478.57</v>
      </c>
    </row>
    <row r="7" spans="1:4" ht="12.75">
      <c r="A7" s="33" t="s">
        <v>837</v>
      </c>
      <c r="B7" s="125">
        <v>2003</v>
      </c>
      <c r="D7" s="159">
        <v>-1232455.94</v>
      </c>
    </row>
    <row r="8" spans="1:4" ht="12.75">
      <c r="A8" s="33" t="s">
        <v>838</v>
      </c>
      <c r="B8" s="125">
        <v>2003</v>
      </c>
      <c r="D8" s="159">
        <v>378156.15</v>
      </c>
    </row>
    <row r="9" spans="1:4" ht="12.75">
      <c r="A9" s="33" t="s">
        <v>839</v>
      </c>
      <c r="B9" s="125">
        <v>2003</v>
      </c>
      <c r="D9" s="159">
        <v>465603.94</v>
      </c>
    </row>
    <row r="10" spans="1:4" ht="12.75">
      <c r="A10" s="33" t="s">
        <v>840</v>
      </c>
      <c r="B10" s="125">
        <v>2003</v>
      </c>
      <c r="D10" s="159">
        <v>166549.74</v>
      </c>
    </row>
    <row r="11" spans="1:4" ht="12.75">
      <c r="A11" s="33" t="s">
        <v>841</v>
      </c>
      <c r="B11" s="125">
        <v>2003</v>
      </c>
      <c r="D11" s="159">
        <v>872894.65</v>
      </c>
    </row>
    <row r="12" spans="1:4" ht="12.75">
      <c r="A12" s="33" t="s">
        <v>842</v>
      </c>
      <c r="B12" s="125">
        <v>2003</v>
      </c>
      <c r="D12" s="159">
        <v>1547087.22</v>
      </c>
    </row>
    <row r="13" spans="1:4" ht="12.75">
      <c r="A13" s="33" t="s">
        <v>843</v>
      </c>
      <c r="B13" s="125">
        <v>2003</v>
      </c>
      <c r="D13" s="159">
        <v>1743717.39</v>
      </c>
    </row>
    <row r="14" spans="1:4" ht="12.75">
      <c r="A14" s="33" t="s">
        <v>844</v>
      </c>
      <c r="B14" s="125">
        <v>2003</v>
      </c>
      <c r="D14" s="159">
        <v>1531224.68</v>
      </c>
    </row>
    <row r="15" spans="1:4" ht="12.75">
      <c r="A15" s="33" t="s">
        <v>845</v>
      </c>
      <c r="B15" s="125">
        <v>2003</v>
      </c>
      <c r="D15" s="159">
        <v>1470171.3</v>
      </c>
    </row>
    <row r="16" spans="1:4" ht="12.75">
      <c r="A16" s="33" t="s">
        <v>846</v>
      </c>
      <c r="B16" s="125">
        <v>2003</v>
      </c>
      <c r="D16" s="159">
        <v>1922458.67</v>
      </c>
    </row>
    <row r="17" spans="1:4" ht="12.75">
      <c r="A17" s="33" t="s">
        <v>847</v>
      </c>
      <c r="B17" s="125">
        <v>2003</v>
      </c>
      <c r="D17" s="159">
        <v>2538331.2</v>
      </c>
    </row>
    <row r="18" ht="12.75">
      <c r="D18" s="159"/>
    </row>
    <row r="19" spans="1:4" ht="39">
      <c r="A19" s="157" t="s">
        <v>270</v>
      </c>
      <c r="D19" s="160">
        <f>SUM(D6:D17)</f>
        <v>12197217.57</v>
      </c>
    </row>
    <row r="20" ht="12.75">
      <c r="D20" s="159"/>
    </row>
    <row r="21" ht="12.75">
      <c r="D21" s="159"/>
    </row>
    <row r="22" spans="1:4" ht="12.75">
      <c r="A22" s="33" t="s">
        <v>836</v>
      </c>
      <c r="B22" s="125" t="s">
        <v>869</v>
      </c>
      <c r="D22" s="159">
        <v>2618806.86</v>
      </c>
    </row>
    <row r="23" spans="1:4" ht="12.75">
      <c r="A23" s="33" t="s">
        <v>837</v>
      </c>
      <c r="B23" s="125" t="s">
        <v>869</v>
      </c>
      <c r="D23" s="159">
        <v>938507.42</v>
      </c>
    </row>
    <row r="24" spans="1:4" ht="12.75">
      <c r="A24" s="33" t="s">
        <v>838</v>
      </c>
      <c r="B24" s="125" t="s">
        <v>869</v>
      </c>
      <c r="D24" s="159">
        <v>984974.68</v>
      </c>
    </row>
    <row r="25" spans="1:4" ht="12.75">
      <c r="A25" s="33" t="s">
        <v>839</v>
      </c>
      <c r="B25" s="125" t="s">
        <v>869</v>
      </c>
      <c r="D25" s="159">
        <v>1435884.73</v>
      </c>
    </row>
    <row r="26" spans="1:4" ht="12.75">
      <c r="A26" s="33" t="s">
        <v>840</v>
      </c>
      <c r="B26" s="125" t="s">
        <v>869</v>
      </c>
      <c r="D26" s="159">
        <v>1744572.06</v>
      </c>
    </row>
    <row r="27" spans="1:4" ht="12.75">
      <c r="A27" s="33" t="s">
        <v>841</v>
      </c>
      <c r="B27" s="125" t="s">
        <v>869</v>
      </c>
      <c r="D27" s="159">
        <v>1944982.12</v>
      </c>
    </row>
    <row r="28" spans="1:4" ht="12.75">
      <c r="A28" s="33" t="s">
        <v>842</v>
      </c>
      <c r="B28" s="125" t="s">
        <v>869</v>
      </c>
      <c r="D28" s="159">
        <v>2301093.42</v>
      </c>
    </row>
    <row r="29" spans="1:4" ht="12.75">
      <c r="A29" s="33" t="s">
        <v>843</v>
      </c>
      <c r="B29" s="125" t="s">
        <v>869</v>
      </c>
      <c r="D29" s="159">
        <v>1736824.39</v>
      </c>
    </row>
    <row r="30" spans="1:4" ht="12.75">
      <c r="A30" s="33" t="s">
        <v>844</v>
      </c>
      <c r="B30" s="125" t="s">
        <v>869</v>
      </c>
      <c r="D30" s="159">
        <v>1407513.95</v>
      </c>
    </row>
    <row r="31" spans="1:4" ht="12.75">
      <c r="A31" s="33" t="s">
        <v>845</v>
      </c>
      <c r="B31" s="125" t="s">
        <v>869</v>
      </c>
      <c r="D31" s="159">
        <v>1344272.95</v>
      </c>
    </row>
    <row r="32" spans="1:4" ht="12.75">
      <c r="A32" s="33" t="s">
        <v>846</v>
      </c>
      <c r="B32" s="125" t="s">
        <v>869</v>
      </c>
      <c r="D32" s="159">
        <v>1944904.53</v>
      </c>
    </row>
    <row r="33" spans="1:4" ht="12.75">
      <c r="A33" s="33" t="s">
        <v>847</v>
      </c>
      <c r="B33" s="125" t="s">
        <v>869</v>
      </c>
      <c r="D33" s="159">
        <v>2247438.4</v>
      </c>
    </row>
    <row r="34" ht="12.75">
      <c r="D34" s="159"/>
    </row>
    <row r="35" spans="1:4" ht="39">
      <c r="A35" s="157" t="s">
        <v>271</v>
      </c>
      <c r="D35" s="160">
        <f>SUM(D22:D33)</f>
        <v>20649775.509999998</v>
      </c>
    </row>
    <row r="38" spans="1:4" ht="12.75">
      <c r="A38" s="33" t="s">
        <v>836</v>
      </c>
      <c r="B38" s="125" t="s">
        <v>274</v>
      </c>
      <c r="D38" s="159">
        <v>2354286.26</v>
      </c>
    </row>
    <row r="39" spans="1:4" ht="12.75">
      <c r="A39" s="33" t="s">
        <v>837</v>
      </c>
      <c r="B39" s="125" t="s">
        <v>274</v>
      </c>
      <c r="D39" s="159">
        <v>243967.78</v>
      </c>
    </row>
    <row r="40" spans="1:4" ht="12.75">
      <c r="A40" s="33" t="s">
        <v>838</v>
      </c>
      <c r="B40" s="125" t="s">
        <v>274</v>
      </c>
      <c r="D40" s="159">
        <v>802024.13</v>
      </c>
    </row>
    <row r="41" spans="1:4" ht="12.75">
      <c r="A41" s="33" t="s">
        <v>839</v>
      </c>
      <c r="B41" s="125" t="s">
        <v>274</v>
      </c>
      <c r="D41" s="159">
        <v>1673924.03</v>
      </c>
    </row>
    <row r="42" spans="1:4" ht="12.75">
      <c r="A42" s="33" t="s">
        <v>840</v>
      </c>
      <c r="B42" s="125" t="s">
        <v>274</v>
      </c>
      <c r="D42" s="159">
        <v>1549230.01</v>
      </c>
    </row>
    <row r="43" spans="1:6" ht="12.75">
      <c r="A43" s="33" t="s">
        <v>841</v>
      </c>
      <c r="B43" s="125" t="s">
        <v>274</v>
      </c>
      <c r="D43" s="159">
        <v>1319769.54</v>
      </c>
      <c r="F43" s="160">
        <f>+D28+D29+D30+D31+D32+D33+D38+D39+D40+D41+D42+D43</f>
        <v>18925249.39</v>
      </c>
    </row>
    <row r="44" spans="1:4" ht="12.75">
      <c r="A44" s="33" t="s">
        <v>842</v>
      </c>
      <c r="B44" s="125" t="s">
        <v>274</v>
      </c>
      <c r="D44" s="159">
        <v>1132119.52</v>
      </c>
    </row>
    <row r="45" spans="1:4" ht="12.75">
      <c r="A45" s="33" t="s">
        <v>843</v>
      </c>
      <c r="B45" s="125" t="s">
        <v>274</v>
      </c>
      <c r="D45" s="159">
        <v>1520122.98</v>
      </c>
    </row>
    <row r="46" spans="1:4" ht="12.75">
      <c r="A46" s="33" t="s">
        <v>844</v>
      </c>
      <c r="B46" s="125" t="s">
        <v>274</v>
      </c>
      <c r="D46" s="159">
        <v>1768921.85</v>
      </c>
    </row>
    <row r="47" spans="1:4" ht="12.75">
      <c r="A47" s="33" t="s">
        <v>845</v>
      </c>
      <c r="B47" s="125" t="s">
        <v>274</v>
      </c>
      <c r="D47" s="159">
        <v>1484026.44</v>
      </c>
    </row>
    <row r="48" spans="1:4" ht="12.75">
      <c r="A48" s="33" t="s">
        <v>846</v>
      </c>
      <c r="B48" s="125" t="s">
        <v>274</v>
      </c>
      <c r="D48" s="159">
        <v>1242894.55</v>
      </c>
    </row>
    <row r="49" spans="1:4" ht="12.75">
      <c r="A49" s="33" t="s">
        <v>847</v>
      </c>
      <c r="B49" s="125" t="s">
        <v>274</v>
      </c>
      <c r="D49" s="159">
        <v>2168682.72</v>
      </c>
    </row>
    <row r="50" ht="12.75">
      <c r="D50" s="159"/>
    </row>
    <row r="51" spans="1:4" ht="39">
      <c r="A51" s="157" t="s">
        <v>545</v>
      </c>
      <c r="D51" s="160">
        <f>SUM(D38:D49)</f>
        <v>17259969.81</v>
      </c>
    </row>
    <row r="54" spans="1:4" ht="12.75">
      <c r="A54" s="33" t="s">
        <v>836</v>
      </c>
      <c r="B54" s="125" t="s">
        <v>364</v>
      </c>
      <c r="D54" s="159">
        <v>2624709.41</v>
      </c>
    </row>
    <row r="55" spans="1:4" ht="12.75">
      <c r="A55" s="33" t="s">
        <v>837</v>
      </c>
      <c r="B55" s="125" t="s">
        <v>364</v>
      </c>
      <c r="D55" s="159">
        <v>1315774.18</v>
      </c>
    </row>
    <row r="56" spans="1:4" ht="12.75">
      <c r="A56" s="33" t="s">
        <v>838</v>
      </c>
      <c r="B56" s="125" t="s">
        <v>364</v>
      </c>
      <c r="D56" s="159">
        <v>166250.64</v>
      </c>
    </row>
    <row r="57" spans="1:4" ht="12.75">
      <c r="A57" s="33" t="s">
        <v>839</v>
      </c>
      <c r="B57" s="125" t="s">
        <v>364</v>
      </c>
      <c r="D57" s="159">
        <v>595067.59</v>
      </c>
    </row>
    <row r="58" spans="1:4" ht="12.75">
      <c r="A58" s="33" t="s">
        <v>840</v>
      </c>
      <c r="B58" s="125" t="s">
        <v>364</v>
      </c>
      <c r="D58" s="159">
        <v>-220359.59</v>
      </c>
    </row>
    <row r="59" spans="1:4" ht="12.75">
      <c r="A59" s="33" t="s">
        <v>841</v>
      </c>
      <c r="B59" s="125" t="s">
        <v>364</v>
      </c>
      <c r="D59" s="159">
        <v>339865.59</v>
      </c>
    </row>
    <row r="60" spans="1:4" ht="12.75">
      <c r="A60" s="33" t="s">
        <v>842</v>
      </c>
      <c r="B60" s="125" t="s">
        <v>364</v>
      </c>
      <c r="D60" s="159">
        <v>926910.48</v>
      </c>
    </row>
    <row r="61" spans="1:4" ht="12.75">
      <c r="A61" s="33" t="s">
        <v>843</v>
      </c>
      <c r="B61" s="125" t="s">
        <v>364</v>
      </c>
      <c r="D61" s="159">
        <v>415893.41</v>
      </c>
    </row>
    <row r="62" spans="1:4" ht="12.75">
      <c r="A62" s="33" t="s">
        <v>844</v>
      </c>
      <c r="B62" s="125" t="s">
        <v>364</v>
      </c>
      <c r="D62" s="159">
        <v>-28824.24</v>
      </c>
    </row>
    <row r="63" spans="1:4" ht="12.75">
      <c r="A63" s="33" t="s">
        <v>845</v>
      </c>
      <c r="B63" s="125" t="s">
        <v>364</v>
      </c>
      <c r="D63" s="159">
        <v>398295.92</v>
      </c>
    </row>
    <row r="64" spans="1:4" ht="12.75">
      <c r="A64" s="33" t="s">
        <v>846</v>
      </c>
      <c r="B64" s="125" t="s">
        <v>364</v>
      </c>
      <c r="D64" s="159">
        <v>139316.75</v>
      </c>
    </row>
    <row r="65" spans="1:4" ht="12.75">
      <c r="A65" s="33" t="s">
        <v>847</v>
      </c>
      <c r="B65" s="125" t="s">
        <v>364</v>
      </c>
      <c r="D65" s="159">
        <v>686913.77</v>
      </c>
    </row>
    <row r="66" ht="12.75">
      <c r="D66" s="159"/>
    </row>
    <row r="67" spans="1:4" ht="39">
      <c r="A67" s="157" t="s">
        <v>365</v>
      </c>
      <c r="D67" s="160">
        <f>SUM(D54:D65)</f>
        <v>7359813.91</v>
      </c>
    </row>
    <row r="70" spans="1:4" ht="12.75">
      <c r="A70" s="33" t="s">
        <v>836</v>
      </c>
      <c r="B70" s="125" t="s">
        <v>725</v>
      </c>
      <c r="D70" s="159">
        <v>150096.54</v>
      </c>
    </row>
    <row r="71" spans="1:4" ht="12.75">
      <c r="A71" s="33" t="s">
        <v>837</v>
      </c>
      <c r="B71" s="125" t="s">
        <v>725</v>
      </c>
      <c r="D71" s="159">
        <v>56891.26</v>
      </c>
    </row>
    <row r="72" spans="1:4" ht="12.75">
      <c r="A72" s="33" t="s">
        <v>838</v>
      </c>
      <c r="B72" s="125" t="s">
        <v>725</v>
      </c>
      <c r="D72" s="159">
        <v>151651.28</v>
      </c>
    </row>
    <row r="73" spans="1:4" ht="12.75">
      <c r="A73" s="33" t="s">
        <v>839</v>
      </c>
      <c r="B73" s="125" t="s">
        <v>725</v>
      </c>
      <c r="D73" s="159">
        <v>-89074.33</v>
      </c>
    </row>
    <row r="74" spans="1:4" ht="12.75">
      <c r="A74" s="33" t="s">
        <v>840</v>
      </c>
      <c r="B74" s="125" t="s">
        <v>725</v>
      </c>
      <c r="D74" s="159">
        <v>-265169.88</v>
      </c>
    </row>
    <row r="75" spans="1:4" ht="12.75">
      <c r="A75" s="33" t="s">
        <v>841</v>
      </c>
      <c r="B75" s="125" t="s">
        <v>725</v>
      </c>
      <c r="D75" s="159">
        <v>342648.3</v>
      </c>
    </row>
    <row r="76" spans="1:4" ht="12.75">
      <c r="A76" s="33" t="s">
        <v>842</v>
      </c>
      <c r="B76" s="125" t="s">
        <v>725</v>
      </c>
      <c r="D76" s="159">
        <v>925166.46</v>
      </c>
    </row>
    <row r="77" spans="1:4" ht="12.75">
      <c r="A77" s="33" t="s">
        <v>843</v>
      </c>
      <c r="B77" s="125" t="s">
        <v>725</v>
      </c>
      <c r="D77" s="159">
        <v>755916.41</v>
      </c>
    </row>
    <row r="78" spans="1:4" ht="12.75">
      <c r="A78" s="33" t="s">
        <v>844</v>
      </c>
      <c r="B78" s="125" t="s">
        <v>725</v>
      </c>
      <c r="D78" s="159">
        <v>352552.17</v>
      </c>
    </row>
    <row r="79" spans="1:4" ht="12.75">
      <c r="A79" s="33" t="s">
        <v>845</v>
      </c>
      <c r="B79" s="125" t="s">
        <v>725</v>
      </c>
      <c r="D79" s="159">
        <v>365511.89</v>
      </c>
    </row>
    <row r="80" spans="1:4" ht="12.75">
      <c r="A80" s="33" t="s">
        <v>846</v>
      </c>
      <c r="B80" s="125" t="s">
        <v>725</v>
      </c>
      <c r="D80" s="159">
        <v>54497.25</v>
      </c>
    </row>
    <row r="81" spans="1:4" ht="12.75">
      <c r="A81" s="33" t="s">
        <v>847</v>
      </c>
      <c r="B81" s="125" t="s">
        <v>725</v>
      </c>
      <c r="D81" s="159">
        <v>524721.39</v>
      </c>
    </row>
    <row r="82" ht="12.75">
      <c r="D82" s="159"/>
    </row>
    <row r="83" spans="1:4" ht="39">
      <c r="A83" s="157" t="s">
        <v>99</v>
      </c>
      <c r="D83" s="160">
        <f>SUM(D70:D81)</f>
        <v>3325408.74</v>
      </c>
    </row>
    <row r="86" spans="1:4" ht="12.75">
      <c r="A86" s="33" t="s">
        <v>836</v>
      </c>
      <c r="B86" s="125" t="s">
        <v>651</v>
      </c>
      <c r="D86" s="159">
        <v>-154710.08</v>
      </c>
    </row>
    <row r="87" spans="1:4" ht="12.75">
      <c r="A87" s="33" t="s">
        <v>837</v>
      </c>
      <c r="B87" s="125" t="s">
        <v>651</v>
      </c>
      <c r="D87" s="159">
        <v>-152238.26</v>
      </c>
    </row>
    <row r="88" spans="1:4" ht="12.75">
      <c r="A88" s="33" t="s">
        <v>838</v>
      </c>
      <c r="B88" s="125" t="s">
        <v>651</v>
      </c>
      <c r="D88" s="159">
        <v>525977.49</v>
      </c>
    </row>
    <row r="89" spans="1:4" ht="12.75">
      <c r="A89" s="33" t="s">
        <v>839</v>
      </c>
      <c r="B89" s="125" t="s">
        <v>651</v>
      </c>
      <c r="D89" s="159">
        <v>378138.25</v>
      </c>
    </row>
    <row r="90" spans="1:4" ht="12.75">
      <c r="A90" s="33" t="s">
        <v>840</v>
      </c>
      <c r="B90" s="125" t="s">
        <v>651</v>
      </c>
      <c r="D90" s="159">
        <v>142905.07</v>
      </c>
    </row>
    <row r="91" spans="1:4" ht="12.75">
      <c r="A91" s="33" t="s">
        <v>841</v>
      </c>
      <c r="B91" s="125" t="s">
        <v>651</v>
      </c>
      <c r="D91" s="159">
        <v>819468.27</v>
      </c>
    </row>
    <row r="92" spans="1:4" ht="12.75">
      <c r="A92" s="33" t="s">
        <v>842</v>
      </c>
      <c r="B92" s="125" t="s">
        <v>651</v>
      </c>
      <c r="D92" s="159">
        <v>2028360.98</v>
      </c>
    </row>
    <row r="93" spans="1:4" ht="12.75">
      <c r="A93" s="33" t="s">
        <v>843</v>
      </c>
      <c r="B93" s="125" t="s">
        <v>651</v>
      </c>
      <c r="D93" s="159">
        <v>1233546.63</v>
      </c>
    </row>
    <row r="94" spans="1:4" ht="12.75">
      <c r="A94" s="33" t="s">
        <v>844</v>
      </c>
      <c r="B94" s="125" t="s">
        <v>651</v>
      </c>
      <c r="D94" s="159">
        <v>299337.99</v>
      </c>
    </row>
    <row r="95" spans="1:4" ht="12.75">
      <c r="A95" s="33" t="s">
        <v>845</v>
      </c>
      <c r="B95" s="125" t="s">
        <v>651</v>
      </c>
      <c r="D95" s="159">
        <v>957938.63</v>
      </c>
    </row>
    <row r="96" spans="1:4" ht="12.75">
      <c r="A96" s="33" t="s">
        <v>846</v>
      </c>
      <c r="B96" s="125" t="s">
        <v>651</v>
      </c>
      <c r="D96" s="159">
        <v>763402.45</v>
      </c>
    </row>
    <row r="97" spans="1:4" ht="12.75">
      <c r="A97" s="33" t="s">
        <v>847</v>
      </c>
      <c r="B97" s="125" t="s">
        <v>651</v>
      </c>
      <c r="D97" s="159">
        <v>1015587.44</v>
      </c>
    </row>
    <row r="98" ht="12.75">
      <c r="D98" s="159"/>
    </row>
    <row r="99" spans="1:4" ht="39">
      <c r="A99" s="157" t="s">
        <v>652</v>
      </c>
      <c r="D99" s="160">
        <f>SUM(D86:D97)</f>
        <v>7857714.859999999</v>
      </c>
    </row>
    <row r="102" spans="1:4" ht="12.75">
      <c r="A102" s="33" t="s">
        <v>836</v>
      </c>
      <c r="B102" s="125" t="s">
        <v>606</v>
      </c>
      <c r="D102" s="159">
        <v>264322.04</v>
      </c>
    </row>
    <row r="103" spans="1:4" ht="12.75">
      <c r="A103" s="33" t="s">
        <v>837</v>
      </c>
      <c r="B103" s="125" t="s">
        <v>606</v>
      </c>
      <c r="D103" s="159">
        <v>1763487.24</v>
      </c>
    </row>
    <row r="104" spans="1:4" ht="12.75">
      <c r="A104" s="33" t="s">
        <v>838</v>
      </c>
      <c r="B104" s="125" t="s">
        <v>606</v>
      </c>
      <c r="D104" s="159">
        <v>815045.12</v>
      </c>
    </row>
    <row r="105" spans="1:4" ht="12.75">
      <c r="A105" s="33" t="s">
        <v>839</v>
      </c>
      <c r="B105" s="125" t="s">
        <v>606</v>
      </c>
      <c r="D105" s="159">
        <v>577682.97</v>
      </c>
    </row>
    <row r="106" spans="1:4" ht="12.75">
      <c r="A106" s="33" t="s">
        <v>840</v>
      </c>
      <c r="B106" s="125" t="s">
        <v>606</v>
      </c>
      <c r="D106" s="159">
        <v>607288.54</v>
      </c>
    </row>
    <row r="107" spans="1:4" ht="12.75">
      <c r="A107" s="33" t="s">
        <v>841</v>
      </c>
      <c r="B107" s="125" t="s">
        <v>606</v>
      </c>
      <c r="D107" s="159">
        <v>1389547.13</v>
      </c>
    </row>
    <row r="108" spans="1:4" ht="12.75">
      <c r="A108" s="33" t="s">
        <v>842</v>
      </c>
      <c r="B108" s="125" t="s">
        <v>606</v>
      </c>
      <c r="D108" s="159">
        <v>2079009.58</v>
      </c>
    </row>
    <row r="109" spans="1:4" ht="12.75">
      <c r="A109" s="33" t="s">
        <v>843</v>
      </c>
      <c r="B109" s="125" t="s">
        <v>606</v>
      </c>
      <c r="D109" s="159">
        <v>1598506.71</v>
      </c>
    </row>
    <row r="110" spans="1:4" ht="12.75">
      <c r="A110" s="33" t="s">
        <v>844</v>
      </c>
      <c r="B110" s="125" t="s">
        <v>606</v>
      </c>
      <c r="D110" s="159">
        <v>504127.33</v>
      </c>
    </row>
    <row r="111" spans="1:4" ht="12.75">
      <c r="A111" s="33" t="s">
        <v>845</v>
      </c>
      <c r="B111" s="125" t="s">
        <v>606</v>
      </c>
      <c r="D111" s="159">
        <v>785472.29</v>
      </c>
    </row>
    <row r="112" spans="1:4" ht="12.75">
      <c r="A112" s="33" t="s">
        <v>846</v>
      </c>
      <c r="B112" s="125" t="s">
        <v>606</v>
      </c>
      <c r="D112" s="159">
        <v>771731.36</v>
      </c>
    </row>
    <row r="113" spans="1:4" ht="12.75">
      <c r="A113" s="33" t="s">
        <v>847</v>
      </c>
      <c r="B113" s="125" t="s">
        <v>606</v>
      </c>
      <c r="D113" s="159">
        <v>528995.96</v>
      </c>
    </row>
    <row r="114" ht="12.75">
      <c r="D114" s="159"/>
    </row>
    <row r="115" spans="1:4" ht="39">
      <c r="A115" s="157" t="s">
        <v>607</v>
      </c>
      <c r="D115" s="160">
        <f>SUM(D102:D113)</f>
        <v>11685216.27</v>
      </c>
    </row>
    <row r="118" spans="1:4" ht="12.75">
      <c r="A118" s="33" t="s">
        <v>836</v>
      </c>
      <c r="B118" s="125" t="s">
        <v>304</v>
      </c>
      <c r="D118" s="159">
        <v>1476414.05</v>
      </c>
    </row>
    <row r="119" spans="1:4" ht="12.75">
      <c r="A119" s="33" t="s">
        <v>837</v>
      </c>
      <c r="B119" s="125" t="s">
        <v>304</v>
      </c>
      <c r="D119" s="159">
        <v>2854552.75</v>
      </c>
    </row>
    <row r="120" spans="1:4" ht="12.75">
      <c r="A120" s="33" t="s">
        <v>838</v>
      </c>
      <c r="B120" s="125" t="s">
        <v>304</v>
      </c>
      <c r="D120" s="159">
        <v>1288816.3</v>
      </c>
    </row>
    <row r="121" spans="1:4" ht="12.75">
      <c r="A121" s="33" t="s">
        <v>839</v>
      </c>
      <c r="B121" s="125" t="s">
        <v>304</v>
      </c>
      <c r="D121" s="159">
        <v>478212.4</v>
      </c>
    </row>
    <row r="122" spans="1:4" ht="12.75">
      <c r="A122" s="33" t="s">
        <v>840</v>
      </c>
      <c r="B122" s="125" t="s">
        <v>304</v>
      </c>
      <c r="D122" s="159">
        <v>653587.8</v>
      </c>
    </row>
    <row r="123" spans="1:4" ht="12.75">
      <c r="A123" s="33" t="s">
        <v>841</v>
      </c>
      <c r="B123" s="125" t="s">
        <v>304</v>
      </c>
      <c r="D123" s="159">
        <v>1913666.54</v>
      </c>
    </row>
    <row r="124" spans="1:4" ht="12.75">
      <c r="A124" s="33" t="s">
        <v>842</v>
      </c>
      <c r="B124" s="125" t="s">
        <v>304</v>
      </c>
      <c r="D124" s="159">
        <v>3141025.4</v>
      </c>
    </row>
    <row r="125" spans="1:4" ht="12.75">
      <c r="A125" s="33" t="s">
        <v>843</v>
      </c>
      <c r="B125" s="125" t="s">
        <v>304</v>
      </c>
      <c r="D125" s="159">
        <v>2443020.96</v>
      </c>
    </row>
    <row r="126" spans="1:4" ht="12.75">
      <c r="A126" s="33" t="s">
        <v>844</v>
      </c>
      <c r="B126" s="125" t="s">
        <v>304</v>
      </c>
      <c r="D126" s="159">
        <v>556367</v>
      </c>
    </row>
    <row r="127" spans="1:4" ht="12.75">
      <c r="A127" s="33" t="s">
        <v>845</v>
      </c>
      <c r="B127" s="125" t="s">
        <v>304</v>
      </c>
      <c r="D127" s="159">
        <v>715652</v>
      </c>
    </row>
    <row r="128" spans="1:4" ht="12.75">
      <c r="A128" s="33" t="s">
        <v>846</v>
      </c>
      <c r="B128" s="125" t="s">
        <v>304</v>
      </c>
      <c r="D128" s="159">
        <v>534484</v>
      </c>
    </row>
    <row r="129" spans="1:4" ht="12.75">
      <c r="A129" s="33" t="s">
        <v>847</v>
      </c>
      <c r="B129" s="125" t="s">
        <v>304</v>
      </c>
      <c r="D129" s="159">
        <v>1839068</v>
      </c>
    </row>
    <row r="130" ht="12.75">
      <c r="D130" s="159"/>
    </row>
    <row r="131" spans="1:4" ht="39">
      <c r="A131" s="157" t="s">
        <v>305</v>
      </c>
      <c r="D131" s="160">
        <f>SUM(D118:D129)</f>
        <v>17894867.2</v>
      </c>
    </row>
    <row r="134" spans="1:4" ht="12.75">
      <c r="A134" s="33" t="s">
        <v>836</v>
      </c>
      <c r="B134" s="125" t="s">
        <v>404</v>
      </c>
      <c r="D134" s="159">
        <v>2405036</v>
      </c>
    </row>
    <row r="135" spans="1:4" ht="12.75">
      <c r="A135" s="33" t="s">
        <v>837</v>
      </c>
      <c r="B135" s="125" t="s">
        <v>404</v>
      </c>
      <c r="D135" s="159">
        <v>1406402</v>
      </c>
    </row>
    <row r="136" spans="1:4" ht="12.75">
      <c r="A136" s="33" t="s">
        <v>838</v>
      </c>
      <c r="B136" s="125" t="s">
        <v>404</v>
      </c>
      <c r="D136" s="159">
        <v>1334</v>
      </c>
    </row>
    <row r="137" spans="1:4" ht="12.75">
      <c r="A137" s="33" t="s">
        <v>839</v>
      </c>
      <c r="B137" s="125" t="s">
        <v>404</v>
      </c>
      <c r="D137" s="159">
        <v>1267425</v>
      </c>
    </row>
    <row r="138" spans="1:4" ht="12.75">
      <c r="A138" s="33" t="s">
        <v>840</v>
      </c>
      <c r="B138" s="125" t="s">
        <v>404</v>
      </c>
      <c r="D138" s="159">
        <v>1308381</v>
      </c>
    </row>
    <row r="139" spans="1:4" ht="12.75">
      <c r="A139" s="33" t="s">
        <v>841</v>
      </c>
      <c r="B139" s="125" t="s">
        <v>404</v>
      </c>
      <c r="D139" s="159">
        <v>2470524</v>
      </c>
    </row>
    <row r="140" spans="1:4" ht="12.75">
      <c r="A140" s="33" t="s">
        <v>842</v>
      </c>
      <c r="B140" s="125" t="s">
        <v>404</v>
      </c>
      <c r="D140" s="159">
        <v>1798104</v>
      </c>
    </row>
    <row r="141" spans="1:4" ht="12.75">
      <c r="A141" s="33" t="s">
        <v>843</v>
      </c>
      <c r="B141" s="125" t="s">
        <v>404</v>
      </c>
      <c r="D141" s="159">
        <v>1572564</v>
      </c>
    </row>
    <row r="142" spans="1:4" ht="12.75">
      <c r="A142" s="33" t="s">
        <v>844</v>
      </c>
      <c r="B142" s="125" t="s">
        <v>404</v>
      </c>
      <c r="D142" s="512">
        <v>146985</v>
      </c>
    </row>
    <row r="143" spans="1:4" ht="12.75">
      <c r="A143" s="33" t="s">
        <v>845</v>
      </c>
      <c r="B143" s="125" t="s">
        <v>404</v>
      </c>
      <c r="D143" s="159">
        <v>-57685</v>
      </c>
    </row>
    <row r="144" spans="1:4" ht="12.75">
      <c r="A144" s="33" t="s">
        <v>846</v>
      </c>
      <c r="B144" s="125" t="s">
        <v>404</v>
      </c>
      <c r="D144" s="159">
        <v>212503</v>
      </c>
    </row>
    <row r="145" spans="1:4" ht="12.75">
      <c r="A145" s="33" t="s">
        <v>847</v>
      </c>
      <c r="B145" s="125" t="s">
        <v>404</v>
      </c>
      <c r="D145" s="159">
        <v>521483</v>
      </c>
    </row>
    <row r="146" ht="12.75">
      <c r="D146" s="159"/>
    </row>
    <row r="147" spans="1:4" ht="39">
      <c r="A147" s="157" t="s">
        <v>405</v>
      </c>
      <c r="D147" s="160">
        <f>SUM(D134:D145)</f>
        <v>13053056</v>
      </c>
    </row>
    <row r="150" spans="1:4" ht="12.75">
      <c r="A150" s="33" t="s">
        <v>836</v>
      </c>
      <c r="B150" s="3">
        <v>2012</v>
      </c>
      <c r="D150" s="501">
        <v>825911</v>
      </c>
    </row>
    <row r="151" spans="1:4" ht="12.75">
      <c r="A151" s="33" t="s">
        <v>837</v>
      </c>
      <c r="B151" s="3">
        <v>2012</v>
      </c>
      <c r="D151" s="501">
        <v>544739</v>
      </c>
    </row>
    <row r="152" spans="1:4" ht="12.75">
      <c r="A152" s="33" t="s">
        <v>838</v>
      </c>
      <c r="B152" s="3">
        <v>2012</v>
      </c>
      <c r="D152" s="501">
        <v>-538648</v>
      </c>
    </row>
    <row r="153" spans="1:4" ht="12.75">
      <c r="A153" s="33" t="s">
        <v>839</v>
      </c>
      <c r="B153" s="3">
        <v>2012</v>
      </c>
      <c r="D153" s="501">
        <v>-203395</v>
      </c>
    </row>
    <row r="154" spans="1:4" ht="12.75">
      <c r="A154" s="33" t="s">
        <v>840</v>
      </c>
      <c r="B154" s="3">
        <v>2012</v>
      </c>
      <c r="D154" s="501">
        <v>-1019778</v>
      </c>
    </row>
    <row r="155" spans="1:4" ht="12.75">
      <c r="A155" s="33" t="s">
        <v>841</v>
      </c>
      <c r="B155" s="3">
        <v>2012</v>
      </c>
      <c r="D155" s="501">
        <v>-572180</v>
      </c>
    </row>
    <row r="156" spans="1:4" ht="12.75">
      <c r="A156" s="33" t="s">
        <v>842</v>
      </c>
      <c r="B156" s="3">
        <v>2012</v>
      </c>
      <c r="D156" s="501">
        <v>-1794611</v>
      </c>
    </row>
    <row r="157" spans="1:4" ht="12.75">
      <c r="A157" s="33" t="s">
        <v>843</v>
      </c>
      <c r="B157" s="3">
        <v>2012</v>
      </c>
      <c r="D157" s="501">
        <v>-745978</v>
      </c>
    </row>
    <row r="158" spans="1:4" ht="12.75">
      <c r="A158" s="33" t="s">
        <v>844</v>
      </c>
      <c r="B158" s="3">
        <v>2012</v>
      </c>
      <c r="D158" s="501">
        <v>-190301</v>
      </c>
    </row>
    <row r="159" spans="1:4" ht="12.75">
      <c r="A159" s="33" t="s">
        <v>845</v>
      </c>
      <c r="B159" s="3">
        <v>2012</v>
      </c>
      <c r="D159" s="501">
        <v>-384474</v>
      </c>
    </row>
    <row r="160" spans="1:4" ht="12.75">
      <c r="A160" s="33" t="s">
        <v>846</v>
      </c>
      <c r="B160" s="3">
        <v>2012</v>
      </c>
      <c r="D160" s="501">
        <v>-1000884</v>
      </c>
    </row>
    <row r="161" spans="1:4" ht="12.75">
      <c r="A161" s="33" t="s">
        <v>847</v>
      </c>
      <c r="B161" s="3">
        <v>2012</v>
      </c>
      <c r="D161" s="501">
        <v>-1137970</v>
      </c>
    </row>
    <row r="162" ht="12.75">
      <c r="D162" s="501"/>
    </row>
    <row r="163" spans="1:4" ht="39">
      <c r="A163" s="157" t="s">
        <v>601</v>
      </c>
      <c r="D163" s="160">
        <f>SUM(D150:D161)</f>
        <v>-6217569</v>
      </c>
    </row>
    <row r="166" spans="1:4" ht="12.75">
      <c r="A166" s="33" t="s">
        <v>836</v>
      </c>
      <c r="B166" s="3">
        <v>2013</v>
      </c>
      <c r="D166" s="501">
        <v>-1188450</v>
      </c>
    </row>
    <row r="167" spans="1:4" ht="12.75">
      <c r="A167" s="33" t="s">
        <v>837</v>
      </c>
      <c r="B167" s="3">
        <v>2013</v>
      </c>
      <c r="D167" s="501">
        <v>-954649</v>
      </c>
    </row>
    <row r="168" spans="1:4" ht="12.75">
      <c r="A168" s="33" t="s">
        <v>838</v>
      </c>
      <c r="B168" s="3">
        <v>2013</v>
      </c>
      <c r="D168" s="501">
        <v>-440223</v>
      </c>
    </row>
    <row r="169" spans="1:4" ht="12.75">
      <c r="A169" s="33" t="s">
        <v>839</v>
      </c>
      <c r="B169" s="3">
        <v>2013</v>
      </c>
      <c r="D169" s="501">
        <v>184504</v>
      </c>
    </row>
    <row r="170" spans="1:4" ht="12.75">
      <c r="A170" s="33" t="s">
        <v>840</v>
      </c>
      <c r="B170" s="3">
        <v>2013</v>
      </c>
      <c r="D170" s="501">
        <v>128733</v>
      </c>
    </row>
    <row r="171" spans="1:4" ht="12.75">
      <c r="A171" s="33" t="s">
        <v>841</v>
      </c>
      <c r="B171" s="3">
        <v>2013</v>
      </c>
      <c r="D171" s="501">
        <v>-581052</v>
      </c>
    </row>
    <row r="172" spans="1:4" ht="12.75">
      <c r="A172" s="33" t="s">
        <v>842</v>
      </c>
      <c r="B172" s="3">
        <v>2013</v>
      </c>
      <c r="D172" s="501">
        <v>-1480779</v>
      </c>
    </row>
    <row r="173" spans="1:4" ht="12.75">
      <c r="A173" s="33" t="s">
        <v>843</v>
      </c>
      <c r="B173" s="3">
        <v>2013</v>
      </c>
      <c r="D173" s="501">
        <v>-1122145</v>
      </c>
    </row>
    <row r="174" spans="1:4" ht="12.75">
      <c r="A174" s="33" t="s">
        <v>844</v>
      </c>
      <c r="B174" s="3">
        <v>2013</v>
      </c>
      <c r="D174" s="501">
        <v>-413763</v>
      </c>
    </row>
    <row r="175" spans="1:4" ht="12.75">
      <c r="A175" s="33" t="s">
        <v>845</v>
      </c>
      <c r="B175" s="3">
        <v>2013</v>
      </c>
      <c r="D175" s="501">
        <v>-829052.82</v>
      </c>
    </row>
    <row r="176" spans="1:4" ht="12.75">
      <c r="A176" s="33" t="s">
        <v>846</v>
      </c>
      <c r="B176" s="3">
        <v>2013</v>
      </c>
      <c r="D176" s="501">
        <v>0</v>
      </c>
    </row>
    <row r="177" spans="1:4" ht="12.75">
      <c r="A177" s="33" t="s">
        <v>847</v>
      </c>
      <c r="B177" s="3">
        <v>2013</v>
      </c>
      <c r="D177" s="501">
        <v>0</v>
      </c>
    </row>
    <row r="178" ht="12.75">
      <c r="D178" s="501"/>
    </row>
    <row r="179" spans="1:4" ht="39">
      <c r="A179" s="157" t="s">
        <v>547</v>
      </c>
      <c r="D179" s="160">
        <f>SUM(D166:D177)</f>
        <v>-6696876.82</v>
      </c>
    </row>
  </sheetData>
  <sheetProtection/>
  <printOptions gridLines="1" horizontalCentered="1" verticalCentered="1"/>
  <pageMargins left="0" right="0" top="0" bottom="0" header="0" footer="0"/>
  <pageSetup horizontalDpi="300" verticalDpi="300" orientation="portrait" r:id="rId1"/>
  <rowBreaks count="4" manualBreakCount="4">
    <brk id="36" max="255" man="1"/>
    <brk id="68" max="255" man="1"/>
    <brk id="100" max="255" man="1"/>
    <brk id="132" max="255" man="1"/>
  </rowBreaks>
</worksheet>
</file>

<file path=xl/worksheets/sheet27.xml><?xml version="1.0" encoding="utf-8"?>
<worksheet xmlns="http://schemas.openxmlformats.org/spreadsheetml/2006/main" xmlns:r="http://schemas.openxmlformats.org/officeDocument/2006/relationships">
  <dimension ref="A1:M13"/>
  <sheetViews>
    <sheetView zoomScalePageLayoutView="0" workbookViewId="0" topLeftCell="A1">
      <pane xSplit="8" ySplit="1" topLeftCell="I2" activePane="bottomRight" state="frozen"/>
      <selection pane="topLeft" activeCell="L10" sqref="L10"/>
      <selection pane="topRight" activeCell="L10" sqref="L10"/>
      <selection pane="bottomLeft" activeCell="L10" sqref="L10"/>
      <selection pane="bottomRight" activeCell="M25" sqref="M25"/>
    </sheetView>
  </sheetViews>
  <sheetFormatPr defaultColWidth="9.140625" defaultRowHeight="12.75"/>
  <cols>
    <col min="1" max="1" width="10.140625" style="61" customWidth="1"/>
    <col min="2" max="3" width="5.140625" style="61" customWidth="1"/>
    <col min="4" max="4" width="9.421875" style="61" customWidth="1"/>
    <col min="5" max="5" width="31.421875" style="61" customWidth="1"/>
    <col min="6" max="6" width="11.00390625" style="61" customWidth="1"/>
    <col min="7" max="7" width="8.421875" style="61" customWidth="1"/>
    <col min="8" max="8" width="9.140625" style="61" customWidth="1"/>
    <col min="9" max="9" width="11.00390625" style="61" customWidth="1"/>
    <col min="10" max="10" width="6.00390625" style="61" customWidth="1"/>
    <col min="11" max="11" width="7.00390625" style="61" customWidth="1"/>
    <col min="12" max="12" width="12.7109375" style="436" customWidth="1"/>
    <col min="13" max="13" width="18.7109375" style="61" bestFit="1" customWidth="1"/>
    <col min="14" max="14" width="2.28125" style="61" customWidth="1"/>
    <col min="15" max="52" width="8.7109375" style="61" customWidth="1"/>
    <col min="53" max="16384" width="9.140625" style="61" customWidth="1"/>
  </cols>
  <sheetData>
    <row r="1" spans="1:13" ht="24.75">
      <c r="A1" s="332" t="s">
        <v>335</v>
      </c>
      <c r="B1" s="332" t="s">
        <v>694</v>
      </c>
      <c r="C1" s="332" t="s">
        <v>337</v>
      </c>
      <c r="D1" s="332" t="s">
        <v>695</v>
      </c>
      <c r="E1" s="332" t="s">
        <v>128</v>
      </c>
      <c r="F1" s="332" t="s">
        <v>696</v>
      </c>
      <c r="G1" s="332" t="s">
        <v>697</v>
      </c>
      <c r="H1" s="332" t="s">
        <v>310</v>
      </c>
      <c r="I1" s="332" t="s">
        <v>698</v>
      </c>
      <c r="J1" s="332" t="s">
        <v>699</v>
      </c>
      <c r="K1" s="332" t="s">
        <v>341</v>
      </c>
      <c r="L1" s="334" t="s">
        <v>342</v>
      </c>
      <c r="M1" s="333" t="s">
        <v>674</v>
      </c>
    </row>
    <row r="2" spans="1:13" s="13" customFormat="1" ht="12.75">
      <c r="A2" s="403"/>
      <c r="B2" s="404"/>
      <c r="C2" s="404"/>
      <c r="D2" s="404"/>
      <c r="E2" s="404"/>
      <c r="F2" s="404"/>
      <c r="G2" s="404"/>
      <c r="H2" s="404"/>
      <c r="I2" s="404"/>
      <c r="J2" s="404"/>
      <c r="K2" s="404"/>
      <c r="L2" s="435"/>
      <c r="M2" s="404"/>
    </row>
    <row r="3" spans="1:13" ht="12.75">
      <c r="A3" s="329" t="s">
        <v>75</v>
      </c>
      <c r="B3" s="330" t="s">
        <v>700</v>
      </c>
      <c r="C3" s="330" t="s">
        <v>700</v>
      </c>
      <c r="D3" s="330" t="s">
        <v>76</v>
      </c>
      <c r="E3" s="330" t="s">
        <v>701</v>
      </c>
      <c r="F3" s="330" t="s">
        <v>77</v>
      </c>
      <c r="G3" s="330" t="s">
        <v>78</v>
      </c>
      <c r="H3" s="330" t="s">
        <v>313</v>
      </c>
      <c r="I3" s="330" t="s">
        <v>702</v>
      </c>
      <c r="J3" s="330" t="s">
        <v>703</v>
      </c>
      <c r="K3" s="330" t="s">
        <v>346</v>
      </c>
      <c r="L3" s="433">
        <v>362946.9</v>
      </c>
      <c r="M3" s="406" t="s">
        <v>129</v>
      </c>
    </row>
    <row r="4" spans="1:13" ht="12.75">
      <c r="A4" s="408"/>
      <c r="B4" s="409"/>
      <c r="C4" s="409"/>
      <c r="D4" s="409"/>
      <c r="E4" s="409"/>
      <c r="F4" s="409"/>
      <c r="G4" s="409"/>
      <c r="H4" s="409"/>
      <c r="I4" s="409"/>
      <c r="J4" s="409"/>
      <c r="K4" s="409"/>
      <c r="L4" s="434"/>
      <c r="M4" s="409"/>
    </row>
    <row r="5" spans="1:13" ht="26.25">
      <c r="A5" s="405" t="s">
        <v>927</v>
      </c>
      <c r="B5" s="406" t="s">
        <v>700</v>
      </c>
      <c r="C5" s="406" t="s">
        <v>700</v>
      </c>
      <c r="D5" s="406" t="s">
        <v>928</v>
      </c>
      <c r="E5" s="406" t="s">
        <v>701</v>
      </c>
      <c r="F5" s="406" t="s">
        <v>929</v>
      </c>
      <c r="G5" s="406" t="s">
        <v>930</v>
      </c>
      <c r="H5" s="406" t="s">
        <v>313</v>
      </c>
      <c r="I5" s="406" t="s">
        <v>931</v>
      </c>
      <c r="J5" s="406" t="s">
        <v>703</v>
      </c>
      <c r="K5" s="406" t="s">
        <v>346</v>
      </c>
      <c r="L5" s="433">
        <v>378457.19</v>
      </c>
      <c r="M5" s="406" t="s">
        <v>129</v>
      </c>
    </row>
    <row r="7" spans="1:13" ht="26.25">
      <c r="A7" s="405" t="s">
        <v>588</v>
      </c>
      <c r="B7" s="406" t="s">
        <v>700</v>
      </c>
      <c r="C7" s="406" t="s">
        <v>700</v>
      </c>
      <c r="D7" s="406" t="s">
        <v>589</v>
      </c>
      <c r="E7" s="406" t="s">
        <v>701</v>
      </c>
      <c r="F7" s="406" t="s">
        <v>77</v>
      </c>
      <c r="G7" s="406" t="s">
        <v>590</v>
      </c>
      <c r="H7" s="406" t="s">
        <v>313</v>
      </c>
      <c r="I7" s="406" t="s">
        <v>591</v>
      </c>
      <c r="J7" s="406" t="s">
        <v>703</v>
      </c>
      <c r="K7" s="406" t="s">
        <v>346</v>
      </c>
      <c r="L7" s="407">
        <v>366611.47</v>
      </c>
      <c r="M7" s="409" t="s">
        <v>592</v>
      </c>
    </row>
    <row r="9" spans="1:13" ht="26.25">
      <c r="A9" s="405" t="s">
        <v>583</v>
      </c>
      <c r="B9" s="406" t="s">
        <v>700</v>
      </c>
      <c r="C9" s="406" t="s">
        <v>700</v>
      </c>
      <c r="D9" s="406" t="s">
        <v>584</v>
      </c>
      <c r="E9" s="406" t="s">
        <v>701</v>
      </c>
      <c r="F9" s="406" t="s">
        <v>929</v>
      </c>
      <c r="G9" s="406" t="s">
        <v>585</v>
      </c>
      <c r="H9" s="406" t="s">
        <v>313</v>
      </c>
      <c r="I9" s="406" t="s">
        <v>586</v>
      </c>
      <c r="J9" s="406" t="s">
        <v>703</v>
      </c>
      <c r="K9" s="406" t="s">
        <v>346</v>
      </c>
      <c r="L9" s="407">
        <v>380382.73</v>
      </c>
      <c r="M9" s="409" t="s">
        <v>592</v>
      </c>
    </row>
    <row r="11" spans="1:13" ht="26.25">
      <c r="A11" s="61" t="s">
        <v>42</v>
      </c>
      <c r="B11" s="61" t="s">
        <v>700</v>
      </c>
      <c r="C11" s="61" t="s">
        <v>700</v>
      </c>
      <c r="D11" s="61" t="s">
        <v>43</v>
      </c>
      <c r="E11" s="406" t="s">
        <v>701</v>
      </c>
      <c r="F11" s="406" t="s">
        <v>929</v>
      </c>
      <c r="G11" s="4" t="s">
        <v>45</v>
      </c>
      <c r="H11" s="4" t="s">
        <v>313</v>
      </c>
      <c r="I11" s="4" t="s">
        <v>46</v>
      </c>
      <c r="J11" s="4" t="s">
        <v>703</v>
      </c>
      <c r="K11" s="4" t="s">
        <v>346</v>
      </c>
      <c r="L11" s="436">
        <v>253357.54</v>
      </c>
      <c r="M11" s="409" t="s">
        <v>592</v>
      </c>
    </row>
    <row r="13" spans="1:13" ht="12.75">
      <c r="A13" s="465" t="s">
        <v>480</v>
      </c>
      <c r="B13" s="466" t="s">
        <v>700</v>
      </c>
      <c r="C13" s="466" t="s">
        <v>700</v>
      </c>
      <c r="D13" s="466" t="s">
        <v>481</v>
      </c>
      <c r="E13" s="466" t="s">
        <v>701</v>
      </c>
      <c r="F13" s="466" t="s">
        <v>929</v>
      </c>
      <c r="G13" s="469" t="s">
        <v>482</v>
      </c>
      <c r="H13" s="469" t="s">
        <v>313</v>
      </c>
      <c r="I13" s="466" t="s">
        <v>483</v>
      </c>
      <c r="J13" s="466" t="s">
        <v>703</v>
      </c>
      <c r="K13" s="469" t="s">
        <v>346</v>
      </c>
      <c r="L13" s="467">
        <v>471193.07</v>
      </c>
      <c r="M13" s="466" t="s">
        <v>592</v>
      </c>
    </row>
  </sheetData>
  <sheetProtection/>
  <printOptions gridLines="1" horizontalCentered="1" verticalCentered="1"/>
  <pageMargins left="0" right="0" top="1" bottom="0.5" header="1" footer="0"/>
  <pageSetup horizontalDpi="600" verticalDpi="600" orientation="landscape" scale="90" r:id="rId1"/>
  <headerFooter alignWithMargins="0">
    <oddHeader>&amp;CKentucky Air Emission Fee</oddHeader>
  </headerFooter>
</worksheet>
</file>

<file path=xl/worksheets/sheet28.xml><?xml version="1.0" encoding="utf-8"?>
<worksheet xmlns="http://schemas.openxmlformats.org/spreadsheetml/2006/main" xmlns:r="http://schemas.openxmlformats.org/officeDocument/2006/relationships">
  <dimension ref="A1:T33"/>
  <sheetViews>
    <sheetView zoomScalePageLayoutView="0" workbookViewId="0" topLeftCell="A1">
      <pane xSplit="2" ySplit="3" topLeftCell="C13" activePane="bottomRight" state="frozen"/>
      <selection pane="topLeft" activeCell="O58" sqref="O58"/>
      <selection pane="topRight" activeCell="O58" sqref="O58"/>
      <selection pane="bottomLeft" activeCell="O58" sqref="O58"/>
      <selection pane="bottomRight" activeCell="A2" sqref="A2"/>
    </sheetView>
  </sheetViews>
  <sheetFormatPr defaultColWidth="9.140625" defaultRowHeight="12.75"/>
  <cols>
    <col min="1" max="1" width="11.140625" style="0" bestFit="1" customWidth="1"/>
    <col min="2" max="2" width="3.7109375" style="0" customWidth="1"/>
    <col min="3" max="4" width="12.7109375" style="0" customWidth="1"/>
    <col min="5" max="5" width="2.28125" style="0" customWidth="1"/>
    <col min="6" max="6" width="13.7109375" style="0" bestFit="1" customWidth="1"/>
    <col min="7" max="7" width="13.28125" style="0" bestFit="1" customWidth="1"/>
    <col min="8" max="8" width="3.7109375" style="0" customWidth="1"/>
    <col min="9" max="9" width="13.28125" style="0" bestFit="1" customWidth="1"/>
    <col min="10" max="10" width="12.7109375" style="0" customWidth="1"/>
    <col min="11" max="11" width="2.28125" style="0" customWidth="1"/>
    <col min="12" max="12" width="9.00390625" style="3" bestFit="1" customWidth="1"/>
    <col min="13" max="13" width="10.140625" style="3" bestFit="1" customWidth="1"/>
    <col min="14" max="14" width="8.28125" style="3" bestFit="1" customWidth="1"/>
    <col min="15" max="15" width="6.00390625" style="3" bestFit="1" customWidth="1"/>
    <col min="16" max="16" width="8.7109375" style="0" bestFit="1" customWidth="1"/>
    <col min="17" max="17" width="11.00390625" style="3" bestFit="1" customWidth="1"/>
    <col min="18" max="18" width="2.28125" style="0" customWidth="1"/>
    <col min="20" max="20" width="11.7109375" style="0" bestFit="1" customWidth="1"/>
  </cols>
  <sheetData>
    <row r="1" spans="1:17" ht="66">
      <c r="A1" s="157" t="s">
        <v>322</v>
      </c>
      <c r="C1" s="157" t="s">
        <v>495</v>
      </c>
      <c r="D1" s="157" t="s">
        <v>484</v>
      </c>
      <c r="F1" s="157" t="s">
        <v>485</v>
      </c>
      <c r="G1" s="157" t="s">
        <v>486</v>
      </c>
      <c r="I1" s="157" t="s">
        <v>497</v>
      </c>
      <c r="J1" s="157" t="s">
        <v>498</v>
      </c>
      <c r="L1" s="157" t="s">
        <v>308</v>
      </c>
      <c r="M1" s="157" t="s">
        <v>309</v>
      </c>
      <c r="N1" s="157" t="s">
        <v>310</v>
      </c>
      <c r="O1" s="157" t="s">
        <v>314</v>
      </c>
      <c r="P1" s="157" t="s">
        <v>311</v>
      </c>
      <c r="Q1" s="157" t="s">
        <v>312</v>
      </c>
    </row>
    <row r="2" spans="1:10" ht="12.75">
      <c r="A2" s="147"/>
      <c r="C2" s="157"/>
      <c r="D2" s="157"/>
      <c r="F2" s="157"/>
      <c r="G2" s="157" t="s">
        <v>487</v>
      </c>
      <c r="I2" s="157" t="s">
        <v>496</v>
      </c>
      <c r="J2" s="157" t="s">
        <v>499</v>
      </c>
    </row>
    <row r="3" spans="1:17" ht="12.75">
      <c r="A3" s="308">
        <v>-1</v>
      </c>
      <c r="B3" s="146"/>
      <c r="C3" s="307">
        <f>+A3-1</f>
        <v>-2</v>
      </c>
      <c r="D3" s="307">
        <f>+C3-1</f>
        <v>-3</v>
      </c>
      <c r="E3" s="146"/>
      <c r="F3" s="307">
        <f>+D3-1</f>
        <v>-4</v>
      </c>
      <c r="G3" s="307">
        <f>+F3-1</f>
        <v>-5</v>
      </c>
      <c r="I3" s="307">
        <f>+G3-1</f>
        <v>-6</v>
      </c>
      <c r="J3" s="307">
        <f>+I3-1</f>
        <v>-7</v>
      </c>
      <c r="L3" s="307">
        <f>+J3-1</f>
        <v>-8</v>
      </c>
      <c r="M3" s="307">
        <f>+L3-1</f>
        <v>-9</v>
      </c>
      <c r="N3" s="307">
        <f>+M3-1</f>
        <v>-10</v>
      </c>
      <c r="O3" s="307">
        <f>+N3-1</f>
        <v>-11</v>
      </c>
      <c r="P3" s="307">
        <f>+O3-1</f>
        <v>-12</v>
      </c>
      <c r="Q3" s="307">
        <f>+P3-1</f>
        <v>-13</v>
      </c>
    </row>
    <row r="4" spans="1:16" ht="12.75">
      <c r="A4" s="91"/>
      <c r="C4" s="307"/>
      <c r="D4" s="307"/>
      <c r="F4" s="307"/>
      <c r="G4" s="307"/>
      <c r="P4" s="61"/>
    </row>
    <row r="5" spans="1:20" ht="39">
      <c r="A5" s="11" t="s">
        <v>468</v>
      </c>
      <c r="C5" s="284">
        <v>282484.4</v>
      </c>
      <c r="D5" s="62">
        <v>867000</v>
      </c>
      <c r="E5" s="125" t="s">
        <v>467</v>
      </c>
      <c r="F5" s="62">
        <f>867000+2033000</f>
        <v>2900000</v>
      </c>
      <c r="G5" s="321">
        <v>0.29885</v>
      </c>
      <c r="H5" s="251" t="s">
        <v>691</v>
      </c>
      <c r="I5" s="84">
        <f>ROUND(C5*G5,0)</f>
        <v>84420</v>
      </c>
      <c r="J5" s="510">
        <f>ROUND(I5/12,0)</f>
        <v>7035</v>
      </c>
      <c r="L5" s="125" t="s">
        <v>53</v>
      </c>
      <c r="M5" s="125" t="s">
        <v>54</v>
      </c>
      <c r="N5" s="125" t="s">
        <v>597</v>
      </c>
      <c r="O5" s="125" t="s">
        <v>318</v>
      </c>
      <c r="P5" s="61" t="s">
        <v>319</v>
      </c>
      <c r="Q5" s="167" t="s">
        <v>753</v>
      </c>
      <c r="R5" s="288"/>
      <c r="S5" s="288"/>
      <c r="T5" s="284"/>
    </row>
    <row r="6" spans="1:20" ht="12.75">
      <c r="A6" s="11"/>
      <c r="C6" s="284"/>
      <c r="E6" s="288"/>
      <c r="F6" s="62"/>
      <c r="I6" s="84"/>
      <c r="J6" s="84"/>
      <c r="L6" s="125"/>
      <c r="M6" s="125"/>
      <c r="N6" s="125"/>
      <c r="O6" s="125"/>
      <c r="P6" s="61"/>
      <c r="Q6" s="125"/>
      <c r="R6" s="288"/>
      <c r="S6" s="288"/>
      <c r="T6" s="288"/>
    </row>
    <row r="7" spans="1:20" ht="12.75">
      <c r="A7" s="11" t="s">
        <v>469</v>
      </c>
      <c r="C7" s="284">
        <v>323528.16</v>
      </c>
      <c r="D7" s="62">
        <v>610000</v>
      </c>
      <c r="E7" s="125" t="s">
        <v>467</v>
      </c>
      <c r="F7" s="91">
        <v>1870000</v>
      </c>
      <c r="G7" s="321">
        <v>0.32619</v>
      </c>
      <c r="H7" s="251" t="s">
        <v>692</v>
      </c>
      <c r="I7" s="84">
        <f>ROUND(C7*G7,0)</f>
        <v>105532</v>
      </c>
      <c r="J7" s="510">
        <f>ROUND(I7/12,0)</f>
        <v>8794</v>
      </c>
      <c r="L7" s="1" t="s">
        <v>598</v>
      </c>
      <c r="M7" s="125"/>
      <c r="N7" s="125"/>
      <c r="O7" s="125"/>
      <c r="P7" s="61"/>
      <c r="Q7" s="125"/>
      <c r="R7" s="288"/>
      <c r="S7" s="288"/>
      <c r="T7" s="284"/>
    </row>
    <row r="8" spans="1:20" ht="12.75">
      <c r="A8" s="11"/>
      <c r="C8" s="284"/>
      <c r="D8" s="62"/>
      <c r="E8" s="125"/>
      <c r="F8" s="91"/>
      <c r="G8" s="321"/>
      <c r="I8" s="84"/>
      <c r="J8" s="84"/>
      <c r="L8" s="1" t="s">
        <v>599</v>
      </c>
      <c r="M8" s="125"/>
      <c r="N8" s="125"/>
      <c r="O8" s="125"/>
      <c r="P8" s="61"/>
      <c r="Q8" s="125"/>
      <c r="R8" s="288"/>
      <c r="S8" s="288"/>
      <c r="T8" s="288"/>
    </row>
    <row r="9" spans="1:20" ht="12.75">
      <c r="A9" s="11"/>
      <c r="C9" s="284"/>
      <c r="D9" s="62"/>
      <c r="E9" s="125"/>
      <c r="F9" s="91"/>
      <c r="G9" s="321"/>
      <c r="I9" s="84"/>
      <c r="J9" s="84"/>
      <c r="L9" s="1" t="s">
        <v>600</v>
      </c>
      <c r="M9" s="125"/>
      <c r="N9" s="125"/>
      <c r="O9" s="125"/>
      <c r="P9" s="61"/>
      <c r="Q9" s="125"/>
      <c r="R9" s="288"/>
      <c r="S9" s="288"/>
      <c r="T9" s="288"/>
    </row>
    <row r="10" spans="1:20" ht="52.5">
      <c r="A10" s="128" t="s">
        <v>724</v>
      </c>
      <c r="C10" s="284"/>
      <c r="D10" s="62"/>
      <c r="E10" s="125"/>
      <c r="F10" s="91"/>
      <c r="G10" s="321"/>
      <c r="I10" s="84"/>
      <c r="J10" s="84"/>
      <c r="L10" s="1" t="s">
        <v>55</v>
      </c>
      <c r="M10" s="257" t="s">
        <v>56</v>
      </c>
      <c r="N10" s="125" t="s">
        <v>313</v>
      </c>
      <c r="O10" s="125" t="s">
        <v>348</v>
      </c>
      <c r="P10" s="61" t="s">
        <v>320</v>
      </c>
      <c r="Q10" s="402" t="s">
        <v>433</v>
      </c>
      <c r="R10" s="288"/>
      <c r="S10" s="288"/>
      <c r="T10" s="288"/>
    </row>
    <row r="11" spans="3:20" ht="12.75">
      <c r="C11" s="284"/>
      <c r="E11" s="288"/>
      <c r="F11" s="62"/>
      <c r="I11" s="84"/>
      <c r="J11" s="84"/>
      <c r="L11" s="125"/>
      <c r="M11" s="125"/>
      <c r="N11" s="125"/>
      <c r="O11" s="125"/>
      <c r="P11" s="61"/>
      <c r="Q11" s="125"/>
      <c r="R11" s="288"/>
      <c r="S11" s="288"/>
      <c r="T11" s="288"/>
    </row>
    <row r="12" spans="1:20" ht="52.5">
      <c r="A12" t="s">
        <v>470</v>
      </c>
      <c r="C12" s="284">
        <v>422286.31</v>
      </c>
      <c r="D12" s="62">
        <v>2600000</v>
      </c>
      <c r="E12" s="125" t="s">
        <v>467</v>
      </c>
      <c r="F12" s="62">
        <v>2600000</v>
      </c>
      <c r="G12" s="153">
        <f>ROUND(D12/F12,4)</f>
        <v>1</v>
      </c>
      <c r="I12" s="84">
        <f>ROUND(C12*G12,0)</f>
        <v>422286</v>
      </c>
      <c r="J12" s="510">
        <f>ROUND(I12/12,0)</f>
        <v>35191</v>
      </c>
      <c r="L12" s="125" t="s">
        <v>57</v>
      </c>
      <c r="M12" s="257" t="s">
        <v>58</v>
      </c>
      <c r="N12" s="125" t="s">
        <v>59</v>
      </c>
      <c r="O12" s="125" t="s">
        <v>316</v>
      </c>
      <c r="P12" s="61" t="s">
        <v>320</v>
      </c>
      <c r="Q12" s="402" t="s">
        <v>657</v>
      </c>
      <c r="R12" s="288"/>
      <c r="S12" s="288"/>
      <c r="T12" s="288"/>
    </row>
    <row r="13" spans="3:20" ht="12.75">
      <c r="C13" s="284"/>
      <c r="E13" s="288"/>
      <c r="F13" s="62"/>
      <c r="I13" s="84"/>
      <c r="J13" s="84"/>
      <c r="L13" s="125"/>
      <c r="M13" s="125"/>
      <c r="N13" s="125"/>
      <c r="O13" s="125"/>
      <c r="P13" s="61"/>
      <c r="Q13" s="125"/>
      <c r="R13" s="288"/>
      <c r="S13" s="288"/>
      <c r="T13" s="288"/>
    </row>
    <row r="14" spans="1:20" ht="39">
      <c r="A14" t="s">
        <v>471</v>
      </c>
      <c r="C14" s="284">
        <v>257688.37</v>
      </c>
      <c r="D14" s="62">
        <v>630000</v>
      </c>
      <c r="E14" s="125" t="s">
        <v>467</v>
      </c>
      <c r="F14" s="62">
        <v>630000</v>
      </c>
      <c r="G14" s="153">
        <f>ROUND(D14/F14,4)</f>
        <v>1</v>
      </c>
      <c r="I14" s="84">
        <f>ROUND(C14*G14,0)</f>
        <v>257688</v>
      </c>
      <c r="J14" s="510">
        <f>ROUND(I14/12,0)</f>
        <v>21474</v>
      </c>
      <c r="L14" s="125" t="s">
        <v>65</v>
      </c>
      <c r="M14" s="125" t="s">
        <v>64</v>
      </c>
      <c r="N14" s="125" t="s">
        <v>313</v>
      </c>
      <c r="O14" s="125" t="s">
        <v>321</v>
      </c>
      <c r="P14" s="61" t="s">
        <v>319</v>
      </c>
      <c r="Q14" s="125" t="s">
        <v>317</v>
      </c>
      <c r="R14" s="288"/>
      <c r="S14" s="288"/>
      <c r="T14" s="288"/>
    </row>
    <row r="15" spans="3:20" ht="12.75">
      <c r="C15" s="284"/>
      <c r="E15" s="288"/>
      <c r="F15" s="62"/>
      <c r="I15" s="84"/>
      <c r="J15" s="84"/>
      <c r="L15" s="125"/>
      <c r="M15" s="125"/>
      <c r="N15" s="125"/>
      <c r="O15" s="125"/>
      <c r="P15" s="61"/>
      <c r="Q15" s="125"/>
      <c r="R15" s="288"/>
      <c r="S15" s="288"/>
      <c r="T15" s="288"/>
    </row>
    <row r="16" spans="1:20" ht="39">
      <c r="A16" t="s">
        <v>472</v>
      </c>
      <c r="C16" s="284">
        <v>233914.22</v>
      </c>
      <c r="D16" s="62">
        <v>1600000</v>
      </c>
      <c r="E16" s="125" t="s">
        <v>467</v>
      </c>
      <c r="F16" s="62">
        <v>1600000</v>
      </c>
      <c r="G16" s="153">
        <f>ROUND(D16/F16,4)</f>
        <v>1</v>
      </c>
      <c r="I16" s="84">
        <f>ROUND(C16*G16,0)</f>
        <v>233914</v>
      </c>
      <c r="J16" s="510">
        <f>ROUND(I16/12,0)</f>
        <v>19493</v>
      </c>
      <c r="L16" s="125" t="s">
        <v>66</v>
      </c>
      <c r="M16" s="125" t="s">
        <v>64</v>
      </c>
      <c r="N16" s="428" t="s">
        <v>67</v>
      </c>
      <c r="O16" s="419" t="s">
        <v>658</v>
      </c>
      <c r="P16" s="61" t="s">
        <v>319</v>
      </c>
      <c r="Q16" s="428" t="s">
        <v>596</v>
      </c>
      <c r="R16" s="288"/>
      <c r="S16" s="288"/>
      <c r="T16" s="288"/>
    </row>
    <row r="17" spans="3:20" ht="12.75">
      <c r="C17" s="284"/>
      <c r="E17" s="288"/>
      <c r="F17" s="62"/>
      <c r="I17" s="84"/>
      <c r="J17" s="84"/>
      <c r="L17" s="125"/>
      <c r="M17" s="125"/>
      <c r="N17" s="125"/>
      <c r="O17" s="125"/>
      <c r="P17" s="61"/>
      <c r="Q17" s="125"/>
      <c r="R17" s="288"/>
      <c r="S17" s="288"/>
      <c r="T17" s="288"/>
    </row>
    <row r="18" spans="1:20" ht="52.5">
      <c r="A18" t="s">
        <v>473</v>
      </c>
      <c r="C18" s="284">
        <v>408735.38</v>
      </c>
      <c r="D18" s="62">
        <v>1425000</v>
      </c>
      <c r="E18" s="125" t="s">
        <v>467</v>
      </c>
      <c r="F18" s="62">
        <v>1425000</v>
      </c>
      <c r="G18" s="153">
        <f>ROUND(D18/F18,4)</f>
        <v>1</v>
      </c>
      <c r="I18" s="84">
        <f>ROUND(C18*G18,0)</f>
        <v>408735</v>
      </c>
      <c r="J18" s="510">
        <f>ROUND(I18/12,0)</f>
        <v>34061</v>
      </c>
      <c r="L18" s="125" t="s">
        <v>60</v>
      </c>
      <c r="M18" s="125" t="s">
        <v>61</v>
      </c>
      <c r="N18" s="125" t="s">
        <v>313</v>
      </c>
      <c r="O18" s="125" t="s">
        <v>323</v>
      </c>
      <c r="P18" s="61" t="s">
        <v>320</v>
      </c>
      <c r="Q18" s="428" t="s">
        <v>62</v>
      </c>
      <c r="R18" s="288"/>
      <c r="S18" s="288"/>
      <c r="T18" s="288"/>
    </row>
    <row r="19" spans="3:20" ht="12.75">
      <c r="C19" s="284"/>
      <c r="E19" s="288"/>
      <c r="F19" s="62"/>
      <c r="I19" s="84"/>
      <c r="J19" s="84"/>
      <c r="L19" s="125"/>
      <c r="M19" s="125"/>
      <c r="N19" s="125"/>
      <c r="O19" s="125"/>
      <c r="P19" s="61"/>
      <c r="Q19" s="125"/>
      <c r="R19" s="288"/>
      <c r="S19" s="288"/>
      <c r="T19" s="288"/>
    </row>
    <row r="20" spans="1:20" ht="39">
      <c r="A20" t="s">
        <v>474</v>
      </c>
      <c r="C20" s="284">
        <v>216149.95</v>
      </c>
      <c r="D20" s="62">
        <v>750000</v>
      </c>
      <c r="E20" s="125" t="s">
        <v>467</v>
      </c>
      <c r="F20" s="62">
        <v>1050000</v>
      </c>
      <c r="G20" s="328">
        <f>ROUND(D20/F20,4)</f>
        <v>0.7143</v>
      </c>
      <c r="I20" s="84">
        <f>ROUND(C20*G20,0)</f>
        <v>154396</v>
      </c>
      <c r="J20" s="510">
        <f>ROUND(I20/12,0)</f>
        <v>12866</v>
      </c>
      <c r="L20" s="125" t="s">
        <v>63</v>
      </c>
      <c r="M20" s="125" t="s">
        <v>64</v>
      </c>
      <c r="N20" s="125" t="s">
        <v>313</v>
      </c>
      <c r="O20" s="125" t="s">
        <v>315</v>
      </c>
      <c r="P20" s="61" t="s">
        <v>319</v>
      </c>
      <c r="Q20" s="428" t="s">
        <v>596</v>
      </c>
      <c r="R20" s="288"/>
      <c r="S20" s="288"/>
      <c r="T20" s="288"/>
    </row>
    <row r="21" spans="5:20" ht="12.75">
      <c r="E21" s="288"/>
      <c r="L21" s="125"/>
      <c r="M21" s="125"/>
      <c r="N21" s="125"/>
      <c r="O21" s="125"/>
      <c r="P21" s="61"/>
      <c r="Q21" s="125"/>
      <c r="R21" s="288"/>
      <c r="S21" s="288"/>
      <c r="T21" s="288"/>
    </row>
    <row r="22" spans="5:20" ht="12.75">
      <c r="E22" s="288"/>
      <c r="L22" s="125"/>
      <c r="M22" s="125"/>
      <c r="N22" s="125"/>
      <c r="O22" s="125"/>
      <c r="P22" s="61"/>
      <c r="Q22" s="125"/>
      <c r="R22" s="288"/>
      <c r="S22" s="288"/>
      <c r="T22" s="288"/>
    </row>
    <row r="23" spans="2:20" ht="12.75">
      <c r="B23" s="251" t="s">
        <v>691</v>
      </c>
      <c r="C23" t="s">
        <v>68</v>
      </c>
      <c r="E23" s="288"/>
      <c r="L23" s="125"/>
      <c r="M23" s="125"/>
      <c r="N23" s="125"/>
      <c r="O23" s="125"/>
      <c r="P23" s="61"/>
      <c r="Q23" s="125"/>
      <c r="R23" s="288"/>
      <c r="S23" s="288"/>
      <c r="T23" s="288"/>
    </row>
    <row r="24" spans="5:20" ht="12.75">
      <c r="E24" s="288"/>
      <c r="L24" s="125"/>
      <c r="M24" s="125"/>
      <c r="N24" s="125"/>
      <c r="O24" s="125"/>
      <c r="P24" s="61"/>
      <c r="Q24" s="125"/>
      <c r="R24" s="288"/>
      <c r="S24" s="288"/>
      <c r="T24" s="288"/>
    </row>
    <row r="25" spans="2:20" ht="12.75">
      <c r="B25" s="147" t="s">
        <v>692</v>
      </c>
      <c r="C25" t="s">
        <v>80</v>
      </c>
      <c r="E25" s="288"/>
      <c r="L25" s="125"/>
      <c r="M25" s="125"/>
      <c r="N25" s="125"/>
      <c r="O25" s="125"/>
      <c r="P25" s="61"/>
      <c r="Q25" s="125"/>
      <c r="R25" s="288"/>
      <c r="S25" s="288"/>
      <c r="T25" s="288"/>
    </row>
    <row r="26" spans="3:20" ht="12.75">
      <c r="C26" s="3" t="s">
        <v>81</v>
      </c>
      <c r="D26" s="3" t="s">
        <v>861</v>
      </c>
      <c r="E26" s="288"/>
      <c r="F26" s="62">
        <v>600000</v>
      </c>
      <c r="L26" s="125"/>
      <c r="M26" s="125"/>
      <c r="N26" s="125"/>
      <c r="O26" s="125"/>
      <c r="P26" s="61"/>
      <c r="Q26" s="125"/>
      <c r="R26" s="288"/>
      <c r="S26" s="288"/>
      <c r="T26" s="288"/>
    </row>
    <row r="27" spans="3:20" ht="12.75">
      <c r="C27" s="3" t="s">
        <v>82</v>
      </c>
      <c r="D27" s="3" t="s">
        <v>862</v>
      </c>
      <c r="E27" s="288"/>
      <c r="F27" s="62">
        <v>600000</v>
      </c>
      <c r="L27" s="125"/>
      <c r="M27" s="125"/>
      <c r="N27" s="125"/>
      <c r="O27" s="125"/>
      <c r="P27" s="61"/>
      <c r="Q27" s="125"/>
      <c r="R27" s="288"/>
      <c r="S27" s="288"/>
      <c r="T27" s="288"/>
    </row>
    <row r="28" spans="3:20" ht="12.75">
      <c r="C28" s="3" t="s">
        <v>82</v>
      </c>
      <c r="D28" s="3" t="s">
        <v>83</v>
      </c>
      <c r="E28" s="288"/>
      <c r="F28" s="62">
        <v>670000</v>
      </c>
      <c r="L28" s="125"/>
      <c r="M28" s="125"/>
      <c r="N28" s="125"/>
      <c r="O28" s="125"/>
      <c r="P28" s="61"/>
      <c r="Q28" s="125"/>
      <c r="R28" s="288"/>
      <c r="S28" s="288"/>
      <c r="T28" s="288"/>
    </row>
    <row r="29" spans="3:20" ht="12.75">
      <c r="C29" s="147" t="s">
        <v>848</v>
      </c>
      <c r="E29" s="288"/>
      <c r="F29" s="149">
        <f>SUM(F26:F28)</f>
        <v>1870000</v>
      </c>
      <c r="L29" s="125"/>
      <c r="M29" s="125"/>
      <c r="N29" s="125"/>
      <c r="O29" s="125"/>
      <c r="P29" s="61"/>
      <c r="Q29" s="125"/>
      <c r="R29" s="288"/>
      <c r="S29" s="288"/>
      <c r="T29" s="288"/>
    </row>
    <row r="30" spans="5:20" ht="12.75">
      <c r="E30" s="288"/>
      <c r="L30" s="125"/>
      <c r="M30" s="125"/>
      <c r="N30" s="125"/>
      <c r="O30" s="125"/>
      <c r="P30" s="61"/>
      <c r="Q30" s="125"/>
      <c r="R30" s="288"/>
      <c r="S30" s="288"/>
      <c r="T30" s="288"/>
    </row>
    <row r="31" spans="5:20" ht="12.75">
      <c r="E31" s="288"/>
      <c r="L31" s="125"/>
      <c r="M31" s="125"/>
      <c r="N31" s="125"/>
      <c r="O31" s="125"/>
      <c r="P31" s="61"/>
      <c r="Q31" s="125"/>
      <c r="R31" s="288"/>
      <c r="S31" s="288"/>
      <c r="T31" s="288"/>
    </row>
    <row r="32" spans="12:20" ht="12.75">
      <c r="L32" s="125"/>
      <c r="M32" s="125"/>
      <c r="N32" s="125"/>
      <c r="O32" s="125"/>
      <c r="P32" s="61"/>
      <c r="Q32" s="125"/>
      <c r="R32" s="288"/>
      <c r="S32" s="288"/>
      <c r="T32" s="288"/>
    </row>
    <row r="33" ht="12.75">
      <c r="P33" s="61"/>
    </row>
  </sheetData>
  <sheetProtection/>
  <printOptions gridLines="1" horizontalCentered="1" verticalCentered="1"/>
  <pageMargins left="0" right="0" top="1" bottom="0" header="0.75" footer="0"/>
  <pageSetup horizontalDpi="600" verticalDpi="600" orientation="landscape" scale="85" r:id="rId1"/>
  <headerFooter alignWithMargins="0">
    <oddHeader>&amp;C&amp;A</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pane ySplit="1" topLeftCell="A45" activePane="bottomLeft" state="frozen"/>
      <selection pane="topLeft" activeCell="O58" sqref="O58"/>
      <selection pane="bottomLeft" activeCell="O58" sqref="O58"/>
    </sheetView>
  </sheetViews>
  <sheetFormatPr defaultColWidth="9.140625" defaultRowHeight="12.75"/>
  <cols>
    <col min="1" max="1" width="10.140625" style="125" bestFit="1" customWidth="1"/>
    <col min="2" max="3" width="5.140625" style="125" customWidth="1"/>
    <col min="4" max="4" width="9.421875" style="125" customWidth="1"/>
    <col min="5" max="5" width="14.7109375" style="288" customWidth="1"/>
    <col min="6" max="6" width="17.00390625" style="288" bestFit="1" customWidth="1"/>
    <col min="7" max="7" width="11.00390625" style="125" customWidth="1"/>
    <col min="8" max="8" width="9.8515625" style="125" bestFit="1" customWidth="1"/>
    <col min="9" max="9" width="6.00390625" style="125" bestFit="1" customWidth="1"/>
    <col min="10" max="10" width="16.00390625" style="125" bestFit="1" customWidth="1"/>
    <col min="11" max="11" width="7.00390625" style="125" customWidth="1"/>
    <col min="12" max="12" width="14.8515625" style="159" bestFit="1" customWidth="1"/>
    <col min="13" max="13" width="2.28125" style="288" customWidth="1"/>
    <col min="14" max="66" width="8.7109375" style="288" customWidth="1"/>
    <col min="67" max="16384" width="9.140625" style="288" customWidth="1"/>
  </cols>
  <sheetData>
    <row r="1" spans="1:12" ht="24.75">
      <c r="A1" s="333" t="s">
        <v>106</v>
      </c>
      <c r="B1" s="332" t="s">
        <v>336</v>
      </c>
      <c r="C1" s="332" t="s">
        <v>337</v>
      </c>
      <c r="D1" s="332" t="s">
        <v>338</v>
      </c>
      <c r="E1" s="332" t="s">
        <v>339</v>
      </c>
      <c r="F1" s="332" t="s">
        <v>340</v>
      </c>
      <c r="G1" s="333" t="s">
        <v>158</v>
      </c>
      <c r="H1" s="333" t="s">
        <v>310</v>
      </c>
      <c r="I1" s="333" t="s">
        <v>159</v>
      </c>
      <c r="J1" s="333" t="s">
        <v>160</v>
      </c>
      <c r="K1" s="332" t="s">
        <v>341</v>
      </c>
      <c r="L1" s="334" t="s">
        <v>342</v>
      </c>
    </row>
    <row r="2" spans="1:12" s="179" customFormat="1" ht="12.75">
      <c r="A2" s="332"/>
      <c r="B2" s="332"/>
      <c r="C2" s="332"/>
      <c r="D2" s="332"/>
      <c r="E2" s="332"/>
      <c r="F2" s="332"/>
      <c r="G2" s="332"/>
      <c r="H2" s="332"/>
      <c r="I2" s="332"/>
      <c r="J2" s="332"/>
      <c r="K2" s="332"/>
      <c r="L2" s="334"/>
    </row>
    <row r="3" spans="1:12" ht="26.25">
      <c r="A3" s="415" t="s">
        <v>161</v>
      </c>
      <c r="B3" s="330" t="s">
        <v>343</v>
      </c>
      <c r="C3" s="330" t="s">
        <v>343</v>
      </c>
      <c r="D3" s="330" t="s">
        <v>162</v>
      </c>
      <c r="E3" s="409" t="s">
        <v>364</v>
      </c>
      <c r="F3" s="409" t="s">
        <v>396</v>
      </c>
      <c r="G3" s="330" t="s">
        <v>163</v>
      </c>
      <c r="H3" s="330" t="s">
        <v>313</v>
      </c>
      <c r="I3" s="330" t="s">
        <v>345</v>
      </c>
      <c r="J3" s="414" t="s">
        <v>397</v>
      </c>
      <c r="K3" s="330" t="s">
        <v>346</v>
      </c>
      <c r="L3" s="331">
        <v>150000</v>
      </c>
    </row>
    <row r="4" spans="1:12" ht="12.75">
      <c r="A4" s="329"/>
      <c r="B4" s="330"/>
      <c r="C4" s="330"/>
      <c r="D4" s="330"/>
      <c r="E4" s="409"/>
      <c r="F4" s="409"/>
      <c r="G4" s="330"/>
      <c r="H4" s="330"/>
      <c r="I4" s="330"/>
      <c r="J4" s="406"/>
      <c r="K4" s="330"/>
      <c r="L4" s="331"/>
    </row>
    <row r="5" spans="1:12" ht="24.75">
      <c r="A5" s="329"/>
      <c r="B5" s="330"/>
      <c r="C5" s="330"/>
      <c r="D5" s="330"/>
      <c r="E5" s="409"/>
      <c r="F5" s="409"/>
      <c r="G5" s="330"/>
      <c r="H5" s="330"/>
      <c r="I5" s="330"/>
      <c r="J5" s="363" t="s">
        <v>164</v>
      </c>
      <c r="K5" s="330"/>
      <c r="L5" s="364">
        <f>SUM(L3:L4)</f>
        <v>150000</v>
      </c>
    </row>
    <row r="6" spans="1:12" ht="12.75">
      <c r="A6" s="329"/>
      <c r="B6" s="330"/>
      <c r="C6" s="330"/>
      <c r="D6" s="330"/>
      <c r="E6" s="409"/>
      <c r="F6" s="409"/>
      <c r="G6" s="330"/>
      <c r="H6" s="330"/>
      <c r="I6" s="330"/>
      <c r="J6" s="406"/>
      <c r="K6" s="330"/>
      <c r="L6" s="331"/>
    </row>
    <row r="7" spans="1:12" ht="26.25">
      <c r="A7" s="415" t="s">
        <v>165</v>
      </c>
      <c r="B7" s="330" t="s">
        <v>343</v>
      </c>
      <c r="C7" s="330" t="s">
        <v>343</v>
      </c>
      <c r="D7" s="330" t="s">
        <v>166</v>
      </c>
      <c r="E7" s="409" t="s">
        <v>394</v>
      </c>
      <c r="F7" s="414" t="s">
        <v>102</v>
      </c>
      <c r="G7" s="330" t="s">
        <v>344</v>
      </c>
      <c r="H7" s="330" t="s">
        <v>313</v>
      </c>
      <c r="I7" s="330" t="s">
        <v>347</v>
      </c>
      <c r="J7" s="409" t="s">
        <v>167</v>
      </c>
      <c r="K7" s="330" t="s">
        <v>346</v>
      </c>
      <c r="L7" s="331">
        <v>150000</v>
      </c>
    </row>
    <row r="8" spans="5:10" ht="12.75">
      <c r="E8" s="61"/>
      <c r="F8" s="61"/>
      <c r="J8" s="4"/>
    </row>
    <row r="9" spans="5:12" ht="24.75">
      <c r="E9" s="61"/>
      <c r="F9" s="61"/>
      <c r="J9" s="363" t="s">
        <v>167</v>
      </c>
      <c r="L9" s="365">
        <f>SUM(L7:L8)</f>
        <v>150000</v>
      </c>
    </row>
    <row r="10" spans="5:12" ht="12.75">
      <c r="E10" s="61"/>
      <c r="F10" s="61"/>
      <c r="J10" s="363"/>
      <c r="L10" s="365"/>
    </row>
    <row r="11" spans="1:12" ht="26.25">
      <c r="A11" s="416" t="s">
        <v>103</v>
      </c>
      <c r="B11" s="406" t="s">
        <v>343</v>
      </c>
      <c r="C11" s="406" t="s">
        <v>343</v>
      </c>
      <c r="D11" s="406" t="s">
        <v>104</v>
      </c>
      <c r="E11" s="409" t="s">
        <v>105</v>
      </c>
      <c r="F11" s="414" t="s">
        <v>102</v>
      </c>
      <c r="G11" s="406" t="s">
        <v>344</v>
      </c>
      <c r="H11" s="406" t="s">
        <v>313</v>
      </c>
      <c r="I11" s="406" t="s">
        <v>345</v>
      </c>
      <c r="J11" s="409" t="s">
        <v>164</v>
      </c>
      <c r="K11" s="406" t="s">
        <v>346</v>
      </c>
      <c r="L11" s="407">
        <v>187500</v>
      </c>
    </row>
    <row r="12" spans="5:10" ht="12.75">
      <c r="E12" s="61"/>
      <c r="F12" s="61"/>
      <c r="J12" s="4"/>
    </row>
    <row r="13" spans="5:12" ht="24.75">
      <c r="E13" s="61"/>
      <c r="F13" s="61"/>
      <c r="J13" s="418" t="s">
        <v>164</v>
      </c>
      <c r="L13" s="160">
        <f>SUM(L11:L12)</f>
        <v>187500</v>
      </c>
    </row>
    <row r="14" spans="5:10" ht="12.75">
      <c r="E14" s="61"/>
      <c r="F14" s="61"/>
      <c r="J14" s="4"/>
    </row>
    <row r="15" spans="1:12" ht="26.25">
      <c r="A15" s="416" t="s">
        <v>100</v>
      </c>
      <c r="B15" s="406" t="s">
        <v>343</v>
      </c>
      <c r="C15" s="406" t="s">
        <v>343</v>
      </c>
      <c r="D15" s="406" t="s">
        <v>101</v>
      </c>
      <c r="E15" s="409" t="s">
        <v>395</v>
      </c>
      <c r="F15" s="414" t="s">
        <v>102</v>
      </c>
      <c r="G15" s="406" t="s">
        <v>344</v>
      </c>
      <c r="H15" s="406" t="s">
        <v>313</v>
      </c>
      <c r="I15" s="406" t="s">
        <v>347</v>
      </c>
      <c r="J15" s="409" t="s">
        <v>167</v>
      </c>
      <c r="K15" s="406" t="s">
        <v>346</v>
      </c>
      <c r="L15" s="407">
        <v>187500</v>
      </c>
    </row>
    <row r="16" spans="1:12" ht="12.75">
      <c r="A16" s="405"/>
      <c r="B16" s="406"/>
      <c r="C16" s="406"/>
      <c r="D16" s="406"/>
      <c r="E16" s="409"/>
      <c r="F16" s="406"/>
      <c r="G16" s="406"/>
      <c r="H16" s="406"/>
      <c r="I16" s="406"/>
      <c r="J16" s="409"/>
      <c r="K16" s="406"/>
      <c r="L16" s="407"/>
    </row>
    <row r="17" spans="1:12" ht="24.75">
      <c r="A17" s="405"/>
      <c r="B17" s="406"/>
      <c r="C17" s="406"/>
      <c r="D17" s="406"/>
      <c r="E17" s="409"/>
      <c r="F17" s="406"/>
      <c r="G17" s="406"/>
      <c r="H17" s="406"/>
      <c r="I17" s="406"/>
      <c r="J17" s="418" t="s">
        <v>167</v>
      </c>
      <c r="K17" s="406"/>
      <c r="L17" s="417">
        <f>SUM(L15:L16)</f>
        <v>187500</v>
      </c>
    </row>
    <row r="18" spans="1:12" ht="12.75">
      <c r="A18" s="405"/>
      <c r="B18" s="406"/>
      <c r="C18" s="406"/>
      <c r="D18" s="406"/>
      <c r="E18" s="409"/>
      <c r="F18" s="406"/>
      <c r="G18" s="406"/>
      <c r="H18" s="406"/>
      <c r="I18" s="406"/>
      <c r="J18" s="409"/>
      <c r="K18" s="406"/>
      <c r="L18" s="407"/>
    </row>
    <row r="19" spans="1:12" ht="26.25">
      <c r="A19" s="426" t="s">
        <v>391</v>
      </c>
      <c r="B19" s="406" t="s">
        <v>343</v>
      </c>
      <c r="C19" s="406" t="s">
        <v>343</v>
      </c>
      <c r="D19" s="406" t="s">
        <v>392</v>
      </c>
      <c r="E19" s="409" t="s">
        <v>393</v>
      </c>
      <c r="F19" s="409" t="s">
        <v>390</v>
      </c>
      <c r="G19" s="409" t="s">
        <v>344</v>
      </c>
      <c r="H19" s="409" t="s">
        <v>313</v>
      </c>
      <c r="I19" s="409" t="s">
        <v>345</v>
      </c>
      <c r="J19" s="414" t="s">
        <v>397</v>
      </c>
      <c r="K19" s="409" t="s">
        <v>346</v>
      </c>
      <c r="L19" s="407">
        <v>187500</v>
      </c>
    </row>
    <row r="20" spans="5:10" ht="12.75">
      <c r="E20" s="61"/>
      <c r="F20" s="61"/>
      <c r="J20" s="4"/>
    </row>
    <row r="21" spans="5:12" ht="24.75">
      <c r="E21" s="61"/>
      <c r="F21" s="61"/>
      <c r="J21" s="363" t="s">
        <v>164</v>
      </c>
      <c r="L21" s="160">
        <f>SUM(L19:L20)</f>
        <v>187500</v>
      </c>
    </row>
    <row r="22" spans="1:12" ht="26.25">
      <c r="A22" s="426" t="s">
        <v>388</v>
      </c>
      <c r="B22" s="406" t="s">
        <v>343</v>
      </c>
      <c r="C22" s="406" t="s">
        <v>343</v>
      </c>
      <c r="D22" s="406" t="s">
        <v>389</v>
      </c>
      <c r="E22" s="409" t="s">
        <v>395</v>
      </c>
      <c r="F22" s="409" t="s">
        <v>390</v>
      </c>
      <c r="G22" s="409" t="s">
        <v>344</v>
      </c>
      <c r="H22" s="409" t="s">
        <v>313</v>
      </c>
      <c r="I22" s="409" t="s">
        <v>347</v>
      </c>
      <c r="J22" s="409" t="s">
        <v>167</v>
      </c>
      <c r="K22" s="409" t="s">
        <v>346</v>
      </c>
      <c r="L22" s="407">
        <v>187500</v>
      </c>
    </row>
    <row r="23" spans="6:10" ht="12.75">
      <c r="F23" s="61"/>
      <c r="J23" s="4"/>
    </row>
    <row r="24" spans="6:12" ht="24.75">
      <c r="F24" s="61"/>
      <c r="J24" s="363" t="s">
        <v>167</v>
      </c>
      <c r="L24" s="160">
        <f>SUM(L22:L23)</f>
        <v>187500</v>
      </c>
    </row>
    <row r="25" spans="6:12" ht="12.75">
      <c r="F25" s="61"/>
      <c r="J25" s="363"/>
      <c r="L25" s="160"/>
    </row>
    <row r="26" spans="1:12" ht="26.25">
      <c r="A26" s="440" t="s">
        <v>897</v>
      </c>
      <c r="B26" s="406" t="s">
        <v>343</v>
      </c>
      <c r="C26" s="406" t="s">
        <v>343</v>
      </c>
      <c r="D26" s="406" t="s">
        <v>900</v>
      </c>
      <c r="E26" s="406" t="s">
        <v>901</v>
      </c>
      <c r="F26" s="409" t="s">
        <v>390</v>
      </c>
      <c r="G26" s="406" t="s">
        <v>344</v>
      </c>
      <c r="H26" s="406" t="s">
        <v>313</v>
      </c>
      <c r="I26" s="406" t="s">
        <v>345</v>
      </c>
      <c r="J26" s="414" t="s">
        <v>397</v>
      </c>
      <c r="K26" s="406" t="s">
        <v>346</v>
      </c>
      <c r="L26" s="407">
        <v>187500</v>
      </c>
    </row>
    <row r="27" spans="6:12" ht="12.75">
      <c r="F27" s="61"/>
      <c r="J27" s="363"/>
      <c r="L27" s="160"/>
    </row>
    <row r="28" spans="6:12" ht="24.75">
      <c r="F28" s="61"/>
      <c r="J28" s="418" t="s">
        <v>164</v>
      </c>
      <c r="L28" s="160">
        <f>SUM(L26:L27)</f>
        <v>187500</v>
      </c>
    </row>
    <row r="29" spans="6:12" ht="12.75">
      <c r="F29" s="61"/>
      <c r="J29" s="363"/>
      <c r="L29" s="160"/>
    </row>
    <row r="30" spans="6:10" ht="12.75">
      <c r="F30" s="61"/>
      <c r="J30" s="4"/>
    </row>
    <row r="31" spans="1:12" s="61" customFormat="1" ht="26.25">
      <c r="A31" s="440" t="s">
        <v>897</v>
      </c>
      <c r="B31" s="406" t="s">
        <v>343</v>
      </c>
      <c r="C31" s="406" t="s">
        <v>343</v>
      </c>
      <c r="D31" s="406" t="s">
        <v>898</v>
      </c>
      <c r="E31" s="409" t="s">
        <v>899</v>
      </c>
      <c r="F31" s="409" t="s">
        <v>390</v>
      </c>
      <c r="G31" s="406" t="s">
        <v>344</v>
      </c>
      <c r="H31" s="406" t="s">
        <v>313</v>
      </c>
      <c r="I31" s="406" t="s">
        <v>347</v>
      </c>
      <c r="J31" s="409" t="s">
        <v>167</v>
      </c>
      <c r="K31" s="406" t="s">
        <v>346</v>
      </c>
      <c r="L31" s="407">
        <v>187500</v>
      </c>
    </row>
    <row r="32" spans="1:12" s="61" customFormat="1" ht="12.75">
      <c r="A32" s="440"/>
      <c r="B32" s="406"/>
      <c r="C32" s="406"/>
      <c r="D32" s="406"/>
      <c r="E32" s="409"/>
      <c r="F32" s="409"/>
      <c r="G32" s="406"/>
      <c r="H32" s="406"/>
      <c r="I32" s="406"/>
      <c r="J32" s="409"/>
      <c r="K32" s="406"/>
      <c r="L32" s="407"/>
    </row>
    <row r="33" spans="1:12" s="61" customFormat="1" ht="24.75">
      <c r="A33" s="440"/>
      <c r="B33" s="406"/>
      <c r="C33" s="406"/>
      <c r="D33" s="406"/>
      <c r="E33" s="409"/>
      <c r="F33" s="409"/>
      <c r="G33" s="406"/>
      <c r="H33" s="406"/>
      <c r="I33" s="406"/>
      <c r="J33" s="418" t="s">
        <v>167</v>
      </c>
      <c r="K33" s="406"/>
      <c r="L33" s="417">
        <f>SUM(L31:L32)</f>
        <v>187500</v>
      </c>
    </row>
    <row r="34" spans="1:12" s="61" customFormat="1" ht="12.75">
      <c r="A34" s="440"/>
      <c r="B34" s="406"/>
      <c r="C34" s="406"/>
      <c r="D34" s="406"/>
      <c r="E34" s="409"/>
      <c r="F34" s="409"/>
      <c r="G34" s="406"/>
      <c r="H34" s="406"/>
      <c r="I34" s="406"/>
      <c r="J34" s="409"/>
      <c r="K34" s="406"/>
      <c r="L34" s="407"/>
    </row>
    <row r="35" spans="1:12" s="61" customFormat="1" ht="12.75">
      <c r="A35" s="440"/>
      <c r="B35" s="406"/>
      <c r="C35" s="406"/>
      <c r="D35" s="406"/>
      <c r="E35" s="409"/>
      <c r="F35" s="409"/>
      <c r="G35" s="406"/>
      <c r="H35" s="406"/>
      <c r="I35" s="406"/>
      <c r="J35" s="409"/>
      <c r="K35" s="406"/>
      <c r="L35" s="407"/>
    </row>
    <row r="36" spans="1:12" s="61" customFormat="1" ht="26.25">
      <c r="A36" s="468" t="s">
        <v>616</v>
      </c>
      <c r="B36" s="469" t="s">
        <v>343</v>
      </c>
      <c r="C36" s="469" t="s">
        <v>343</v>
      </c>
      <c r="D36" s="469" t="s">
        <v>617</v>
      </c>
      <c r="E36" s="469" t="s">
        <v>618</v>
      </c>
      <c r="F36" s="414" t="s">
        <v>622</v>
      </c>
      <c r="G36" s="469" t="s">
        <v>619</v>
      </c>
      <c r="H36" s="469" t="s">
        <v>313</v>
      </c>
      <c r="I36" s="469" t="s">
        <v>345</v>
      </c>
      <c r="J36" s="414" t="s">
        <v>397</v>
      </c>
      <c r="K36" s="469" t="s">
        <v>346</v>
      </c>
      <c r="L36" s="467">
        <v>187500</v>
      </c>
    </row>
    <row r="37" spans="1:12" s="61" customFormat="1" ht="12.75">
      <c r="A37" s="465"/>
      <c r="B37" s="466"/>
      <c r="C37" s="466"/>
      <c r="D37" s="466"/>
      <c r="E37" s="466"/>
      <c r="F37" s="466"/>
      <c r="G37" s="466"/>
      <c r="H37" s="466"/>
      <c r="I37" s="466"/>
      <c r="J37" s="466"/>
      <c r="K37" s="466"/>
      <c r="L37" s="467"/>
    </row>
    <row r="38" spans="1:12" s="61" customFormat="1" ht="24.75">
      <c r="A38" s="465"/>
      <c r="B38" s="466"/>
      <c r="C38" s="466"/>
      <c r="D38" s="466"/>
      <c r="E38" s="466"/>
      <c r="F38" s="466"/>
      <c r="G38" s="466"/>
      <c r="H38" s="466"/>
      <c r="I38" s="466"/>
      <c r="J38" s="418" t="s">
        <v>164</v>
      </c>
      <c r="K38" s="125"/>
      <c r="L38" s="160">
        <f>SUM(L36:L37)</f>
        <v>187500</v>
      </c>
    </row>
    <row r="39" spans="1:12" s="61" customFormat="1" ht="12.75">
      <c r="A39" s="465"/>
      <c r="B39" s="466"/>
      <c r="C39" s="466"/>
      <c r="D39" s="466"/>
      <c r="E39" s="466"/>
      <c r="F39" s="466"/>
      <c r="G39" s="466"/>
      <c r="H39" s="466"/>
      <c r="I39" s="466"/>
      <c r="J39" s="466"/>
      <c r="K39" s="466"/>
      <c r="L39" s="467"/>
    </row>
    <row r="40" spans="1:12" s="61" customFormat="1" ht="12.75">
      <c r="A40" s="465"/>
      <c r="B40" s="466"/>
      <c r="C40" s="466"/>
      <c r="D40" s="466"/>
      <c r="E40" s="466"/>
      <c r="F40" s="466"/>
      <c r="G40" s="466"/>
      <c r="H40" s="466"/>
      <c r="I40" s="466"/>
      <c r="J40" s="466"/>
      <c r="K40" s="466"/>
      <c r="L40" s="467"/>
    </row>
    <row r="41" spans="1:12" ht="26.25">
      <c r="A41" s="468" t="s">
        <v>620</v>
      </c>
      <c r="B41" s="469" t="s">
        <v>343</v>
      </c>
      <c r="C41" s="469" t="s">
        <v>343</v>
      </c>
      <c r="D41" s="469" t="s">
        <v>621</v>
      </c>
      <c r="E41" s="469" t="s">
        <v>899</v>
      </c>
      <c r="F41" s="409" t="s">
        <v>390</v>
      </c>
      <c r="G41" s="469" t="s">
        <v>344</v>
      </c>
      <c r="H41" s="469" t="s">
        <v>313</v>
      </c>
      <c r="I41" s="469" t="s">
        <v>347</v>
      </c>
      <c r="J41" s="409" t="s">
        <v>167</v>
      </c>
      <c r="K41" s="469" t="s">
        <v>346</v>
      </c>
      <c r="L41" s="467">
        <v>187500</v>
      </c>
    </row>
    <row r="43" spans="10:12" ht="24.75">
      <c r="J43" s="418" t="s">
        <v>167</v>
      </c>
      <c r="K43" s="406"/>
      <c r="L43" s="417">
        <f>SUM(L41:L42)</f>
        <v>187500</v>
      </c>
    </row>
    <row r="46" spans="1:12" ht="39">
      <c r="A46" s="468" t="s">
        <v>579</v>
      </c>
      <c r="B46" s="469" t="s">
        <v>343</v>
      </c>
      <c r="C46" s="469" t="s">
        <v>343</v>
      </c>
      <c r="D46" s="469">
        <v>255335</v>
      </c>
      <c r="E46" s="504" t="s">
        <v>580</v>
      </c>
      <c r="F46" s="414" t="s">
        <v>622</v>
      </c>
      <c r="G46" s="469" t="s">
        <v>619</v>
      </c>
      <c r="H46" s="469" t="s">
        <v>313</v>
      </c>
      <c r="I46" s="469" t="s">
        <v>345</v>
      </c>
      <c r="J46" s="414" t="s">
        <v>397</v>
      </c>
      <c r="K46" s="469" t="s">
        <v>346</v>
      </c>
      <c r="L46" s="467">
        <v>187500</v>
      </c>
    </row>
    <row r="47" spans="1:12" ht="12.75">
      <c r="A47" s="465"/>
      <c r="B47" s="466"/>
      <c r="C47" s="466"/>
      <c r="D47" s="466"/>
      <c r="E47" s="466"/>
      <c r="F47" s="466"/>
      <c r="G47" s="466"/>
      <c r="H47" s="466"/>
      <c r="I47" s="466"/>
      <c r="J47" s="466"/>
      <c r="K47" s="466"/>
      <c r="L47" s="467"/>
    </row>
    <row r="48" spans="1:12" ht="24.75">
      <c r="A48" s="465"/>
      <c r="B48" s="466"/>
      <c r="C48" s="466"/>
      <c r="D48" s="466"/>
      <c r="E48" s="466"/>
      <c r="F48" s="466"/>
      <c r="G48" s="466"/>
      <c r="H48" s="466"/>
      <c r="I48" s="466"/>
      <c r="J48" s="418" t="s">
        <v>164</v>
      </c>
      <c r="L48" s="160">
        <f>SUM(L46:L47)</f>
        <v>187500</v>
      </c>
    </row>
    <row r="49" spans="1:12" ht="12.75">
      <c r="A49" s="465"/>
      <c r="B49" s="466"/>
      <c r="C49" s="466"/>
      <c r="D49" s="466"/>
      <c r="E49" s="466"/>
      <c r="F49" s="466"/>
      <c r="G49" s="466"/>
      <c r="H49" s="466"/>
      <c r="I49" s="466"/>
      <c r="J49" s="466"/>
      <c r="K49" s="466"/>
      <c r="L49" s="467"/>
    </row>
    <row r="50" spans="1:12" ht="12.75">
      <c r="A50" s="465"/>
      <c r="B50" s="466"/>
      <c r="C50" s="466"/>
      <c r="D50" s="466"/>
      <c r="E50" s="466"/>
      <c r="F50" s="466"/>
      <c r="G50" s="466"/>
      <c r="H50" s="466"/>
      <c r="I50" s="466"/>
      <c r="J50" s="466"/>
      <c r="K50" s="466"/>
      <c r="L50" s="467"/>
    </row>
    <row r="51" spans="1:12" ht="26.25">
      <c r="A51" s="468" t="s">
        <v>581</v>
      </c>
      <c r="B51" s="469" t="s">
        <v>343</v>
      </c>
      <c r="C51" s="469" t="s">
        <v>343</v>
      </c>
      <c r="D51" s="469">
        <v>255795</v>
      </c>
      <c r="E51" s="505" t="s">
        <v>582</v>
      </c>
      <c r="F51" s="409" t="s">
        <v>390</v>
      </c>
      <c r="G51" s="469" t="s">
        <v>344</v>
      </c>
      <c r="H51" s="469">
        <v>5060025</v>
      </c>
      <c r="I51" s="469" t="s">
        <v>347</v>
      </c>
      <c r="J51" s="409" t="s">
        <v>167</v>
      </c>
      <c r="K51" s="469" t="s">
        <v>346</v>
      </c>
      <c r="L51" s="467">
        <v>187500</v>
      </c>
    </row>
    <row r="53" spans="10:12" ht="24.75">
      <c r="J53" s="418" t="s">
        <v>167</v>
      </c>
      <c r="K53" s="406"/>
      <c r="L53" s="417">
        <f>SUM(L51:L52)</f>
        <v>187500</v>
      </c>
    </row>
    <row r="56" spans="1:12" ht="26.25">
      <c r="A56" s="468" t="s">
        <v>243</v>
      </c>
      <c r="B56" s="469" t="s">
        <v>343</v>
      </c>
      <c r="C56" s="469" t="s">
        <v>343</v>
      </c>
      <c r="D56" s="469">
        <v>280218</v>
      </c>
      <c r="E56" s="511" t="s">
        <v>244</v>
      </c>
      <c r="F56" s="414" t="s">
        <v>622</v>
      </c>
      <c r="G56" s="505" t="s">
        <v>163</v>
      </c>
      <c r="H56" s="469" t="s">
        <v>313</v>
      </c>
      <c r="I56" s="469" t="s">
        <v>345</v>
      </c>
      <c r="J56" s="414" t="s">
        <v>397</v>
      </c>
      <c r="K56" s="469" t="s">
        <v>346</v>
      </c>
      <c r="L56" s="467">
        <v>187500</v>
      </c>
    </row>
    <row r="57" spans="1:12" ht="12.75">
      <c r="A57" s="465"/>
      <c r="B57" s="466"/>
      <c r="C57" s="466"/>
      <c r="D57" s="466"/>
      <c r="E57" s="466"/>
      <c r="F57" s="466"/>
      <c r="G57" s="466"/>
      <c r="H57" s="466"/>
      <c r="I57" s="466"/>
      <c r="J57" s="466"/>
      <c r="K57" s="466"/>
      <c r="L57" s="467"/>
    </row>
    <row r="58" spans="1:12" ht="24.75">
      <c r="A58" s="465"/>
      <c r="B58" s="466"/>
      <c r="C58" s="466"/>
      <c r="D58" s="466"/>
      <c r="E58" s="466"/>
      <c r="F58" s="466"/>
      <c r="G58" s="466"/>
      <c r="H58" s="466"/>
      <c r="I58" s="466"/>
      <c r="J58" s="418" t="s">
        <v>164</v>
      </c>
      <c r="L58" s="160">
        <f>SUM(L56:L57)</f>
        <v>187500</v>
      </c>
    </row>
    <row r="59" spans="1:12" ht="12.75">
      <c r="A59" s="465"/>
      <c r="B59" s="466"/>
      <c r="C59" s="466"/>
      <c r="D59" s="466"/>
      <c r="E59" s="466"/>
      <c r="F59" s="466"/>
      <c r="G59" s="466"/>
      <c r="H59" s="466"/>
      <c r="I59" s="466"/>
      <c r="J59" s="466"/>
      <c r="K59" s="466"/>
      <c r="L59" s="467"/>
    </row>
    <row r="60" spans="1:12" ht="12.75">
      <c r="A60" s="465"/>
      <c r="B60" s="466"/>
      <c r="C60" s="466"/>
      <c r="D60" s="466"/>
      <c r="E60" s="466"/>
      <c r="F60" s="466"/>
      <c r="G60" s="466"/>
      <c r="H60" s="466"/>
      <c r="I60" s="466"/>
      <c r="J60" s="466"/>
      <c r="K60" s="466"/>
      <c r="L60" s="467"/>
    </row>
    <row r="61" spans="1:12" ht="26.25">
      <c r="A61" s="468" t="s">
        <v>245</v>
      </c>
      <c r="B61" s="469" t="s">
        <v>343</v>
      </c>
      <c r="C61" s="469" t="s">
        <v>343</v>
      </c>
      <c r="D61" s="469">
        <v>280788</v>
      </c>
      <c r="E61" s="505" t="s">
        <v>246</v>
      </c>
      <c r="F61" s="409" t="s">
        <v>390</v>
      </c>
      <c r="G61" s="505" t="s">
        <v>163</v>
      </c>
      <c r="H61" s="469">
        <v>5060025</v>
      </c>
      <c r="I61" s="469" t="s">
        <v>347</v>
      </c>
      <c r="J61" s="409" t="s">
        <v>167</v>
      </c>
      <c r="K61" s="469" t="s">
        <v>346</v>
      </c>
      <c r="L61" s="467">
        <v>187500</v>
      </c>
    </row>
    <row r="63" spans="10:12" ht="24.75">
      <c r="J63" s="418" t="s">
        <v>167</v>
      </c>
      <c r="K63" s="406"/>
      <c r="L63" s="417">
        <f>SUM(L61:L62)</f>
        <v>187500</v>
      </c>
    </row>
    <row r="66" spans="1:12" ht="26.25">
      <c r="A66" s="468" t="s">
        <v>47</v>
      </c>
      <c r="B66" s="469" t="s">
        <v>343</v>
      </c>
      <c r="C66" s="469" t="s">
        <v>343</v>
      </c>
      <c r="D66" s="505" t="s">
        <v>48</v>
      </c>
      <c r="E66" s="511" t="s">
        <v>49</v>
      </c>
      <c r="F66" s="414" t="s">
        <v>622</v>
      </c>
      <c r="G66" s="505" t="s">
        <v>163</v>
      </c>
      <c r="H66" s="469" t="s">
        <v>313</v>
      </c>
      <c r="I66" s="469" t="s">
        <v>345</v>
      </c>
      <c r="J66" s="414" t="s">
        <v>397</v>
      </c>
      <c r="K66" s="469" t="s">
        <v>346</v>
      </c>
      <c r="L66" s="467">
        <v>187500</v>
      </c>
    </row>
    <row r="67" spans="1:12" ht="12.75">
      <c r="A67" s="465"/>
      <c r="B67" s="466"/>
      <c r="C67" s="466"/>
      <c r="D67" s="466"/>
      <c r="E67" s="466"/>
      <c r="F67" s="466"/>
      <c r="G67" s="466"/>
      <c r="H67" s="466"/>
      <c r="I67" s="466"/>
      <c r="J67" s="466"/>
      <c r="K67" s="466"/>
      <c r="L67" s="467"/>
    </row>
    <row r="68" spans="1:12" ht="24.75">
      <c r="A68" s="465"/>
      <c r="B68" s="466"/>
      <c r="C68" s="466"/>
      <c r="D68" s="466"/>
      <c r="E68" s="466"/>
      <c r="F68" s="466"/>
      <c r="G68" s="466"/>
      <c r="H68" s="466"/>
      <c r="I68" s="466"/>
      <c r="J68" s="418" t="s">
        <v>164</v>
      </c>
      <c r="L68" s="160">
        <f>SUM(L66:L67)</f>
        <v>187500</v>
      </c>
    </row>
    <row r="69" spans="1:12" ht="12.75">
      <c r="A69" s="465"/>
      <c r="B69" s="466"/>
      <c r="C69" s="466"/>
      <c r="D69" s="466"/>
      <c r="E69" s="466"/>
      <c r="F69" s="466"/>
      <c r="G69" s="466"/>
      <c r="H69" s="466"/>
      <c r="I69" s="466"/>
      <c r="J69" s="466"/>
      <c r="K69" s="466"/>
      <c r="L69" s="467"/>
    </row>
    <row r="70" spans="1:12" ht="12.75">
      <c r="A70" s="465"/>
      <c r="B70" s="466"/>
      <c r="C70" s="466"/>
      <c r="D70" s="466"/>
      <c r="E70" s="466"/>
      <c r="F70" s="466"/>
      <c r="G70" s="466"/>
      <c r="H70" s="466"/>
      <c r="I70" s="466"/>
      <c r="J70" s="466"/>
      <c r="K70" s="466"/>
      <c r="L70" s="467"/>
    </row>
    <row r="71" spans="1:12" ht="26.25">
      <c r="A71" s="468" t="s">
        <v>50</v>
      </c>
      <c r="B71" s="469" t="s">
        <v>343</v>
      </c>
      <c r="C71" s="469" t="s">
        <v>343</v>
      </c>
      <c r="D71" s="505" t="s">
        <v>51</v>
      </c>
      <c r="E71" s="511" t="s">
        <v>52</v>
      </c>
      <c r="F71" s="409" t="s">
        <v>390</v>
      </c>
      <c r="G71" s="505" t="s">
        <v>163</v>
      </c>
      <c r="H71" s="469">
        <v>5060025</v>
      </c>
      <c r="I71" s="469" t="s">
        <v>347</v>
      </c>
      <c r="J71" s="409" t="s">
        <v>167</v>
      </c>
      <c r="K71" s="469" t="s">
        <v>346</v>
      </c>
      <c r="L71" s="467">
        <v>187500</v>
      </c>
    </row>
    <row r="73" spans="10:12" ht="24.75">
      <c r="J73" s="418" t="s">
        <v>167</v>
      </c>
      <c r="K73" s="406"/>
      <c r="L73" s="417">
        <f>SUM(L71:L72)</f>
        <v>187500</v>
      </c>
    </row>
  </sheetData>
  <sheetProtection/>
  <printOptions gridLines="1" horizontalCentered="1" verticalCentered="1"/>
  <pageMargins left="0" right="0" top="1.25" bottom="0.5" header="0.75" footer="0"/>
  <pageSetup fitToHeight="3" fitToWidth="1" horizontalDpi="600" verticalDpi="600" orientation="landscape" r:id="rId1"/>
  <headerFooter alignWithMargins="0">
    <oddHeader>&amp;C&amp;A</oddHeader>
  </headerFooter>
  <rowBreaks count="1" manualBreakCount="1">
    <brk id="45" max="255" man="1"/>
  </rowBreaks>
</worksheet>
</file>

<file path=xl/worksheets/sheet3.xml><?xml version="1.0" encoding="utf-8"?>
<worksheet xmlns="http://schemas.openxmlformats.org/spreadsheetml/2006/main" xmlns:r="http://schemas.openxmlformats.org/officeDocument/2006/relationships">
  <dimension ref="B1:M58"/>
  <sheetViews>
    <sheetView zoomScalePageLayoutView="0" workbookViewId="0" topLeftCell="A1">
      <pane ySplit="9" topLeftCell="A37" activePane="bottomLeft" state="frozen"/>
      <selection pane="topLeft" activeCell="E40" sqref="E40"/>
      <selection pane="bottomLeft" activeCell="H15" sqref="H15"/>
    </sheetView>
  </sheetViews>
  <sheetFormatPr defaultColWidth="9.140625" defaultRowHeight="12.75"/>
  <cols>
    <col min="1" max="1" width="3.7109375" style="0" customWidth="1"/>
    <col min="2" max="2" width="5.7109375" style="0" customWidth="1"/>
    <col min="3" max="3" width="0.5625" style="0" customWidth="1"/>
    <col min="4" max="4" width="60.7109375" style="0" customWidth="1"/>
    <col min="5" max="5" width="0.5625" style="0" customWidth="1"/>
    <col min="6" max="6" width="15.7109375" style="0" customWidth="1"/>
    <col min="7" max="7" width="0.5625" style="0" customWidth="1"/>
    <col min="8" max="8" width="15.7109375" style="0" customWidth="1"/>
  </cols>
  <sheetData>
    <row r="1" spans="4:8" ht="12.75">
      <c r="D1" s="151"/>
      <c r="H1" s="3"/>
    </row>
    <row r="2" spans="4:8" ht="12.75">
      <c r="D2" s="151"/>
      <c r="H2" s="3" t="s">
        <v>17</v>
      </c>
    </row>
    <row r="3" spans="4:8" ht="12.75">
      <c r="D3" s="147"/>
      <c r="H3" s="3"/>
    </row>
    <row r="4" ht="12.75">
      <c r="D4" s="125" t="s">
        <v>381</v>
      </c>
    </row>
    <row r="5" ht="12.75">
      <c r="D5" s="125" t="s">
        <v>710</v>
      </c>
    </row>
    <row r="6" ht="12.75">
      <c r="D6" s="3" t="str">
        <f>+'ES 1.0'!E7</f>
        <v>For the Expense Month of October 2013</v>
      </c>
    </row>
    <row r="7" ht="12.75">
      <c r="D7" s="60"/>
    </row>
    <row r="8" ht="12.75">
      <c r="D8" s="176" t="s">
        <v>876</v>
      </c>
    </row>
    <row r="10" ht="13.5" thickBot="1"/>
    <row r="11" spans="2:13" ht="30" customHeight="1" thickBot="1">
      <c r="B11" s="36" t="s">
        <v>683</v>
      </c>
      <c r="C11" s="88"/>
      <c r="D11" s="37" t="s">
        <v>799</v>
      </c>
      <c r="E11" s="88"/>
      <c r="F11" s="85"/>
      <c r="G11" s="88"/>
      <c r="H11" s="93"/>
      <c r="I11" s="61"/>
      <c r="J11" s="61"/>
      <c r="K11" s="61"/>
      <c r="L11" s="61"/>
      <c r="M11" s="61"/>
    </row>
    <row r="12" spans="2:8" ht="12.75">
      <c r="B12" s="52"/>
      <c r="C12" s="18"/>
      <c r="D12" s="6"/>
      <c r="E12" s="18"/>
      <c r="F12" s="6"/>
      <c r="G12" s="18"/>
      <c r="H12" s="7"/>
    </row>
    <row r="13" spans="2:8" ht="12.75">
      <c r="B13" s="10"/>
      <c r="C13" s="20"/>
      <c r="D13" s="177" t="s">
        <v>877</v>
      </c>
      <c r="E13" s="20"/>
      <c r="F13" s="11"/>
      <c r="G13" s="20"/>
      <c r="H13" s="15"/>
    </row>
    <row r="14" spans="2:8" ht="12.75">
      <c r="B14" s="10"/>
      <c r="C14" s="20"/>
      <c r="D14" s="180" t="s">
        <v>878</v>
      </c>
      <c r="E14" s="20"/>
      <c r="F14" s="11"/>
      <c r="G14" s="20"/>
      <c r="H14" s="87"/>
    </row>
    <row r="15" spans="2:8" ht="12.75">
      <c r="B15" s="10">
        <v>1</v>
      </c>
      <c r="C15" s="20"/>
      <c r="D15" s="181" t="s">
        <v>641</v>
      </c>
      <c r="E15" s="20"/>
      <c r="F15" s="11"/>
      <c r="G15" s="20"/>
      <c r="H15" s="87">
        <f>+'ES 3.10'!H35</f>
        <v>2557605.13</v>
      </c>
    </row>
    <row r="16" spans="2:8" ht="12.75">
      <c r="B16" s="10"/>
      <c r="C16" s="20"/>
      <c r="D16" s="181"/>
      <c r="E16" s="20"/>
      <c r="F16" s="11"/>
      <c r="G16" s="20"/>
      <c r="H16" s="15"/>
    </row>
    <row r="17" spans="2:8" ht="12.75">
      <c r="B17" s="10"/>
      <c r="C17" s="20"/>
      <c r="D17" s="177" t="s">
        <v>880</v>
      </c>
      <c r="E17" s="20"/>
      <c r="F17" s="11"/>
      <c r="G17" s="20"/>
      <c r="H17" s="15"/>
    </row>
    <row r="18" spans="2:8" ht="12.75">
      <c r="B18" s="10"/>
      <c r="C18" s="20"/>
      <c r="D18" s="180" t="s">
        <v>879</v>
      </c>
      <c r="E18" s="20"/>
      <c r="F18" s="11"/>
      <c r="G18" s="20"/>
      <c r="H18" s="15"/>
    </row>
    <row r="19" spans="2:8" ht="12.75">
      <c r="B19" s="10">
        <v>2</v>
      </c>
      <c r="C19" s="20"/>
      <c r="D19" s="181" t="s">
        <v>194</v>
      </c>
      <c r="E19" s="20"/>
      <c r="F19" s="11"/>
      <c r="G19" s="20"/>
      <c r="H19" s="87">
        <f>+'ES 3.20'!M36</f>
        <v>38194</v>
      </c>
    </row>
    <row r="20" spans="2:8" ht="12.75">
      <c r="B20" s="10"/>
      <c r="C20" s="20"/>
      <c r="D20" s="11"/>
      <c r="E20" s="20"/>
      <c r="F20" s="11"/>
      <c r="G20" s="20"/>
      <c r="H20" s="87"/>
    </row>
    <row r="21" spans="2:8" ht="12.75">
      <c r="B21" s="10"/>
      <c r="C21" s="20"/>
      <c r="D21" s="178" t="s">
        <v>881</v>
      </c>
      <c r="E21" s="20"/>
      <c r="F21" s="11"/>
      <c r="G21" s="20"/>
      <c r="H21" s="15"/>
    </row>
    <row r="22" spans="2:8" ht="12.75">
      <c r="B22" s="10"/>
      <c r="C22" s="20"/>
      <c r="D22" s="128" t="s">
        <v>882</v>
      </c>
      <c r="E22" s="20"/>
      <c r="F22" s="11"/>
      <c r="G22" s="20"/>
      <c r="H22" s="15"/>
    </row>
    <row r="23" spans="2:8" ht="12.75">
      <c r="B23" s="10"/>
      <c r="C23" s="20"/>
      <c r="D23" s="13" t="s">
        <v>885</v>
      </c>
      <c r="E23" s="20"/>
      <c r="F23" s="12"/>
      <c r="G23" s="20"/>
      <c r="H23" s="15"/>
    </row>
    <row r="24" spans="2:8" ht="12.75">
      <c r="B24" s="10"/>
      <c r="C24" s="20"/>
      <c r="D24" s="11" t="s">
        <v>883</v>
      </c>
      <c r="E24" s="20"/>
      <c r="F24" s="12">
        <v>0</v>
      </c>
      <c r="G24" s="20"/>
      <c r="H24" s="15"/>
    </row>
    <row r="25" spans="2:8" ht="12.75">
      <c r="B25" s="10"/>
      <c r="C25" s="20"/>
      <c r="D25" s="11"/>
      <c r="E25" s="20"/>
      <c r="F25" s="12"/>
      <c r="G25" s="20"/>
      <c r="H25" s="15"/>
    </row>
    <row r="26" spans="2:8" ht="12.75">
      <c r="B26" s="10"/>
      <c r="C26" s="20"/>
      <c r="D26" s="11" t="s">
        <v>267</v>
      </c>
      <c r="E26" s="20"/>
      <c r="F26" s="12"/>
      <c r="G26" s="20"/>
      <c r="H26" s="15"/>
    </row>
    <row r="27" spans="2:8" ht="12.75">
      <c r="B27" s="10"/>
      <c r="C27" s="20"/>
      <c r="D27" s="11" t="s">
        <v>800</v>
      </c>
      <c r="E27" s="20"/>
      <c r="F27" s="12"/>
      <c r="G27" s="20"/>
      <c r="H27" s="15"/>
    </row>
    <row r="28" spans="2:8" ht="12.75">
      <c r="B28" s="10"/>
      <c r="C28" s="20"/>
      <c r="D28" s="11" t="s">
        <v>801</v>
      </c>
      <c r="E28" s="20"/>
      <c r="F28" s="336">
        <v>0</v>
      </c>
      <c r="G28" s="20"/>
      <c r="H28" s="15"/>
    </row>
    <row r="29" spans="2:8" ht="12.75">
      <c r="B29" s="10"/>
      <c r="C29" s="20"/>
      <c r="D29" s="11"/>
      <c r="E29" s="20"/>
      <c r="F29" s="12"/>
      <c r="G29" s="20"/>
      <c r="H29" s="15"/>
    </row>
    <row r="30" spans="2:8" ht="12.75">
      <c r="B30" s="10"/>
      <c r="C30" s="20"/>
      <c r="D30" s="11" t="s">
        <v>889</v>
      </c>
      <c r="E30" s="20"/>
      <c r="F30" s="182">
        <f>+F24+F28</f>
        <v>0</v>
      </c>
      <c r="G30" s="20"/>
      <c r="H30" s="15"/>
    </row>
    <row r="31" spans="2:8" ht="12.75">
      <c r="B31" s="10"/>
      <c r="C31" s="20"/>
      <c r="D31" s="11"/>
      <c r="E31" s="20"/>
      <c r="F31" s="12"/>
      <c r="G31" s="20"/>
      <c r="H31" s="15"/>
    </row>
    <row r="32" spans="2:8" ht="12.75">
      <c r="B32" s="10"/>
      <c r="C32" s="20"/>
      <c r="D32" s="13" t="s">
        <v>334</v>
      </c>
      <c r="E32" s="20"/>
      <c r="F32" s="12">
        <v>0</v>
      </c>
      <c r="G32" s="20"/>
      <c r="H32" s="15"/>
    </row>
    <row r="33" spans="2:8" ht="12.75">
      <c r="B33" s="10"/>
      <c r="C33" s="20"/>
      <c r="D33" s="11"/>
      <c r="E33" s="20"/>
      <c r="F33" s="12"/>
      <c r="G33" s="20"/>
      <c r="H33" s="15"/>
    </row>
    <row r="34" spans="2:8" ht="12.75">
      <c r="B34" s="10"/>
      <c r="C34" s="20"/>
      <c r="D34" s="11" t="s">
        <v>886</v>
      </c>
      <c r="E34" s="20"/>
      <c r="F34" s="12">
        <v>0</v>
      </c>
      <c r="G34" s="20"/>
      <c r="H34" s="15"/>
    </row>
    <row r="35" spans="2:8" ht="12.75">
      <c r="B35" s="10"/>
      <c r="C35" s="20"/>
      <c r="D35" s="11"/>
      <c r="E35" s="20"/>
      <c r="F35" s="12"/>
      <c r="G35" s="20"/>
      <c r="H35" s="15"/>
    </row>
    <row r="36" spans="2:8" ht="12.75">
      <c r="B36" s="10"/>
      <c r="C36" s="20"/>
      <c r="D36" s="179" t="s">
        <v>887</v>
      </c>
      <c r="E36" s="20"/>
      <c r="F36" s="12"/>
      <c r="G36" s="20"/>
      <c r="H36" s="15"/>
    </row>
    <row r="37" spans="2:8" ht="12.75">
      <c r="B37" s="10"/>
      <c r="C37" s="20"/>
      <c r="D37" s="63" t="s">
        <v>888</v>
      </c>
      <c r="E37" s="20"/>
      <c r="F37" s="336">
        <v>7766</v>
      </c>
      <c r="G37" s="20"/>
      <c r="H37" s="15"/>
    </row>
    <row r="38" spans="2:8" ht="12.75">
      <c r="B38" s="10"/>
      <c r="C38" s="20"/>
      <c r="D38" s="11"/>
      <c r="E38" s="20"/>
      <c r="F38" s="12"/>
      <c r="G38" s="20"/>
      <c r="H38" s="15"/>
    </row>
    <row r="39" spans="2:8" ht="12.75">
      <c r="B39" s="10"/>
      <c r="C39" s="20"/>
      <c r="D39" s="11" t="s">
        <v>890</v>
      </c>
      <c r="E39" s="23" t="s">
        <v>44</v>
      </c>
      <c r="F39" s="182">
        <f>+F32+F34+F37</f>
        <v>7766</v>
      </c>
      <c r="G39" s="20"/>
      <c r="H39" s="15"/>
    </row>
    <row r="40" spans="2:8" ht="12.75">
      <c r="B40" s="10"/>
      <c r="C40" s="20"/>
      <c r="D40" s="11"/>
      <c r="E40" s="20"/>
      <c r="F40" s="120" t="s">
        <v>803</v>
      </c>
      <c r="G40" s="20"/>
      <c r="H40" s="15"/>
    </row>
    <row r="41" spans="2:8" ht="12.75">
      <c r="B41" s="10">
        <v>3</v>
      </c>
      <c r="C41" s="20"/>
      <c r="D41" s="11" t="s">
        <v>268</v>
      </c>
      <c r="E41" s="20"/>
      <c r="F41" s="11"/>
      <c r="G41" s="20"/>
      <c r="H41" s="87">
        <f>+F30+F39</f>
        <v>7766</v>
      </c>
    </row>
    <row r="42" spans="2:8" ht="12.75">
      <c r="B42" s="10"/>
      <c r="C42" s="20"/>
      <c r="D42" s="11"/>
      <c r="E42" s="20"/>
      <c r="F42" s="11"/>
      <c r="G42" s="20"/>
      <c r="H42" s="121" t="s">
        <v>803</v>
      </c>
    </row>
    <row r="43" spans="2:8" ht="12.75">
      <c r="B43" s="10">
        <v>4</v>
      </c>
      <c r="C43" s="20"/>
      <c r="D43" s="11" t="s">
        <v>802</v>
      </c>
      <c r="E43" s="20"/>
      <c r="F43" s="11"/>
      <c r="G43" s="20"/>
      <c r="H43" s="15"/>
    </row>
    <row r="44" spans="2:8" ht="12.75">
      <c r="B44" s="10"/>
      <c r="C44" s="20"/>
      <c r="D44" s="11" t="s">
        <v>88</v>
      </c>
      <c r="E44" s="20"/>
      <c r="F44" s="11"/>
      <c r="G44" s="20"/>
      <c r="H44" s="87">
        <f>+H15+H19-H41</f>
        <v>2588033.13</v>
      </c>
    </row>
    <row r="45" spans="2:8" ht="12.75">
      <c r="B45" s="10"/>
      <c r="C45" s="20"/>
      <c r="D45" s="11"/>
      <c r="E45" s="20"/>
      <c r="F45" s="11"/>
      <c r="G45" s="20"/>
      <c r="H45" s="15"/>
    </row>
    <row r="46" spans="2:8" ht="13.5" thickBot="1">
      <c r="B46" s="44"/>
      <c r="C46" s="21"/>
      <c r="D46" s="16"/>
      <c r="E46" s="21"/>
      <c r="F46" s="16"/>
      <c r="G46" s="21"/>
      <c r="H46" s="17"/>
    </row>
    <row r="47" ht="12.75">
      <c r="B47" s="91"/>
    </row>
    <row r="48" ht="12.75">
      <c r="B48" s="91"/>
    </row>
    <row r="49" spans="2:5" ht="12.75">
      <c r="B49" s="91"/>
      <c r="E49" s="83"/>
    </row>
    <row r="50" ht="12.75">
      <c r="B50" s="91"/>
    </row>
    <row r="51" ht="12.75">
      <c r="B51" s="91"/>
    </row>
    <row r="52" ht="12.75">
      <c r="B52" s="91"/>
    </row>
    <row r="53" ht="12.75">
      <c r="B53" s="91"/>
    </row>
    <row r="54" ht="12.75">
      <c r="B54" s="91"/>
    </row>
    <row r="55" ht="12.75">
      <c r="B55" s="91"/>
    </row>
    <row r="56" ht="12.75">
      <c r="B56" s="91"/>
    </row>
    <row r="57" ht="12.75">
      <c r="B57" s="91"/>
    </row>
    <row r="58" ht="12.75">
      <c r="B58" s="91"/>
    </row>
  </sheetData>
  <sheetProtection/>
  <printOptions horizontalCentered="1"/>
  <pageMargins left="0" right="0" top="0.5" bottom="0.5" header="0.5" footer="0"/>
  <pageSetup horizontalDpi="300" verticalDpi="300" orientation="portrait" r:id="rId1"/>
</worksheet>
</file>

<file path=xl/worksheets/sheet30.xml><?xml version="1.0" encoding="utf-8"?>
<worksheet xmlns="http://schemas.openxmlformats.org/spreadsheetml/2006/main" xmlns:r="http://schemas.openxmlformats.org/officeDocument/2006/relationships">
  <dimension ref="A2:M31"/>
  <sheetViews>
    <sheetView zoomScalePageLayoutView="0" workbookViewId="0" topLeftCell="A1">
      <selection activeCell="G15" sqref="G15"/>
    </sheetView>
  </sheetViews>
  <sheetFormatPr defaultColWidth="9.140625" defaultRowHeight="12.75"/>
  <cols>
    <col min="1" max="1" width="2.57421875" style="0" customWidth="1"/>
    <col min="2" max="2" width="5.140625" style="0" customWidth="1"/>
    <col min="3" max="3" width="62.00390625" style="0" customWidth="1"/>
    <col min="4" max="4" width="13.7109375" style="0" bestFit="1" customWidth="1"/>
    <col min="5" max="5" width="3.57421875" style="0" customWidth="1"/>
  </cols>
  <sheetData>
    <row r="2" spans="1:12" s="3" customFormat="1" ht="15">
      <c r="A2"/>
      <c r="B2"/>
      <c r="C2" s="484" t="s">
        <v>115</v>
      </c>
      <c r="D2"/>
      <c r="E2"/>
      <c r="F2"/>
      <c r="G2"/>
      <c r="H2"/>
      <c r="I2"/>
      <c r="J2"/>
      <c r="K2"/>
      <c r="L2"/>
    </row>
    <row r="3" spans="1:12" s="3" customFormat="1" ht="13.5" thickBot="1">
      <c r="A3"/>
      <c r="B3"/>
      <c r="C3"/>
      <c r="D3"/>
      <c r="E3"/>
      <c r="F3"/>
      <c r="G3"/>
      <c r="H3"/>
      <c r="I3"/>
      <c r="J3"/>
      <c r="K3"/>
      <c r="L3"/>
    </row>
    <row r="4" spans="1:12" ht="27" thickBot="1" thickTop="1">
      <c r="A4" s="3"/>
      <c r="B4" s="472" t="s">
        <v>107</v>
      </c>
      <c r="C4" s="474" t="s">
        <v>674</v>
      </c>
      <c r="D4" s="476" t="s">
        <v>342</v>
      </c>
      <c r="E4" s="3"/>
      <c r="F4" s="3"/>
      <c r="G4" s="3"/>
      <c r="H4" s="3"/>
      <c r="I4" s="3"/>
      <c r="J4" s="3"/>
      <c r="K4" s="3"/>
      <c r="L4" s="3"/>
    </row>
    <row r="5" spans="1:12" ht="12.75">
      <c r="A5" s="3"/>
      <c r="B5" s="473"/>
      <c r="C5" s="480"/>
      <c r="D5" s="475"/>
      <c r="E5" s="3"/>
      <c r="F5" s="3"/>
      <c r="G5" s="3"/>
      <c r="H5" s="3"/>
      <c r="I5" s="3"/>
      <c r="J5" s="3"/>
      <c r="K5" s="3"/>
      <c r="L5" s="3"/>
    </row>
    <row r="6" spans="2:13" ht="25.5" customHeight="1">
      <c r="B6" s="213">
        <v>1</v>
      </c>
      <c r="C6" s="481" t="s">
        <v>108</v>
      </c>
      <c r="D6" s="349">
        <f>'ES 3.30'!F15</f>
        <v>35398439.19</v>
      </c>
      <c r="M6" s="471"/>
    </row>
    <row r="7" spans="2:13" ht="12.75">
      <c r="B7" s="477"/>
      <c r="C7" s="481"/>
      <c r="D7" s="349"/>
      <c r="M7" s="471"/>
    </row>
    <row r="8" spans="2:13" ht="12.75" customHeight="1">
      <c r="B8" s="477">
        <v>2</v>
      </c>
      <c r="C8" s="102" t="s">
        <v>109</v>
      </c>
      <c r="D8" s="478">
        <v>5173782.63</v>
      </c>
      <c r="F8" s="558" t="s">
        <v>114</v>
      </c>
      <c r="G8" s="558"/>
      <c r="H8" s="558"/>
      <c r="I8" s="558"/>
      <c r="J8" s="558"/>
      <c r="K8" s="558"/>
      <c r="L8" s="558"/>
      <c r="M8" s="558"/>
    </row>
    <row r="9" spans="2:13" ht="12.75">
      <c r="B9" s="477"/>
      <c r="C9" s="102"/>
      <c r="D9" s="483" t="s">
        <v>689</v>
      </c>
      <c r="F9" s="558"/>
      <c r="G9" s="558"/>
      <c r="H9" s="558"/>
      <c r="I9" s="558"/>
      <c r="J9" s="558"/>
      <c r="K9" s="558"/>
      <c r="L9" s="558"/>
      <c r="M9" s="558"/>
    </row>
    <row r="10" spans="2:4" ht="12.75">
      <c r="B10" s="477">
        <v>3</v>
      </c>
      <c r="C10" s="102" t="s">
        <v>809</v>
      </c>
      <c r="D10" s="349">
        <f>D6-D8</f>
        <v>30224656.56</v>
      </c>
    </row>
    <row r="11" spans="2:4" ht="12.75">
      <c r="B11" s="213"/>
      <c r="C11" s="102"/>
      <c r="D11" s="345"/>
    </row>
    <row r="12" spans="2:4" ht="26.25">
      <c r="B12" s="213">
        <v>4</v>
      </c>
      <c r="C12" s="481" t="s">
        <v>116</v>
      </c>
      <c r="D12" s="349">
        <f>'ES 3.30'!H42</f>
        <v>-829052.82</v>
      </c>
    </row>
    <row r="13" spans="2:4" ht="12.75">
      <c r="B13" s="213"/>
      <c r="C13" s="102"/>
      <c r="D13" s="483" t="s">
        <v>689</v>
      </c>
    </row>
    <row r="14" spans="2:4" ht="12.75">
      <c r="B14" s="213">
        <v>5</v>
      </c>
      <c r="C14" s="102" t="s">
        <v>110</v>
      </c>
      <c r="D14" s="349">
        <f>D10-D12</f>
        <v>31053709.38</v>
      </c>
    </row>
    <row r="15" spans="2:4" ht="12.75">
      <c r="B15" s="213"/>
      <c r="C15" s="102"/>
      <c r="D15" s="345"/>
    </row>
    <row r="16" spans="2:4" ht="12.75">
      <c r="B16" s="213"/>
      <c r="C16" s="482" t="s">
        <v>811</v>
      </c>
      <c r="D16" s="345"/>
    </row>
    <row r="17" spans="2:4" ht="12.75">
      <c r="B17" s="213"/>
      <c r="C17" s="102"/>
      <c r="D17" s="345"/>
    </row>
    <row r="18" spans="2:4" ht="12.75">
      <c r="B18" s="213">
        <v>6</v>
      </c>
      <c r="C18" s="102" t="s">
        <v>111</v>
      </c>
      <c r="D18" s="349">
        <f>D14</f>
        <v>31053709.38</v>
      </c>
    </row>
    <row r="19" spans="2:4" ht="12.75">
      <c r="B19" s="213"/>
      <c r="C19" s="102"/>
      <c r="D19" s="345"/>
    </row>
    <row r="20" spans="2:4" ht="12.75">
      <c r="B20" s="213">
        <v>7</v>
      </c>
      <c r="C20" s="102" t="s">
        <v>112</v>
      </c>
      <c r="D20" s="349">
        <f>D12</f>
        <v>-829052.82</v>
      </c>
    </row>
    <row r="21" spans="2:4" ht="12.75">
      <c r="B21" s="213"/>
      <c r="C21" s="102"/>
      <c r="D21" s="483" t="s">
        <v>689</v>
      </c>
    </row>
    <row r="22" spans="2:4" ht="13.5" thickBot="1">
      <c r="B22" s="356">
        <v>8</v>
      </c>
      <c r="C22" s="76" t="s">
        <v>113</v>
      </c>
      <c r="D22" s="479">
        <f>D20/D18</f>
        <v>-0.026697384517095652</v>
      </c>
    </row>
    <row r="23" ht="12.75">
      <c r="B23" s="3"/>
    </row>
    <row r="24" ht="12.75">
      <c r="B24" s="3"/>
    </row>
    <row r="25" ht="12.75">
      <c r="B25" s="3"/>
    </row>
    <row r="26" ht="12.75">
      <c r="B26" s="3"/>
    </row>
    <row r="27" ht="12.75">
      <c r="B27" s="3"/>
    </row>
    <row r="28" ht="12.75">
      <c r="B28" s="3"/>
    </row>
    <row r="29" ht="12.75">
      <c r="B29" s="3"/>
    </row>
    <row r="30" ht="12.75">
      <c r="B30" s="3"/>
    </row>
    <row r="31" ht="12.75">
      <c r="B31" s="3"/>
    </row>
  </sheetData>
  <sheetProtection/>
  <mergeCells count="1">
    <mergeCell ref="F8:M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AH59"/>
  <sheetViews>
    <sheetView zoomScalePageLayoutView="0" workbookViewId="0" topLeftCell="A1">
      <pane ySplit="11" topLeftCell="A12" activePane="bottomLeft" state="frozen"/>
      <selection pane="topLeft" activeCell="E40" sqref="E40"/>
      <selection pane="bottomLeft" activeCell="H20" sqref="H20"/>
    </sheetView>
  </sheetViews>
  <sheetFormatPr defaultColWidth="9.140625" defaultRowHeight="12.75"/>
  <cols>
    <col min="1" max="1" width="3.7109375" style="0" customWidth="1"/>
    <col min="2" max="2" width="5.00390625" style="3" bestFit="1" customWidth="1"/>
    <col min="3" max="3" width="0.2890625" style="0" customWidth="1"/>
    <col min="4" max="4" width="60.7109375" style="0" customWidth="1"/>
    <col min="5" max="5" width="0.2890625" style="0" customWidth="1"/>
    <col min="6" max="6" width="15.7109375" style="0" customWidth="1"/>
    <col min="7" max="7" width="0.2890625" style="0" customWidth="1"/>
    <col min="8" max="8" width="15.7109375" style="0" customWidth="1"/>
    <col min="9" max="9" width="10.7109375" style="0" customWidth="1"/>
    <col min="10" max="10" width="3.00390625" style="0" bestFit="1" customWidth="1"/>
    <col min="11" max="11" width="20.28125" style="0" customWidth="1"/>
    <col min="12" max="12" width="2.28125" style="0" customWidth="1"/>
    <col min="13" max="13" width="10.7109375" style="0" bestFit="1" customWidth="1"/>
    <col min="14" max="14" width="13.8515625" style="0" bestFit="1" customWidth="1"/>
    <col min="15" max="15" width="11.7109375" style="0" bestFit="1" customWidth="1"/>
    <col min="16" max="16" width="15.57421875" style="0" bestFit="1" customWidth="1"/>
    <col min="17" max="17" width="12.7109375" style="0" customWidth="1"/>
    <col min="18" max="21" width="11.7109375" style="0" customWidth="1"/>
    <col min="22" max="22" width="2.28125" style="0" customWidth="1"/>
    <col min="23" max="32" width="12.7109375" style="0" customWidth="1"/>
    <col min="33" max="33" width="17.28125" style="0" bestFit="1" customWidth="1"/>
    <col min="34" max="34" width="11.7109375" style="0" bestFit="1" customWidth="1"/>
    <col min="35" max="35" width="3.7109375" style="0" customWidth="1"/>
    <col min="36" max="36" width="30.7109375" style="0" customWidth="1"/>
    <col min="37" max="37" width="12.7109375" style="0" customWidth="1"/>
  </cols>
  <sheetData>
    <row r="1" spans="4:10" ht="12.75">
      <c r="D1" s="151"/>
      <c r="J1" s="3"/>
    </row>
    <row r="2" spans="4:14" ht="12.75">
      <c r="D2" s="151"/>
      <c r="H2" s="3" t="s">
        <v>798</v>
      </c>
      <c r="I2" s="3"/>
      <c r="J2" s="3"/>
      <c r="K2" s="151"/>
      <c r="N2" s="136"/>
    </row>
    <row r="3" spans="4:14" ht="12.75">
      <c r="D3" s="147"/>
      <c r="H3" s="3"/>
      <c r="I3" s="3"/>
      <c r="J3" s="3"/>
      <c r="K3" s="151"/>
      <c r="N3" s="136"/>
    </row>
    <row r="4" spans="4:11" ht="12.75">
      <c r="D4" s="125" t="s">
        <v>381</v>
      </c>
      <c r="E4" s="1"/>
      <c r="F4" s="1"/>
      <c r="G4" s="1"/>
      <c r="H4" s="1"/>
      <c r="I4" s="1"/>
      <c r="J4" s="3"/>
      <c r="K4" s="1"/>
    </row>
    <row r="5" spans="4:11" ht="12.75">
      <c r="D5" s="125" t="s">
        <v>710</v>
      </c>
      <c r="E5" s="1"/>
      <c r="F5" s="1"/>
      <c r="G5" s="1"/>
      <c r="H5" s="1"/>
      <c r="I5" s="1"/>
      <c r="J5" s="3"/>
      <c r="K5" s="1"/>
    </row>
    <row r="6" spans="4:10" ht="12.75">
      <c r="D6" s="3" t="s">
        <v>891</v>
      </c>
      <c r="J6" s="3"/>
    </row>
    <row r="7" ht="12.75">
      <c r="J7" s="3"/>
    </row>
    <row r="8" spans="4:11" ht="12.75">
      <c r="D8" s="183" t="str">
        <f>+'ES 1.0'!E7</f>
        <v>For the Expense Month of October 2013</v>
      </c>
      <c r="J8" s="3"/>
      <c r="K8" s="156"/>
    </row>
    <row r="9" ht="12.75">
      <c r="J9" s="3"/>
    </row>
    <row r="10" spans="10:32" ht="13.5" thickBot="1">
      <c r="J10" s="4"/>
      <c r="M10" s="3"/>
      <c r="N10" s="3"/>
      <c r="O10" s="137"/>
      <c r="P10" s="137"/>
      <c r="Q10" s="137"/>
      <c r="R10" s="137"/>
      <c r="S10" s="137"/>
      <c r="T10" s="137"/>
      <c r="U10" s="137"/>
      <c r="V10" s="137"/>
      <c r="W10" s="137"/>
      <c r="X10" s="137"/>
      <c r="Y10" s="137"/>
      <c r="Z10" s="137"/>
      <c r="AA10" s="137"/>
      <c r="AB10" s="137"/>
      <c r="AC10" s="137"/>
      <c r="AD10" s="137"/>
      <c r="AE10" s="137"/>
      <c r="AF10" s="137"/>
    </row>
    <row r="11" spans="2:32" ht="30" customHeight="1" thickBot="1">
      <c r="B11" s="70" t="s">
        <v>683</v>
      </c>
      <c r="C11" s="71"/>
      <c r="D11" s="72" t="s">
        <v>717</v>
      </c>
      <c r="E11" s="71"/>
      <c r="F11" s="73"/>
      <c r="G11" s="71"/>
      <c r="H11" s="94"/>
      <c r="I11" s="13"/>
      <c r="J11" s="3"/>
      <c r="M11" s="3"/>
      <c r="N11" s="4"/>
      <c r="O11" s="4"/>
      <c r="P11" s="4"/>
      <c r="Q11" s="4"/>
      <c r="R11" s="4"/>
      <c r="T11" s="4"/>
      <c r="U11" s="4"/>
      <c r="V11" s="4"/>
      <c r="W11" s="4"/>
      <c r="X11" s="3"/>
      <c r="Y11" s="3"/>
      <c r="Z11" s="3"/>
      <c r="AA11" s="3"/>
      <c r="AB11" s="3"/>
      <c r="AC11" s="3"/>
      <c r="AD11" s="3"/>
      <c r="AE11" s="3"/>
      <c r="AF11" s="3"/>
    </row>
    <row r="12" spans="2:17" ht="12.75">
      <c r="B12" s="70"/>
      <c r="C12" s="71"/>
      <c r="D12" s="72"/>
      <c r="E12" s="71"/>
      <c r="F12" s="73"/>
      <c r="G12" s="71"/>
      <c r="H12" s="94"/>
      <c r="I12" s="13"/>
      <c r="J12" s="3"/>
      <c r="M12" s="3"/>
      <c r="N12" s="4"/>
      <c r="O12" s="3"/>
      <c r="P12" s="3"/>
      <c r="Q12" s="3"/>
    </row>
    <row r="13" spans="2:32" ht="12.75">
      <c r="B13" s="14"/>
      <c r="C13" s="20"/>
      <c r="D13" s="29" t="s">
        <v>718</v>
      </c>
      <c r="E13" s="20"/>
      <c r="F13" s="11"/>
      <c r="G13" s="20"/>
      <c r="H13" s="15"/>
      <c r="I13" s="11"/>
      <c r="X13" s="84"/>
      <c r="Y13" s="84"/>
      <c r="Z13" s="84"/>
      <c r="AA13" s="84"/>
      <c r="AB13" s="84"/>
      <c r="AC13" s="84"/>
      <c r="AD13" s="84"/>
      <c r="AE13" s="84"/>
      <c r="AF13" s="84"/>
    </row>
    <row r="14" spans="2:32" ht="12.75">
      <c r="B14" s="10">
        <v>1</v>
      </c>
      <c r="C14" s="20"/>
      <c r="D14" s="11" t="s">
        <v>804</v>
      </c>
      <c r="E14" s="20"/>
      <c r="F14" s="122">
        <f>'Sch 3.10'!R61</f>
        <v>193120620</v>
      </c>
      <c r="G14" s="26"/>
      <c r="H14" s="109"/>
      <c r="I14" s="63"/>
      <c r="J14" s="3"/>
      <c r="M14" s="84"/>
      <c r="N14" s="84"/>
      <c r="O14" s="84"/>
      <c r="P14" s="84"/>
      <c r="Q14" s="84"/>
      <c r="R14" s="84"/>
      <c r="S14" s="84"/>
      <c r="T14" s="84"/>
      <c r="U14" s="84"/>
      <c r="V14" s="84"/>
      <c r="W14" s="84"/>
      <c r="X14" s="84"/>
      <c r="Y14" s="84"/>
      <c r="Z14" s="84"/>
      <c r="AA14" s="84"/>
      <c r="AB14" s="84"/>
      <c r="AC14" s="84"/>
      <c r="AD14" s="84"/>
      <c r="AE14" s="84"/>
      <c r="AF14" s="84"/>
    </row>
    <row r="15" spans="2:32" ht="12.75">
      <c r="B15" s="10">
        <f aca="true" t="shared" si="0" ref="B15:B24">+B14+1</f>
        <v>2</v>
      </c>
      <c r="C15" s="20"/>
      <c r="D15" s="95" t="s">
        <v>719</v>
      </c>
      <c r="E15" s="20"/>
      <c r="F15" s="122">
        <f>+'Sch 3.10'!R62</f>
        <v>-82224123</v>
      </c>
      <c r="G15" s="26"/>
      <c r="H15" s="109"/>
      <c r="I15" s="63"/>
      <c r="J15" s="3"/>
      <c r="M15" s="84"/>
      <c r="N15" s="84"/>
      <c r="O15" s="84"/>
      <c r="P15" s="84"/>
      <c r="Q15" s="84"/>
      <c r="R15" s="84"/>
      <c r="S15" s="84"/>
      <c r="T15" s="84"/>
      <c r="U15" s="84"/>
      <c r="V15" s="84"/>
      <c r="W15" s="84"/>
      <c r="X15" s="92"/>
      <c r="Y15" s="92"/>
      <c r="Z15" s="92"/>
      <c r="AA15" s="92"/>
      <c r="AB15" s="92"/>
      <c r="AC15" s="92"/>
      <c r="AD15" s="92"/>
      <c r="AE15" s="92"/>
      <c r="AF15" s="92"/>
    </row>
    <row r="16" spans="2:32" ht="12.75">
      <c r="B16" s="10">
        <f t="shared" si="0"/>
        <v>3</v>
      </c>
      <c r="C16" s="20"/>
      <c r="D16" s="11" t="s">
        <v>720</v>
      </c>
      <c r="E16" s="20"/>
      <c r="F16" s="122">
        <f>+'Sch 3.10'!R63</f>
        <v>-29450319</v>
      </c>
      <c r="G16" s="26"/>
      <c r="H16" s="109"/>
      <c r="I16" s="63"/>
      <c r="J16" s="3"/>
      <c r="M16" s="138"/>
      <c r="N16" s="92"/>
      <c r="O16" s="92"/>
      <c r="P16" s="92"/>
      <c r="Q16" s="92"/>
      <c r="R16" s="92"/>
      <c r="S16" s="92"/>
      <c r="T16" s="92"/>
      <c r="U16" s="92"/>
      <c r="V16" s="92"/>
      <c r="W16" s="84"/>
      <c r="X16" s="92"/>
      <c r="Y16" s="92"/>
      <c r="Z16" s="92"/>
      <c r="AA16" s="92"/>
      <c r="AB16" s="92"/>
      <c r="AC16" s="92"/>
      <c r="AD16" s="92"/>
      <c r="AE16" s="92"/>
      <c r="AF16" s="92"/>
    </row>
    <row r="17" spans="2:23" ht="12.75">
      <c r="B17" s="10">
        <f t="shared" si="0"/>
        <v>4</v>
      </c>
      <c r="C17" s="20"/>
      <c r="D17" s="11" t="s">
        <v>795</v>
      </c>
      <c r="E17" s="20"/>
      <c r="F17" s="108"/>
      <c r="G17" s="26"/>
      <c r="H17" s="87">
        <f>SUM(F14:F16)</f>
        <v>81446178</v>
      </c>
      <c r="I17" s="142"/>
      <c r="J17" s="3"/>
      <c r="K17" s="3"/>
      <c r="M17" s="92"/>
      <c r="N17" s="92"/>
      <c r="O17" s="92"/>
      <c r="P17" s="92"/>
      <c r="Q17" s="92"/>
      <c r="R17" s="92"/>
      <c r="S17" s="92"/>
      <c r="T17" s="92"/>
      <c r="U17" s="92"/>
      <c r="V17" s="92"/>
      <c r="W17" s="92"/>
    </row>
    <row r="18" spans="2:32" ht="12.75">
      <c r="B18" s="10">
        <f t="shared" si="0"/>
        <v>5</v>
      </c>
      <c r="C18" s="20"/>
      <c r="D18" s="63" t="s">
        <v>909</v>
      </c>
      <c r="E18" s="20"/>
      <c r="F18" s="108"/>
      <c r="G18" s="26"/>
      <c r="H18" s="118">
        <f>+'ES 3.11'!L33</f>
        <v>9456529</v>
      </c>
      <c r="I18" s="142"/>
      <c r="J18" s="3"/>
      <c r="M18" s="84"/>
      <c r="X18" s="84"/>
      <c r="Y18" s="84"/>
      <c r="Z18" s="84"/>
      <c r="AA18" s="84"/>
      <c r="AB18" s="84"/>
      <c r="AC18" s="84"/>
      <c r="AD18" s="84"/>
      <c r="AE18" s="84"/>
      <c r="AF18" s="84"/>
    </row>
    <row r="19" spans="2:32" ht="12.75">
      <c r="B19" s="10">
        <f>+B18+1</f>
        <v>6</v>
      </c>
      <c r="C19" s="20"/>
      <c r="D19" s="63" t="s">
        <v>910</v>
      </c>
      <c r="E19" s="20"/>
      <c r="F19" s="108"/>
      <c r="G19" s="26"/>
      <c r="H19" s="118">
        <f>+'ES 3.12 A'!J27+'ES 3.12 B'!J28</f>
        <v>8853</v>
      </c>
      <c r="I19" s="142"/>
      <c r="J19" s="3"/>
      <c r="M19" s="84"/>
      <c r="X19" s="84"/>
      <c r="Y19" s="84"/>
      <c r="Z19" s="84"/>
      <c r="AA19" s="84"/>
      <c r="AB19" s="84"/>
      <c r="AC19" s="84"/>
      <c r="AD19" s="84"/>
      <c r="AE19" s="84"/>
      <c r="AF19" s="84"/>
    </row>
    <row r="20" spans="2:32" ht="12.75">
      <c r="B20" s="10">
        <f t="shared" si="0"/>
        <v>7</v>
      </c>
      <c r="C20" s="20"/>
      <c r="D20" s="63" t="s">
        <v>379</v>
      </c>
      <c r="E20" s="20"/>
      <c r="F20" s="108"/>
      <c r="G20" s="26"/>
      <c r="H20" s="118">
        <f>+'ES 3.13'!G48</f>
        <v>1221704</v>
      </c>
      <c r="I20" s="142"/>
      <c r="J20" s="3"/>
      <c r="M20" s="84"/>
      <c r="X20" s="84"/>
      <c r="Y20" s="84"/>
      <c r="Z20" s="84"/>
      <c r="AA20" s="84"/>
      <c r="AB20" s="84"/>
      <c r="AC20" s="84"/>
      <c r="AD20" s="84"/>
      <c r="AE20" s="84"/>
      <c r="AF20" s="84"/>
    </row>
    <row r="21" spans="2:32" ht="12.75">
      <c r="B21" s="10">
        <f t="shared" si="0"/>
        <v>8</v>
      </c>
      <c r="C21" s="20"/>
      <c r="D21" s="11" t="s">
        <v>723</v>
      </c>
      <c r="E21" s="20"/>
      <c r="F21" s="108"/>
      <c r="G21" s="26"/>
      <c r="H21" s="87">
        <f>+H17+H18+H19+H20</f>
        <v>92133264</v>
      </c>
      <c r="I21" s="142"/>
      <c r="J21" s="3"/>
      <c r="M21" s="84"/>
      <c r="N21" s="84"/>
      <c r="O21" s="84"/>
      <c r="P21" s="84"/>
      <c r="Q21" s="84"/>
      <c r="R21" s="84"/>
      <c r="S21" s="84"/>
      <c r="T21" s="84"/>
      <c r="U21" s="84"/>
      <c r="V21" s="84"/>
      <c r="W21" s="84"/>
      <c r="X21" s="84"/>
      <c r="Y21" s="84"/>
      <c r="Z21" s="84"/>
      <c r="AA21" s="84"/>
      <c r="AB21" s="84"/>
      <c r="AC21" s="84"/>
      <c r="AD21" s="84"/>
      <c r="AE21" s="84"/>
      <c r="AF21" s="84"/>
    </row>
    <row r="22" spans="2:32" ht="12.75">
      <c r="B22" s="10">
        <f t="shared" si="0"/>
        <v>9</v>
      </c>
      <c r="C22" s="20"/>
      <c r="D22" s="11" t="s">
        <v>92</v>
      </c>
      <c r="E22" s="20"/>
      <c r="F22" s="458">
        <v>0.1062</v>
      </c>
      <c r="G22" s="98"/>
      <c r="H22" s="109"/>
      <c r="I22" s="63"/>
      <c r="J22" s="3"/>
      <c r="M22" s="84"/>
      <c r="N22" s="84"/>
      <c r="W22" s="84"/>
      <c r="X22" s="84"/>
      <c r="Y22" s="84"/>
      <c r="Z22" s="84"/>
      <c r="AA22" s="84"/>
      <c r="AB22" s="84"/>
      <c r="AC22" s="84"/>
      <c r="AD22" s="84"/>
      <c r="AE22" s="84"/>
      <c r="AF22" s="84"/>
    </row>
    <row r="23" spans="2:23" ht="12.75">
      <c r="B23" s="10">
        <f t="shared" si="0"/>
        <v>10</v>
      </c>
      <c r="C23" s="20"/>
      <c r="D23" s="11" t="s">
        <v>729</v>
      </c>
      <c r="E23" s="20"/>
      <c r="F23" s="108"/>
      <c r="G23" s="26"/>
      <c r="H23" s="152">
        <f>ROUND(F22/12,4)</f>
        <v>0.0089</v>
      </c>
      <c r="I23" s="143"/>
      <c r="J23" s="3"/>
      <c r="M23" s="84"/>
      <c r="N23" s="84"/>
      <c r="O23" s="84"/>
      <c r="P23" s="84"/>
      <c r="Q23" s="84"/>
      <c r="R23" s="84"/>
      <c r="S23" s="84"/>
      <c r="T23" s="84"/>
      <c r="U23" s="84"/>
      <c r="V23" s="84"/>
      <c r="W23" s="84"/>
    </row>
    <row r="24" spans="2:11" ht="12.75">
      <c r="B24" s="10">
        <f t="shared" si="0"/>
        <v>11</v>
      </c>
      <c r="C24" s="20"/>
      <c r="D24" s="11" t="s">
        <v>730</v>
      </c>
      <c r="E24" s="20"/>
      <c r="F24" s="110"/>
      <c r="G24" s="20"/>
      <c r="H24" s="87">
        <f>ROUND(H21*H23,0)</f>
        <v>819986</v>
      </c>
      <c r="I24" s="12"/>
      <c r="J24" s="3"/>
      <c r="K24" s="154"/>
    </row>
    <row r="25" spans="2:14" ht="12.75">
      <c r="B25" s="10"/>
      <c r="C25" s="20"/>
      <c r="D25" s="29" t="s">
        <v>726</v>
      </c>
      <c r="E25" s="20"/>
      <c r="F25" s="110"/>
      <c r="G25" s="20"/>
      <c r="H25" s="87"/>
      <c r="I25" s="12"/>
      <c r="J25" s="3"/>
      <c r="M25" s="139"/>
      <c r="N25" s="139"/>
    </row>
    <row r="26" spans="2:32" ht="12.75">
      <c r="B26" s="10">
        <f>+B24+1</f>
        <v>12</v>
      </c>
      <c r="C26" s="20"/>
      <c r="D26" s="11" t="s">
        <v>749</v>
      </c>
      <c r="E26" s="20"/>
      <c r="F26" s="110"/>
      <c r="G26" s="20"/>
      <c r="H26" s="87">
        <f>+'Sch 3.10'!R66-H27</f>
        <v>577252</v>
      </c>
      <c r="I26" s="12"/>
      <c r="J26" s="3"/>
      <c r="K26" s="84"/>
      <c r="X26" s="84"/>
      <c r="Y26" s="84"/>
      <c r="Z26" s="84"/>
      <c r="AA26" s="84"/>
      <c r="AB26" s="84"/>
      <c r="AC26" s="84"/>
      <c r="AD26" s="84"/>
      <c r="AE26" s="84"/>
      <c r="AF26" s="84"/>
    </row>
    <row r="27" spans="2:32" ht="12.75">
      <c r="B27" s="10">
        <f aca="true" t="shared" si="1" ref="B27:B34">+B26+1</f>
        <v>13</v>
      </c>
      <c r="C27" s="20"/>
      <c r="D27" s="11" t="s">
        <v>176</v>
      </c>
      <c r="E27" s="20"/>
      <c r="F27" s="110"/>
      <c r="G27" s="20"/>
      <c r="H27" s="87">
        <f>+'Sch 3.10'!H101</f>
        <v>46030</v>
      </c>
      <c r="I27" s="12"/>
      <c r="J27" s="3"/>
      <c r="X27" s="84"/>
      <c r="Y27" s="84"/>
      <c r="Z27" s="84"/>
      <c r="AA27" s="84"/>
      <c r="AB27" s="84"/>
      <c r="AC27" s="84"/>
      <c r="AD27" s="84"/>
      <c r="AE27" s="84"/>
      <c r="AF27" s="84"/>
    </row>
    <row r="28" spans="2:32" ht="12.75">
      <c r="B28" s="10">
        <f t="shared" si="1"/>
        <v>14</v>
      </c>
      <c r="C28" s="20"/>
      <c r="D28" s="11" t="s">
        <v>797</v>
      </c>
      <c r="E28" s="20"/>
      <c r="F28" s="110"/>
      <c r="G28" s="20"/>
      <c r="H28" s="119">
        <v>12771</v>
      </c>
      <c r="I28" s="144"/>
      <c r="J28" s="3"/>
      <c r="M28" s="84"/>
      <c r="N28" s="84"/>
      <c r="W28" s="84"/>
      <c r="X28" s="164"/>
      <c r="Y28" s="164"/>
      <c r="Z28" s="164"/>
      <c r="AA28" s="164"/>
      <c r="AB28" s="164"/>
      <c r="AC28" s="164"/>
      <c r="AD28" s="164"/>
      <c r="AE28" s="164"/>
      <c r="AF28" s="164"/>
    </row>
    <row r="29" spans="2:32" ht="12.75">
      <c r="B29" s="10">
        <f>+B28+1</f>
        <v>15</v>
      </c>
      <c r="C29" s="20"/>
      <c r="D29" s="11" t="s">
        <v>796</v>
      </c>
      <c r="E29" s="20"/>
      <c r="F29" s="110"/>
      <c r="G29" s="20"/>
      <c r="H29" s="119">
        <f>'ES 3.13'!F14</f>
        <v>39266</v>
      </c>
      <c r="I29" s="144"/>
      <c r="J29" s="3"/>
      <c r="M29" s="82"/>
      <c r="N29" s="82"/>
      <c r="W29" s="164"/>
      <c r="X29" s="141"/>
      <c r="Y29" s="141"/>
      <c r="Z29" s="141"/>
      <c r="AA29" s="141"/>
      <c r="AB29" s="141"/>
      <c r="AC29" s="141"/>
      <c r="AD29" s="141"/>
      <c r="AE29" s="141"/>
      <c r="AF29" s="141"/>
    </row>
    <row r="30" spans="2:32" ht="26.25">
      <c r="B30" s="10">
        <f t="shared" si="1"/>
        <v>16</v>
      </c>
      <c r="C30" s="20"/>
      <c r="D30" s="190" t="s">
        <v>671</v>
      </c>
      <c r="E30" s="20"/>
      <c r="F30" s="110"/>
      <c r="G30" s="20"/>
      <c r="H30" s="119">
        <f>+'3.14 P1'!G32</f>
        <v>884674</v>
      </c>
      <c r="I30" s="144"/>
      <c r="J30" s="3"/>
      <c r="M30" s="84"/>
      <c r="N30" s="84"/>
      <c r="W30" s="141"/>
      <c r="X30" s="165"/>
      <c r="Y30" s="165"/>
      <c r="Z30" s="165"/>
      <c r="AA30" s="165"/>
      <c r="AB30" s="165"/>
      <c r="AC30" s="165"/>
      <c r="AD30" s="165"/>
      <c r="AE30" s="165"/>
      <c r="AF30" s="165"/>
    </row>
    <row r="31" spans="2:32" ht="12.75">
      <c r="B31" s="10">
        <f t="shared" si="1"/>
        <v>17</v>
      </c>
      <c r="C31" s="20"/>
      <c r="D31" s="63" t="s">
        <v>911</v>
      </c>
      <c r="E31" s="20"/>
      <c r="F31" s="110"/>
      <c r="G31" s="20"/>
      <c r="H31" s="119">
        <f>+'ES 3.13'!G26</f>
        <v>28582.129999999997</v>
      </c>
      <c r="I31" s="144"/>
      <c r="J31" s="3"/>
      <c r="M31" s="84"/>
      <c r="N31" s="84"/>
      <c r="W31" s="141"/>
      <c r="X31" s="165"/>
      <c r="Y31" s="165"/>
      <c r="Z31" s="165"/>
      <c r="AA31" s="165"/>
      <c r="AB31" s="165"/>
      <c r="AC31" s="165"/>
      <c r="AD31" s="165"/>
      <c r="AE31" s="165"/>
      <c r="AF31" s="165"/>
    </row>
    <row r="32" spans="2:32" ht="12.75">
      <c r="B32" s="10">
        <f t="shared" si="1"/>
        <v>18</v>
      </c>
      <c r="C32" s="20"/>
      <c r="D32" s="11" t="s">
        <v>912</v>
      </c>
      <c r="E32" s="20"/>
      <c r="F32" s="110"/>
      <c r="G32" s="20"/>
      <c r="H32" s="119">
        <f>+'ES 3.11'!J31+'ES 3.11'!J29</f>
        <v>149044</v>
      </c>
      <c r="I32" s="145"/>
      <c r="J32" s="3"/>
      <c r="W32" s="165"/>
      <c r="X32" s="84"/>
      <c r="Y32" s="84"/>
      <c r="Z32" s="84"/>
      <c r="AA32" s="84"/>
      <c r="AB32" s="84"/>
      <c r="AC32" s="84"/>
      <c r="AD32" s="84"/>
      <c r="AE32" s="84"/>
      <c r="AF32" s="84"/>
    </row>
    <row r="33" spans="2:32" ht="12.75">
      <c r="B33" s="10">
        <f t="shared" si="1"/>
        <v>19</v>
      </c>
      <c r="C33" s="20"/>
      <c r="D33" s="63" t="s">
        <v>913</v>
      </c>
      <c r="E33" s="20"/>
      <c r="F33" s="110"/>
      <c r="G33" s="20"/>
      <c r="H33" s="97">
        <f>SUM(H26:H32)</f>
        <v>1737619.13</v>
      </c>
      <c r="I33" s="145"/>
      <c r="J33" s="3"/>
      <c r="M33" s="140"/>
      <c r="N33" s="140"/>
      <c r="W33" s="84"/>
      <c r="X33" s="166"/>
      <c r="Y33" s="166"/>
      <c r="Z33" s="166"/>
      <c r="AA33" s="166"/>
      <c r="AB33" s="166"/>
      <c r="AC33" s="166"/>
      <c r="AD33" s="166"/>
      <c r="AE33" s="166"/>
      <c r="AF33" s="166"/>
    </row>
    <row r="34" spans="2:32" ht="12.75">
      <c r="B34" s="10">
        <f t="shared" si="1"/>
        <v>20</v>
      </c>
      <c r="C34" s="20"/>
      <c r="D34" s="11" t="s">
        <v>918</v>
      </c>
      <c r="E34" s="20"/>
      <c r="F34" s="110"/>
      <c r="G34" s="20"/>
      <c r="H34" s="87"/>
      <c r="I34" s="12"/>
      <c r="J34" s="3"/>
      <c r="M34" s="92"/>
      <c r="N34" s="92"/>
      <c r="W34" s="166"/>
      <c r="X34" s="84"/>
      <c r="Y34" s="84"/>
      <c r="Z34" s="84"/>
      <c r="AA34" s="84"/>
      <c r="AB34" s="84"/>
      <c r="AC34" s="84"/>
      <c r="AD34" s="84"/>
      <c r="AE34" s="84"/>
      <c r="AF34" s="84"/>
    </row>
    <row r="35" spans="2:32" ht="12.75">
      <c r="B35" s="10"/>
      <c r="C35" s="20"/>
      <c r="D35" s="11" t="s">
        <v>919</v>
      </c>
      <c r="E35" s="20"/>
      <c r="F35" s="110"/>
      <c r="G35" s="20"/>
      <c r="H35" s="87">
        <f>+H24+H33</f>
        <v>2557605.13</v>
      </c>
      <c r="I35" s="12"/>
      <c r="J35" s="3"/>
      <c r="K35" s="146"/>
      <c r="W35" s="84"/>
      <c r="X35" s="84"/>
      <c r="Y35" s="84"/>
      <c r="Z35" s="84"/>
      <c r="AA35" s="84"/>
      <c r="AB35" s="84"/>
      <c r="AC35" s="84"/>
      <c r="AD35" s="84"/>
      <c r="AE35" s="84"/>
      <c r="AF35" s="84"/>
    </row>
    <row r="36" spans="2:23" ht="13.5" thickBot="1">
      <c r="B36" s="44"/>
      <c r="C36" s="21"/>
      <c r="D36" s="16"/>
      <c r="E36" s="21"/>
      <c r="F36" s="111"/>
      <c r="G36" s="21"/>
      <c r="H36" s="17"/>
      <c r="I36" s="11"/>
      <c r="J36" s="3"/>
      <c r="M36" s="84"/>
      <c r="N36" s="141"/>
      <c r="W36" s="84"/>
    </row>
    <row r="37" spans="2:10" ht="12.75">
      <c r="B37" s="91"/>
      <c r="J37" s="3"/>
    </row>
    <row r="38" ht="12.75">
      <c r="J38" s="3"/>
    </row>
    <row r="39" spans="5:10" ht="12.75">
      <c r="E39" s="83"/>
      <c r="J39" s="3"/>
    </row>
    <row r="40" ht="12.75">
      <c r="J40" s="3"/>
    </row>
    <row r="41" spans="10:34" ht="12.75">
      <c r="J41" s="3"/>
      <c r="M41" s="3"/>
      <c r="N41" s="3"/>
      <c r="O41" s="137"/>
      <c r="P41" s="137"/>
      <c r="Q41" s="137"/>
      <c r="R41" s="137"/>
      <c r="S41" s="137"/>
      <c r="T41" s="137"/>
      <c r="U41" s="137"/>
      <c r="V41" s="137"/>
      <c r="W41" s="137"/>
      <c r="X41" s="137"/>
      <c r="Y41" s="137"/>
      <c r="Z41" s="137"/>
      <c r="AA41" s="137"/>
      <c r="AB41" s="137"/>
      <c r="AC41" s="137"/>
      <c r="AD41" s="137"/>
      <c r="AE41" s="137"/>
      <c r="AF41" s="137"/>
      <c r="AG41" s="4"/>
      <c r="AH41" s="137"/>
    </row>
    <row r="42" spans="10:22" ht="12.75">
      <c r="J42" s="3"/>
      <c r="O42" s="148"/>
      <c r="P42" s="148"/>
      <c r="Q42" s="148"/>
      <c r="R42" s="148"/>
      <c r="S42" s="148"/>
      <c r="T42" s="148"/>
      <c r="U42" s="148"/>
      <c r="V42" s="148"/>
    </row>
    <row r="43" spans="10:34" ht="12.75">
      <c r="J43" s="3"/>
      <c r="M43" s="84"/>
      <c r="N43" s="84"/>
      <c r="O43" s="84"/>
      <c r="P43" s="84"/>
      <c r="Q43" s="84"/>
      <c r="R43" s="84"/>
      <c r="S43" s="84"/>
      <c r="T43" s="84"/>
      <c r="U43" s="84"/>
      <c r="V43" s="84"/>
      <c r="W43" s="84"/>
      <c r="X43" s="84"/>
      <c r="Y43" s="84"/>
      <c r="Z43" s="84"/>
      <c r="AA43" s="84"/>
      <c r="AB43" s="84"/>
      <c r="AC43" s="84"/>
      <c r="AD43" s="84"/>
      <c r="AE43" s="84"/>
      <c r="AF43" s="84"/>
      <c r="AG43" s="84"/>
      <c r="AH43" s="84"/>
    </row>
    <row r="44" spans="10:33" ht="12.75">
      <c r="J44" s="3"/>
      <c r="M44" s="153"/>
      <c r="N44" s="153"/>
      <c r="O44" s="153"/>
      <c r="P44" s="153"/>
      <c r="Q44" s="153"/>
      <c r="R44" s="153"/>
      <c r="S44" s="153"/>
      <c r="T44" s="153"/>
      <c r="U44" s="153"/>
      <c r="V44" s="153"/>
      <c r="AG44" s="153"/>
    </row>
    <row r="45" ht="12.75">
      <c r="J45" s="3"/>
    </row>
    <row r="46" spans="13:34" ht="12.75">
      <c r="M46" s="84"/>
      <c r="N46" s="84"/>
      <c r="O46" s="84"/>
      <c r="P46" s="84"/>
      <c r="Q46" s="84"/>
      <c r="R46" s="84"/>
      <c r="S46" s="84"/>
      <c r="T46" s="84"/>
      <c r="U46" s="84"/>
      <c r="V46" s="84"/>
      <c r="W46" s="155"/>
      <c r="X46" s="155"/>
      <c r="Y46" s="155"/>
      <c r="Z46" s="155"/>
      <c r="AA46" s="155"/>
      <c r="AB46" s="155"/>
      <c r="AC46" s="155"/>
      <c r="AD46" s="155"/>
      <c r="AE46" s="155"/>
      <c r="AF46" s="155"/>
      <c r="AG46" s="84"/>
      <c r="AH46" s="154"/>
    </row>
    <row r="47" spans="15:34" ht="12.75">
      <c r="O47" s="33"/>
      <c r="P47" s="33"/>
      <c r="Q47" s="33"/>
      <c r="R47" s="33"/>
      <c r="S47" s="33"/>
      <c r="T47" s="33"/>
      <c r="U47" s="33"/>
      <c r="V47" s="33"/>
      <c r="W47" s="62"/>
      <c r="X47" s="62"/>
      <c r="Y47" s="62"/>
      <c r="Z47" s="62"/>
      <c r="AA47" s="62"/>
      <c r="AB47" s="62"/>
      <c r="AC47" s="62"/>
      <c r="AD47" s="62"/>
      <c r="AE47" s="62"/>
      <c r="AF47" s="62"/>
      <c r="AG47" s="60"/>
      <c r="AH47" s="60"/>
    </row>
    <row r="48" spans="15:34" ht="12.75">
      <c r="O48" s="33"/>
      <c r="P48" s="33"/>
      <c r="Q48" s="33"/>
      <c r="R48" s="33"/>
      <c r="S48" s="33"/>
      <c r="T48" s="33"/>
      <c r="U48" s="33"/>
      <c r="V48" s="33"/>
      <c r="W48" s="62"/>
      <c r="X48" s="62"/>
      <c r="Y48" s="62"/>
      <c r="Z48" s="62"/>
      <c r="AA48" s="62"/>
      <c r="AB48" s="62"/>
      <c r="AC48" s="62"/>
      <c r="AD48" s="62"/>
      <c r="AE48" s="62"/>
      <c r="AF48" s="62"/>
      <c r="AG48" s="60"/>
      <c r="AH48" s="60"/>
    </row>
    <row r="49" spans="5:32" ht="12.75">
      <c r="E49" s="83"/>
      <c r="O49" s="33"/>
      <c r="P49" s="33"/>
      <c r="Q49" s="33"/>
      <c r="R49" s="33"/>
      <c r="S49" s="33"/>
      <c r="T49" s="33"/>
      <c r="U49" s="33"/>
      <c r="V49" s="33"/>
      <c r="W49" s="62"/>
      <c r="X49" s="62"/>
      <c r="Y49" s="62"/>
      <c r="Z49" s="62"/>
      <c r="AA49" s="62"/>
      <c r="AB49" s="62"/>
      <c r="AC49" s="62"/>
      <c r="AD49" s="62"/>
      <c r="AE49" s="62"/>
      <c r="AF49" s="62"/>
    </row>
    <row r="50" spans="15:32" ht="12.75">
      <c r="O50" s="33"/>
      <c r="P50" s="33"/>
      <c r="Q50" s="33"/>
      <c r="R50" s="33"/>
      <c r="S50" s="33"/>
      <c r="T50" s="33"/>
      <c r="U50" s="33"/>
      <c r="V50" s="33"/>
      <c r="W50" s="62"/>
      <c r="X50" s="62"/>
      <c r="Y50" s="62"/>
      <c r="Z50" s="62"/>
      <c r="AA50" s="62"/>
      <c r="AB50" s="62"/>
      <c r="AC50" s="62"/>
      <c r="AD50" s="62"/>
      <c r="AE50" s="62"/>
      <c r="AF50" s="62"/>
    </row>
    <row r="51" spans="15:32" ht="12.75">
      <c r="O51" s="33"/>
      <c r="P51" s="33"/>
      <c r="Q51" s="33"/>
      <c r="R51" s="33"/>
      <c r="S51" s="33"/>
      <c r="T51" s="33"/>
      <c r="U51" s="33"/>
      <c r="V51" s="33"/>
      <c r="W51" s="62"/>
      <c r="X51" s="62"/>
      <c r="Y51" s="62"/>
      <c r="Z51" s="62"/>
      <c r="AA51" s="62"/>
      <c r="AB51" s="62"/>
      <c r="AC51" s="62"/>
      <c r="AD51" s="62"/>
      <c r="AE51" s="62"/>
      <c r="AF51" s="62"/>
    </row>
    <row r="52" spans="15:32" ht="12.75">
      <c r="O52" s="33"/>
      <c r="P52" s="33"/>
      <c r="Q52" s="33"/>
      <c r="R52" s="33"/>
      <c r="S52" s="33"/>
      <c r="T52" s="33"/>
      <c r="U52" s="33"/>
      <c r="V52" s="33"/>
      <c r="W52" s="62"/>
      <c r="X52" s="62"/>
      <c r="Y52" s="62"/>
      <c r="Z52" s="62"/>
      <c r="AA52" s="62"/>
      <c r="AB52" s="62"/>
      <c r="AC52" s="62"/>
      <c r="AD52" s="62"/>
      <c r="AE52" s="62"/>
      <c r="AF52" s="62"/>
    </row>
    <row r="53" spans="15:32" ht="12.75">
      <c r="O53" s="33"/>
      <c r="P53" s="33"/>
      <c r="Q53" s="33"/>
      <c r="R53" s="33"/>
      <c r="S53" s="33"/>
      <c r="T53" s="33"/>
      <c r="U53" s="33"/>
      <c r="V53" s="33"/>
      <c r="W53" s="62"/>
      <c r="X53" s="62"/>
      <c r="Y53" s="62"/>
      <c r="Z53" s="62"/>
      <c r="AA53" s="62"/>
      <c r="AB53" s="62"/>
      <c r="AC53" s="62"/>
      <c r="AD53" s="62"/>
      <c r="AE53" s="62"/>
      <c r="AF53" s="62"/>
    </row>
    <row r="54" spans="15:32" ht="12.75">
      <c r="O54" s="33"/>
      <c r="P54" s="33"/>
      <c r="Q54" s="33"/>
      <c r="R54" s="33"/>
      <c r="S54" s="33"/>
      <c r="T54" s="33"/>
      <c r="U54" s="33"/>
      <c r="V54" s="33"/>
      <c r="W54" s="62"/>
      <c r="X54" s="62"/>
      <c r="Y54" s="62"/>
      <c r="Z54" s="62"/>
      <c r="AA54" s="62"/>
      <c r="AB54" s="62"/>
      <c r="AC54" s="62"/>
      <c r="AD54" s="62"/>
      <c r="AE54" s="62"/>
      <c r="AF54" s="62"/>
    </row>
    <row r="55" spans="15:32" ht="12.75">
      <c r="O55" s="33"/>
      <c r="P55" s="33"/>
      <c r="Q55" s="33"/>
      <c r="R55" s="33"/>
      <c r="S55" s="33"/>
      <c r="T55" s="33"/>
      <c r="U55" s="33"/>
      <c r="V55" s="33"/>
      <c r="W55" s="62"/>
      <c r="X55" s="62"/>
      <c r="Y55" s="62"/>
      <c r="Z55" s="62"/>
      <c r="AA55" s="62"/>
      <c r="AB55" s="62"/>
      <c r="AC55" s="62"/>
      <c r="AD55" s="62"/>
      <c r="AE55" s="62"/>
      <c r="AF55" s="62"/>
    </row>
    <row r="56" spans="15:32" ht="12.75">
      <c r="O56" s="33"/>
      <c r="P56" s="33"/>
      <c r="Q56" s="33"/>
      <c r="R56" s="33"/>
      <c r="S56" s="33"/>
      <c r="T56" s="33"/>
      <c r="U56" s="33"/>
      <c r="V56" s="33"/>
      <c r="W56" s="62"/>
      <c r="X56" s="62"/>
      <c r="Y56" s="62"/>
      <c r="Z56" s="62"/>
      <c r="AA56" s="62"/>
      <c r="AB56" s="62"/>
      <c r="AC56" s="62"/>
      <c r="AD56" s="62"/>
      <c r="AE56" s="62"/>
      <c r="AF56" s="62"/>
    </row>
    <row r="57" spans="15:32" ht="12.75">
      <c r="O57" s="33"/>
      <c r="P57" s="33"/>
      <c r="Q57" s="33"/>
      <c r="R57" s="33"/>
      <c r="S57" s="33"/>
      <c r="T57" s="33"/>
      <c r="U57" s="33"/>
      <c r="V57" s="33"/>
      <c r="W57" s="62"/>
      <c r="X57" s="62"/>
      <c r="Y57" s="62"/>
      <c r="Z57" s="62"/>
      <c r="AA57" s="62"/>
      <c r="AB57" s="62"/>
      <c r="AC57" s="62"/>
      <c r="AD57" s="62"/>
      <c r="AE57" s="62"/>
      <c r="AF57" s="62"/>
    </row>
    <row r="59" spans="15:32" ht="12.75">
      <c r="O59" s="147"/>
      <c r="P59" s="147"/>
      <c r="Q59" s="147"/>
      <c r="R59" s="147"/>
      <c r="S59" s="147"/>
      <c r="T59" s="147"/>
      <c r="U59" s="147"/>
      <c r="V59" s="147"/>
      <c r="W59" s="149"/>
      <c r="X59" s="149"/>
      <c r="Y59" s="149"/>
      <c r="Z59" s="149"/>
      <c r="AA59" s="149"/>
      <c r="AB59" s="149"/>
      <c r="AC59" s="149"/>
      <c r="AD59" s="149"/>
      <c r="AE59" s="149"/>
      <c r="AF59" s="149"/>
    </row>
  </sheetData>
  <sheetProtection/>
  <printOptions horizontalCentered="1"/>
  <pageMargins left="0.5" right="0" top="0.5" bottom="0" header="0.5" footer="0"/>
  <pageSetup horizontalDpi="300" verticalDpi="300" orientation="portrait" scale="90" r:id="rId1"/>
</worksheet>
</file>

<file path=xl/worksheets/sheet5.xml><?xml version="1.0" encoding="utf-8"?>
<worksheet xmlns="http://schemas.openxmlformats.org/spreadsheetml/2006/main" xmlns:r="http://schemas.openxmlformats.org/officeDocument/2006/relationships">
  <dimension ref="A1:T121"/>
  <sheetViews>
    <sheetView zoomScalePageLayoutView="0" workbookViewId="0" topLeftCell="A1">
      <pane xSplit="3" ySplit="7" topLeftCell="D59" activePane="bottomRight" state="frozen"/>
      <selection pane="topLeft" activeCell="E40" sqref="E40"/>
      <selection pane="topRight" activeCell="E40" sqref="E40"/>
      <selection pane="bottomLeft" activeCell="E40" sqref="E40"/>
      <selection pane="bottomRight" activeCell="F82" sqref="F82"/>
    </sheetView>
  </sheetViews>
  <sheetFormatPr defaultColWidth="9.140625" defaultRowHeight="12.75"/>
  <cols>
    <col min="1" max="1" width="3.00390625" style="83" bestFit="1" customWidth="1"/>
    <col min="2" max="2" width="18.7109375" style="83" customWidth="1"/>
    <col min="3" max="3" width="2.28125" style="83" customWidth="1"/>
    <col min="4" max="4" width="11.7109375" style="83" bestFit="1" customWidth="1"/>
    <col min="5" max="5" width="13.8515625" style="83" bestFit="1" customWidth="1"/>
    <col min="6" max="6" width="13.8515625" style="83" customWidth="1"/>
    <col min="7" max="7" width="2.28125" style="83" customWidth="1"/>
    <col min="8" max="8" width="16.421875" style="83" customWidth="1"/>
    <col min="9" max="10" width="12.7109375" style="83" customWidth="1"/>
    <col min="11" max="11" width="12.57421875" style="83" bestFit="1" customWidth="1"/>
    <col min="12" max="12" width="15.7109375" style="83" customWidth="1"/>
    <col min="13" max="13" width="13.57421875" style="83" bestFit="1" customWidth="1"/>
    <col min="14" max="15" width="12.7109375" style="83" customWidth="1"/>
    <col min="16" max="16" width="15.00390625" style="83" bestFit="1" customWidth="1"/>
    <col min="17" max="17" width="3.7109375" style="83" customWidth="1"/>
    <col min="18" max="18" width="12.7109375" style="83" customWidth="1"/>
    <col min="19" max="19" width="3.7109375" style="83" customWidth="1"/>
    <col min="20" max="16384" width="9.140625" style="83" customWidth="1"/>
  </cols>
  <sheetData>
    <row r="1" spans="1:17" ht="12.75">
      <c r="A1" s="137" t="s">
        <v>136</v>
      </c>
      <c r="B1" s="322" t="s">
        <v>884</v>
      </c>
      <c r="E1" s="136"/>
      <c r="O1" s="322" t="s">
        <v>884</v>
      </c>
      <c r="P1" s="151"/>
      <c r="Q1" s="151"/>
    </row>
    <row r="2" spans="1:8" ht="12.75">
      <c r="A2" s="137"/>
      <c r="H2" s="125" t="s">
        <v>381</v>
      </c>
    </row>
    <row r="3" spans="1:8" ht="12.75">
      <c r="A3" s="137"/>
      <c r="H3" s="256" t="s">
        <v>23</v>
      </c>
    </row>
    <row r="4" spans="1:18" ht="12.75">
      <c r="A4" s="137"/>
      <c r="B4" s="184" t="s">
        <v>908</v>
      </c>
      <c r="H4" s="137" t="s">
        <v>866</v>
      </c>
      <c r="P4" s="184" t="s">
        <v>908</v>
      </c>
      <c r="R4" s="184"/>
    </row>
    <row r="5" ht="12.75">
      <c r="A5" s="137"/>
    </row>
    <row r="6" spans="1:18" ht="12.75">
      <c r="A6" s="137"/>
      <c r="B6" s="151" t="s">
        <v>798</v>
      </c>
      <c r="H6" s="427" t="str">
        <f>+'ES 1.0'!E7</f>
        <v>For the Expense Month of October 2013</v>
      </c>
      <c r="P6" s="151" t="s">
        <v>798</v>
      </c>
      <c r="R6" s="151"/>
    </row>
    <row r="7" ht="12.75">
      <c r="A7" s="137"/>
    </row>
    <row r="8" spans="1:17" ht="12.75">
      <c r="A8" s="167"/>
      <c r="D8" s="137"/>
      <c r="E8" s="258" t="s">
        <v>861</v>
      </c>
      <c r="F8" s="137" t="s">
        <v>862</v>
      </c>
      <c r="G8" s="137"/>
      <c r="H8" s="147" t="s">
        <v>861</v>
      </c>
      <c r="I8" s="147" t="s">
        <v>861</v>
      </c>
      <c r="J8" s="147" t="s">
        <v>861</v>
      </c>
      <c r="K8" s="147" t="s">
        <v>861</v>
      </c>
      <c r="L8" s="137" t="s">
        <v>862</v>
      </c>
      <c r="M8" s="137" t="s">
        <v>862</v>
      </c>
      <c r="N8" s="137" t="s">
        <v>862</v>
      </c>
      <c r="O8" s="184" t="s">
        <v>862</v>
      </c>
      <c r="P8" s="137" t="s">
        <v>862</v>
      </c>
      <c r="Q8" s="137"/>
    </row>
    <row r="9" spans="1:17" ht="52.5">
      <c r="A9" s="137"/>
      <c r="B9" s="261" t="s">
        <v>224</v>
      </c>
      <c r="D9" s="137" t="s">
        <v>829</v>
      </c>
      <c r="E9" s="167" t="s">
        <v>893</v>
      </c>
      <c r="F9" s="167" t="s">
        <v>893</v>
      </c>
      <c r="G9" s="167"/>
      <c r="H9" s="167" t="s">
        <v>894</v>
      </c>
      <c r="I9" s="167" t="s">
        <v>892</v>
      </c>
      <c r="J9" s="293" t="s">
        <v>307</v>
      </c>
      <c r="K9" s="255" t="s">
        <v>330</v>
      </c>
      <c r="L9" s="137" t="s">
        <v>895</v>
      </c>
      <c r="M9" s="167" t="s">
        <v>896</v>
      </c>
      <c r="N9" s="167" t="s">
        <v>252</v>
      </c>
      <c r="O9" s="261" t="s">
        <v>172</v>
      </c>
      <c r="P9" s="167" t="s">
        <v>178</v>
      </c>
      <c r="Q9" s="147"/>
    </row>
    <row r="10" spans="1:17" ht="12.75">
      <c r="A10" s="137"/>
      <c r="B10" s="259" t="s">
        <v>219</v>
      </c>
      <c r="D10" s="256"/>
      <c r="E10" s="167"/>
      <c r="F10" s="167"/>
      <c r="G10" s="167"/>
      <c r="H10" s="167" t="s">
        <v>220</v>
      </c>
      <c r="I10" s="167" t="s">
        <v>220</v>
      </c>
      <c r="J10" s="167" t="s">
        <v>220</v>
      </c>
      <c r="K10" s="255" t="s">
        <v>220</v>
      </c>
      <c r="L10" s="256" t="s">
        <v>221</v>
      </c>
      <c r="M10" s="167" t="s">
        <v>222</v>
      </c>
      <c r="N10" s="167" t="s">
        <v>222</v>
      </c>
      <c r="O10" s="167" t="s">
        <v>222</v>
      </c>
      <c r="P10" s="167" t="s">
        <v>222</v>
      </c>
      <c r="Q10" s="147"/>
    </row>
    <row r="11" spans="1:17" ht="66">
      <c r="A11" s="137"/>
      <c r="B11" s="259" t="s">
        <v>202</v>
      </c>
      <c r="D11" s="256"/>
      <c r="E11" s="256"/>
      <c r="F11" s="256"/>
      <c r="G11" s="256"/>
      <c r="H11" s="167" t="s">
        <v>292</v>
      </c>
      <c r="I11" s="452" t="s">
        <v>435</v>
      </c>
      <c r="J11" s="167" t="s">
        <v>296</v>
      </c>
      <c r="K11" s="289" t="s">
        <v>325</v>
      </c>
      <c r="L11" s="302" t="s">
        <v>360</v>
      </c>
      <c r="M11" s="167" t="s">
        <v>375</v>
      </c>
      <c r="N11" s="167" t="s">
        <v>257</v>
      </c>
      <c r="O11" s="254" t="s">
        <v>203</v>
      </c>
      <c r="P11" s="256" t="s">
        <v>206</v>
      </c>
      <c r="Q11" s="147"/>
    </row>
    <row r="12" spans="1:17" ht="26.25">
      <c r="A12" s="137"/>
      <c r="B12" s="157" t="s">
        <v>256</v>
      </c>
      <c r="D12" s="167" t="s">
        <v>264</v>
      </c>
      <c r="E12" s="167" t="s">
        <v>265</v>
      </c>
      <c r="F12" s="167" t="s">
        <v>361</v>
      </c>
      <c r="G12" s="167"/>
      <c r="H12" s="167" t="s">
        <v>362</v>
      </c>
      <c r="I12" s="167" t="s">
        <v>293</v>
      </c>
      <c r="J12" s="167" t="s">
        <v>306</v>
      </c>
      <c r="K12" s="255" t="s">
        <v>326</v>
      </c>
      <c r="L12" s="167" t="s">
        <v>151</v>
      </c>
      <c r="M12" s="167" t="s">
        <v>171</v>
      </c>
      <c r="N12" s="167" t="s">
        <v>171</v>
      </c>
      <c r="O12" s="254" t="s">
        <v>171</v>
      </c>
      <c r="P12" s="167" t="s">
        <v>179</v>
      </c>
      <c r="Q12" s="167"/>
    </row>
    <row r="13" spans="1:17" ht="12.75">
      <c r="A13" s="137"/>
      <c r="D13" s="137" t="s">
        <v>830</v>
      </c>
      <c r="E13" s="167" t="s">
        <v>822</v>
      </c>
      <c r="F13" s="137" t="s">
        <v>821</v>
      </c>
      <c r="G13" s="137"/>
      <c r="H13" s="137" t="s">
        <v>831</v>
      </c>
      <c r="I13" s="137" t="s">
        <v>823</v>
      </c>
      <c r="J13" s="137" t="s">
        <v>903</v>
      </c>
      <c r="K13" s="137" t="s">
        <v>905</v>
      </c>
      <c r="L13" s="137" t="s">
        <v>906</v>
      </c>
      <c r="M13" s="137" t="s">
        <v>907</v>
      </c>
      <c r="N13" s="167" t="s">
        <v>227</v>
      </c>
      <c r="O13" s="264" t="s">
        <v>228</v>
      </c>
      <c r="P13" s="167" t="s">
        <v>298</v>
      </c>
      <c r="Q13" s="137"/>
    </row>
    <row r="14" ht="12.75">
      <c r="P14" s="265"/>
    </row>
    <row r="15" spans="1:17" ht="12.75">
      <c r="A15" s="137">
        <v>1</v>
      </c>
      <c r="B15" s="83" t="s">
        <v>828</v>
      </c>
      <c r="D15" s="265">
        <v>1074750</v>
      </c>
      <c r="E15" s="265">
        <f>3784872+473617</f>
        <v>4258489</v>
      </c>
      <c r="F15" s="265">
        <f>10251842+38543-41162-5851+6506</f>
        <v>10249878</v>
      </c>
      <c r="G15" s="265"/>
      <c r="H15" s="265">
        <f>2724088+106039</f>
        <v>2830127</v>
      </c>
      <c r="I15" s="265">
        <v>85718</v>
      </c>
      <c r="J15" s="265">
        <v>19270</v>
      </c>
      <c r="K15" s="265">
        <v>121443</v>
      </c>
      <c r="L15" s="265">
        <f>10953624+2146491</f>
        <v>13100115</v>
      </c>
      <c r="M15" s="265">
        <f>120070338-211558+320069+283708</f>
        <v>120462557</v>
      </c>
      <c r="N15" s="265">
        <v>185886</v>
      </c>
      <c r="O15" s="265">
        <f>+H100</f>
        <v>9150561</v>
      </c>
      <c r="P15" s="265">
        <f>347549-4205</f>
        <v>343344</v>
      </c>
      <c r="Q15" s="265"/>
    </row>
    <row r="16" spans="1:20" ht="12.75">
      <c r="A16" s="137">
        <f>+A15+1</f>
        <v>2</v>
      </c>
      <c r="B16" s="83" t="s">
        <v>824</v>
      </c>
      <c r="D16" s="535">
        <v>-836783</v>
      </c>
      <c r="E16" s="535">
        <f>-2185777-256050</f>
        <v>-2441827</v>
      </c>
      <c r="F16" s="535">
        <f>-7276135-23826</f>
        <v>-7299961</v>
      </c>
      <c r="G16" s="535"/>
      <c r="H16" s="535">
        <f>-1162340-49887</f>
        <v>-1212227</v>
      </c>
      <c r="I16" s="535">
        <v>-30606</v>
      </c>
      <c r="J16" s="535">
        <v>-6832</v>
      </c>
      <c r="K16" s="535">
        <v>-42130</v>
      </c>
      <c r="L16" s="536">
        <f>-4486262-860539</f>
        <v>-5346801</v>
      </c>
      <c r="M16" s="535">
        <v>-47283993</v>
      </c>
      <c r="N16" s="535">
        <v>-73237</v>
      </c>
      <c r="O16" s="535">
        <f>-2262608-1785306-1697558</f>
        <v>-5745472</v>
      </c>
      <c r="P16" s="535">
        <f>-147549+1549</f>
        <v>-146000</v>
      </c>
      <c r="Q16" s="267"/>
      <c r="R16" s="267"/>
      <c r="S16" s="267"/>
      <c r="T16" s="267"/>
    </row>
    <row r="17" spans="1:20" ht="12.75">
      <c r="A17" s="137">
        <f>+A16+1</f>
        <v>3</v>
      </c>
      <c r="B17" s="83" t="s">
        <v>825</v>
      </c>
      <c r="D17" s="537">
        <v>-74197</v>
      </c>
      <c r="E17" s="537">
        <f>-283873-37018</f>
        <v>-320891</v>
      </c>
      <c r="F17" s="537">
        <f>-861338-2944</f>
        <v>-864282</v>
      </c>
      <c r="G17" s="537"/>
      <c r="H17" s="537">
        <f>-288551-8449</f>
        <v>-297000</v>
      </c>
      <c r="I17" s="537">
        <v>-9295</v>
      </c>
      <c r="J17" s="537">
        <v>-2107</v>
      </c>
      <c r="K17" s="537">
        <v>-14078</v>
      </c>
      <c r="L17" s="537">
        <f>-1800621-359361</f>
        <v>-2159982</v>
      </c>
      <c r="M17" s="537">
        <v>-20521134</v>
      </c>
      <c r="N17" s="537">
        <v>-31571</v>
      </c>
      <c r="O17" s="537">
        <f>-211010-378066-98039</f>
        <v>-687115</v>
      </c>
      <c r="P17" s="537">
        <f>-55311+752</f>
        <v>-54559</v>
      </c>
      <c r="Q17" s="268"/>
      <c r="R17" s="268"/>
      <c r="S17" s="268"/>
      <c r="T17" s="268"/>
    </row>
    <row r="18" spans="1:17" ht="12.75">
      <c r="A18" s="137">
        <f>+A17+1</f>
        <v>4</v>
      </c>
      <c r="B18" s="137" t="s">
        <v>795</v>
      </c>
      <c r="D18" s="92">
        <f>+D15+D16+D17</f>
        <v>163770</v>
      </c>
      <c r="E18" s="92">
        <f>+E15+E16+E17</f>
        <v>1495771</v>
      </c>
      <c r="F18" s="92">
        <f>+F15+F16+F17</f>
        <v>2085635</v>
      </c>
      <c r="G18" s="92"/>
      <c r="H18" s="92">
        <f>+H15+H16+H17</f>
        <v>1320900</v>
      </c>
      <c r="I18" s="92">
        <f aca="true" t="shared" si="0" ref="I18:P18">+I15+I16+I17</f>
        <v>45817</v>
      </c>
      <c r="J18" s="92">
        <f t="shared" si="0"/>
        <v>10331</v>
      </c>
      <c r="K18" s="92">
        <f t="shared" si="0"/>
        <v>65235</v>
      </c>
      <c r="L18" s="92">
        <f t="shared" si="0"/>
        <v>5593332</v>
      </c>
      <c r="M18" s="92">
        <f t="shared" si="0"/>
        <v>52657430</v>
      </c>
      <c r="N18" s="92">
        <f t="shared" si="0"/>
        <v>81078</v>
      </c>
      <c r="O18" s="92">
        <f t="shared" si="0"/>
        <v>2717974</v>
      </c>
      <c r="P18" s="92">
        <f t="shared" si="0"/>
        <v>142785</v>
      </c>
      <c r="Q18" s="92"/>
    </row>
    <row r="19" spans="1:16" ht="12.75">
      <c r="A19" s="137"/>
      <c r="D19" s="265"/>
      <c r="P19" s="265"/>
    </row>
    <row r="20" spans="1:17" ht="26.25">
      <c r="A20" s="137">
        <f>+A18+1</f>
        <v>5</v>
      </c>
      <c r="B20" s="167" t="s">
        <v>826</v>
      </c>
      <c r="D20" s="265">
        <v>3639</v>
      </c>
      <c r="E20" s="265">
        <f>11922+1492</f>
        <v>13414</v>
      </c>
      <c r="F20" s="265">
        <f>32145+122</f>
        <v>32267</v>
      </c>
      <c r="G20" s="265"/>
      <c r="H20" s="253">
        <f>8581+334</f>
        <v>8915</v>
      </c>
      <c r="I20" s="265">
        <v>270</v>
      </c>
      <c r="J20" s="265">
        <v>61</v>
      </c>
      <c r="K20" s="265">
        <v>383</v>
      </c>
      <c r="L20" s="253">
        <f>34504+6761</f>
        <v>41265</v>
      </c>
      <c r="M20" s="265">
        <v>378222</v>
      </c>
      <c r="N20" s="265">
        <v>586</v>
      </c>
      <c r="O20" s="260">
        <f>+H101</f>
        <v>46030</v>
      </c>
      <c r="P20" s="265">
        <f>1095-13</f>
        <v>1082</v>
      </c>
      <c r="Q20" s="265"/>
    </row>
    <row r="21" spans="1:17" ht="12.75">
      <c r="A21" s="137"/>
      <c r="B21" s="167"/>
      <c r="D21" s="265"/>
      <c r="E21" s="265"/>
      <c r="F21" s="265"/>
      <c r="G21" s="265"/>
      <c r="H21" s="245"/>
      <c r="I21" s="265"/>
      <c r="J21" s="265"/>
      <c r="K21" s="245"/>
      <c r="L21" s="265"/>
      <c r="M21" s="265"/>
      <c r="N21" s="157"/>
      <c r="O21" s="157"/>
      <c r="P21" s="154"/>
      <c r="Q21" s="265"/>
    </row>
    <row r="22" spans="1:17" ht="12.75">
      <c r="A22" s="137"/>
      <c r="B22" s="167"/>
      <c r="D22" s="137" t="s">
        <v>862</v>
      </c>
      <c r="E22" s="137" t="s">
        <v>862</v>
      </c>
      <c r="F22" s="137" t="s">
        <v>862</v>
      </c>
      <c r="G22" s="137"/>
      <c r="H22" s="137" t="s">
        <v>862</v>
      </c>
      <c r="I22" s="137" t="s">
        <v>862</v>
      </c>
      <c r="J22" s="137" t="s">
        <v>862</v>
      </c>
      <c r="K22" s="137" t="s">
        <v>862</v>
      </c>
      <c r="L22" s="137" t="s">
        <v>862</v>
      </c>
      <c r="M22" s="137" t="s">
        <v>862</v>
      </c>
      <c r="N22" s="137" t="s">
        <v>862</v>
      </c>
      <c r="O22" s="137" t="s">
        <v>862</v>
      </c>
      <c r="P22" s="137" t="s">
        <v>862</v>
      </c>
      <c r="Q22" s="265"/>
    </row>
    <row r="23" spans="1:18" ht="66">
      <c r="A23" s="137"/>
      <c r="B23" s="167"/>
      <c r="D23" s="167" t="s">
        <v>218</v>
      </c>
      <c r="E23" s="167" t="s">
        <v>205</v>
      </c>
      <c r="F23" s="254" t="s">
        <v>180</v>
      </c>
      <c r="G23" s="254"/>
      <c r="H23" s="254" t="s">
        <v>195</v>
      </c>
      <c r="I23" s="254" t="s">
        <v>197</v>
      </c>
      <c r="J23" s="254" t="s">
        <v>204</v>
      </c>
      <c r="K23" s="254" t="s">
        <v>198</v>
      </c>
      <c r="L23" s="167" t="s">
        <v>199</v>
      </c>
      <c r="M23" s="167" t="s">
        <v>201</v>
      </c>
      <c r="N23" s="254" t="s">
        <v>258</v>
      </c>
      <c r="O23" s="254" t="s">
        <v>278</v>
      </c>
      <c r="P23" s="254" t="s">
        <v>279</v>
      </c>
      <c r="Q23" s="265"/>
      <c r="R23" s="147"/>
    </row>
    <row r="24" spans="1:18" ht="12.75">
      <c r="A24" s="137"/>
      <c r="B24" s="259" t="s">
        <v>219</v>
      </c>
      <c r="D24" s="167" t="s">
        <v>222</v>
      </c>
      <c r="E24" s="167" t="s">
        <v>222</v>
      </c>
      <c r="F24" s="167" t="s">
        <v>222</v>
      </c>
      <c r="G24" s="167"/>
      <c r="H24" s="167" t="s">
        <v>222</v>
      </c>
      <c r="I24" s="167" t="s">
        <v>222</v>
      </c>
      <c r="J24" s="167" t="s">
        <v>222</v>
      </c>
      <c r="K24" s="167" t="s">
        <v>222</v>
      </c>
      <c r="L24" s="167" t="s">
        <v>222</v>
      </c>
      <c r="M24" s="167" t="s">
        <v>222</v>
      </c>
      <c r="N24" s="167" t="s">
        <v>222</v>
      </c>
      <c r="O24" s="167" t="s">
        <v>222</v>
      </c>
      <c r="P24" s="167" t="s">
        <v>222</v>
      </c>
      <c r="Q24" s="265"/>
      <c r="R24" s="251"/>
    </row>
    <row r="25" spans="1:18" ht="12.75">
      <c r="A25" s="137"/>
      <c r="B25" s="259" t="s">
        <v>202</v>
      </c>
      <c r="D25" s="256" t="s">
        <v>207</v>
      </c>
      <c r="E25" s="256" t="s">
        <v>208</v>
      </c>
      <c r="F25" s="257" t="s">
        <v>209</v>
      </c>
      <c r="G25" s="257"/>
      <c r="H25" s="256" t="s">
        <v>210</v>
      </c>
      <c r="I25" s="256" t="s">
        <v>211</v>
      </c>
      <c r="J25" s="257" t="s">
        <v>212</v>
      </c>
      <c r="K25" s="256" t="s">
        <v>213</v>
      </c>
      <c r="L25" s="256" t="s">
        <v>214</v>
      </c>
      <c r="M25" s="256" t="s">
        <v>215</v>
      </c>
      <c r="N25" s="256" t="s">
        <v>253</v>
      </c>
      <c r="O25" s="256" t="s">
        <v>261</v>
      </c>
      <c r="P25" s="256" t="s">
        <v>275</v>
      </c>
      <c r="Q25" s="265"/>
      <c r="R25" s="251"/>
    </row>
    <row r="26" spans="1:18" ht="26.25">
      <c r="A26" s="137"/>
      <c r="B26" s="157" t="s">
        <v>216</v>
      </c>
      <c r="D26" s="167" t="s">
        <v>171</v>
      </c>
      <c r="E26" s="167" t="s">
        <v>171</v>
      </c>
      <c r="F26" s="167" t="s">
        <v>181</v>
      </c>
      <c r="G26" s="167"/>
      <c r="H26" s="167" t="s">
        <v>182</v>
      </c>
      <c r="I26" s="167" t="s">
        <v>196</v>
      </c>
      <c r="J26" s="167" t="s">
        <v>181</v>
      </c>
      <c r="K26" s="167" t="s">
        <v>200</v>
      </c>
      <c r="L26" s="167" t="s">
        <v>255</v>
      </c>
      <c r="M26" s="167" t="s">
        <v>255</v>
      </c>
      <c r="N26" s="167" t="s">
        <v>254</v>
      </c>
      <c r="O26" s="167" t="s">
        <v>262</v>
      </c>
      <c r="P26" s="167" t="s">
        <v>276</v>
      </c>
      <c r="Q26" s="265"/>
      <c r="R26" s="252"/>
    </row>
    <row r="27" spans="1:18" ht="12.75">
      <c r="A27" s="137"/>
      <c r="D27" s="264" t="s">
        <v>229</v>
      </c>
      <c r="E27" s="264" t="s">
        <v>230</v>
      </c>
      <c r="F27" s="264" t="s">
        <v>231</v>
      </c>
      <c r="G27" s="264"/>
      <c r="H27" s="264" t="s">
        <v>232</v>
      </c>
      <c r="I27" s="264" t="s">
        <v>233</v>
      </c>
      <c r="J27" s="264" t="s">
        <v>234</v>
      </c>
      <c r="K27" s="264" t="s">
        <v>235</v>
      </c>
      <c r="L27" s="264" t="s">
        <v>236</v>
      </c>
      <c r="M27" s="167" t="s">
        <v>237</v>
      </c>
      <c r="N27" s="167" t="s">
        <v>238</v>
      </c>
      <c r="O27" s="167" t="s">
        <v>239</v>
      </c>
      <c r="P27" s="167" t="s">
        <v>299</v>
      </c>
      <c r="Q27" s="265"/>
      <c r="R27" s="264"/>
    </row>
    <row r="28" spans="1:18" ht="12.75">
      <c r="A28" s="137"/>
      <c r="D28" s="265"/>
      <c r="E28" s="265"/>
      <c r="F28" s="245"/>
      <c r="G28" s="245"/>
      <c r="H28" s="265"/>
      <c r="I28" s="265"/>
      <c r="J28" s="245"/>
      <c r="K28" s="265"/>
      <c r="M28" s="265"/>
      <c r="N28" s="157"/>
      <c r="O28" s="157"/>
      <c r="P28" s="157"/>
      <c r="Q28" s="265"/>
      <c r="R28" s="154"/>
    </row>
    <row r="29" spans="1:18" ht="12.75">
      <c r="A29" s="137">
        <v>6</v>
      </c>
      <c r="B29" s="83" t="s">
        <v>828</v>
      </c>
      <c r="D29" s="265">
        <v>1079651</v>
      </c>
      <c r="E29" s="265">
        <v>1240</v>
      </c>
      <c r="F29" s="265">
        <v>367827</v>
      </c>
      <c r="G29" s="265"/>
      <c r="H29" s="265">
        <v>220324</v>
      </c>
      <c r="I29" s="265">
        <v>313802</v>
      </c>
      <c r="J29" s="265">
        <v>10093324</v>
      </c>
      <c r="K29" s="265">
        <v>5669966</v>
      </c>
      <c r="L29" s="265">
        <v>2093847</v>
      </c>
      <c r="M29" s="265">
        <v>2132481</v>
      </c>
      <c r="N29" s="265">
        <v>4317037</v>
      </c>
      <c r="O29" s="265">
        <v>1634904</v>
      </c>
      <c r="P29" s="265">
        <v>18019</v>
      </c>
      <c r="Q29" s="265"/>
      <c r="R29" s="154"/>
    </row>
    <row r="30" spans="1:18" ht="12.75">
      <c r="A30" s="137">
        <f>+A29+1</f>
        <v>7</v>
      </c>
      <c r="B30" s="83" t="s">
        <v>824</v>
      </c>
      <c r="D30" s="535">
        <v>-425122</v>
      </c>
      <c r="E30" s="535">
        <v>-500</v>
      </c>
      <c r="F30" s="535">
        <v>-144828</v>
      </c>
      <c r="G30" s="535"/>
      <c r="H30" s="535">
        <v>-86741</v>
      </c>
      <c r="I30" s="535">
        <v>-123486</v>
      </c>
      <c r="J30" s="535">
        <v>-3972981</v>
      </c>
      <c r="K30" s="535">
        <v>-2232287</v>
      </c>
      <c r="L30" s="536">
        <v>-811308</v>
      </c>
      <c r="M30" s="535">
        <v>-826191</v>
      </c>
      <c r="N30" s="535">
        <v>-1619952</v>
      </c>
      <c r="O30" s="535">
        <v>-619561</v>
      </c>
      <c r="P30" s="535">
        <v>-9259</v>
      </c>
      <c r="Q30" s="265"/>
      <c r="R30" s="149"/>
    </row>
    <row r="31" spans="1:18" ht="12.75">
      <c r="A31" s="137">
        <f>+A30+1</f>
        <v>8</v>
      </c>
      <c r="B31" s="83" t="s">
        <v>825</v>
      </c>
      <c r="D31" s="537">
        <v>-183454</v>
      </c>
      <c r="E31" s="537">
        <v>-207</v>
      </c>
      <c r="F31" s="537">
        <v>-62503</v>
      </c>
      <c r="G31" s="537"/>
      <c r="H31" s="537">
        <v>-37442</v>
      </c>
      <c r="I31" s="537">
        <v>-53348</v>
      </c>
      <c r="J31" s="537">
        <v>-1715524</v>
      </c>
      <c r="K31" s="537">
        <v>-963546</v>
      </c>
      <c r="L31" s="537">
        <v>-227647</v>
      </c>
      <c r="M31" s="537">
        <v>-231878</v>
      </c>
      <c r="N31" s="537">
        <v>-487829</v>
      </c>
      <c r="O31" s="537">
        <v>-159615</v>
      </c>
      <c r="P31" s="537">
        <v>-965</v>
      </c>
      <c r="Q31" s="265"/>
      <c r="R31" s="295"/>
    </row>
    <row r="32" spans="1:18" ht="12.75">
      <c r="A32" s="137">
        <f>+A31+1</f>
        <v>9</v>
      </c>
      <c r="B32" s="137" t="s">
        <v>795</v>
      </c>
      <c r="D32" s="92">
        <f aca="true" t="shared" si="1" ref="D32:P32">+D29+D30+D31</f>
        <v>471075</v>
      </c>
      <c r="E32" s="92">
        <f t="shared" si="1"/>
        <v>533</v>
      </c>
      <c r="F32" s="92">
        <f t="shared" si="1"/>
        <v>160496</v>
      </c>
      <c r="G32" s="92"/>
      <c r="H32" s="92">
        <f t="shared" si="1"/>
        <v>96141</v>
      </c>
      <c r="I32" s="92">
        <f t="shared" si="1"/>
        <v>136968</v>
      </c>
      <c r="J32" s="92">
        <f t="shared" si="1"/>
        <v>4404819</v>
      </c>
      <c r="K32" s="92">
        <f t="shared" si="1"/>
        <v>2474133</v>
      </c>
      <c r="L32" s="92">
        <f t="shared" si="1"/>
        <v>1054892</v>
      </c>
      <c r="M32" s="92">
        <f t="shared" si="1"/>
        <v>1074412</v>
      </c>
      <c r="N32" s="92">
        <f t="shared" si="1"/>
        <v>2209256</v>
      </c>
      <c r="O32" s="92">
        <f t="shared" si="1"/>
        <v>855728</v>
      </c>
      <c r="P32" s="92">
        <f t="shared" si="1"/>
        <v>7795</v>
      </c>
      <c r="Q32" s="265"/>
      <c r="R32" s="154"/>
    </row>
    <row r="33" spans="1:17" ht="12.75">
      <c r="A33" s="137"/>
      <c r="D33" s="265"/>
      <c r="E33" s="265"/>
      <c r="F33" s="245"/>
      <c r="G33" s="245"/>
      <c r="H33" s="265"/>
      <c r="I33" s="265"/>
      <c r="J33" s="245"/>
      <c r="K33" s="265"/>
      <c r="M33" s="265"/>
      <c r="N33" s="265"/>
      <c r="P33" s="265"/>
      <c r="Q33" s="265"/>
    </row>
    <row r="34" spans="1:17" ht="26.25">
      <c r="A34" s="137">
        <f>+A32+1</f>
        <v>10</v>
      </c>
      <c r="B34" s="167" t="s">
        <v>826</v>
      </c>
      <c r="D34" s="265">
        <v>3401</v>
      </c>
      <c r="E34" s="265">
        <v>4</v>
      </c>
      <c r="F34" s="265">
        <v>1159</v>
      </c>
      <c r="G34" s="265"/>
      <c r="H34" s="265">
        <v>694</v>
      </c>
      <c r="I34" s="265">
        <v>988</v>
      </c>
      <c r="J34" s="265">
        <v>31794</v>
      </c>
      <c r="K34" s="265">
        <v>17860</v>
      </c>
      <c r="L34" s="265">
        <v>6596</v>
      </c>
      <c r="M34" s="265">
        <v>6717</v>
      </c>
      <c r="N34" s="265">
        <v>13599</v>
      </c>
      <c r="O34" s="265">
        <v>5150</v>
      </c>
      <c r="P34" s="265">
        <v>57</v>
      </c>
      <c r="Q34" s="265"/>
    </row>
    <row r="35" spans="1:20" ht="12.75">
      <c r="A35" s="137"/>
      <c r="B35" s="167"/>
      <c r="D35" s="265"/>
      <c r="E35" s="265"/>
      <c r="F35" s="265"/>
      <c r="G35" s="265"/>
      <c r="H35" s="265"/>
      <c r="I35" s="265"/>
      <c r="J35" s="265"/>
      <c r="K35" s="265"/>
      <c r="L35" s="265"/>
      <c r="M35" s="265"/>
      <c r="N35" s="265"/>
      <c r="O35" s="265"/>
      <c r="P35" s="265"/>
      <c r="Q35" s="265"/>
      <c r="R35" s="154"/>
      <c r="T35" s="2"/>
    </row>
    <row r="36" spans="1:20" ht="12.75">
      <c r="A36" s="137"/>
      <c r="B36" s="167"/>
      <c r="D36" s="241" t="s">
        <v>862</v>
      </c>
      <c r="E36" s="241" t="s">
        <v>862</v>
      </c>
      <c r="F36" s="241" t="s">
        <v>862</v>
      </c>
      <c r="G36" s="241"/>
      <c r="H36" s="258" t="s">
        <v>861</v>
      </c>
      <c r="I36" s="265"/>
      <c r="J36" s="265"/>
      <c r="K36" s="241" t="s">
        <v>862</v>
      </c>
      <c r="L36" s="241" t="s">
        <v>862</v>
      </c>
      <c r="M36" s="241" t="s">
        <v>862</v>
      </c>
      <c r="N36" s="241" t="s">
        <v>862</v>
      </c>
      <c r="O36" s="241" t="s">
        <v>862</v>
      </c>
      <c r="P36" s="241" t="s">
        <v>862</v>
      </c>
      <c r="Q36" s="265"/>
      <c r="R36" s="154"/>
      <c r="T36" s="2"/>
    </row>
    <row r="37" spans="1:20" ht="26.25">
      <c r="A37" s="137"/>
      <c r="B37" s="167"/>
      <c r="D37" s="298" t="s">
        <v>333</v>
      </c>
      <c r="E37" s="298" t="s">
        <v>363</v>
      </c>
      <c r="F37" s="298" t="s">
        <v>368</v>
      </c>
      <c r="G37" s="298"/>
      <c r="H37" s="302" t="s">
        <v>870</v>
      </c>
      <c r="I37" s="137" t="s">
        <v>829</v>
      </c>
      <c r="J37" s="167" t="s">
        <v>893</v>
      </c>
      <c r="K37" s="264" t="s">
        <v>896</v>
      </c>
      <c r="L37" s="264" t="s">
        <v>896</v>
      </c>
      <c r="M37" s="264" t="s">
        <v>896</v>
      </c>
      <c r="N37" s="302" t="s">
        <v>567</v>
      </c>
      <c r="O37" s="264" t="s">
        <v>895</v>
      </c>
      <c r="P37" s="167" t="s">
        <v>538</v>
      </c>
      <c r="Q37" s="265"/>
      <c r="R37" s="154"/>
      <c r="T37" s="2"/>
    </row>
    <row r="38" spans="1:20" ht="12.75">
      <c r="A38" s="137"/>
      <c r="B38" s="259" t="s">
        <v>219</v>
      </c>
      <c r="D38" s="254" t="s">
        <v>222</v>
      </c>
      <c r="E38" s="254" t="s">
        <v>222</v>
      </c>
      <c r="F38" s="254" t="s">
        <v>222</v>
      </c>
      <c r="G38" s="254"/>
      <c r="H38" s="167" t="s">
        <v>220</v>
      </c>
      <c r="I38" s="167" t="s">
        <v>385</v>
      </c>
      <c r="J38" s="167" t="s">
        <v>385</v>
      </c>
      <c r="K38" s="167" t="s">
        <v>385</v>
      </c>
      <c r="L38" s="167" t="s">
        <v>385</v>
      </c>
      <c r="M38" s="167" t="s">
        <v>385</v>
      </c>
      <c r="N38" s="167" t="s">
        <v>385</v>
      </c>
      <c r="O38" s="167" t="s">
        <v>385</v>
      </c>
      <c r="P38" s="167" t="s">
        <v>385</v>
      </c>
      <c r="Q38" s="265"/>
      <c r="R38" s="154"/>
      <c r="T38" s="2"/>
    </row>
    <row r="39" spans="1:20" ht="18">
      <c r="A39" s="137"/>
      <c r="B39" s="259" t="s">
        <v>202</v>
      </c>
      <c r="D39" s="257" t="s">
        <v>331</v>
      </c>
      <c r="E39" s="257" t="s">
        <v>871</v>
      </c>
      <c r="F39" s="257" t="s">
        <v>872</v>
      </c>
      <c r="G39" s="257"/>
      <c r="H39" s="167" t="s">
        <v>873</v>
      </c>
      <c r="I39" s="167" t="s">
        <v>386</v>
      </c>
      <c r="J39" s="167" t="s">
        <v>408</v>
      </c>
      <c r="K39" s="167" t="s">
        <v>410</v>
      </c>
      <c r="L39" s="167" t="s">
        <v>413</v>
      </c>
      <c r="M39" s="366" t="s">
        <v>414</v>
      </c>
      <c r="N39" s="366" t="s">
        <v>539</v>
      </c>
      <c r="O39" s="302" t="s">
        <v>655</v>
      </c>
      <c r="P39" s="367" t="s">
        <v>540</v>
      </c>
      <c r="Q39" s="265"/>
      <c r="R39" s="154"/>
      <c r="T39" s="2"/>
    </row>
    <row r="40" spans="1:20" ht="26.25">
      <c r="A40" s="137"/>
      <c r="B40" s="167"/>
      <c r="D40" s="254" t="s">
        <v>332</v>
      </c>
      <c r="E40" s="254" t="s">
        <v>366</v>
      </c>
      <c r="F40" s="254" t="s">
        <v>369</v>
      </c>
      <c r="G40" s="254"/>
      <c r="H40" s="167" t="s">
        <v>874</v>
      </c>
      <c r="I40" s="167" t="s">
        <v>407</v>
      </c>
      <c r="J40" s="167" t="s">
        <v>409</v>
      </c>
      <c r="K40" s="167" t="s">
        <v>409</v>
      </c>
      <c r="L40" s="167" t="s">
        <v>411</v>
      </c>
      <c r="M40" s="167" t="s">
        <v>412</v>
      </c>
      <c r="N40" s="167" t="s">
        <v>415</v>
      </c>
      <c r="O40" s="167" t="s">
        <v>637</v>
      </c>
      <c r="P40" s="367" t="s">
        <v>541</v>
      </c>
      <c r="Q40" s="265"/>
      <c r="R40" s="247"/>
      <c r="T40" s="2"/>
    </row>
    <row r="41" spans="1:20" ht="12.75">
      <c r="A41" s="137"/>
      <c r="B41" s="167"/>
      <c r="D41" s="137" t="s">
        <v>416</v>
      </c>
      <c r="E41" s="264" t="s">
        <v>240</v>
      </c>
      <c r="F41" s="264" t="s">
        <v>241</v>
      </c>
      <c r="G41" s="264"/>
      <c r="H41" s="264" t="s">
        <v>632</v>
      </c>
      <c r="I41" s="264" t="s">
        <v>242</v>
      </c>
      <c r="J41" s="264" t="s">
        <v>248</v>
      </c>
      <c r="K41" s="264" t="s">
        <v>249</v>
      </c>
      <c r="L41" s="264" t="s">
        <v>250</v>
      </c>
      <c r="M41" s="264" t="s">
        <v>251</v>
      </c>
      <c r="N41" s="264" t="s">
        <v>263</v>
      </c>
      <c r="O41" s="264" t="s">
        <v>277</v>
      </c>
      <c r="P41" s="264" t="s">
        <v>300</v>
      </c>
      <c r="Q41" s="265"/>
      <c r="R41" s="264"/>
      <c r="T41" s="2"/>
    </row>
    <row r="42" spans="1:20" ht="12.75">
      <c r="A42" s="137"/>
      <c r="B42" s="167"/>
      <c r="D42" s="264"/>
      <c r="E42" s="265"/>
      <c r="F42" s="265"/>
      <c r="G42" s="265"/>
      <c r="H42" s="265"/>
      <c r="I42" s="265"/>
      <c r="J42" s="265"/>
      <c r="K42" s="265"/>
      <c r="L42" s="265"/>
      <c r="M42" s="265"/>
      <c r="N42" s="265"/>
      <c r="O42" s="265"/>
      <c r="P42" s="265"/>
      <c r="Q42" s="265"/>
      <c r="R42" s="154"/>
      <c r="T42" s="2"/>
    </row>
    <row r="43" spans="1:20" ht="12.75">
      <c r="A43" s="137">
        <f>+A34+1</f>
        <v>11</v>
      </c>
      <c r="B43" s="83" t="s">
        <v>828</v>
      </c>
      <c r="D43" s="265">
        <v>221319</v>
      </c>
      <c r="E43" s="265">
        <v>1607806</v>
      </c>
      <c r="F43" s="265">
        <v>63911</v>
      </c>
      <c r="G43" s="265"/>
      <c r="H43" s="265">
        <v>229987</v>
      </c>
      <c r="I43" s="265">
        <f>26012+2916+88098</f>
        <v>117026</v>
      </c>
      <c r="J43" s="265">
        <f>211</f>
        <v>211</v>
      </c>
      <c r="K43" s="265">
        <f>42542</f>
        <v>42542</v>
      </c>
      <c r="L43" s="265">
        <v>23282</v>
      </c>
      <c r="M43" s="265">
        <v>20360</v>
      </c>
      <c r="N43" s="154">
        <v>0</v>
      </c>
      <c r="O43" s="265">
        <f>6947+434+293432</f>
        <v>300813</v>
      </c>
      <c r="P43" s="265">
        <f>99460+13030</f>
        <v>112490</v>
      </c>
      <c r="Q43" s="265"/>
      <c r="T43" s="2"/>
    </row>
    <row r="44" spans="1:20" ht="12.75">
      <c r="A44" s="137">
        <f>+A43+1</f>
        <v>12</v>
      </c>
      <c r="B44" s="83" t="s">
        <v>824</v>
      </c>
      <c r="D44" s="535">
        <v>-75973</v>
      </c>
      <c r="E44" s="535">
        <v>-526151</v>
      </c>
      <c r="F44" s="535">
        <v>-20512</v>
      </c>
      <c r="G44" s="535"/>
      <c r="H44" s="535">
        <v>-67332</v>
      </c>
      <c r="I44" s="535">
        <v>-9934</v>
      </c>
      <c r="J44" s="535">
        <v>-99</v>
      </c>
      <c r="K44" s="535">
        <v>-13266</v>
      </c>
      <c r="L44" s="536">
        <v>-7154</v>
      </c>
      <c r="M44" s="535">
        <v>-6080</v>
      </c>
      <c r="N44" s="535">
        <v>0</v>
      </c>
      <c r="O44" s="535">
        <v>-10238</v>
      </c>
      <c r="P44" s="535">
        <v>-28141</v>
      </c>
      <c r="Q44" s="265"/>
      <c r="T44" s="2"/>
    </row>
    <row r="45" spans="1:20" ht="12.75">
      <c r="A45" s="137">
        <f>+A44+1</f>
        <v>13</v>
      </c>
      <c r="B45" s="83" t="s">
        <v>825</v>
      </c>
      <c r="D45" s="537">
        <v>-25067</v>
      </c>
      <c r="E45" s="537">
        <v>-105195</v>
      </c>
      <c r="F45" s="537">
        <v>-4322</v>
      </c>
      <c r="G45" s="537"/>
      <c r="H45" s="537">
        <v>-56929</v>
      </c>
      <c r="I45" s="537">
        <v>-14331</v>
      </c>
      <c r="J45" s="537">
        <v>-1</v>
      </c>
      <c r="K45" s="537">
        <v>-2496</v>
      </c>
      <c r="L45" s="537">
        <v>-1404</v>
      </c>
      <c r="M45" s="537">
        <v>-1289</v>
      </c>
      <c r="N45" s="537">
        <v>0</v>
      </c>
      <c r="O45" s="537">
        <v>-42191</v>
      </c>
      <c r="P45" s="537">
        <v>-7269</v>
      </c>
      <c r="Q45" s="265"/>
      <c r="T45" s="2"/>
    </row>
    <row r="46" spans="1:20" ht="12.75">
      <c r="A46" s="137">
        <f>+A45+1</f>
        <v>14</v>
      </c>
      <c r="B46" s="137" t="s">
        <v>795</v>
      </c>
      <c r="D46" s="92">
        <f>+D43+D44+D45</f>
        <v>120279</v>
      </c>
      <c r="E46" s="92">
        <f>+E43+E44+E45</f>
        <v>976460</v>
      </c>
      <c r="F46" s="92">
        <f>+F43+F44+F45</f>
        <v>39077</v>
      </c>
      <c r="G46" s="92"/>
      <c r="H46" s="92">
        <f aca="true" t="shared" si="2" ref="H46:P46">+H43+H44+H45</f>
        <v>105726</v>
      </c>
      <c r="I46" s="92">
        <f t="shared" si="2"/>
        <v>92761</v>
      </c>
      <c r="J46" s="92">
        <f t="shared" si="2"/>
        <v>111</v>
      </c>
      <c r="K46" s="92">
        <f t="shared" si="2"/>
        <v>26780</v>
      </c>
      <c r="L46" s="92">
        <f t="shared" si="2"/>
        <v>14724</v>
      </c>
      <c r="M46" s="92">
        <f t="shared" si="2"/>
        <v>12991</v>
      </c>
      <c r="N46" s="413">
        <f t="shared" si="2"/>
        <v>0</v>
      </c>
      <c r="O46" s="92">
        <f t="shared" si="2"/>
        <v>248384</v>
      </c>
      <c r="P46" s="92">
        <f t="shared" si="2"/>
        <v>77080</v>
      </c>
      <c r="Q46" s="265"/>
      <c r="T46" s="292"/>
    </row>
    <row r="47" spans="1:20" ht="12.75">
      <c r="A47" s="137"/>
      <c r="D47" s="265"/>
      <c r="E47" s="265"/>
      <c r="F47" s="265"/>
      <c r="G47" s="265"/>
      <c r="H47" s="265"/>
      <c r="I47" s="265"/>
      <c r="J47" s="265"/>
      <c r="K47" s="265"/>
      <c r="L47" s="265"/>
      <c r="M47" s="265"/>
      <c r="N47" s="154"/>
      <c r="O47" s="265"/>
      <c r="P47" s="265"/>
      <c r="Q47" s="265"/>
      <c r="T47" s="292"/>
    </row>
    <row r="48" spans="1:20" ht="26.25">
      <c r="A48" s="137">
        <f>+A46+1</f>
        <v>15</v>
      </c>
      <c r="B48" s="167" t="s">
        <v>826</v>
      </c>
      <c r="D48" s="265">
        <v>697</v>
      </c>
      <c r="E48" s="265">
        <v>5065</v>
      </c>
      <c r="F48" s="265">
        <v>201</v>
      </c>
      <c r="G48" s="265"/>
      <c r="H48" s="265">
        <v>724</v>
      </c>
      <c r="I48" s="265">
        <v>82</v>
      </c>
      <c r="J48" s="265">
        <v>1</v>
      </c>
      <c r="K48" s="265">
        <v>134</v>
      </c>
      <c r="L48" s="265">
        <v>73</v>
      </c>
      <c r="M48" s="265">
        <v>64</v>
      </c>
      <c r="N48" s="154">
        <v>0</v>
      </c>
      <c r="O48" s="265">
        <v>22</v>
      </c>
      <c r="P48" s="265">
        <v>313</v>
      </c>
      <c r="Q48" s="265"/>
      <c r="T48" s="2"/>
    </row>
    <row r="49" spans="1:20" ht="12.75">
      <c r="A49" s="137"/>
      <c r="B49" s="167"/>
      <c r="D49" s="265"/>
      <c r="E49" s="265"/>
      <c r="F49" s="265"/>
      <c r="G49" s="265"/>
      <c r="H49" s="265"/>
      <c r="I49" s="265"/>
      <c r="J49" s="265"/>
      <c r="K49" s="265"/>
      <c r="L49" s="265"/>
      <c r="M49" s="265"/>
      <c r="N49" s="265"/>
      <c r="O49" s="265"/>
      <c r="P49" s="265"/>
      <c r="Q49" s="265"/>
      <c r="T49" s="2"/>
    </row>
    <row r="50" spans="1:20" ht="12.75">
      <c r="A50" s="137"/>
      <c r="B50" s="167"/>
      <c r="D50" s="265"/>
      <c r="E50" s="265"/>
      <c r="F50" s="265"/>
      <c r="G50" s="265"/>
      <c r="H50" s="265"/>
      <c r="I50" s="265"/>
      <c r="J50" s="265"/>
      <c r="K50" s="265"/>
      <c r="L50" s="265"/>
      <c r="M50" s="265"/>
      <c r="N50" s="265"/>
      <c r="O50" s="265"/>
      <c r="P50" s="265"/>
      <c r="Q50" s="265"/>
      <c r="T50" s="2"/>
    </row>
    <row r="51" spans="1:20" ht="12.75">
      <c r="A51" s="137"/>
      <c r="B51" s="167"/>
      <c r="D51" s="265"/>
      <c r="E51" s="265"/>
      <c r="F51" s="265"/>
      <c r="G51" s="265"/>
      <c r="H51" s="265"/>
      <c r="I51" s="265"/>
      <c r="J51" s="265"/>
      <c r="K51" s="265"/>
      <c r="L51" s="265"/>
      <c r="M51" s="265"/>
      <c r="N51" s="265"/>
      <c r="O51" s="265"/>
      <c r="P51" s="265"/>
      <c r="Q51" s="265"/>
      <c r="T51" s="2"/>
    </row>
    <row r="52" spans="1:20" ht="12.75">
      <c r="A52" s="137"/>
      <c r="B52" s="167"/>
      <c r="D52" s="265"/>
      <c r="E52" s="265"/>
      <c r="F52" s="265"/>
      <c r="G52" s="265"/>
      <c r="H52" s="265"/>
      <c r="I52" s="265"/>
      <c r="J52" s="265"/>
      <c r="K52" s="265"/>
      <c r="L52" s="265"/>
      <c r="M52" s="265"/>
      <c r="N52" s="265"/>
      <c r="O52" s="265"/>
      <c r="P52" s="265"/>
      <c r="Q52" s="265"/>
      <c r="T52" s="2"/>
    </row>
    <row r="53" spans="1:20" ht="12.75">
      <c r="A53" s="137"/>
      <c r="B53" s="167"/>
      <c r="D53" s="265"/>
      <c r="E53" s="265"/>
      <c r="F53" s="265"/>
      <c r="G53" s="265"/>
      <c r="H53" s="265"/>
      <c r="I53" s="265"/>
      <c r="J53" s="265"/>
      <c r="K53" s="265"/>
      <c r="L53" s="265"/>
      <c r="M53" s="265"/>
      <c r="N53" s="265"/>
      <c r="O53" s="265"/>
      <c r="P53" s="265"/>
      <c r="Q53" s="265"/>
      <c r="R53" s="154"/>
      <c r="T53" s="2"/>
    </row>
    <row r="54" spans="1:20" ht="21">
      <c r="A54" s="137"/>
      <c r="B54" s="167"/>
      <c r="D54" s="241" t="s">
        <v>862</v>
      </c>
      <c r="E54" s="298" t="s">
        <v>829</v>
      </c>
      <c r="F54" s="298" t="s">
        <v>829</v>
      </c>
      <c r="G54" s="265"/>
      <c r="H54" s="298" t="s">
        <v>488</v>
      </c>
      <c r="I54" s="298" t="s">
        <v>829</v>
      </c>
      <c r="J54" s="298" t="s">
        <v>653</v>
      </c>
      <c r="K54" s="420" t="s">
        <v>895</v>
      </c>
      <c r="L54" s="298" t="s">
        <v>370</v>
      </c>
      <c r="M54" s="298" t="s">
        <v>40</v>
      </c>
      <c r="N54" s="265"/>
      <c r="O54" s="265"/>
      <c r="P54" s="265"/>
      <c r="Q54" s="265"/>
      <c r="R54" s="154"/>
      <c r="T54" s="2"/>
    </row>
    <row r="55" spans="1:20" ht="12.75">
      <c r="A55" s="137"/>
      <c r="B55" s="167"/>
      <c r="D55" s="298" t="s">
        <v>895</v>
      </c>
      <c r="E55" s="412" t="s">
        <v>439</v>
      </c>
      <c r="F55" s="265"/>
      <c r="G55" s="265"/>
      <c r="H55" s="265"/>
      <c r="J55" s="265"/>
      <c r="K55" s="265"/>
      <c r="L55" s="265"/>
      <c r="M55" s="265"/>
      <c r="N55" s="265"/>
      <c r="O55" s="265"/>
      <c r="P55" s="265"/>
      <c r="Q55" s="265"/>
      <c r="R55" s="154"/>
      <c r="T55" s="2"/>
    </row>
    <row r="56" spans="1:20" ht="12.75">
      <c r="A56" s="137"/>
      <c r="B56" s="259" t="s">
        <v>219</v>
      </c>
      <c r="D56" s="254" t="s">
        <v>385</v>
      </c>
      <c r="E56" s="254" t="s">
        <v>385</v>
      </c>
      <c r="F56" s="254" t="s">
        <v>385</v>
      </c>
      <c r="G56" s="265"/>
      <c r="H56" s="254" t="s">
        <v>385</v>
      </c>
      <c r="I56" s="254" t="s">
        <v>385</v>
      </c>
      <c r="J56" s="254" t="s">
        <v>385</v>
      </c>
      <c r="K56" s="254" t="s">
        <v>385</v>
      </c>
      <c r="L56" s="254" t="s">
        <v>385</v>
      </c>
      <c r="M56" s="254" t="s">
        <v>385</v>
      </c>
      <c r="N56" s="265"/>
      <c r="O56" s="265"/>
      <c r="P56" s="265"/>
      <c r="Q56" s="265"/>
      <c r="R56" s="154"/>
      <c r="T56" s="2"/>
    </row>
    <row r="57" spans="1:20" ht="26.25">
      <c r="A57" s="137"/>
      <c r="B57" s="259" t="s">
        <v>202</v>
      </c>
      <c r="D57" s="257" t="s">
        <v>542</v>
      </c>
      <c r="E57" s="257" t="s">
        <v>440</v>
      </c>
      <c r="F57" s="257" t="s">
        <v>287</v>
      </c>
      <c r="G57" s="265"/>
      <c r="H57" s="257" t="s">
        <v>288</v>
      </c>
      <c r="I57" s="254" t="s">
        <v>489</v>
      </c>
      <c r="J57" s="421" t="s">
        <v>490</v>
      </c>
      <c r="K57" s="254" t="s">
        <v>491</v>
      </c>
      <c r="L57" s="254" t="s">
        <v>371</v>
      </c>
      <c r="M57" s="254" t="s">
        <v>40</v>
      </c>
      <c r="N57" s="265"/>
      <c r="O57" s="265"/>
      <c r="P57" s="265"/>
      <c r="Q57" s="265"/>
      <c r="R57" s="154"/>
      <c r="T57" s="2"/>
    </row>
    <row r="58" spans="1:20" ht="12.75">
      <c r="A58" s="137"/>
      <c r="B58" s="167"/>
      <c r="D58" s="254" t="s">
        <v>543</v>
      </c>
      <c r="E58" s="254" t="s">
        <v>441</v>
      </c>
      <c r="F58" s="254" t="s">
        <v>289</v>
      </c>
      <c r="G58" s="265"/>
      <c r="H58" s="254" t="s">
        <v>290</v>
      </c>
      <c r="I58" s="254" t="s">
        <v>492</v>
      </c>
      <c r="J58" s="254" t="s">
        <v>493</v>
      </c>
      <c r="K58" s="254" t="s">
        <v>494</v>
      </c>
      <c r="L58" s="254" t="s">
        <v>372</v>
      </c>
      <c r="M58" s="254" t="s">
        <v>41</v>
      </c>
      <c r="N58" s="265"/>
      <c r="O58" s="265"/>
      <c r="P58" s="265"/>
      <c r="Q58" s="265"/>
      <c r="R58" s="247" t="s">
        <v>687</v>
      </c>
      <c r="T58" s="2"/>
    </row>
    <row r="59" spans="1:20" ht="12.75">
      <c r="A59" s="137"/>
      <c r="B59" s="167"/>
      <c r="D59" s="264" t="s">
        <v>301</v>
      </c>
      <c r="E59" s="264" t="s">
        <v>302</v>
      </c>
      <c r="F59" s="264" t="s">
        <v>303</v>
      </c>
      <c r="G59" s="265"/>
      <c r="H59" s="264" t="s">
        <v>417</v>
      </c>
      <c r="I59" s="264" t="s">
        <v>418</v>
      </c>
      <c r="J59" s="264" t="s">
        <v>419</v>
      </c>
      <c r="K59" s="264" t="s">
        <v>420</v>
      </c>
      <c r="L59" s="264" t="s">
        <v>419</v>
      </c>
      <c r="M59" s="264" t="s">
        <v>422</v>
      </c>
      <c r="N59" s="265"/>
      <c r="O59" s="265"/>
      <c r="P59" s="265"/>
      <c r="Q59" s="265"/>
      <c r="R59" s="154"/>
      <c r="T59" s="2"/>
    </row>
    <row r="60" spans="1:20" ht="12.75">
      <c r="A60" s="137"/>
      <c r="B60" s="167"/>
      <c r="D60" s="264"/>
      <c r="E60" s="265"/>
      <c r="F60" s="265"/>
      <c r="G60" s="265"/>
      <c r="H60" s="265"/>
      <c r="I60" s="265"/>
      <c r="J60" s="265"/>
      <c r="K60" s="265"/>
      <c r="L60" s="265"/>
      <c r="M60" s="265"/>
      <c r="N60" s="265"/>
      <c r="O60" s="265"/>
      <c r="P60" s="265"/>
      <c r="Q60" s="265"/>
      <c r="R60" s="154"/>
      <c r="T60" s="2"/>
    </row>
    <row r="61" spans="1:20" ht="12.75">
      <c r="A61" s="137">
        <f>+A48+1</f>
        <v>16</v>
      </c>
      <c r="B61" s="83" t="s">
        <v>828</v>
      </c>
      <c r="D61" s="265">
        <v>8902</v>
      </c>
      <c r="E61" s="265">
        <v>119331</v>
      </c>
      <c r="F61" s="265">
        <v>93336</v>
      </c>
      <c r="G61" s="265"/>
      <c r="H61" s="265">
        <v>45950</v>
      </c>
      <c r="I61" s="265">
        <f>94161-64455-16067+37417-23239</f>
        <v>27817</v>
      </c>
      <c r="J61" s="265">
        <f>-33367</f>
        <v>-33367</v>
      </c>
      <c r="K61" s="265">
        <f>222446-42338-1-944+85</f>
        <v>179248</v>
      </c>
      <c r="L61" s="265">
        <f>25884-25585+17813</f>
        <v>18112</v>
      </c>
      <c r="M61" s="265">
        <v>96984</v>
      </c>
      <c r="N61" s="265"/>
      <c r="O61" s="265"/>
      <c r="P61" s="265"/>
      <c r="Q61" s="265"/>
      <c r="R61" s="154">
        <f>+D15+E15+F15+H15+I15+J15+K15+L15+M15+N15+O15+P15+D29+E29+F29+H29+I29+J29+K29+L29+M29+N29+O29+P29+D43+E43+F43+H43+I43+J43+K43+L43+M43+N43+O43+P43+D61+E61+F61+H61+I61+J61+K61+L61+M61</f>
        <v>193120620</v>
      </c>
      <c r="T61" s="2"/>
    </row>
    <row r="62" spans="1:20" ht="12.75">
      <c r="A62" s="137">
        <f>+A61+1</f>
        <v>17</v>
      </c>
      <c r="B62" s="83" t="s">
        <v>824</v>
      </c>
      <c r="D62" s="535">
        <v>-2482</v>
      </c>
      <c r="E62" s="535">
        <v>-29704</v>
      </c>
      <c r="F62" s="535">
        <v>-22050</v>
      </c>
      <c r="G62" s="535"/>
      <c r="H62" s="535">
        <v>-10875</v>
      </c>
      <c r="I62" s="535">
        <v>-6787</v>
      </c>
      <c r="J62" s="535">
        <v>8190</v>
      </c>
      <c r="K62" s="535">
        <v>-40114</v>
      </c>
      <c r="L62" s="536">
        <v>-3306</v>
      </c>
      <c r="M62" s="535">
        <v>-14030</v>
      </c>
      <c r="N62" s="265"/>
      <c r="O62" s="265"/>
      <c r="P62" s="265"/>
      <c r="Q62" s="265"/>
      <c r="R62" s="154">
        <f>+D16+E16+F16+H16+I16+J16+K16+L16+M16+N16+O16+P16+D30+E30+F30+H30+I30+J30+K30+L30+M30+N30+O30+P30+D44+E44+F44+H44+I44+J44+K44+L44+M44+N44+O44+P44+D62+E62+F62+H62+I62+J62+K62+L62+M62</f>
        <v>-82224123</v>
      </c>
      <c r="T62" s="2"/>
    </row>
    <row r="63" spans="1:20" ht="12.75">
      <c r="A63" s="137">
        <f>+A62+1</f>
        <v>18</v>
      </c>
      <c r="B63" s="83" t="s">
        <v>825</v>
      </c>
      <c r="D63" s="537">
        <v>-486</v>
      </c>
      <c r="E63" s="537">
        <v>-5849</v>
      </c>
      <c r="F63" s="537">
        <v>-4988</v>
      </c>
      <c r="G63" s="537"/>
      <c r="H63" s="537">
        <v>-2449</v>
      </c>
      <c r="I63" s="537">
        <v>-1411</v>
      </c>
      <c r="J63" s="537">
        <v>1675</v>
      </c>
      <c r="K63" s="537">
        <v>-10361</v>
      </c>
      <c r="L63" s="537">
        <v>-995</v>
      </c>
      <c r="M63" s="537">
        <v>-4792</v>
      </c>
      <c r="N63" s="265"/>
      <c r="O63" s="265"/>
      <c r="P63" s="265"/>
      <c r="Q63" s="265"/>
      <c r="R63" s="154">
        <f>+D17+E17+F17+H17+I17+J17+K17+L17+M17+N17+O17+P17+D31+E31+F31+H31+I31+J31+K31+L31+M31+N31+O31+P31+D45+E45+F45+H45+I45+J45+K45+L45+M45+N45+O45+P45+D63+E63+F63+H63+I63+J63+K63+L63+M63</f>
        <v>-29450319</v>
      </c>
      <c r="T63" s="2"/>
    </row>
    <row r="64" spans="1:20" ht="12.75">
      <c r="A64" s="137">
        <f>+A63+1</f>
        <v>19</v>
      </c>
      <c r="B64" s="137" t="s">
        <v>795</v>
      </c>
      <c r="D64" s="92">
        <f>+D61+D62+D63</f>
        <v>5934</v>
      </c>
      <c r="E64" s="92">
        <f>+E61+E62+E63</f>
        <v>83778</v>
      </c>
      <c r="F64" s="92">
        <f>+F61+F62+F63</f>
        <v>66298</v>
      </c>
      <c r="G64" s="265"/>
      <c r="H64" s="92">
        <f aca="true" t="shared" si="3" ref="H64:M64">+H61+H62+H63</f>
        <v>32626</v>
      </c>
      <c r="I64" s="92">
        <f t="shared" si="3"/>
        <v>19619</v>
      </c>
      <c r="J64" s="92">
        <f t="shared" si="3"/>
        <v>-23502</v>
      </c>
      <c r="K64" s="92">
        <f t="shared" si="3"/>
        <v>128773</v>
      </c>
      <c r="L64" s="92">
        <f t="shared" si="3"/>
        <v>13811</v>
      </c>
      <c r="M64" s="92">
        <f t="shared" si="3"/>
        <v>78162</v>
      </c>
      <c r="N64" s="265"/>
      <c r="O64" s="265"/>
      <c r="P64" s="265"/>
      <c r="Q64" s="265"/>
      <c r="R64" s="154">
        <f>+R61+R62+R63</f>
        <v>81446178</v>
      </c>
      <c r="T64" s="2"/>
    </row>
    <row r="65" spans="1:20" ht="12.75">
      <c r="A65" s="137"/>
      <c r="D65" s="265"/>
      <c r="E65" s="265"/>
      <c r="F65" s="265"/>
      <c r="G65" s="265"/>
      <c r="H65" s="265"/>
      <c r="I65" s="265"/>
      <c r="J65" s="265"/>
      <c r="K65" s="265"/>
      <c r="L65" s="265"/>
      <c r="M65" s="265"/>
      <c r="N65" s="265"/>
      <c r="O65" s="265"/>
      <c r="P65" s="265"/>
      <c r="Q65" s="265"/>
      <c r="R65" s="154"/>
      <c r="T65" s="2"/>
    </row>
    <row r="66" spans="1:20" ht="26.25">
      <c r="A66" s="137">
        <f>+A64+1</f>
        <v>20</v>
      </c>
      <c r="B66" s="167" t="s">
        <v>826</v>
      </c>
      <c r="D66" s="265">
        <v>28</v>
      </c>
      <c r="E66" s="265">
        <v>376</v>
      </c>
      <c r="F66" s="265">
        <v>294</v>
      </c>
      <c r="G66" s="265"/>
      <c r="H66" s="265">
        <v>145</v>
      </c>
      <c r="I66" s="265">
        <v>88</v>
      </c>
      <c r="J66" s="265">
        <v>-105</v>
      </c>
      <c r="K66" s="265">
        <v>565</v>
      </c>
      <c r="L66" s="265">
        <v>57</v>
      </c>
      <c r="M66" s="265">
        <v>305</v>
      </c>
      <c r="N66" s="265"/>
      <c r="O66" s="265"/>
      <c r="P66" s="265"/>
      <c r="Q66" s="265"/>
      <c r="R66" s="154">
        <f>+D20+E20+F20+H20+I20+J20+K20+L20+M20+N20+O20+P20+D34+E34+F34+H34+I34+J34+K34+L34+M34+N34+O34+P34+D48+E48+F48+H48+I48+J48+K48+L48+M48+N48+O48+P48+D66+E66+F66+H66+I66+J66+K66+L66+M66</f>
        <v>623282</v>
      </c>
      <c r="T66" s="2"/>
    </row>
    <row r="67" spans="1:20" ht="12.75">
      <c r="A67" s="137"/>
      <c r="B67" s="167"/>
      <c r="D67" s="265"/>
      <c r="E67" s="265"/>
      <c r="F67" s="265"/>
      <c r="G67" s="265"/>
      <c r="H67" s="265"/>
      <c r="I67" s="265"/>
      <c r="J67" s="265"/>
      <c r="K67" s="265"/>
      <c r="L67" s="265"/>
      <c r="M67" s="265"/>
      <c r="N67" s="265"/>
      <c r="O67" s="265"/>
      <c r="P67" s="265"/>
      <c r="Q67" s="265"/>
      <c r="R67" s="154"/>
      <c r="T67" s="2"/>
    </row>
    <row r="68" spans="1:17" ht="12.75">
      <c r="A68" s="137"/>
      <c r="B68" s="262"/>
      <c r="D68" s="265"/>
      <c r="E68" s="265"/>
      <c r="F68" s="265"/>
      <c r="G68" s="265"/>
      <c r="H68" s="245"/>
      <c r="I68" s="265"/>
      <c r="J68" s="265"/>
      <c r="K68" s="245"/>
      <c r="L68" s="265"/>
      <c r="M68" s="265"/>
      <c r="N68" s="157"/>
      <c r="O68" s="157"/>
      <c r="P68" s="137"/>
      <c r="Q68" s="265"/>
    </row>
    <row r="69" spans="1:17" ht="52.5">
      <c r="A69" s="137"/>
      <c r="B69" s="261" t="s">
        <v>225</v>
      </c>
      <c r="D69" s="137" t="s">
        <v>829</v>
      </c>
      <c r="E69" s="167" t="s">
        <v>893</v>
      </c>
      <c r="F69" s="167" t="s">
        <v>893</v>
      </c>
      <c r="G69" s="167"/>
      <c r="H69" s="167" t="s">
        <v>894</v>
      </c>
      <c r="I69" s="167" t="s">
        <v>892</v>
      </c>
      <c r="J69" s="293" t="s">
        <v>295</v>
      </c>
      <c r="K69" s="167" t="s">
        <v>330</v>
      </c>
      <c r="L69" s="83" t="s">
        <v>895</v>
      </c>
      <c r="M69" s="167" t="s">
        <v>896</v>
      </c>
      <c r="N69" s="167" t="s">
        <v>902</v>
      </c>
      <c r="O69" s="167" t="s">
        <v>172</v>
      </c>
      <c r="P69" s="167" t="s">
        <v>178</v>
      </c>
      <c r="Q69" s="147"/>
    </row>
    <row r="70" spans="1:16" ht="12.75">
      <c r="A70" s="137"/>
      <c r="D70" s="137" t="s">
        <v>830</v>
      </c>
      <c r="E70" s="167" t="s">
        <v>822</v>
      </c>
      <c r="F70" s="137" t="s">
        <v>821</v>
      </c>
      <c r="G70" s="137"/>
      <c r="H70" s="137" t="s">
        <v>831</v>
      </c>
      <c r="I70" s="137" t="s">
        <v>823</v>
      </c>
      <c r="J70" s="137" t="s">
        <v>903</v>
      </c>
      <c r="K70" s="137" t="s">
        <v>905</v>
      </c>
      <c r="L70" s="137" t="s">
        <v>906</v>
      </c>
      <c r="M70" s="137" t="s">
        <v>907</v>
      </c>
      <c r="N70" s="167" t="s">
        <v>227</v>
      </c>
      <c r="O70" s="264" t="s">
        <v>228</v>
      </c>
      <c r="P70" s="137" t="s">
        <v>297</v>
      </c>
    </row>
    <row r="71" spans="1:17" ht="12.75">
      <c r="A71" s="137">
        <f>+A66+1</f>
        <v>21</v>
      </c>
      <c r="B71" s="274" t="s">
        <v>795</v>
      </c>
      <c r="D71" s="265">
        <f aca="true" t="shared" si="4" ref="D71:P71">+D18</f>
        <v>163770</v>
      </c>
      <c r="E71" s="265">
        <f t="shared" si="4"/>
        <v>1495771</v>
      </c>
      <c r="F71" s="265">
        <f t="shared" si="4"/>
        <v>2085635</v>
      </c>
      <c r="G71" s="265"/>
      <c r="H71" s="265">
        <f t="shared" si="4"/>
        <v>1320900</v>
      </c>
      <c r="I71" s="265">
        <f t="shared" si="4"/>
        <v>45817</v>
      </c>
      <c r="J71" s="265">
        <f t="shared" si="4"/>
        <v>10331</v>
      </c>
      <c r="K71" s="265">
        <f t="shared" si="4"/>
        <v>65235</v>
      </c>
      <c r="L71" s="265">
        <f t="shared" si="4"/>
        <v>5593332</v>
      </c>
      <c r="M71" s="265">
        <f t="shared" si="4"/>
        <v>52657430</v>
      </c>
      <c r="N71" s="265">
        <f t="shared" si="4"/>
        <v>81078</v>
      </c>
      <c r="O71" s="265">
        <f t="shared" si="4"/>
        <v>2717974</v>
      </c>
      <c r="P71" s="265">
        <f t="shared" si="4"/>
        <v>142785</v>
      </c>
      <c r="Q71" s="265"/>
    </row>
    <row r="72" spans="1:16" ht="26.25">
      <c r="A72" s="137">
        <f>+A71+1</f>
        <v>22</v>
      </c>
      <c r="B72" s="273" t="s">
        <v>217</v>
      </c>
      <c r="D72" s="275">
        <v>0.0083</v>
      </c>
      <c r="E72" s="275">
        <f aca="true" t="shared" si="5" ref="E72:P72">+$D$72</f>
        <v>0.0083</v>
      </c>
      <c r="F72" s="275">
        <f t="shared" si="5"/>
        <v>0.0083</v>
      </c>
      <c r="G72" s="275"/>
      <c r="H72" s="275">
        <f t="shared" si="5"/>
        <v>0.0083</v>
      </c>
      <c r="I72" s="275">
        <f t="shared" si="5"/>
        <v>0.0083</v>
      </c>
      <c r="J72" s="275">
        <f t="shared" si="5"/>
        <v>0.0083</v>
      </c>
      <c r="K72" s="275">
        <f t="shared" si="5"/>
        <v>0.0083</v>
      </c>
      <c r="L72" s="275">
        <f t="shared" si="5"/>
        <v>0.0083</v>
      </c>
      <c r="M72" s="275">
        <f t="shared" si="5"/>
        <v>0.0083</v>
      </c>
      <c r="N72" s="275">
        <f t="shared" si="5"/>
        <v>0.0083</v>
      </c>
      <c r="O72" s="275">
        <f t="shared" si="5"/>
        <v>0.0083</v>
      </c>
      <c r="P72" s="275">
        <f t="shared" si="5"/>
        <v>0.0083</v>
      </c>
    </row>
    <row r="73" spans="1:17" ht="26.25">
      <c r="A73" s="137">
        <f>+A72+1</f>
        <v>23</v>
      </c>
      <c r="B73" s="273" t="s">
        <v>170</v>
      </c>
      <c r="D73" s="265">
        <f aca="true" t="shared" si="6" ref="D73:P73">ROUND(D71*D72,0)</f>
        <v>1359</v>
      </c>
      <c r="E73" s="265">
        <f t="shared" si="6"/>
        <v>12415</v>
      </c>
      <c r="F73" s="265">
        <f t="shared" si="6"/>
        <v>17311</v>
      </c>
      <c r="G73" s="265"/>
      <c r="H73" s="265">
        <f t="shared" si="6"/>
        <v>10963</v>
      </c>
      <c r="I73" s="265">
        <f t="shared" si="6"/>
        <v>380</v>
      </c>
      <c r="J73" s="265">
        <f t="shared" si="6"/>
        <v>86</v>
      </c>
      <c r="K73" s="265">
        <f t="shared" si="6"/>
        <v>541</v>
      </c>
      <c r="L73" s="265">
        <f t="shared" si="6"/>
        <v>46425</v>
      </c>
      <c r="M73" s="265">
        <f t="shared" si="6"/>
        <v>437057</v>
      </c>
      <c r="N73" s="265">
        <f t="shared" si="6"/>
        <v>673</v>
      </c>
      <c r="O73" s="265">
        <f t="shared" si="6"/>
        <v>22559</v>
      </c>
      <c r="P73" s="265">
        <f t="shared" si="6"/>
        <v>1185</v>
      </c>
      <c r="Q73" s="265"/>
    </row>
    <row r="74" spans="2:17" ht="12.75">
      <c r="B74" s="274"/>
      <c r="D74" s="265"/>
      <c r="E74" s="265"/>
      <c r="F74" s="265"/>
      <c r="G74" s="265"/>
      <c r="H74" s="265"/>
      <c r="I74" s="265"/>
      <c r="J74" s="265"/>
      <c r="K74" s="265"/>
      <c r="L74" s="265"/>
      <c r="M74" s="265"/>
      <c r="N74" s="265"/>
      <c r="O74" s="265"/>
      <c r="P74" s="265"/>
      <c r="Q74" s="265"/>
    </row>
    <row r="75" spans="2:17" ht="12.75">
      <c r="B75" s="147"/>
      <c r="H75" s="167"/>
      <c r="I75" s="167"/>
      <c r="J75" s="167"/>
      <c r="K75" s="265"/>
      <c r="P75" s="247"/>
      <c r="Q75" s="247"/>
    </row>
    <row r="76" spans="4:18" ht="66">
      <c r="D76" s="167" t="s">
        <v>177</v>
      </c>
      <c r="E76" s="167" t="s">
        <v>205</v>
      </c>
      <c r="F76" s="254" t="s">
        <v>180</v>
      </c>
      <c r="G76" s="254"/>
      <c r="H76" s="254" t="s">
        <v>195</v>
      </c>
      <c r="I76" s="254" t="s">
        <v>197</v>
      </c>
      <c r="J76" s="254" t="s">
        <v>204</v>
      </c>
      <c r="K76" s="254" t="s">
        <v>198</v>
      </c>
      <c r="L76" s="167" t="s">
        <v>199</v>
      </c>
      <c r="M76" s="167" t="s">
        <v>201</v>
      </c>
      <c r="N76" s="254" t="s">
        <v>258</v>
      </c>
      <c r="O76" s="254" t="s">
        <v>260</v>
      </c>
      <c r="P76" s="254" t="s">
        <v>260</v>
      </c>
      <c r="Q76" s="265"/>
      <c r="R76" s="264"/>
    </row>
    <row r="77" spans="4:18" ht="12.75">
      <c r="D77" s="264" t="s">
        <v>229</v>
      </c>
      <c r="E77" s="264" t="s">
        <v>230</v>
      </c>
      <c r="F77" s="264" t="s">
        <v>231</v>
      </c>
      <c r="G77" s="264"/>
      <c r="H77" s="264" t="s">
        <v>232</v>
      </c>
      <c r="I77" s="264" t="s">
        <v>233</v>
      </c>
      <c r="J77" s="264" t="s">
        <v>234</v>
      </c>
      <c r="K77" s="264" t="s">
        <v>235</v>
      </c>
      <c r="L77" s="264" t="s">
        <v>236</v>
      </c>
      <c r="M77" s="167" t="s">
        <v>237</v>
      </c>
      <c r="N77" s="167" t="s">
        <v>238</v>
      </c>
      <c r="O77" s="167" t="s">
        <v>239</v>
      </c>
      <c r="P77" s="167" t="s">
        <v>299</v>
      </c>
      <c r="Q77" s="265"/>
      <c r="R77" s="264"/>
    </row>
    <row r="78" spans="1:18" ht="12.75">
      <c r="A78" s="137">
        <f>+A73+1</f>
        <v>24</v>
      </c>
      <c r="B78" s="274" t="s">
        <v>795</v>
      </c>
      <c r="D78" s="265">
        <f aca="true" t="shared" si="7" ref="D78:P78">+D32</f>
        <v>471075</v>
      </c>
      <c r="E78" s="265">
        <f t="shared" si="7"/>
        <v>533</v>
      </c>
      <c r="F78" s="265">
        <f t="shared" si="7"/>
        <v>160496</v>
      </c>
      <c r="G78" s="265"/>
      <c r="H78" s="265">
        <f t="shared" si="7"/>
        <v>96141</v>
      </c>
      <c r="I78" s="265">
        <f t="shared" si="7"/>
        <v>136968</v>
      </c>
      <c r="J78" s="265">
        <f t="shared" si="7"/>
        <v>4404819</v>
      </c>
      <c r="K78" s="265">
        <f t="shared" si="7"/>
        <v>2474133</v>
      </c>
      <c r="L78" s="265">
        <f t="shared" si="7"/>
        <v>1054892</v>
      </c>
      <c r="M78" s="265">
        <f t="shared" si="7"/>
        <v>1074412</v>
      </c>
      <c r="N78" s="265">
        <f t="shared" si="7"/>
        <v>2209256</v>
      </c>
      <c r="O78" s="265">
        <f t="shared" si="7"/>
        <v>855728</v>
      </c>
      <c r="P78" s="265">
        <f t="shared" si="7"/>
        <v>7795</v>
      </c>
      <c r="Q78" s="154"/>
      <c r="R78" s="265"/>
    </row>
    <row r="79" spans="1:18" ht="26.25">
      <c r="A79" s="137">
        <f>+A78+1</f>
        <v>25</v>
      </c>
      <c r="B79" s="273" t="s">
        <v>217</v>
      </c>
      <c r="D79" s="275">
        <f>+$D$72</f>
        <v>0.0083</v>
      </c>
      <c r="E79" s="275">
        <f>+$D$72</f>
        <v>0.0083</v>
      </c>
      <c r="F79" s="275">
        <f aca="true" t="shared" si="8" ref="F79:P79">+$D$72</f>
        <v>0.0083</v>
      </c>
      <c r="G79" s="275"/>
      <c r="H79" s="275">
        <f t="shared" si="8"/>
        <v>0.0083</v>
      </c>
      <c r="I79" s="275">
        <f t="shared" si="8"/>
        <v>0.0083</v>
      </c>
      <c r="J79" s="275">
        <f t="shared" si="8"/>
        <v>0.0083</v>
      </c>
      <c r="K79" s="275">
        <f t="shared" si="8"/>
        <v>0.0083</v>
      </c>
      <c r="L79" s="275">
        <f t="shared" si="8"/>
        <v>0.0083</v>
      </c>
      <c r="M79" s="275">
        <f t="shared" si="8"/>
        <v>0.0083</v>
      </c>
      <c r="N79" s="275">
        <f t="shared" si="8"/>
        <v>0.0083</v>
      </c>
      <c r="O79" s="275">
        <f t="shared" si="8"/>
        <v>0.0083</v>
      </c>
      <c r="P79" s="275">
        <f t="shared" si="8"/>
        <v>0.0083</v>
      </c>
      <c r="Q79" s="265"/>
      <c r="R79" s="265"/>
    </row>
    <row r="80" spans="1:18" ht="26.25">
      <c r="A80" s="137">
        <f>+A79+1</f>
        <v>26</v>
      </c>
      <c r="B80" s="273" t="s">
        <v>170</v>
      </c>
      <c r="D80" s="265">
        <f>ROUND(D78*D79,0)</f>
        <v>3910</v>
      </c>
      <c r="E80" s="265">
        <f aca="true" t="shared" si="9" ref="E80:P80">ROUND(E78*E79,0)</f>
        <v>4</v>
      </c>
      <c r="F80" s="265">
        <f t="shared" si="9"/>
        <v>1332</v>
      </c>
      <c r="G80" s="265"/>
      <c r="H80" s="265">
        <f t="shared" si="9"/>
        <v>798</v>
      </c>
      <c r="I80" s="265">
        <f t="shared" si="9"/>
        <v>1137</v>
      </c>
      <c r="J80" s="265">
        <f t="shared" si="9"/>
        <v>36560</v>
      </c>
      <c r="K80" s="265">
        <f t="shared" si="9"/>
        <v>20535</v>
      </c>
      <c r="L80" s="265">
        <f t="shared" si="9"/>
        <v>8756</v>
      </c>
      <c r="M80" s="265">
        <f t="shared" si="9"/>
        <v>8918</v>
      </c>
      <c r="N80" s="265">
        <f t="shared" si="9"/>
        <v>18337</v>
      </c>
      <c r="O80" s="265">
        <f t="shared" si="9"/>
        <v>7103</v>
      </c>
      <c r="P80" s="265">
        <f t="shared" si="9"/>
        <v>65</v>
      </c>
      <c r="Q80" s="154"/>
      <c r="R80" s="265"/>
    </row>
    <row r="81" spans="1:18" ht="12.75">
      <c r="A81" s="137"/>
      <c r="B81" s="273"/>
      <c r="H81" s="276"/>
      <c r="I81" s="276"/>
      <c r="J81" s="276"/>
      <c r="K81" s="276"/>
      <c r="L81" s="265"/>
      <c r="M81" s="265"/>
      <c r="N81" s="265"/>
      <c r="O81" s="265"/>
      <c r="Q81" s="154"/>
      <c r="R81" s="154"/>
    </row>
    <row r="82" spans="1:18" ht="52.5">
      <c r="A82" s="137"/>
      <c r="B82" s="273"/>
      <c r="D82" s="254" t="s">
        <v>374</v>
      </c>
      <c r="E82" s="254" t="s">
        <v>373</v>
      </c>
      <c r="F82" s="254" t="s">
        <v>368</v>
      </c>
      <c r="G82" s="254"/>
      <c r="H82" s="167" t="s">
        <v>875</v>
      </c>
      <c r="I82" s="137" t="s">
        <v>829</v>
      </c>
      <c r="J82" s="167" t="s">
        <v>893</v>
      </c>
      <c r="K82" s="264" t="s">
        <v>896</v>
      </c>
      <c r="L82" s="264" t="s">
        <v>896</v>
      </c>
      <c r="M82" s="264" t="s">
        <v>896</v>
      </c>
      <c r="N82" s="264" t="s">
        <v>895</v>
      </c>
      <c r="O82" s="137" t="s">
        <v>895</v>
      </c>
      <c r="P82" s="167" t="s">
        <v>538</v>
      </c>
      <c r="Q82" s="154"/>
      <c r="R82" s="147" t="s">
        <v>428</v>
      </c>
    </row>
    <row r="83" spans="1:18" ht="12.75">
      <c r="A83" s="137"/>
      <c r="B83" s="273"/>
      <c r="D83" s="137" t="s">
        <v>416</v>
      </c>
      <c r="E83" s="264" t="s">
        <v>240</v>
      </c>
      <c r="F83" s="264" t="s">
        <v>241</v>
      </c>
      <c r="G83" s="264"/>
      <c r="H83" s="264" t="s">
        <v>632</v>
      </c>
      <c r="I83" s="264" t="s">
        <v>242</v>
      </c>
      <c r="J83" s="264" t="s">
        <v>248</v>
      </c>
      <c r="K83" s="264" t="s">
        <v>249</v>
      </c>
      <c r="L83" s="264" t="s">
        <v>250</v>
      </c>
      <c r="M83" s="264" t="s">
        <v>251</v>
      </c>
      <c r="N83" s="264" t="s">
        <v>263</v>
      </c>
      <c r="O83" s="264" t="s">
        <v>277</v>
      </c>
      <c r="P83" s="264" t="s">
        <v>300</v>
      </c>
      <c r="Q83" s="265"/>
      <c r="R83" s="264" t="s">
        <v>301</v>
      </c>
    </row>
    <row r="84" spans="1:20" ht="12.75">
      <c r="A84" s="137">
        <f>+A80+1</f>
        <v>27</v>
      </c>
      <c r="B84" s="274" t="s">
        <v>795</v>
      </c>
      <c r="D84" s="265">
        <f>+D46</f>
        <v>120279</v>
      </c>
      <c r="E84" s="265">
        <f>+E46</f>
        <v>976460</v>
      </c>
      <c r="F84" s="265">
        <f>+F46</f>
        <v>39077</v>
      </c>
      <c r="G84" s="265"/>
      <c r="H84" s="276">
        <f>+H46</f>
        <v>105726</v>
      </c>
      <c r="I84" s="276">
        <f aca="true" t="shared" si="10" ref="I84:N84">+I46</f>
        <v>92761</v>
      </c>
      <c r="J84" s="276">
        <f t="shared" si="10"/>
        <v>111</v>
      </c>
      <c r="K84" s="276">
        <f t="shared" si="10"/>
        <v>26780</v>
      </c>
      <c r="L84" s="276">
        <f t="shared" si="10"/>
        <v>14724</v>
      </c>
      <c r="M84" s="276">
        <f t="shared" si="10"/>
        <v>12991</v>
      </c>
      <c r="N84" s="276">
        <f t="shared" si="10"/>
        <v>0</v>
      </c>
      <c r="O84" s="276">
        <f>+O46</f>
        <v>248384</v>
      </c>
      <c r="P84" s="276">
        <f>+P46</f>
        <v>77080</v>
      </c>
      <c r="Q84" s="154"/>
      <c r="R84" s="154">
        <f>+D71+E71+F71+H71+I71+J71+K71+L71+M71+N71+O71+P71+D78+E78+F78+H78+I78+J78+K78+L78+M78+N78+O78+P78+D84+E84+F84+H84+I84+J84+K84+L84+M84+N84+O84+P84</f>
        <v>81040679</v>
      </c>
      <c r="T84" s="2"/>
    </row>
    <row r="85" spans="1:20" ht="26.25">
      <c r="A85" s="137">
        <f>+A84+1</f>
        <v>28</v>
      </c>
      <c r="B85" s="273" t="s">
        <v>217</v>
      </c>
      <c r="D85" s="275">
        <f>+$D$72</f>
        <v>0.0083</v>
      </c>
      <c r="E85" s="275">
        <f>+$D$72</f>
        <v>0.0083</v>
      </c>
      <c r="F85" s="275">
        <f>+$D$72</f>
        <v>0.0083</v>
      </c>
      <c r="G85" s="275"/>
      <c r="H85" s="275">
        <f>+$D$72</f>
        <v>0.0083</v>
      </c>
      <c r="I85" s="275">
        <f aca="true" t="shared" si="11" ref="I85:P85">+$D$72</f>
        <v>0.0083</v>
      </c>
      <c r="J85" s="275">
        <f t="shared" si="11"/>
        <v>0.0083</v>
      </c>
      <c r="K85" s="275">
        <f t="shared" si="11"/>
        <v>0.0083</v>
      </c>
      <c r="L85" s="275">
        <f t="shared" si="11"/>
        <v>0.0083</v>
      </c>
      <c r="M85" s="275">
        <f t="shared" si="11"/>
        <v>0.0083</v>
      </c>
      <c r="N85" s="275">
        <f t="shared" si="11"/>
        <v>0.0083</v>
      </c>
      <c r="O85" s="275">
        <f t="shared" si="11"/>
        <v>0.0083</v>
      </c>
      <c r="P85" s="275">
        <f t="shared" si="11"/>
        <v>0.0083</v>
      </c>
      <c r="Q85" s="154"/>
      <c r="R85" s="154"/>
      <c r="T85" s="2"/>
    </row>
    <row r="86" spans="1:20" ht="26.25">
      <c r="A86" s="137">
        <f>+A85+1</f>
        <v>29</v>
      </c>
      <c r="B86" s="273" t="s">
        <v>170</v>
      </c>
      <c r="D86" s="265">
        <f>ROUND(D84*D85,0)</f>
        <v>998</v>
      </c>
      <c r="E86" s="265">
        <f>ROUND(E84*E85,0)</f>
        <v>8105</v>
      </c>
      <c r="F86" s="265">
        <f>ROUND(F84*F85,0)</f>
        <v>324</v>
      </c>
      <c r="G86" s="265"/>
      <c r="H86" s="265">
        <f>ROUND(H84*H85,0)</f>
        <v>878</v>
      </c>
      <c r="I86" s="265">
        <f aca="true" t="shared" si="12" ref="I86:P86">ROUND(I84*I85,0)</f>
        <v>770</v>
      </c>
      <c r="J86" s="265">
        <f t="shared" si="12"/>
        <v>1</v>
      </c>
      <c r="K86" s="265">
        <f t="shared" si="12"/>
        <v>222</v>
      </c>
      <c r="L86" s="265">
        <f t="shared" si="12"/>
        <v>122</v>
      </c>
      <c r="M86" s="265">
        <f t="shared" si="12"/>
        <v>108</v>
      </c>
      <c r="N86" s="265">
        <f t="shared" si="12"/>
        <v>0</v>
      </c>
      <c r="O86" s="265">
        <f t="shared" si="12"/>
        <v>2062</v>
      </c>
      <c r="P86" s="265">
        <f t="shared" si="12"/>
        <v>640</v>
      </c>
      <c r="Q86" s="154"/>
      <c r="R86" s="154">
        <f>+D73+E73+F73+H73+I73+J73+K73+L73+M73+N73+O73+P73+D80+E80+F80+H80+I80+J80+K80+L80+M80+N80+O80+P80+D86+E86+F86+H86+I86+J86+K86+L86+M86+N86+O86+P86</f>
        <v>672639</v>
      </c>
      <c r="T86" s="2"/>
    </row>
    <row r="87" spans="1:20" ht="12.75">
      <c r="A87" s="137"/>
      <c r="B87" s="273"/>
      <c r="D87" s="265"/>
      <c r="E87" s="265"/>
      <c r="F87" s="265"/>
      <c r="G87" s="265"/>
      <c r="H87" s="265"/>
      <c r="I87" s="265"/>
      <c r="J87" s="265"/>
      <c r="K87" s="265"/>
      <c r="L87" s="265"/>
      <c r="M87" s="265"/>
      <c r="N87" s="265"/>
      <c r="O87" s="265"/>
      <c r="P87" s="265"/>
      <c r="Q87" s="154"/>
      <c r="R87" s="154"/>
      <c r="T87" s="2"/>
    </row>
    <row r="88" spans="1:20" ht="52.5">
      <c r="A88" s="137"/>
      <c r="B88" s="273"/>
      <c r="D88" s="298" t="s">
        <v>895</v>
      </c>
      <c r="E88" s="298" t="s">
        <v>667</v>
      </c>
      <c r="F88" s="298" t="s">
        <v>829</v>
      </c>
      <c r="G88" s="265"/>
      <c r="H88" s="298" t="s">
        <v>488</v>
      </c>
      <c r="I88" s="298" t="s">
        <v>829</v>
      </c>
      <c r="J88" s="298" t="s">
        <v>653</v>
      </c>
      <c r="K88" s="420" t="s">
        <v>895</v>
      </c>
      <c r="L88" s="298" t="s">
        <v>370</v>
      </c>
      <c r="M88" s="298" t="s">
        <v>40</v>
      </c>
      <c r="N88" s="167" t="s">
        <v>157</v>
      </c>
      <c r="O88" s="167" t="s">
        <v>168</v>
      </c>
      <c r="P88" s="167" t="s">
        <v>169</v>
      </c>
      <c r="Q88" s="154"/>
      <c r="R88" s="147" t="s">
        <v>848</v>
      </c>
      <c r="T88" s="2"/>
    </row>
    <row r="89" spans="1:20" ht="12.75">
      <c r="A89" s="137"/>
      <c r="B89" s="273"/>
      <c r="D89" s="256" t="s">
        <v>302</v>
      </c>
      <c r="E89" s="256" t="s">
        <v>303</v>
      </c>
      <c r="F89" s="256" t="s">
        <v>417</v>
      </c>
      <c r="G89" s="265"/>
      <c r="H89" s="256" t="s">
        <v>418</v>
      </c>
      <c r="I89" s="256" t="s">
        <v>419</v>
      </c>
      <c r="J89" s="256" t="s">
        <v>420</v>
      </c>
      <c r="K89" s="256" t="s">
        <v>421</v>
      </c>
      <c r="L89" s="256" t="s">
        <v>422</v>
      </c>
      <c r="M89" s="256" t="s">
        <v>423</v>
      </c>
      <c r="N89" s="256" t="s">
        <v>424</v>
      </c>
      <c r="O89" s="256" t="s">
        <v>425</v>
      </c>
      <c r="P89" s="256" t="s">
        <v>426</v>
      </c>
      <c r="Q89" s="154"/>
      <c r="R89" s="256" t="s">
        <v>427</v>
      </c>
      <c r="T89" s="2"/>
    </row>
    <row r="90" spans="1:20" ht="12.75">
      <c r="A90" s="137">
        <f>+A86+1</f>
        <v>30</v>
      </c>
      <c r="B90" s="274" t="s">
        <v>795</v>
      </c>
      <c r="D90" s="265">
        <f>+D64</f>
        <v>5934</v>
      </c>
      <c r="E90" s="265">
        <f>+E64</f>
        <v>83778</v>
      </c>
      <c r="F90" s="265">
        <f>+F64</f>
        <v>66298</v>
      </c>
      <c r="G90" s="265"/>
      <c r="H90" s="265">
        <f aca="true" t="shared" si="13" ref="H90:M90">+H64</f>
        <v>32626</v>
      </c>
      <c r="I90" s="265">
        <f t="shared" si="13"/>
        <v>19619</v>
      </c>
      <c r="J90" s="265">
        <f t="shared" si="13"/>
        <v>-23502</v>
      </c>
      <c r="K90" s="265">
        <f t="shared" si="13"/>
        <v>128773</v>
      </c>
      <c r="L90" s="265">
        <f t="shared" si="13"/>
        <v>13811</v>
      </c>
      <c r="M90" s="265">
        <f t="shared" si="13"/>
        <v>78162</v>
      </c>
      <c r="N90" s="265">
        <f>+'ES 3.11'!L33</f>
        <v>9456529</v>
      </c>
      <c r="O90" s="265">
        <f>+'ES 3.12 A'!J27+'ES 3.12 B'!J28</f>
        <v>8853</v>
      </c>
      <c r="P90" s="265">
        <f>+'ES 3.13'!G33</f>
        <v>43202</v>
      </c>
      <c r="Q90" s="154"/>
      <c r="R90" s="154">
        <f>+R84+D90+E90+F90+H90+I90+J90+K90+L90+M90+N90+O90+P90</f>
        <v>90954762</v>
      </c>
      <c r="T90" s="2"/>
    </row>
    <row r="91" spans="1:20" ht="26.25">
      <c r="A91" s="137">
        <f>+A90+1</f>
        <v>31</v>
      </c>
      <c r="B91" s="273" t="s">
        <v>217</v>
      </c>
      <c r="D91" s="275">
        <f>+$D$72</f>
        <v>0.0083</v>
      </c>
      <c r="E91" s="275">
        <f>+$D$72</f>
        <v>0.0083</v>
      </c>
      <c r="F91" s="275">
        <f>+$D$72</f>
        <v>0.0083</v>
      </c>
      <c r="G91" s="265"/>
      <c r="H91" s="275">
        <f aca="true" t="shared" si="14" ref="H91:P91">+$D$72</f>
        <v>0.0083</v>
      </c>
      <c r="I91" s="275">
        <f t="shared" si="14"/>
        <v>0.0083</v>
      </c>
      <c r="J91" s="275">
        <f t="shared" si="14"/>
        <v>0.0083</v>
      </c>
      <c r="K91" s="275">
        <f t="shared" si="14"/>
        <v>0.0083</v>
      </c>
      <c r="L91" s="275">
        <f t="shared" si="14"/>
        <v>0.0083</v>
      </c>
      <c r="M91" s="275">
        <f t="shared" si="14"/>
        <v>0.0083</v>
      </c>
      <c r="N91" s="275">
        <f t="shared" si="14"/>
        <v>0.0083</v>
      </c>
      <c r="O91" s="275">
        <f t="shared" si="14"/>
        <v>0.0083</v>
      </c>
      <c r="P91" s="275">
        <f t="shared" si="14"/>
        <v>0.0083</v>
      </c>
      <c r="Q91" s="154"/>
      <c r="R91" s="154"/>
      <c r="T91" s="2"/>
    </row>
    <row r="92" spans="1:20" ht="26.25">
      <c r="A92" s="137">
        <f>+A91+1</f>
        <v>32</v>
      </c>
      <c r="B92" s="273" t="s">
        <v>170</v>
      </c>
      <c r="D92" s="265">
        <f>ROUND(D90*D91,0)</f>
        <v>49</v>
      </c>
      <c r="E92" s="265">
        <f>ROUND(E90*E91,0)</f>
        <v>695</v>
      </c>
      <c r="F92" s="265">
        <f>ROUND(F90*F91,0)</f>
        <v>550</v>
      </c>
      <c r="G92" s="265"/>
      <c r="H92" s="265">
        <f aca="true" t="shared" si="15" ref="H92:P92">ROUND(H90*H91,0)</f>
        <v>271</v>
      </c>
      <c r="I92" s="265">
        <f t="shared" si="15"/>
        <v>163</v>
      </c>
      <c r="J92" s="265">
        <f t="shared" si="15"/>
        <v>-195</v>
      </c>
      <c r="K92" s="265">
        <f t="shared" si="15"/>
        <v>1069</v>
      </c>
      <c r="L92" s="265">
        <f t="shared" si="15"/>
        <v>115</v>
      </c>
      <c r="M92" s="265">
        <f t="shared" si="15"/>
        <v>649</v>
      </c>
      <c r="N92" s="265">
        <f t="shared" si="15"/>
        <v>78489</v>
      </c>
      <c r="O92" s="265">
        <f t="shared" si="15"/>
        <v>73</v>
      </c>
      <c r="P92" s="265">
        <f t="shared" si="15"/>
        <v>359</v>
      </c>
      <c r="Q92" s="154"/>
      <c r="R92" s="154">
        <f>+R86+D92+E92+F92+H92+I92+J92+K92+L92+M92+N92+O92+P92</f>
        <v>754926</v>
      </c>
      <c r="T92" s="2"/>
    </row>
    <row r="93" spans="1:20" ht="12.75">
      <c r="A93" s="137"/>
      <c r="B93" s="273"/>
      <c r="D93" s="265"/>
      <c r="E93" s="265"/>
      <c r="F93" s="265"/>
      <c r="G93" s="265"/>
      <c r="H93" s="265"/>
      <c r="I93" s="265"/>
      <c r="J93" s="265"/>
      <c r="K93" s="265"/>
      <c r="L93" s="265"/>
      <c r="M93" s="265"/>
      <c r="N93" s="265"/>
      <c r="O93" s="265"/>
      <c r="P93" s="265"/>
      <c r="Q93" s="154"/>
      <c r="R93" s="154"/>
      <c r="T93" s="2"/>
    </row>
    <row r="94" spans="1:20" ht="12.75">
      <c r="A94" s="137"/>
      <c r="B94" s="273"/>
      <c r="D94" s="265"/>
      <c r="E94" s="265"/>
      <c r="F94" s="265"/>
      <c r="G94" s="265"/>
      <c r="H94" s="265"/>
      <c r="I94" s="265"/>
      <c r="J94" s="265"/>
      <c r="K94" s="265"/>
      <c r="L94" s="265"/>
      <c r="M94" s="265"/>
      <c r="N94" s="265"/>
      <c r="O94" s="265"/>
      <c r="P94" s="265"/>
      <c r="Q94" s="154"/>
      <c r="R94" s="154"/>
      <c r="T94" s="2"/>
    </row>
    <row r="95" spans="2:18" ht="12.75">
      <c r="B95" s="277"/>
      <c r="D95" s="265"/>
      <c r="E95" s="265"/>
      <c r="F95" s="265"/>
      <c r="G95" s="265"/>
      <c r="H95" s="276"/>
      <c r="I95" s="276"/>
      <c r="J95" s="276"/>
      <c r="K95" s="276"/>
      <c r="L95" s="276"/>
      <c r="M95" s="276"/>
      <c r="N95" s="278"/>
      <c r="O95" s="278"/>
      <c r="P95" s="154"/>
      <c r="Q95" s="154"/>
      <c r="R95" s="248"/>
    </row>
    <row r="96" spans="1:18" ht="54.75" customHeight="1">
      <c r="A96" s="279"/>
      <c r="B96" s="263" t="s">
        <v>226</v>
      </c>
      <c r="C96" s="279"/>
      <c r="D96" s="265"/>
      <c r="E96" s="265"/>
      <c r="F96" s="265"/>
      <c r="G96" s="265"/>
      <c r="H96" s="276"/>
      <c r="I96" s="276"/>
      <c r="J96" s="276"/>
      <c r="K96" s="276"/>
      <c r="L96" s="276"/>
      <c r="M96" s="276"/>
      <c r="N96" s="278"/>
      <c r="O96" s="278"/>
      <c r="P96" s="154"/>
      <c r="Q96" s="154"/>
      <c r="R96" s="248"/>
    </row>
    <row r="97" spans="2:18" ht="12.75">
      <c r="B97" s="265"/>
      <c r="D97" s="265"/>
      <c r="E97" s="265"/>
      <c r="F97" s="265"/>
      <c r="G97" s="265"/>
      <c r="H97" s="276"/>
      <c r="I97" s="276"/>
      <c r="J97" s="276"/>
      <c r="K97" s="276"/>
      <c r="L97" s="276"/>
      <c r="M97" s="276"/>
      <c r="N97" s="278"/>
      <c r="O97" s="278"/>
      <c r="P97" s="154"/>
      <c r="Q97" s="154"/>
      <c r="R97" s="248"/>
    </row>
    <row r="98" spans="2:18" ht="12.75">
      <c r="B98" s="265"/>
      <c r="D98" s="247" t="s">
        <v>173</v>
      </c>
      <c r="E98" s="247" t="s">
        <v>174</v>
      </c>
      <c r="F98" s="247" t="s">
        <v>175</v>
      </c>
      <c r="G98" s="247"/>
      <c r="H98" s="247" t="s">
        <v>848</v>
      </c>
      <c r="I98" s="276"/>
      <c r="J98" s="276"/>
      <c r="K98" s="276"/>
      <c r="L98" s="276"/>
      <c r="M98" s="276"/>
      <c r="N98" s="278"/>
      <c r="O98" s="278"/>
      <c r="P98" s="154"/>
      <c r="Q98" s="154"/>
      <c r="R98" s="248"/>
    </row>
    <row r="99" spans="2:18" ht="12.75">
      <c r="B99" s="265"/>
      <c r="D99" s="137" t="s">
        <v>830</v>
      </c>
      <c r="E99" s="167" t="s">
        <v>822</v>
      </c>
      <c r="F99" s="137" t="s">
        <v>821</v>
      </c>
      <c r="G99" s="137"/>
      <c r="H99" s="137" t="s">
        <v>831</v>
      </c>
      <c r="I99" s="276"/>
      <c r="J99" s="276"/>
      <c r="K99" s="276"/>
      <c r="L99" s="276"/>
      <c r="M99" s="276"/>
      <c r="N99" s="278"/>
      <c r="O99" s="278"/>
      <c r="P99" s="154"/>
      <c r="Q99" s="154"/>
      <c r="R99" s="248"/>
    </row>
    <row r="100" spans="1:18" ht="12.75">
      <c r="A100" s="137">
        <f>+A86+1</f>
        <v>30</v>
      </c>
      <c r="B100" s="83" t="s">
        <v>828</v>
      </c>
      <c r="D100" s="265">
        <v>3259049</v>
      </c>
      <c r="E100" s="265">
        <v>3259049</v>
      </c>
      <c r="F100" s="265">
        <f>1629524+1002939</f>
        <v>2632463</v>
      </c>
      <c r="G100" s="265"/>
      <c r="H100" s="276">
        <f>+D100+E100+F100</f>
        <v>9150561</v>
      </c>
      <c r="I100" s="276"/>
      <c r="J100" s="276"/>
      <c r="K100" s="276"/>
      <c r="L100" s="276"/>
      <c r="M100" s="276"/>
      <c r="N100" s="278"/>
      <c r="O100" s="278"/>
      <c r="P100" s="154"/>
      <c r="Q100" s="154"/>
      <c r="R100" s="248"/>
    </row>
    <row r="101" spans="1:17" ht="39">
      <c r="A101" s="137">
        <f>+A100+1</f>
        <v>31</v>
      </c>
      <c r="B101" s="167" t="s">
        <v>272</v>
      </c>
      <c r="D101" s="265">
        <v>18117</v>
      </c>
      <c r="E101" s="265">
        <v>14308</v>
      </c>
      <c r="F101" s="276">
        <v>13605</v>
      </c>
      <c r="G101" s="276"/>
      <c r="H101" s="250">
        <f>+D101+E101+F101</f>
        <v>46030</v>
      </c>
      <c r="I101" s="278"/>
      <c r="J101" s="278"/>
      <c r="K101" s="278"/>
      <c r="L101" s="278"/>
      <c r="M101" s="278"/>
      <c r="N101" s="278"/>
      <c r="O101" s="278"/>
      <c r="P101" s="267"/>
      <c r="Q101" s="267"/>
    </row>
    <row r="102" spans="1:17" ht="12.75">
      <c r="A102" s="137"/>
      <c r="B102" s="167"/>
      <c r="D102" s="265"/>
      <c r="E102" s="265"/>
      <c r="F102" s="276"/>
      <c r="G102" s="276"/>
      <c r="H102" s="276"/>
      <c r="I102" s="278"/>
      <c r="J102" s="278"/>
      <c r="K102" s="278"/>
      <c r="L102" s="278"/>
      <c r="M102" s="278"/>
      <c r="N102" s="278"/>
      <c r="O102" s="278"/>
      <c r="P102" s="267"/>
      <c r="Q102" s="267"/>
    </row>
    <row r="103" spans="1:17" ht="12.75">
      <c r="A103" s="137"/>
      <c r="B103" s="280"/>
      <c r="D103" s="265"/>
      <c r="E103" s="265"/>
      <c r="F103" s="276"/>
      <c r="G103" s="276"/>
      <c r="H103" s="276"/>
      <c r="I103" s="278"/>
      <c r="J103" s="278"/>
      <c r="K103" s="278"/>
      <c r="L103" s="278"/>
      <c r="M103" s="278"/>
      <c r="N103" s="278"/>
      <c r="O103" s="278"/>
      <c r="P103" s="267"/>
      <c r="Q103" s="267"/>
    </row>
    <row r="104" spans="2:17" ht="26.25">
      <c r="B104" s="261" t="s">
        <v>223</v>
      </c>
      <c r="I104" s="278"/>
      <c r="J104" s="278"/>
      <c r="K104" s="278"/>
      <c r="L104" s="278"/>
      <c r="M104" s="278"/>
      <c r="N104" s="278"/>
      <c r="O104" s="278"/>
      <c r="P104" s="267"/>
      <c r="Q104" s="267"/>
    </row>
    <row r="105" ht="12.75">
      <c r="A105" s="137"/>
    </row>
    <row r="106" spans="1:5" ht="12.75">
      <c r="A106" s="137">
        <f>1</f>
        <v>1</v>
      </c>
      <c r="B106" s="83" t="s">
        <v>818</v>
      </c>
      <c r="D106" s="139"/>
      <c r="E106" s="139"/>
    </row>
    <row r="107" spans="1:12" ht="26.25">
      <c r="A107" s="137">
        <f>+A106+1</f>
        <v>2</v>
      </c>
      <c r="B107" s="83" t="s">
        <v>814</v>
      </c>
      <c r="D107" s="265"/>
      <c r="E107" s="265"/>
      <c r="F107" s="361" t="s">
        <v>536</v>
      </c>
      <c r="G107" s="361"/>
      <c r="H107" s="360">
        <f>R61</f>
        <v>193120620</v>
      </c>
      <c r="J107" s="278" t="s">
        <v>836</v>
      </c>
      <c r="K107" s="256" t="s">
        <v>817</v>
      </c>
      <c r="L107" s="253">
        <v>12770.5</v>
      </c>
    </row>
    <row r="108" spans="1:12" ht="12.75">
      <c r="A108" s="137">
        <f>+A107+1</f>
        <v>3</v>
      </c>
      <c r="B108" s="83" t="s">
        <v>815</v>
      </c>
      <c r="D108" s="82"/>
      <c r="E108" s="82"/>
      <c r="H108" s="283">
        <v>0.529018</v>
      </c>
      <c r="J108" s="278" t="s">
        <v>837</v>
      </c>
      <c r="K108" s="256" t="s">
        <v>817</v>
      </c>
      <c r="L108" s="253">
        <v>12770.5</v>
      </c>
    </row>
    <row r="109" spans="1:12" ht="12.75">
      <c r="A109" s="137">
        <f aca="true" t="shared" si="16" ref="A109:A114">+A108+1</f>
        <v>4</v>
      </c>
      <c r="B109" s="83" t="s">
        <v>832</v>
      </c>
      <c r="D109" s="265"/>
      <c r="E109" s="265"/>
      <c r="H109" s="281">
        <f>+ROUND(H107*H108,0)</f>
        <v>102164284</v>
      </c>
      <c r="J109" s="278" t="s">
        <v>838</v>
      </c>
      <c r="K109" s="256" t="s">
        <v>817</v>
      </c>
      <c r="L109" s="253">
        <v>12770.5</v>
      </c>
    </row>
    <row r="110" spans="1:12" ht="12.75">
      <c r="A110" s="137">
        <f t="shared" si="16"/>
        <v>5</v>
      </c>
      <c r="B110" s="83" t="s">
        <v>833</v>
      </c>
      <c r="H110" s="283">
        <v>1</v>
      </c>
      <c r="J110" s="290" t="s">
        <v>839</v>
      </c>
      <c r="K110" s="256" t="s">
        <v>817</v>
      </c>
      <c r="L110" s="253">
        <v>12770.5</v>
      </c>
    </row>
    <row r="111" spans="1:12" ht="12.75">
      <c r="A111" s="137">
        <f t="shared" si="16"/>
        <v>6</v>
      </c>
      <c r="B111" s="83" t="s">
        <v>834</v>
      </c>
      <c r="D111" s="140"/>
      <c r="E111" s="140"/>
      <c r="H111" s="265">
        <f>ROUND(H109*H110,0)</f>
        <v>102164284</v>
      </c>
      <c r="J111" s="290" t="s">
        <v>840</v>
      </c>
      <c r="K111" s="256" t="s">
        <v>817</v>
      </c>
      <c r="L111" s="253">
        <v>12770.5</v>
      </c>
    </row>
    <row r="112" spans="1:20" ht="12.75">
      <c r="A112" s="137">
        <f t="shared" si="16"/>
        <v>7</v>
      </c>
      <c r="B112" s="83" t="s">
        <v>835</v>
      </c>
      <c r="D112" s="92"/>
      <c r="E112" s="92"/>
      <c r="H112" s="166">
        <v>0.0015</v>
      </c>
      <c r="J112" s="278" t="s">
        <v>841</v>
      </c>
      <c r="K112" s="256" t="s">
        <v>817</v>
      </c>
      <c r="L112" s="253">
        <v>12770.5</v>
      </c>
      <c r="T112" s="2"/>
    </row>
    <row r="113" spans="1:12" ht="12.75">
      <c r="A113" s="137">
        <f t="shared" si="16"/>
        <v>8</v>
      </c>
      <c r="B113" s="146" t="s">
        <v>816</v>
      </c>
      <c r="H113" s="154">
        <f>ROUND(H111*H112,0)</f>
        <v>153246</v>
      </c>
      <c r="J113" s="278" t="s">
        <v>842</v>
      </c>
      <c r="K113" s="256" t="s">
        <v>817</v>
      </c>
      <c r="L113" s="253">
        <v>12770.5</v>
      </c>
    </row>
    <row r="114" spans="1:12" ht="12.75">
      <c r="A114" s="137">
        <f t="shared" si="16"/>
        <v>9</v>
      </c>
      <c r="B114" s="83" t="s">
        <v>827</v>
      </c>
      <c r="D114" s="265"/>
      <c r="E114" s="281"/>
      <c r="H114" s="265">
        <f>ROUND(H113/12,0)</f>
        <v>12771</v>
      </c>
      <c r="J114" s="278" t="s">
        <v>843</v>
      </c>
      <c r="K114" s="256" t="s">
        <v>817</v>
      </c>
      <c r="L114" s="253">
        <v>12770.5</v>
      </c>
    </row>
    <row r="115" spans="2:18" ht="26.25">
      <c r="B115" s="278"/>
      <c r="C115" s="267"/>
      <c r="E115" s="278"/>
      <c r="F115" s="267"/>
      <c r="G115" s="267"/>
      <c r="I115" s="361" t="s">
        <v>535</v>
      </c>
      <c r="J115" s="290" t="s">
        <v>844</v>
      </c>
      <c r="K115" s="256" t="s">
        <v>817</v>
      </c>
      <c r="L115" s="253">
        <v>12770.5</v>
      </c>
      <c r="R115" s="273"/>
    </row>
    <row r="116" spans="2:12" ht="12.75">
      <c r="B116" s="278"/>
      <c r="C116" s="267"/>
      <c r="E116" s="278"/>
      <c r="F116" s="267"/>
      <c r="G116" s="267"/>
      <c r="J116" s="278" t="s">
        <v>845</v>
      </c>
      <c r="K116" s="256" t="s">
        <v>817</v>
      </c>
      <c r="L116" s="253">
        <v>12770.5</v>
      </c>
    </row>
    <row r="117" spans="2:12" ht="12.75">
      <c r="B117" s="278"/>
      <c r="C117" s="267"/>
      <c r="E117" s="278"/>
      <c r="F117" s="267"/>
      <c r="G117" s="267"/>
      <c r="J117" s="278" t="s">
        <v>846</v>
      </c>
      <c r="K117" s="256" t="s">
        <v>817</v>
      </c>
      <c r="L117" s="253">
        <v>12770.5</v>
      </c>
    </row>
    <row r="118" spans="2:12" ht="12.75">
      <c r="B118" s="278"/>
      <c r="C118" s="267"/>
      <c r="E118" s="278"/>
      <c r="F118" s="267"/>
      <c r="G118" s="267"/>
      <c r="J118" s="278" t="s">
        <v>847</v>
      </c>
      <c r="K118" s="256" t="s">
        <v>817</v>
      </c>
      <c r="L118" s="253">
        <v>12770.5</v>
      </c>
    </row>
    <row r="119" spans="2:12" ht="12.75">
      <c r="B119" s="278"/>
      <c r="C119" s="267"/>
      <c r="E119" s="278"/>
      <c r="F119" s="267"/>
      <c r="G119" s="267"/>
      <c r="L119" s="265"/>
    </row>
    <row r="120" spans="2:12" ht="13.5" customHeight="1">
      <c r="B120" s="278"/>
      <c r="C120" s="267"/>
      <c r="E120" s="278"/>
      <c r="F120" s="267"/>
      <c r="G120" s="267"/>
      <c r="J120" s="147" t="s">
        <v>848</v>
      </c>
      <c r="L120" s="154">
        <f>SUM(L107:L118)</f>
        <v>153246</v>
      </c>
    </row>
    <row r="121" spans="2:12" ht="12.75">
      <c r="B121" s="278"/>
      <c r="C121" s="267"/>
      <c r="E121" s="278"/>
      <c r="F121" s="267"/>
      <c r="G121" s="267"/>
      <c r="L121" s="265"/>
    </row>
  </sheetData>
  <sheetProtection/>
  <printOptions horizontalCentered="1" verticalCentered="1"/>
  <pageMargins left="0" right="0" top="0" bottom="0"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B2:T55"/>
  <sheetViews>
    <sheetView zoomScalePageLayoutView="0" workbookViewId="0" topLeftCell="D1">
      <pane ySplit="12" topLeftCell="A13" activePane="bottomLeft" state="frozen"/>
      <selection pane="topLeft" activeCell="E40" sqref="E40"/>
      <selection pane="bottomLeft" activeCell="U64" sqref="U64"/>
    </sheetView>
  </sheetViews>
  <sheetFormatPr defaultColWidth="9.140625" defaultRowHeight="12.75"/>
  <cols>
    <col min="1" max="1" width="3.7109375" style="0" customWidth="1"/>
    <col min="2" max="2" width="30.7109375" style="0" customWidth="1"/>
    <col min="3" max="3" width="0.5625" style="0" customWidth="1"/>
    <col min="4" max="4" width="7.7109375" style="172" bestFit="1" customWidth="1"/>
    <col min="5" max="5" width="0.13671875" style="172" customWidth="1"/>
    <col min="6" max="6" width="12.7109375" style="0" customWidth="1"/>
    <col min="7" max="7" width="0.5625" style="0" customWidth="1"/>
    <col min="8" max="8" width="12.7109375" style="0" customWidth="1"/>
    <col min="9" max="9" width="0.5625" style="0" customWidth="1"/>
    <col min="10" max="10" width="12.7109375" style="0" customWidth="1"/>
    <col min="11" max="11" width="0.5625" style="0" customWidth="1"/>
    <col min="12" max="12" width="12.7109375" style="0" customWidth="1"/>
    <col min="13" max="13" width="0.5625" style="0" customWidth="1"/>
    <col min="14" max="14" width="15.00390625" style="0" bestFit="1" customWidth="1"/>
    <col min="15" max="15" width="3.7109375" style="0" customWidth="1"/>
    <col min="16" max="16" width="10.00390625" style="0" bestFit="1" customWidth="1"/>
    <col min="17" max="17" width="12.7109375" style="0" customWidth="1"/>
    <col min="18" max="18" width="11.7109375" style="0" bestFit="1" customWidth="1"/>
    <col min="19" max="19" width="14.421875" style="0" bestFit="1" customWidth="1"/>
    <col min="20" max="20" width="10.7109375" style="0" bestFit="1" customWidth="1"/>
    <col min="21" max="21" width="2.28125" style="0" customWidth="1"/>
  </cols>
  <sheetData>
    <row r="2" spans="14:20" ht="12.75">
      <c r="N2" t="s">
        <v>787</v>
      </c>
      <c r="P2" s="546" t="s">
        <v>787</v>
      </c>
      <c r="Q2" s="547"/>
      <c r="R2" s="547"/>
      <c r="S2" s="547"/>
      <c r="T2" s="547"/>
    </row>
    <row r="4" spans="2:9" ht="12.75">
      <c r="B4" s="1"/>
      <c r="C4" s="1"/>
      <c r="D4" s="444"/>
      <c r="E4" s="444"/>
      <c r="G4" s="1"/>
      <c r="H4" s="125" t="s">
        <v>381</v>
      </c>
      <c r="I4" s="1"/>
    </row>
    <row r="5" spans="2:9" ht="12.75">
      <c r="B5" s="1"/>
      <c r="C5" s="1"/>
      <c r="D5" s="444"/>
      <c r="E5" s="444"/>
      <c r="G5" s="1"/>
      <c r="H5" s="125" t="s">
        <v>710</v>
      </c>
      <c r="I5" s="1"/>
    </row>
    <row r="6" ht="12.75">
      <c r="H6" s="3" t="s">
        <v>920</v>
      </c>
    </row>
    <row r="8" spans="2:16" ht="12.75">
      <c r="B8" s="60"/>
      <c r="C8" s="60"/>
      <c r="D8" s="445"/>
      <c r="E8" s="445"/>
      <c r="H8" s="3" t="str">
        <f>+'ES 1.0'!E7</f>
        <v>For the Expense Month of October 2013</v>
      </c>
      <c r="P8" t="s">
        <v>136</v>
      </c>
    </row>
    <row r="9" spans="16:20" ht="12.75">
      <c r="P9" s="548"/>
      <c r="Q9" s="549"/>
      <c r="R9" s="549"/>
      <c r="S9" s="549"/>
      <c r="T9" s="549"/>
    </row>
    <row r="10" ht="13.5" thickBot="1"/>
    <row r="11" spans="2:20" ht="12.75">
      <c r="B11" s="99"/>
      <c r="C11" s="18"/>
      <c r="D11" s="384"/>
      <c r="E11" s="18"/>
      <c r="F11" s="100" t="s">
        <v>758</v>
      </c>
      <c r="G11" s="18"/>
      <c r="H11" s="100">
        <v>-2</v>
      </c>
      <c r="I11" s="18"/>
      <c r="J11" s="100">
        <v>-3</v>
      </c>
      <c r="K11" s="18"/>
      <c r="L11" s="100">
        <v>-4</v>
      </c>
      <c r="M11" s="18"/>
      <c r="N11" s="101">
        <v>-5</v>
      </c>
      <c r="P11" s="548"/>
      <c r="Q11" s="549"/>
      <c r="R11" s="549"/>
      <c r="S11" s="549"/>
      <c r="T11" s="549"/>
    </row>
    <row r="12" spans="2:20" s="61" customFormat="1" ht="39.75" thickBot="1">
      <c r="B12" s="104"/>
      <c r="C12" s="64"/>
      <c r="D12" s="190"/>
      <c r="E12" s="64"/>
      <c r="F12" s="65" t="s">
        <v>757</v>
      </c>
      <c r="G12" s="64"/>
      <c r="H12" s="65" t="s">
        <v>759</v>
      </c>
      <c r="I12" s="64"/>
      <c r="J12" s="65" t="s">
        <v>731</v>
      </c>
      <c r="K12" s="64"/>
      <c r="L12" s="65" t="s">
        <v>732</v>
      </c>
      <c r="M12" s="64"/>
      <c r="N12" s="66" t="s">
        <v>768</v>
      </c>
      <c r="P12" s="157"/>
      <c r="Q12" s="157"/>
      <c r="R12" s="157"/>
      <c r="S12" s="157"/>
      <c r="T12" s="157"/>
    </row>
    <row r="13" spans="2:14" ht="12.75">
      <c r="B13" s="99"/>
      <c r="C13" s="18"/>
      <c r="D13" s="384"/>
      <c r="E13" s="18"/>
      <c r="F13" s="6"/>
      <c r="G13" s="18"/>
      <c r="H13" s="6"/>
      <c r="I13" s="18"/>
      <c r="J13" s="6"/>
      <c r="K13" s="18"/>
      <c r="L13" s="6"/>
      <c r="M13" s="18"/>
      <c r="N13" s="7"/>
    </row>
    <row r="14" spans="2:20" ht="12.75">
      <c r="B14" s="102" t="s">
        <v>769</v>
      </c>
      <c r="C14" s="20"/>
      <c r="D14" s="63"/>
      <c r="E14" s="20"/>
      <c r="F14" s="40"/>
      <c r="G14" s="20"/>
      <c r="H14" s="40">
        <v>754608</v>
      </c>
      <c r="I14" s="20"/>
      <c r="J14" s="12"/>
      <c r="K14" s="20"/>
      <c r="L14" s="12">
        <v>4685726</v>
      </c>
      <c r="M14" s="20"/>
      <c r="N14" s="271">
        <f>L14/H14</f>
        <v>6.209483599431758</v>
      </c>
      <c r="P14" s="33"/>
      <c r="Q14" s="62"/>
      <c r="R14" s="84"/>
      <c r="S14" s="62"/>
      <c r="T14" s="159"/>
    </row>
    <row r="15" spans="2:20" ht="12.75">
      <c r="B15" s="102" t="s">
        <v>770</v>
      </c>
      <c r="C15" s="20"/>
      <c r="D15" s="63"/>
      <c r="E15" s="20"/>
      <c r="F15" s="40"/>
      <c r="G15" s="20"/>
      <c r="H15" s="40"/>
      <c r="I15" s="20"/>
      <c r="J15" s="12"/>
      <c r="K15" s="20"/>
      <c r="L15" s="12"/>
      <c r="M15" s="20"/>
      <c r="N15" s="103"/>
      <c r="P15" s="33"/>
      <c r="Q15" s="62"/>
      <c r="R15" s="84"/>
      <c r="S15" s="62"/>
      <c r="T15" s="159"/>
    </row>
    <row r="16" spans="2:20" ht="12.75">
      <c r="B16" s="102" t="s">
        <v>771</v>
      </c>
      <c r="C16" s="20"/>
      <c r="D16" s="63"/>
      <c r="E16" s="20"/>
      <c r="F16" s="169">
        <v>0</v>
      </c>
      <c r="G16" s="20"/>
      <c r="H16" s="40">
        <f>88625+139780+130+34945+34945+34945+34945+34945+34945+1019+34945+34945+34945</f>
        <v>544059</v>
      </c>
      <c r="I16" s="20"/>
      <c r="J16" s="12">
        <v>0</v>
      </c>
      <c r="K16" s="20"/>
      <c r="L16" s="12">
        <v>0</v>
      </c>
      <c r="M16" s="20"/>
      <c r="N16" s="271">
        <v>0</v>
      </c>
      <c r="P16" s="33"/>
      <c r="Q16" s="62"/>
      <c r="R16" s="84"/>
      <c r="S16" s="62"/>
      <c r="T16" s="159"/>
    </row>
    <row r="17" spans="2:20" ht="12.75">
      <c r="B17" s="102" t="s">
        <v>772</v>
      </c>
      <c r="C17" s="20"/>
      <c r="D17" s="63"/>
      <c r="E17" s="20"/>
      <c r="F17" s="169">
        <v>0</v>
      </c>
      <c r="G17" s="20"/>
      <c r="H17" s="40">
        <f>3853+5932+31691+10239+10399+10825+11223+10582</f>
        <v>94744</v>
      </c>
      <c r="I17" s="20"/>
      <c r="J17" s="12">
        <v>0</v>
      </c>
      <c r="K17" s="20"/>
      <c r="L17" s="12">
        <v>0</v>
      </c>
      <c r="M17" s="20"/>
      <c r="N17" s="271">
        <v>0</v>
      </c>
      <c r="P17" s="33"/>
      <c r="Q17" s="62"/>
      <c r="R17" s="84"/>
      <c r="S17" s="62"/>
      <c r="T17" s="159"/>
    </row>
    <row r="18" spans="2:20" ht="12.75">
      <c r="B18" s="102" t="s">
        <v>773</v>
      </c>
      <c r="C18" s="20"/>
      <c r="D18" s="63"/>
      <c r="E18" s="20"/>
      <c r="F18" s="169">
        <v>0</v>
      </c>
      <c r="G18" s="20"/>
      <c r="H18" s="40">
        <f>312630+10516+2391+332+1332</f>
        <v>327201</v>
      </c>
      <c r="I18" s="20"/>
      <c r="J18" s="12">
        <v>0</v>
      </c>
      <c r="K18" s="20"/>
      <c r="L18" s="12">
        <f>3639150+596899+473418+15558+198+130472</f>
        <v>4855695</v>
      </c>
      <c r="M18" s="20"/>
      <c r="N18" s="271">
        <f aca="true" t="shared" si="0" ref="N18:N33">L18/H18</f>
        <v>14.840098288208166</v>
      </c>
      <c r="P18" s="33"/>
      <c r="Q18" s="62"/>
      <c r="R18" s="84"/>
      <c r="S18" s="62"/>
      <c r="T18" s="296"/>
    </row>
    <row r="19" spans="2:20" ht="12.75">
      <c r="B19" s="102" t="s">
        <v>774</v>
      </c>
      <c r="C19" s="20"/>
      <c r="D19" s="63"/>
      <c r="E19" s="20"/>
      <c r="F19" s="169">
        <v>0</v>
      </c>
      <c r="G19" s="20"/>
      <c r="H19" s="40">
        <f>12132+7638+887+82+13191+33701+41774+20689</f>
        <v>130094</v>
      </c>
      <c r="I19" s="20"/>
      <c r="J19" s="12">
        <v>0</v>
      </c>
      <c r="K19" s="20"/>
      <c r="L19" s="12">
        <f>1615719+1317326+279396+34907+6208212+11503061+156184+12341570+6096125</f>
        <v>39552500</v>
      </c>
      <c r="M19" s="20"/>
      <c r="N19" s="271">
        <f t="shared" si="0"/>
        <v>304.0301628053561</v>
      </c>
      <c r="P19" s="33"/>
      <c r="Q19" s="62"/>
      <c r="R19" s="84"/>
      <c r="S19" s="62"/>
      <c r="T19" s="159"/>
    </row>
    <row r="20" spans="2:20" ht="12.75">
      <c r="B20" s="102" t="s">
        <v>775</v>
      </c>
      <c r="C20" s="20"/>
      <c r="D20" s="63"/>
      <c r="E20" s="20"/>
      <c r="F20" s="169">
        <v>0</v>
      </c>
      <c r="G20" s="20"/>
      <c r="H20" s="169">
        <f>380805+6440+2733+11157+37637+1456+12179+1638+3044+1412+16936+528+5906+3352+1630+1698+35306+8128+6449+16211+1585+1266-104835+4729-4-49975+1508+4468+1+5988+9248+340+1383+2859</f>
        <v>433206</v>
      </c>
      <c r="I20" s="299"/>
      <c r="J20" s="175">
        <v>0</v>
      </c>
      <c r="K20" s="299"/>
      <c r="L20" s="175">
        <f>44954790+755259+1374618+1011781+386709+1768110+370229+217094+696041+231513+251053+210548+2221096+87551+872478+489427+144035+291181+7+75074+464279+1385056+3165370+405760+461457+1151064-1-1914225+1048814+1363024+1200594+1866728+7282+23213+115848</f>
        <v>67152857</v>
      </c>
      <c r="M20" s="299"/>
      <c r="N20" s="300">
        <f t="shared" si="0"/>
        <v>155.01368171262632</v>
      </c>
      <c r="P20" s="33"/>
      <c r="Q20" s="62"/>
      <c r="R20" s="84"/>
      <c r="S20" s="62"/>
      <c r="T20" s="159"/>
    </row>
    <row r="21" spans="2:20" ht="26.25">
      <c r="B21" s="282" t="s">
        <v>377</v>
      </c>
      <c r="C21" s="20"/>
      <c r="D21" s="63"/>
      <c r="E21" s="20"/>
      <c r="F21" s="169">
        <v>0</v>
      </c>
      <c r="G21" s="20"/>
      <c r="H21" s="169">
        <f>4+4116-14+9564-28+1674-8</f>
        <v>15308</v>
      </c>
      <c r="I21" s="299"/>
      <c r="J21" s="175">
        <v>0</v>
      </c>
      <c r="K21" s="299"/>
      <c r="L21" s="175">
        <f>-1700794-188-3402998-2819-662319-957</f>
        <v>-5770075</v>
      </c>
      <c r="M21" s="299"/>
      <c r="N21" s="300">
        <f t="shared" si="0"/>
        <v>-376.93199634178205</v>
      </c>
      <c r="P21" s="33"/>
      <c r="Q21" s="62"/>
      <c r="R21" s="84"/>
      <c r="S21" s="62"/>
      <c r="T21" s="159"/>
    </row>
    <row r="22" spans="2:20" ht="12.75">
      <c r="B22" s="282"/>
      <c r="C22" s="20"/>
      <c r="D22" s="63"/>
      <c r="E22" s="20"/>
      <c r="F22" s="169"/>
      <c r="G22" s="20"/>
      <c r="H22" s="169"/>
      <c r="I22" s="299"/>
      <c r="J22" s="175"/>
      <c r="K22" s="299"/>
      <c r="L22" s="175"/>
      <c r="M22" s="299"/>
      <c r="N22" s="300"/>
      <c r="P22" s="33"/>
      <c r="Q22" s="62"/>
      <c r="R22" s="84"/>
      <c r="S22" s="62"/>
      <c r="T22" s="159"/>
    </row>
    <row r="23" spans="2:20" ht="12.75">
      <c r="B23" s="102" t="s">
        <v>776</v>
      </c>
      <c r="C23" s="20"/>
      <c r="D23" s="63"/>
      <c r="E23" s="20"/>
      <c r="F23" s="169"/>
      <c r="G23" s="20"/>
      <c r="H23" s="169"/>
      <c r="I23" s="299"/>
      <c r="J23" s="175"/>
      <c r="K23" s="299"/>
      <c r="L23" s="175"/>
      <c r="M23" s="299"/>
      <c r="N23" s="301"/>
      <c r="P23" s="33"/>
      <c r="Q23" s="62"/>
      <c r="R23" s="84"/>
      <c r="S23" s="62"/>
      <c r="T23" s="159"/>
    </row>
    <row r="24" spans="2:20" ht="12.75">
      <c r="B24" s="102" t="s">
        <v>777</v>
      </c>
      <c r="C24" s="20"/>
      <c r="D24" s="63"/>
      <c r="E24" s="20"/>
      <c r="F24" s="169">
        <v>0</v>
      </c>
      <c r="G24" s="20"/>
      <c r="H24" s="169">
        <f>2415+1313+5310+412+1932</f>
        <v>11382</v>
      </c>
      <c r="I24" s="299"/>
      <c r="J24" s="175">
        <v>0</v>
      </c>
      <c r="K24" s="299"/>
      <c r="L24" s="175">
        <f>272099+94553+408601+8618+52235</f>
        <v>836106</v>
      </c>
      <c r="M24" s="299"/>
      <c r="N24" s="300">
        <f t="shared" si="0"/>
        <v>73.458618871903</v>
      </c>
      <c r="P24" s="33"/>
      <c r="Q24" s="62"/>
      <c r="R24" s="84"/>
      <c r="S24" s="62"/>
      <c r="T24" s="159"/>
    </row>
    <row r="25" spans="2:20" ht="12.75">
      <c r="B25" s="102" t="s">
        <v>785</v>
      </c>
      <c r="C25" s="20"/>
      <c r="D25" s="63"/>
      <c r="E25" s="20"/>
      <c r="F25" s="169">
        <v>0</v>
      </c>
      <c r="G25" s="20"/>
      <c r="H25" s="169">
        <f>23240+13462+1482+352+705+1588+352+1083+9629+3857-5310+2212-5562+3034+2566+7297+1744</f>
        <v>61731</v>
      </c>
      <c r="I25" s="299"/>
      <c r="J25" s="175">
        <v>0</v>
      </c>
      <c r="K25" s="299"/>
      <c r="L25" s="175">
        <f>2566468+1334627+59655+26902+54351+44574+27785+86066+740946+277754-408601+86832-299333+106433+53676+97815+208544</f>
        <v>5064494</v>
      </c>
      <c r="M25" s="299"/>
      <c r="N25" s="300">
        <f t="shared" si="0"/>
        <v>82.04134065542434</v>
      </c>
      <c r="P25" s="33"/>
      <c r="Q25" s="62"/>
      <c r="R25" s="84"/>
      <c r="S25" s="62"/>
      <c r="T25" s="159"/>
    </row>
    <row r="26" spans="2:14" ht="12.75">
      <c r="B26" s="102" t="s">
        <v>786</v>
      </c>
      <c r="C26" s="20"/>
      <c r="D26" s="63"/>
      <c r="E26" s="20"/>
      <c r="F26" s="169">
        <v>0</v>
      </c>
      <c r="G26" s="20"/>
      <c r="H26" s="169">
        <f>290982+636+749+825+340+1383+5309+2826</f>
        <v>303050</v>
      </c>
      <c r="I26" s="299"/>
      <c r="J26" s="175">
        <v>0</v>
      </c>
      <c r="K26" s="299"/>
      <c r="L26" s="175">
        <f>25144488+719090+177893+411634+532173+360899+659073+301781+61124+270301+49561+49632+259463+39794+17867+70327+15589+299333+11229+18137+13439+13320-4480+27626+25307+29804+32828+7112+23859+26648+115422</f>
        <v>29780273</v>
      </c>
      <c r="M26" s="299"/>
      <c r="N26" s="300">
        <f t="shared" si="0"/>
        <v>98.26851344662597</v>
      </c>
    </row>
    <row r="27" spans="2:14" ht="26.25">
      <c r="B27" s="282" t="s">
        <v>377</v>
      </c>
      <c r="C27" s="20"/>
      <c r="D27" s="63"/>
      <c r="E27" s="20"/>
      <c r="F27" s="169">
        <v>0</v>
      </c>
      <c r="G27" s="20"/>
      <c r="H27" s="169">
        <f>34941-34941</f>
        <v>0</v>
      </c>
      <c r="I27" s="299"/>
      <c r="J27" s="175">
        <v>0</v>
      </c>
      <c r="K27" s="299"/>
      <c r="L27" s="175">
        <v>0</v>
      </c>
      <c r="M27" s="299"/>
      <c r="N27" s="300">
        <v>0</v>
      </c>
    </row>
    <row r="28" spans="2:14" ht="6" customHeight="1">
      <c r="B28" s="282"/>
      <c r="C28" s="20"/>
      <c r="D28" s="63"/>
      <c r="E28" s="20"/>
      <c r="F28" s="169"/>
      <c r="G28" s="20"/>
      <c r="H28" s="169"/>
      <c r="I28" s="299"/>
      <c r="J28" s="175"/>
      <c r="K28" s="299"/>
      <c r="L28" s="175"/>
      <c r="M28" s="299"/>
      <c r="N28" s="300"/>
    </row>
    <row r="29" spans="2:20" ht="34.5">
      <c r="B29" s="446" t="s">
        <v>916</v>
      </c>
      <c r="C29" s="20"/>
      <c r="D29" s="219"/>
      <c r="E29" s="20"/>
      <c r="F29" s="441">
        <v>0</v>
      </c>
      <c r="G29" s="20"/>
      <c r="H29" s="169"/>
      <c r="I29" s="299"/>
      <c r="J29" s="336">
        <v>0</v>
      </c>
      <c r="K29" s="299"/>
      <c r="L29" s="175"/>
      <c r="M29" s="299"/>
      <c r="N29" s="300"/>
      <c r="P29" s="147"/>
      <c r="Q29" s="149"/>
      <c r="R29" s="154"/>
      <c r="S29" s="149"/>
      <c r="T29" s="160"/>
    </row>
    <row r="30" spans="2:20" ht="6" customHeight="1">
      <c r="B30" s="446"/>
      <c r="C30" s="20"/>
      <c r="D30" s="219"/>
      <c r="E30" s="20"/>
      <c r="F30" s="169"/>
      <c r="G30" s="20"/>
      <c r="H30" s="169"/>
      <c r="I30" s="299"/>
      <c r="J30" s="175"/>
      <c r="K30" s="299"/>
      <c r="L30" s="175"/>
      <c r="M30" s="299"/>
      <c r="N30" s="300"/>
      <c r="P30" s="147"/>
      <c r="Q30" s="149"/>
      <c r="R30" s="154"/>
      <c r="S30" s="149"/>
      <c r="T30" s="160"/>
    </row>
    <row r="31" spans="2:18" ht="34.5">
      <c r="B31" s="446" t="s">
        <v>917</v>
      </c>
      <c r="C31" s="20"/>
      <c r="D31" s="219"/>
      <c r="E31" s="20"/>
      <c r="F31" s="522">
        <v>1660</v>
      </c>
      <c r="G31" s="20"/>
      <c r="H31" s="524">
        <f>430168+4543+5400+4520+4550+4750+4763+5237+3748+5121+4748+1634+3482+4481+3696+4288+3467+3168+3178+5161+3885+4490+4696+3434+4099+2936+4328+2873+4175+4214+4763+9038-1+1293+7140+5+7329+7070+3802+8122+5343-10730+4088+4139+3922+3525+1088+797+9052+4661+3443+4142+4025+2894+3856+10632+8512+6272+7526+7134+8326+622+4468+1414+215+3774+7430+2776+7178+9464+7812+1642+1416+1608+3640+6440+6388+9268+6662+2462+1866+3542+3434+3008+1660</f>
        <v>788630</v>
      </c>
      <c r="I31" s="299"/>
      <c r="J31" s="523">
        <v>149044</v>
      </c>
      <c r="K31" s="299"/>
      <c r="L31" s="525">
        <f>33040301-1+180771+214872+179856+181050+189008+99633+213895+153080+209157+193923+66738+142215+1+183018-1+150956+175135+141603+129391+115422-115422+77666+134089+100929+116657+122009+89220+106498+76281+112448+74645+108472+109486+656953+262282+123179-138+302548+149297+121971+65592+301208+738341+2299212+549308+556161+527002-1+1529691+14584+351033+176326+2052904+1516445+1824315+1772783+1274642+75116+1+207115+165817+122181+146609+138973+838290+345324+348072+785030+119365+293986+578779+216244+559149+737223+608536+127908+110303+125259+435263+578232+573550+832132+598151+221052+167540+318020+308323+270075+149044</f>
        <v>65339301</v>
      </c>
      <c r="M31" s="299"/>
      <c r="N31" s="300">
        <f t="shared" si="0"/>
        <v>82.8516554024067</v>
      </c>
      <c r="Q31" s="451"/>
      <c r="R31" s="157"/>
    </row>
    <row r="32" spans="2:14" ht="6" customHeight="1">
      <c r="B32" s="446"/>
      <c r="C32" s="20"/>
      <c r="D32" s="219"/>
      <c r="E32" s="20"/>
      <c r="F32" s="441"/>
      <c r="G32" s="20"/>
      <c r="H32" s="169"/>
      <c r="I32" s="299"/>
      <c r="J32" s="122"/>
      <c r="K32" s="299"/>
      <c r="L32" s="175"/>
      <c r="M32" s="299"/>
      <c r="N32" s="300"/>
    </row>
    <row r="33" spans="2:19" ht="39.75" thickBot="1">
      <c r="B33" s="185" t="s">
        <v>351</v>
      </c>
      <c r="C33" s="21"/>
      <c r="D33" s="111"/>
      <c r="E33" s="21"/>
      <c r="F33" s="107"/>
      <c r="G33" s="21"/>
      <c r="H33" s="460">
        <f>+H14+H16+H17+H18+H19+H20+H21-H24-H25-H26-H29-H31</f>
        <v>1134427</v>
      </c>
      <c r="I33" s="21"/>
      <c r="J33" s="107"/>
      <c r="K33" s="21"/>
      <c r="L33" s="461">
        <f>+L14+L16+L17+L18+L19+L20+L21-L24-L25-L26-L29-L31</f>
        <v>9456529</v>
      </c>
      <c r="M33" s="21"/>
      <c r="N33" s="272">
        <f t="shared" si="0"/>
        <v>8.33595198280718</v>
      </c>
      <c r="Q33" s="544"/>
      <c r="R33" s="545"/>
      <c r="S33" s="157"/>
    </row>
    <row r="34" spans="2:19" ht="13.5" thickBot="1">
      <c r="B34" s="99"/>
      <c r="C34" s="6"/>
      <c r="D34" s="384"/>
      <c r="E34" s="384"/>
      <c r="F34" s="6"/>
      <c r="G34" s="6"/>
      <c r="H34" s="6"/>
      <c r="I34" s="6"/>
      <c r="J34" s="6"/>
      <c r="K34" s="6"/>
      <c r="L34" s="6"/>
      <c r="M34" s="21"/>
      <c r="N34" s="112"/>
      <c r="P34" s="147"/>
      <c r="Q34" s="184"/>
      <c r="R34" s="184"/>
      <c r="S34" s="450"/>
    </row>
    <row r="35" spans="2:16" ht="13.5" thickBot="1">
      <c r="B35" s="76" t="s">
        <v>921</v>
      </c>
      <c r="C35" s="16"/>
      <c r="D35" s="385"/>
      <c r="E35" s="385"/>
      <c r="F35" s="16"/>
      <c r="G35" s="16"/>
      <c r="H35" s="16"/>
      <c r="I35" s="16"/>
      <c r="J35" s="16"/>
      <c r="K35" s="16"/>
      <c r="L35" s="16"/>
      <c r="M35" s="21"/>
      <c r="N35" s="528">
        <v>0.06355</v>
      </c>
      <c r="P35" s="146"/>
    </row>
    <row r="36" spans="2:19" ht="12.75">
      <c r="B36" s="11"/>
      <c r="C36" s="11"/>
      <c r="D36" s="63"/>
      <c r="E36" s="63"/>
      <c r="F36" s="11"/>
      <c r="G36" s="11"/>
      <c r="H36" s="11"/>
      <c r="I36" s="11"/>
      <c r="J36" s="11"/>
      <c r="K36" s="11"/>
      <c r="L36" s="11"/>
      <c r="M36" s="11"/>
      <c r="N36" s="11"/>
      <c r="Q36" s="62"/>
      <c r="R36" s="84"/>
      <c r="S36" s="256"/>
    </row>
    <row r="37" ht="12.75">
      <c r="S37" s="256"/>
    </row>
    <row r="38" spans="2:19" ht="12.75">
      <c r="B38" s="146" t="s">
        <v>24</v>
      </c>
      <c r="S38" s="256"/>
    </row>
    <row r="39" spans="2:19" ht="12.75">
      <c r="B39" t="s">
        <v>26</v>
      </c>
      <c r="S39" s="284"/>
    </row>
    <row r="40" spans="2:14" ht="12.75">
      <c r="B40" s="34" t="s">
        <v>27</v>
      </c>
      <c r="N40" s="62"/>
    </row>
    <row r="41" spans="2:19" ht="12.75">
      <c r="B41" t="s">
        <v>28</v>
      </c>
      <c r="N41" s="84"/>
      <c r="S41" s="256"/>
    </row>
    <row r="42" spans="2:19" ht="12.75">
      <c r="B42" t="s">
        <v>29</v>
      </c>
      <c r="L42" s="495"/>
      <c r="S42" s="256"/>
    </row>
    <row r="43" ht="12.75">
      <c r="L43" s="495"/>
    </row>
    <row r="44" spans="2:19" ht="12.75">
      <c r="B44" s="146" t="s">
        <v>30</v>
      </c>
      <c r="L44" s="495"/>
      <c r="S44" s="284"/>
    </row>
    <row r="45" ht="12.75">
      <c r="B45" t="s">
        <v>31</v>
      </c>
    </row>
    <row r="46" ht="12.75">
      <c r="B46" t="s">
        <v>32</v>
      </c>
    </row>
    <row r="47" spans="2:20" ht="12.75">
      <c r="B47" t="s">
        <v>33</v>
      </c>
      <c r="S47" s="285"/>
      <c r="T47" s="147"/>
    </row>
    <row r="48" ht="12.75">
      <c r="B48" t="s">
        <v>34</v>
      </c>
    </row>
    <row r="49" ht="12.75">
      <c r="B49" t="s">
        <v>35</v>
      </c>
    </row>
    <row r="50" spans="18:19" ht="12.75">
      <c r="R50" s="83"/>
      <c r="S50" s="256"/>
    </row>
    <row r="51" spans="2:19" ht="12.75">
      <c r="B51" s="146" t="s">
        <v>36</v>
      </c>
      <c r="R51" s="310"/>
      <c r="S51" s="256"/>
    </row>
    <row r="52" ht="12.75">
      <c r="B52" t="s">
        <v>37</v>
      </c>
    </row>
    <row r="53" spans="2:19" ht="12.75">
      <c r="B53" t="s">
        <v>72</v>
      </c>
      <c r="S53" s="310"/>
    </row>
    <row r="54" ht="12.75">
      <c r="B54" t="s">
        <v>38</v>
      </c>
    </row>
    <row r="55" ht="12.75">
      <c r="B55" t="s">
        <v>39</v>
      </c>
    </row>
  </sheetData>
  <sheetProtection/>
  <mergeCells count="4">
    <mergeCell ref="Q33:R33"/>
    <mergeCell ref="P2:T2"/>
    <mergeCell ref="P9:T9"/>
    <mergeCell ref="P11:T11"/>
  </mergeCells>
  <printOptions horizontalCentered="1"/>
  <pageMargins left="0" right="0" top="0.5" bottom="0.5" header="0" footer="0"/>
  <pageSetup horizontalDpi="300" verticalDpi="300" orientation="portrait" scale="90" r:id="rId1"/>
</worksheet>
</file>

<file path=xl/worksheets/sheet7.xml><?xml version="1.0" encoding="utf-8"?>
<worksheet xmlns="http://schemas.openxmlformats.org/spreadsheetml/2006/main" xmlns:r="http://schemas.openxmlformats.org/officeDocument/2006/relationships">
  <dimension ref="A1:V62"/>
  <sheetViews>
    <sheetView zoomScalePageLayoutView="0" workbookViewId="0" topLeftCell="L31">
      <selection activeCell="F26" sqref="F26"/>
    </sheetView>
  </sheetViews>
  <sheetFormatPr defaultColWidth="9.140625" defaultRowHeight="12.75"/>
  <cols>
    <col min="1" max="1" width="3.7109375" style="0" customWidth="1"/>
    <col min="2" max="2" width="40.7109375" style="0" customWidth="1"/>
    <col min="3" max="3" width="0.5625" style="0" customWidth="1"/>
    <col min="4" max="4" width="12.7109375" style="0" customWidth="1"/>
    <col min="5" max="5" width="0.5625" style="0" customWidth="1"/>
    <col min="6" max="6" width="12.7109375" style="0" customWidth="1"/>
    <col min="7" max="7" width="0.5625" style="0" customWidth="1"/>
    <col min="8" max="8" width="12.7109375" style="0" customWidth="1"/>
    <col min="9" max="9" width="0.5625" style="0" customWidth="1"/>
    <col min="10" max="10" width="12.7109375" style="0" customWidth="1"/>
    <col min="11" max="11" width="0.5625" style="0" customWidth="1"/>
    <col min="12" max="12" width="12.7109375" style="0" customWidth="1"/>
    <col min="13" max="13" width="3.7109375" style="0" customWidth="1"/>
    <col min="14" max="14" width="14.8515625" style="0" bestFit="1" customWidth="1"/>
    <col min="18" max="18" width="3.7109375" style="0" customWidth="1"/>
    <col min="19" max="19" width="12.7109375" style="0" customWidth="1"/>
    <col min="20" max="20" width="10.7109375" style="0" bestFit="1" customWidth="1"/>
    <col min="21" max="21" width="11.7109375" style="0" bestFit="1" customWidth="1"/>
  </cols>
  <sheetData>
    <row r="1" ht="12.75">
      <c r="A1" t="s">
        <v>136</v>
      </c>
    </row>
    <row r="2" spans="10:14" ht="12.75">
      <c r="J2" s="550" t="s">
        <v>613</v>
      </c>
      <c r="K2" s="550"/>
      <c r="L2" s="550"/>
      <c r="N2" s="161"/>
    </row>
    <row r="4" spans="2:7" ht="12.75">
      <c r="B4" s="1"/>
      <c r="C4" s="1"/>
      <c r="D4" s="125" t="s">
        <v>381</v>
      </c>
      <c r="E4" s="1"/>
      <c r="F4" s="1"/>
      <c r="G4" s="1"/>
    </row>
    <row r="5" spans="2:7" ht="12.75">
      <c r="B5" s="1"/>
      <c r="C5" s="1"/>
      <c r="D5" s="125" t="s">
        <v>710</v>
      </c>
      <c r="E5" s="1"/>
      <c r="F5" s="1"/>
      <c r="G5" s="1"/>
    </row>
    <row r="6" ht="12.75">
      <c r="D6" s="3" t="s">
        <v>614</v>
      </c>
    </row>
    <row r="8" spans="2:4" ht="12.75">
      <c r="B8" s="60"/>
      <c r="C8" s="60"/>
      <c r="D8" s="3" t="str">
        <f>+'ES 1.0'!E7</f>
        <v>For the Expense Month of October 2013</v>
      </c>
    </row>
    <row r="9" ht="12.75">
      <c r="P9" s="158"/>
    </row>
    <row r="10" ht="13.5" thickBot="1"/>
    <row r="11" spans="2:20" ht="12.75">
      <c r="B11" s="99"/>
      <c r="C11" s="18"/>
      <c r="D11" s="100" t="s">
        <v>758</v>
      </c>
      <c r="E11" s="18"/>
      <c r="F11" s="100">
        <v>-2</v>
      </c>
      <c r="G11" s="18"/>
      <c r="H11" s="100">
        <v>-3</v>
      </c>
      <c r="I11" s="18"/>
      <c r="J11" s="100">
        <v>-4</v>
      </c>
      <c r="K11" s="18"/>
      <c r="L11" s="101">
        <v>-5</v>
      </c>
      <c r="N11" s="3"/>
      <c r="O11" s="158"/>
      <c r="T11" s="162"/>
    </row>
    <row r="12" spans="2:22" s="61" customFormat="1" ht="39.75" thickBot="1">
      <c r="B12" s="104"/>
      <c r="C12" s="64"/>
      <c r="D12" s="65" t="s">
        <v>757</v>
      </c>
      <c r="E12" s="64"/>
      <c r="F12" s="65" t="s">
        <v>759</v>
      </c>
      <c r="G12" s="64"/>
      <c r="H12" s="65" t="s">
        <v>766</v>
      </c>
      <c r="I12" s="64"/>
      <c r="J12" s="65" t="s">
        <v>767</v>
      </c>
      <c r="K12" s="64"/>
      <c r="L12" s="66" t="s">
        <v>768</v>
      </c>
      <c r="N12" s="157"/>
      <c r="O12" s="157"/>
      <c r="P12" s="157"/>
      <c r="Q12" s="157"/>
      <c r="S12" s="157"/>
      <c r="T12" s="157"/>
      <c r="U12" s="157"/>
      <c r="V12" s="157"/>
    </row>
    <row r="13" spans="2:12" ht="12.75">
      <c r="B13" s="99"/>
      <c r="C13" s="18"/>
      <c r="D13" s="6"/>
      <c r="E13" s="18"/>
      <c r="F13" s="6"/>
      <c r="G13" s="18"/>
      <c r="H13" s="6"/>
      <c r="I13" s="18"/>
      <c r="J13" s="6"/>
      <c r="K13" s="18"/>
      <c r="L13" s="7"/>
    </row>
    <row r="14" spans="2:22" ht="12.75">
      <c r="B14" s="102" t="s">
        <v>769</v>
      </c>
      <c r="C14" s="20"/>
      <c r="D14" s="40"/>
      <c r="E14" s="20"/>
      <c r="F14" s="40">
        <v>0</v>
      </c>
      <c r="G14" s="20"/>
      <c r="H14" s="12"/>
      <c r="I14" s="20"/>
      <c r="J14" s="12">
        <v>0</v>
      </c>
      <c r="K14" s="20"/>
      <c r="L14" s="271">
        <v>0</v>
      </c>
      <c r="N14" s="33"/>
      <c r="O14" s="62"/>
      <c r="P14" s="62"/>
      <c r="Q14" s="62"/>
      <c r="S14" s="62"/>
      <c r="T14" s="84"/>
      <c r="U14" s="62"/>
      <c r="V14" s="159"/>
    </row>
    <row r="15" spans="2:22" ht="12.75">
      <c r="B15" s="102" t="s">
        <v>770</v>
      </c>
      <c r="C15" s="20"/>
      <c r="D15" s="40"/>
      <c r="E15" s="20"/>
      <c r="F15" s="40"/>
      <c r="G15" s="20"/>
      <c r="H15" s="12"/>
      <c r="I15" s="20"/>
      <c r="J15" s="12"/>
      <c r="K15" s="20"/>
      <c r="L15" s="271"/>
      <c r="N15" s="33"/>
      <c r="O15" s="62"/>
      <c r="P15" s="62"/>
      <c r="Q15" s="62"/>
      <c r="S15" s="62"/>
      <c r="T15" s="84"/>
      <c r="U15" s="62"/>
      <c r="V15" s="159"/>
    </row>
    <row r="16" spans="2:22" ht="12.75">
      <c r="B16" s="102" t="s">
        <v>771</v>
      </c>
      <c r="C16" s="20"/>
      <c r="D16" s="169">
        <v>44</v>
      </c>
      <c r="E16" s="20"/>
      <c r="F16" s="40">
        <f>10094+3849+4540+16+28+16+32+40+32+18220+40+47+49+45+45+44</f>
        <v>37137</v>
      </c>
      <c r="G16" s="20"/>
      <c r="H16" s="12">
        <v>0</v>
      </c>
      <c r="I16" s="20"/>
      <c r="J16" s="12">
        <v>0</v>
      </c>
      <c r="K16" s="20"/>
      <c r="L16" s="271"/>
      <c r="N16" s="33"/>
      <c r="O16" s="62"/>
      <c r="P16" s="62"/>
      <c r="Q16" s="62"/>
      <c r="S16" s="62"/>
      <c r="T16" s="84"/>
      <c r="U16" s="62"/>
      <c r="V16" s="159"/>
    </row>
    <row r="17" spans="2:22" ht="12.75">
      <c r="B17" s="102" t="s">
        <v>926</v>
      </c>
      <c r="C17" s="20"/>
      <c r="D17" s="442">
        <v>0</v>
      </c>
      <c r="E17" s="20"/>
      <c r="F17" s="40">
        <v>0</v>
      </c>
      <c r="G17" s="20"/>
      <c r="H17" s="12"/>
      <c r="I17" s="20"/>
      <c r="J17" s="12">
        <v>0</v>
      </c>
      <c r="K17" s="20"/>
      <c r="L17" s="271"/>
      <c r="N17" s="33"/>
      <c r="O17" s="62"/>
      <c r="P17" s="62"/>
      <c r="Q17" s="62"/>
      <c r="S17" s="62"/>
      <c r="T17" s="84"/>
      <c r="U17" s="62"/>
      <c r="V17" s="159"/>
    </row>
    <row r="18" spans="2:22" ht="12.75">
      <c r="B18" s="102" t="s">
        <v>774</v>
      </c>
      <c r="C18" s="20"/>
      <c r="D18" s="442">
        <v>0</v>
      </c>
      <c r="E18" s="20"/>
      <c r="F18" s="40">
        <v>0</v>
      </c>
      <c r="G18" s="20"/>
      <c r="H18" s="12">
        <v>0</v>
      </c>
      <c r="I18" s="20"/>
      <c r="J18" s="12">
        <v>0</v>
      </c>
      <c r="K18" s="20"/>
      <c r="L18" s="271">
        <v>0</v>
      </c>
      <c r="N18" s="33"/>
      <c r="O18" s="62"/>
      <c r="P18" s="62"/>
      <c r="Q18" s="62"/>
      <c r="S18" s="62"/>
      <c r="T18" s="84"/>
      <c r="U18" s="62"/>
      <c r="V18" s="159"/>
    </row>
    <row r="19" spans="2:22" ht="12.75">
      <c r="B19" s="102" t="s">
        <v>775</v>
      </c>
      <c r="C19" s="20"/>
      <c r="D19" s="442">
        <v>0</v>
      </c>
      <c r="E19" s="20"/>
      <c r="F19" s="163">
        <v>0</v>
      </c>
      <c r="G19" s="20"/>
      <c r="H19" s="122">
        <v>0</v>
      </c>
      <c r="I19" s="20"/>
      <c r="J19" s="122">
        <v>0</v>
      </c>
      <c r="K19" s="20"/>
      <c r="L19" s="271">
        <v>0</v>
      </c>
      <c r="N19" s="33"/>
      <c r="O19" s="62"/>
      <c r="P19" s="62"/>
      <c r="Q19" s="62"/>
      <c r="S19" s="62"/>
      <c r="T19" s="84"/>
      <c r="U19" s="62"/>
      <c r="V19" s="159"/>
    </row>
    <row r="20" spans="2:22" ht="12.75">
      <c r="B20" s="102"/>
      <c r="C20" s="20"/>
      <c r="D20" s="442"/>
      <c r="E20" s="20"/>
      <c r="F20" s="163"/>
      <c r="G20" s="20"/>
      <c r="H20" s="122"/>
      <c r="I20" s="20"/>
      <c r="J20" s="122"/>
      <c r="K20" s="20"/>
      <c r="L20" s="271"/>
      <c r="N20" s="33"/>
      <c r="O20" s="62"/>
      <c r="P20" s="62"/>
      <c r="Q20" s="62"/>
      <c r="S20" s="62"/>
      <c r="T20" s="84"/>
      <c r="U20" s="62"/>
      <c r="V20" s="159"/>
    </row>
    <row r="21" spans="2:22" ht="12.75">
      <c r="B21" s="102" t="s">
        <v>776</v>
      </c>
      <c r="C21" s="20"/>
      <c r="D21" s="442"/>
      <c r="E21" s="20"/>
      <c r="F21" s="40"/>
      <c r="G21" s="20"/>
      <c r="H21" s="12"/>
      <c r="I21" s="20"/>
      <c r="J21" s="12"/>
      <c r="K21" s="20"/>
      <c r="L21" s="271"/>
      <c r="N21" s="33"/>
      <c r="O21" s="62"/>
      <c r="P21" s="62"/>
      <c r="Q21" s="62"/>
      <c r="S21" s="62"/>
      <c r="T21" s="84"/>
      <c r="U21" s="62"/>
      <c r="V21" s="159"/>
    </row>
    <row r="22" spans="2:22" ht="12.75">
      <c r="B22" s="102" t="s">
        <v>777</v>
      </c>
      <c r="C22" s="20"/>
      <c r="D22" s="442">
        <v>0</v>
      </c>
      <c r="E22" s="20"/>
      <c r="F22" s="40">
        <v>0</v>
      </c>
      <c r="G22" s="20"/>
      <c r="H22" s="12">
        <v>0</v>
      </c>
      <c r="I22" s="20"/>
      <c r="J22" s="12">
        <v>0</v>
      </c>
      <c r="K22" s="20"/>
      <c r="L22" s="271">
        <v>0</v>
      </c>
      <c r="N22" s="33"/>
      <c r="O22" s="62"/>
      <c r="P22" s="62"/>
      <c r="Q22" s="62"/>
      <c r="S22" s="62"/>
      <c r="T22" s="84"/>
      <c r="U22" s="62"/>
      <c r="V22" s="159"/>
    </row>
    <row r="23" spans="2:22" ht="12.75">
      <c r="B23" s="102" t="s">
        <v>785</v>
      </c>
      <c r="C23" s="20"/>
      <c r="D23" s="442">
        <v>0</v>
      </c>
      <c r="E23" s="20"/>
      <c r="F23" s="163">
        <v>0</v>
      </c>
      <c r="G23" s="20"/>
      <c r="H23" s="122">
        <v>0</v>
      </c>
      <c r="I23" s="20"/>
      <c r="J23" s="122">
        <v>0</v>
      </c>
      <c r="K23" s="20"/>
      <c r="L23" s="271">
        <v>0</v>
      </c>
      <c r="N23" s="33"/>
      <c r="O23" s="62"/>
      <c r="P23" s="62"/>
      <c r="Q23" s="62"/>
      <c r="S23" s="62"/>
      <c r="T23" s="84"/>
      <c r="U23" s="62"/>
      <c r="V23" s="159"/>
    </row>
    <row r="24" spans="2:22" ht="12.75">
      <c r="B24" s="102" t="s">
        <v>786</v>
      </c>
      <c r="C24" s="20"/>
      <c r="D24" s="442">
        <v>353</v>
      </c>
      <c r="E24" s="20"/>
      <c r="F24" s="326">
        <f>250+200+50+300+300+250+100+150+50+100+100+375+200+554+500+353</f>
        <v>3832</v>
      </c>
      <c r="G24" s="20"/>
      <c r="H24" s="122">
        <v>0</v>
      </c>
      <c r="I24" s="20"/>
      <c r="J24" s="175">
        <v>0</v>
      </c>
      <c r="K24" s="20"/>
      <c r="L24" s="271">
        <v>0</v>
      </c>
      <c r="N24" s="33"/>
      <c r="O24" s="62"/>
      <c r="P24" s="62"/>
      <c r="Q24" s="62"/>
      <c r="S24" s="62"/>
      <c r="T24" s="84"/>
      <c r="U24" s="62"/>
      <c r="V24" s="159"/>
    </row>
    <row r="25" spans="2:22" ht="12.75">
      <c r="B25" s="104" t="s">
        <v>273</v>
      </c>
      <c r="C25" s="20"/>
      <c r="D25" s="442">
        <v>0</v>
      </c>
      <c r="E25" s="20"/>
      <c r="F25" s="163">
        <v>930</v>
      </c>
      <c r="G25" s="20"/>
      <c r="H25" s="122">
        <v>0</v>
      </c>
      <c r="I25" s="20"/>
      <c r="J25" s="122">
        <v>0</v>
      </c>
      <c r="K25" s="20"/>
      <c r="L25" s="271">
        <v>0</v>
      </c>
      <c r="N25" s="33"/>
      <c r="O25" s="62"/>
      <c r="P25" s="62"/>
      <c r="Q25" s="62"/>
      <c r="S25" s="62"/>
      <c r="T25" s="84"/>
      <c r="U25" s="62"/>
      <c r="V25" s="159"/>
    </row>
    <row r="26" spans="2:22" ht="13.5" thickBot="1">
      <c r="B26" s="104" t="s">
        <v>932</v>
      </c>
      <c r="C26" s="20"/>
      <c r="D26" s="524">
        <v>4</v>
      </c>
      <c r="E26" s="20"/>
      <c r="F26" s="529">
        <f>420+653+477-680-250+463+267+357+782+633+597+1+654+645+736+759+593+6+449+549+557+736+614-2+2+1122+631-561+706+694+523+1+8+696+617+545+647+565-4+10+263+571+1014+1022+616+1+3+677+827+957+792+724+2+6+250+493+740+592+305+1+1+219+373+579+509+434+4</f>
        <v>28193</v>
      </c>
      <c r="G26" s="20"/>
      <c r="H26" s="122">
        <v>0</v>
      </c>
      <c r="I26" s="20"/>
      <c r="J26" s="122">
        <v>0</v>
      </c>
      <c r="K26" s="20"/>
      <c r="L26" s="271">
        <v>0</v>
      </c>
      <c r="N26" s="33"/>
      <c r="O26" s="62"/>
      <c r="P26" s="62"/>
      <c r="Q26" s="62"/>
      <c r="S26" s="62"/>
      <c r="T26" s="84"/>
      <c r="U26" s="62"/>
      <c r="V26" s="159"/>
    </row>
    <row r="27" spans="1:22" ht="30" customHeight="1" thickBot="1">
      <c r="A27" s="11"/>
      <c r="B27" s="239" t="s">
        <v>73</v>
      </c>
      <c r="C27" s="113"/>
      <c r="D27" s="240"/>
      <c r="E27" s="113"/>
      <c r="F27" s="456">
        <f>+F14+F16+F17+F18+F19-F22-F23-F24-F25-F26</f>
        <v>4182</v>
      </c>
      <c r="G27" s="113"/>
      <c r="H27" s="240"/>
      <c r="I27" s="113"/>
      <c r="J27" s="457">
        <f>+J14+J16+J17+J18+J19-J22-J23-J24-J25-J26</f>
        <v>0</v>
      </c>
      <c r="K27" s="113"/>
      <c r="L27" s="439">
        <v>0</v>
      </c>
      <c r="O27" s="62"/>
      <c r="P27" s="62"/>
      <c r="Q27" s="62"/>
      <c r="S27" s="62"/>
      <c r="U27" s="62"/>
      <c r="V27" s="159"/>
    </row>
    <row r="28" spans="2:22" ht="12.75">
      <c r="B28" s="11"/>
      <c r="C28" s="11"/>
      <c r="D28" s="11"/>
      <c r="E28" s="11"/>
      <c r="F28" s="11"/>
      <c r="G28" s="11"/>
      <c r="H28" s="11"/>
      <c r="I28" s="11"/>
      <c r="J28" s="11" t="s">
        <v>136</v>
      </c>
      <c r="K28" s="63"/>
      <c r="L28" s="11"/>
      <c r="N28" s="147"/>
      <c r="O28" s="149"/>
      <c r="P28" s="149"/>
      <c r="Q28" s="149"/>
      <c r="S28" s="149"/>
      <c r="T28" s="154"/>
      <c r="U28" s="149"/>
      <c r="V28" s="160"/>
    </row>
    <row r="29" spans="2:12" ht="12.75">
      <c r="B29" s="11"/>
      <c r="C29" s="11"/>
      <c r="D29" s="11"/>
      <c r="E29" s="11"/>
      <c r="F29" s="11"/>
      <c r="G29" s="11"/>
      <c r="H29" s="11"/>
      <c r="I29" s="11"/>
      <c r="J29" s="63"/>
      <c r="K29" s="63"/>
      <c r="L29" s="238"/>
    </row>
    <row r="30" spans="2:14" ht="12.75">
      <c r="B30" s="11"/>
      <c r="C30" s="11"/>
      <c r="D30" s="11"/>
      <c r="E30" s="11"/>
      <c r="F30" s="11"/>
      <c r="G30" s="11"/>
      <c r="H30" s="11"/>
      <c r="I30" s="11"/>
      <c r="J30" s="11"/>
      <c r="K30" s="11"/>
      <c r="L30" s="11"/>
      <c r="N30" s="146"/>
    </row>
    <row r="32" ht="12.75">
      <c r="B32" s="146" t="s">
        <v>24</v>
      </c>
    </row>
    <row r="33" ht="12.75">
      <c r="B33" t="s">
        <v>26</v>
      </c>
    </row>
    <row r="34" ht="12.75">
      <c r="B34" s="34" t="s">
        <v>27</v>
      </c>
    </row>
    <row r="35" ht="12.75">
      <c r="B35" t="s">
        <v>28</v>
      </c>
    </row>
    <row r="36" ht="12.75">
      <c r="B36" t="s">
        <v>29</v>
      </c>
    </row>
    <row r="38" ht="12.75">
      <c r="B38" s="146" t="s">
        <v>30</v>
      </c>
    </row>
    <row r="39" ht="12.75">
      <c r="B39" t="s">
        <v>31</v>
      </c>
    </row>
    <row r="40" ht="12.75">
      <c r="B40" t="s">
        <v>32</v>
      </c>
    </row>
    <row r="41" ht="12.75">
      <c r="B41" t="s">
        <v>33</v>
      </c>
    </row>
    <row r="42" ht="12.75">
      <c r="B42" t="s">
        <v>34</v>
      </c>
    </row>
    <row r="43" ht="12.75">
      <c r="B43" t="s">
        <v>35</v>
      </c>
    </row>
    <row r="45" ht="12.75">
      <c r="B45" s="146" t="s">
        <v>36</v>
      </c>
    </row>
    <row r="46" ht="12.75">
      <c r="B46" t="s">
        <v>37</v>
      </c>
    </row>
    <row r="47" ht="12.75">
      <c r="B47" t="s">
        <v>72</v>
      </c>
    </row>
    <row r="48" ht="12.75">
      <c r="B48" t="s">
        <v>38</v>
      </c>
    </row>
    <row r="49" ht="12.75">
      <c r="B49" t="s">
        <v>39</v>
      </c>
    </row>
    <row r="51" spans="2:8" ht="12.75">
      <c r="B51" s="156" t="s">
        <v>352</v>
      </c>
      <c r="C51" s="193"/>
      <c r="D51" s="193"/>
      <c r="E51" s="193"/>
      <c r="F51" s="193"/>
      <c r="G51" s="193"/>
      <c r="H51" s="193"/>
    </row>
    <row r="52" spans="2:8" ht="12.75">
      <c r="B52" s="193" t="s">
        <v>353</v>
      </c>
      <c r="C52" s="193"/>
      <c r="D52" s="193"/>
      <c r="E52" s="193"/>
      <c r="F52" s="193"/>
      <c r="G52" s="193"/>
      <c r="H52" s="193"/>
    </row>
    <row r="54" spans="2:6" ht="12.75">
      <c r="B54" t="s">
        <v>354</v>
      </c>
      <c r="F54" s="62">
        <v>930</v>
      </c>
    </row>
    <row r="55" spans="2:6" ht="12.75">
      <c r="B55" t="s">
        <v>355</v>
      </c>
      <c r="F55" s="62"/>
    </row>
    <row r="56" spans="2:6" ht="12.75">
      <c r="B56" s="288" t="s">
        <v>356</v>
      </c>
      <c r="F56" s="62">
        <v>420</v>
      </c>
    </row>
    <row r="57" spans="2:6" ht="12.75">
      <c r="B57" s="288" t="s">
        <v>357</v>
      </c>
      <c r="F57" s="62">
        <v>510</v>
      </c>
    </row>
    <row r="58" spans="2:6" ht="12.75">
      <c r="B58" s="288"/>
      <c r="F58" s="62"/>
    </row>
    <row r="59" spans="2:6" ht="12.75">
      <c r="B59" s="3" t="s">
        <v>358</v>
      </c>
      <c r="F59" s="62">
        <f>SUM(F56:F57)</f>
        <v>930</v>
      </c>
    </row>
    <row r="60" ht="12.75">
      <c r="F60" s="62"/>
    </row>
    <row r="61" spans="2:6" ht="12.75">
      <c r="B61" t="s">
        <v>359</v>
      </c>
      <c r="F61" s="62">
        <f>+F54-F59</f>
        <v>0</v>
      </c>
    </row>
    <row r="62" ht="12.75">
      <c r="F62" s="62"/>
    </row>
  </sheetData>
  <sheetProtection/>
  <mergeCells count="1">
    <mergeCell ref="J2:L2"/>
  </mergeCells>
  <printOptions horizontalCentered="1" verticalCentered="1"/>
  <pageMargins left="0" right="0" top="0.5" bottom="0.5" header="0" footer="0"/>
  <pageSetup horizontalDpi="300" verticalDpi="300" orientation="portrait" scale="87" r:id="rId1"/>
</worksheet>
</file>

<file path=xl/worksheets/sheet8.xml><?xml version="1.0" encoding="utf-8"?>
<worksheet xmlns="http://schemas.openxmlformats.org/spreadsheetml/2006/main" xmlns:r="http://schemas.openxmlformats.org/officeDocument/2006/relationships">
  <dimension ref="A1:X63"/>
  <sheetViews>
    <sheetView zoomScalePageLayoutView="0" workbookViewId="0" topLeftCell="A73">
      <selection activeCell="H105" sqref="H105"/>
    </sheetView>
  </sheetViews>
  <sheetFormatPr defaultColWidth="8.7109375" defaultRowHeight="12.75"/>
  <cols>
    <col min="1" max="1" width="3.7109375" style="0" customWidth="1"/>
    <col min="2" max="2" width="40.7109375" style="0" customWidth="1"/>
    <col min="3" max="3" width="0.5625" style="0" customWidth="1"/>
    <col min="4" max="4" width="12.7109375" style="0" customWidth="1"/>
    <col min="5" max="5" width="0.5625" style="0" customWidth="1"/>
    <col min="6" max="6" width="12.7109375" style="0" customWidth="1"/>
    <col min="7" max="7" width="0.5625" style="0" customWidth="1"/>
    <col min="8" max="8" width="12.7109375" style="0" customWidth="1"/>
    <col min="9" max="9" width="0.5625" style="0" customWidth="1"/>
    <col min="10" max="10" width="12.7109375" style="0" customWidth="1"/>
    <col min="11" max="11" width="0.5625" style="0" customWidth="1"/>
    <col min="12" max="12" width="12.7109375" style="0" customWidth="1"/>
    <col min="13" max="13" width="6.7109375" style="0" customWidth="1"/>
    <col min="14" max="14" width="2.28125" style="0" customWidth="1"/>
    <col min="15" max="15" width="8.57421875" style="0" bestFit="1" customWidth="1"/>
    <col min="16" max="16" width="9.140625" style="0" customWidth="1"/>
    <col min="17" max="17" width="2.28125" style="0" customWidth="1"/>
    <col min="18" max="18" width="10.7109375" style="0" customWidth="1"/>
    <col min="19" max="19" width="2.28125" style="0" customWidth="1"/>
    <col min="20" max="20" width="11.7109375" style="0" bestFit="1" customWidth="1"/>
    <col min="21" max="21" width="2.28125" style="0" customWidth="1"/>
  </cols>
  <sheetData>
    <row r="1" ht="12.75">
      <c r="A1" t="s">
        <v>136</v>
      </c>
    </row>
    <row r="2" spans="10:20" ht="12.75">
      <c r="J2" s="550" t="s">
        <v>612</v>
      </c>
      <c r="K2" s="550"/>
      <c r="L2" s="550"/>
      <c r="O2" s="551"/>
      <c r="P2" s="552"/>
      <c r="Q2" s="552"/>
      <c r="R2" s="552"/>
      <c r="S2" s="552"/>
      <c r="T2" s="549"/>
    </row>
    <row r="4" spans="2:7" ht="12.75">
      <c r="B4" s="1"/>
      <c r="C4" s="1"/>
      <c r="D4" s="125" t="s">
        <v>381</v>
      </c>
      <c r="E4" s="1"/>
      <c r="F4" s="1"/>
      <c r="G4" s="1"/>
    </row>
    <row r="5" spans="2:7" ht="12.75">
      <c r="B5" s="1"/>
      <c r="C5" s="1"/>
      <c r="D5" s="125" t="s">
        <v>710</v>
      </c>
      <c r="E5" s="1"/>
      <c r="F5" s="1"/>
      <c r="G5" s="1"/>
    </row>
    <row r="6" ht="12.75">
      <c r="D6" s="3" t="s">
        <v>914</v>
      </c>
    </row>
    <row r="8" spans="2:4" ht="12.75">
      <c r="B8" s="60"/>
      <c r="C8" s="60"/>
      <c r="D8" s="3" t="str">
        <f>+'ES 1.0'!E7</f>
        <v>For the Expense Month of October 2013</v>
      </c>
    </row>
    <row r="9" ht="12.75">
      <c r="Q9" s="158"/>
    </row>
    <row r="10" ht="13.5" thickBot="1"/>
    <row r="11" spans="2:22" ht="12.75">
      <c r="B11" s="99"/>
      <c r="C11" s="18"/>
      <c r="D11" s="100" t="s">
        <v>758</v>
      </c>
      <c r="E11" s="18"/>
      <c r="F11" s="100">
        <v>-2</v>
      </c>
      <c r="G11" s="18"/>
      <c r="H11" s="100">
        <v>-3</v>
      </c>
      <c r="I11" s="18"/>
      <c r="J11" s="100">
        <v>-4</v>
      </c>
      <c r="K11" s="18"/>
      <c r="L11" s="101">
        <v>-5</v>
      </c>
      <c r="O11" s="3"/>
      <c r="P11" s="3"/>
      <c r="V11" s="162"/>
    </row>
    <row r="12" spans="2:24" s="61" customFormat="1" ht="39.75" thickBot="1">
      <c r="B12" s="104"/>
      <c r="C12" s="64"/>
      <c r="D12" s="65" t="s">
        <v>757</v>
      </c>
      <c r="E12" s="64"/>
      <c r="F12" s="65" t="s">
        <v>759</v>
      </c>
      <c r="G12" s="64"/>
      <c r="H12" s="65" t="s">
        <v>766</v>
      </c>
      <c r="I12" s="64"/>
      <c r="J12" s="65" t="s">
        <v>767</v>
      </c>
      <c r="K12" s="64"/>
      <c r="L12" s="66" t="s">
        <v>768</v>
      </c>
      <c r="O12" s="544"/>
      <c r="P12" s="544"/>
      <c r="Q12" s="157"/>
      <c r="R12" s="157"/>
      <c r="S12" s="157"/>
      <c r="T12" s="157"/>
      <c r="U12" s="157"/>
      <c r="V12" s="157"/>
      <c r="W12" s="157"/>
      <c r="X12" s="157"/>
    </row>
    <row r="13" spans="2:20" ht="12.75">
      <c r="B13" s="99"/>
      <c r="C13" s="18"/>
      <c r="D13" s="6"/>
      <c r="E13" s="18"/>
      <c r="F13" s="6"/>
      <c r="G13" s="18"/>
      <c r="H13" s="6"/>
      <c r="I13" s="18"/>
      <c r="J13" s="6"/>
      <c r="K13" s="18"/>
      <c r="L13" s="7"/>
      <c r="O13" s="184"/>
      <c r="P13" s="184"/>
      <c r="R13" s="450"/>
      <c r="S13" s="450"/>
      <c r="T13" s="450"/>
    </row>
    <row r="14" spans="2:24" ht="12.75">
      <c r="B14" s="102" t="s">
        <v>769</v>
      </c>
      <c r="C14" s="20"/>
      <c r="D14" s="40"/>
      <c r="E14" s="20"/>
      <c r="F14" s="40">
        <v>0</v>
      </c>
      <c r="G14" s="20"/>
      <c r="H14" s="12"/>
      <c r="I14" s="20"/>
      <c r="J14" s="12">
        <v>0</v>
      </c>
      <c r="K14" s="20"/>
      <c r="L14" s="271">
        <v>0</v>
      </c>
      <c r="O14" s="447"/>
      <c r="P14" s="448"/>
      <c r="Q14" s="62"/>
      <c r="R14" s="62"/>
      <c r="S14" s="62"/>
      <c r="U14" s="62"/>
      <c r="V14" s="84"/>
      <c r="W14" s="62"/>
      <c r="X14" s="159"/>
    </row>
    <row r="15" spans="2:24" ht="12.75">
      <c r="B15" s="102" t="s">
        <v>770</v>
      </c>
      <c r="C15" s="20"/>
      <c r="D15" s="40"/>
      <c r="E15" s="20"/>
      <c r="F15" s="40"/>
      <c r="G15" s="20"/>
      <c r="H15" s="12"/>
      <c r="I15" s="20"/>
      <c r="J15" s="12"/>
      <c r="K15" s="20"/>
      <c r="L15" s="271"/>
      <c r="O15" s="447"/>
      <c r="P15" s="448"/>
      <c r="Q15" s="62"/>
      <c r="R15" s="62"/>
      <c r="S15" s="62"/>
      <c r="U15" s="62"/>
      <c r="V15" s="84"/>
      <c r="W15" s="62"/>
      <c r="X15" s="159"/>
    </row>
    <row r="16" spans="2:24" ht="12.75">
      <c r="B16" s="102" t="s">
        <v>771</v>
      </c>
      <c r="C16" s="20"/>
      <c r="D16" s="169">
        <v>88</v>
      </c>
      <c r="E16" s="20"/>
      <c r="F16" s="40">
        <f>76206-31692+108+107+101+89+88</f>
        <v>45007</v>
      </c>
      <c r="G16" s="20"/>
      <c r="H16" s="12">
        <v>0</v>
      </c>
      <c r="I16" s="20"/>
      <c r="J16" s="12">
        <v>0</v>
      </c>
      <c r="K16" s="20"/>
      <c r="L16" s="271">
        <f>ROUND(J16/F16,3)</f>
        <v>0</v>
      </c>
      <c r="O16" s="447"/>
      <c r="P16" s="448"/>
      <c r="Q16" s="62"/>
      <c r="R16" s="62"/>
      <c r="S16" s="62"/>
      <c r="U16" s="62"/>
      <c r="V16" s="84"/>
      <c r="W16" s="62"/>
      <c r="X16" s="159"/>
    </row>
    <row r="17" spans="2:24" ht="12.75">
      <c r="B17" s="102" t="s">
        <v>926</v>
      </c>
      <c r="C17" s="20"/>
      <c r="D17" s="442">
        <v>0</v>
      </c>
      <c r="E17" s="20"/>
      <c r="F17" s="40">
        <v>0</v>
      </c>
      <c r="G17" s="20"/>
      <c r="H17" s="12">
        <v>0</v>
      </c>
      <c r="I17" s="20"/>
      <c r="J17" s="12">
        <v>0</v>
      </c>
      <c r="K17" s="20"/>
      <c r="L17" s="271">
        <v>0</v>
      </c>
      <c r="O17" s="447"/>
      <c r="P17" s="448"/>
      <c r="Q17" s="62"/>
      <c r="R17" s="62"/>
      <c r="S17" s="62"/>
      <c r="U17" s="62"/>
      <c r="V17" s="84"/>
      <c r="W17" s="62"/>
      <c r="X17" s="159"/>
    </row>
    <row r="18" spans="2:24" ht="12.75">
      <c r="B18" s="102" t="s">
        <v>774</v>
      </c>
      <c r="C18" s="20"/>
      <c r="D18" s="169">
        <v>0</v>
      </c>
      <c r="E18" s="20"/>
      <c r="F18" s="40">
        <v>0</v>
      </c>
      <c r="G18" s="20"/>
      <c r="H18" s="12">
        <v>0</v>
      </c>
      <c r="I18" s="20"/>
      <c r="J18" s="12">
        <v>0</v>
      </c>
      <c r="K18" s="20"/>
      <c r="L18" s="271">
        <v>0</v>
      </c>
      <c r="O18" s="447"/>
      <c r="P18" s="448"/>
      <c r="Q18" s="62"/>
      <c r="R18" s="62"/>
      <c r="S18" s="62"/>
      <c r="U18" s="62"/>
      <c r="V18" s="84"/>
      <c r="W18" s="62"/>
      <c r="X18" s="159"/>
    </row>
    <row r="19" spans="2:24" ht="12.75">
      <c r="B19" s="102" t="s">
        <v>915</v>
      </c>
      <c r="C19" s="20"/>
      <c r="D19" s="169">
        <v>0</v>
      </c>
      <c r="E19" s="20"/>
      <c r="F19" s="40">
        <f>100+370-30+540+2100+400+500-716</f>
        <v>3264</v>
      </c>
      <c r="G19" s="20"/>
      <c r="H19" s="175">
        <v>0</v>
      </c>
      <c r="I19" s="20"/>
      <c r="J19" s="12">
        <f>124271+441600-36997+486000+45716+940100+23000+33750-86548</f>
        <v>1970892</v>
      </c>
      <c r="K19" s="20"/>
      <c r="L19" s="271">
        <f>ROUND(J19/F19,3)</f>
        <v>603.827</v>
      </c>
      <c r="O19" s="447"/>
      <c r="P19" s="448"/>
      <c r="Q19" s="62"/>
      <c r="R19" s="62"/>
      <c r="S19" s="62"/>
      <c r="U19" s="62"/>
      <c r="V19" s="84"/>
      <c r="W19" s="62"/>
      <c r="X19" s="159"/>
    </row>
    <row r="20" spans="2:24" ht="12.75">
      <c r="B20" s="102" t="s">
        <v>775</v>
      </c>
      <c r="C20" s="20"/>
      <c r="D20" s="442">
        <v>0</v>
      </c>
      <c r="E20" s="20"/>
      <c r="F20" s="163">
        <v>0</v>
      </c>
      <c r="G20" s="20"/>
      <c r="H20" s="175">
        <v>0</v>
      </c>
      <c r="I20" s="20"/>
      <c r="J20" s="175">
        <v>0</v>
      </c>
      <c r="K20" s="20"/>
      <c r="L20" s="271">
        <v>0</v>
      </c>
      <c r="O20" s="447"/>
      <c r="P20" s="448"/>
      <c r="Q20" s="62"/>
      <c r="R20" s="251"/>
      <c r="S20" s="251"/>
      <c r="U20" s="62"/>
      <c r="V20" s="84"/>
      <c r="W20" s="62"/>
      <c r="X20" s="159"/>
    </row>
    <row r="21" spans="2:24" ht="26.25">
      <c r="B21" s="282" t="s">
        <v>247</v>
      </c>
      <c r="C21" s="20"/>
      <c r="D21" s="442">
        <v>0</v>
      </c>
      <c r="E21" s="20"/>
      <c r="F21" s="163">
        <f>-6-2+7-1-1+57</f>
        <v>54</v>
      </c>
      <c r="G21" s="20"/>
      <c r="H21" s="175">
        <v>0</v>
      </c>
      <c r="I21" s="20"/>
      <c r="J21" s="175">
        <f>-1905-635+2222-13-13+4505</f>
        <v>4161</v>
      </c>
      <c r="K21" s="20"/>
      <c r="L21" s="271">
        <f>ROUND(J21/F21,3)</f>
        <v>77.056</v>
      </c>
      <c r="O21" s="447"/>
      <c r="P21" s="448"/>
      <c r="Q21" s="62"/>
      <c r="R21" s="251"/>
      <c r="S21" s="251"/>
      <c r="U21" s="62"/>
      <c r="V21" s="84"/>
      <c r="W21" s="62"/>
      <c r="X21" s="159"/>
    </row>
    <row r="22" spans="2:24" ht="12.75">
      <c r="B22" s="102"/>
      <c r="C22" s="20"/>
      <c r="D22" s="442"/>
      <c r="E22" s="20"/>
      <c r="F22" s="163"/>
      <c r="G22" s="20"/>
      <c r="H22" s="122"/>
      <c r="I22" s="20"/>
      <c r="J22" s="122"/>
      <c r="K22" s="20"/>
      <c r="L22" s="271"/>
      <c r="P22" s="62"/>
      <c r="Q22" s="62"/>
      <c r="R22" s="251"/>
      <c r="S22" s="251"/>
      <c r="U22" s="62"/>
      <c r="V22" s="84"/>
      <c r="W22" s="62"/>
      <c r="X22" s="159"/>
    </row>
    <row r="23" spans="2:24" ht="12.75">
      <c r="B23" s="102" t="s">
        <v>776</v>
      </c>
      <c r="C23" s="20"/>
      <c r="D23" s="442"/>
      <c r="E23" s="20"/>
      <c r="F23" s="40"/>
      <c r="G23" s="20"/>
      <c r="H23" s="12"/>
      <c r="I23" s="20"/>
      <c r="J23" s="12"/>
      <c r="K23" s="20"/>
      <c r="L23" s="271"/>
      <c r="O23" s="447"/>
      <c r="P23" s="448"/>
      <c r="Q23" s="62"/>
      <c r="R23" s="251"/>
      <c r="S23" s="251"/>
      <c r="U23" s="62"/>
      <c r="V23" s="84"/>
      <c r="W23" s="62"/>
      <c r="X23" s="159"/>
    </row>
    <row r="24" spans="2:24" ht="12.75">
      <c r="B24" s="102" t="s">
        <v>777</v>
      </c>
      <c r="C24" s="20"/>
      <c r="D24" s="442">
        <v>0</v>
      </c>
      <c r="E24" s="20"/>
      <c r="F24" s="442">
        <v>0</v>
      </c>
      <c r="G24" s="20"/>
      <c r="H24" s="454">
        <v>0</v>
      </c>
      <c r="I24" s="20"/>
      <c r="J24" s="454">
        <v>0</v>
      </c>
      <c r="K24" s="20"/>
      <c r="L24" s="271">
        <v>0</v>
      </c>
      <c r="Q24" s="62"/>
      <c r="R24" s="251"/>
      <c r="S24" s="251"/>
      <c r="T24" s="251"/>
      <c r="U24" s="62"/>
      <c r="V24" s="84"/>
      <c r="W24" s="62"/>
      <c r="X24" s="159"/>
    </row>
    <row r="25" spans="2:24" ht="12.75">
      <c r="B25" s="102" t="s">
        <v>785</v>
      </c>
      <c r="C25" s="20"/>
      <c r="D25" s="442">
        <v>0</v>
      </c>
      <c r="E25" s="20"/>
      <c r="F25" s="442">
        <v>0</v>
      </c>
      <c r="G25" s="20"/>
      <c r="H25" s="454">
        <v>0</v>
      </c>
      <c r="I25" s="20"/>
      <c r="J25" s="454">
        <v>0</v>
      </c>
      <c r="K25" s="20"/>
      <c r="L25" s="271">
        <v>0</v>
      </c>
      <c r="O25" s="447"/>
      <c r="P25" s="448"/>
      <c r="Q25" s="62"/>
      <c r="R25" s="251"/>
      <c r="S25" s="251"/>
      <c r="T25" s="251"/>
      <c r="U25" s="62"/>
      <c r="V25" s="84"/>
      <c r="W25" s="62"/>
      <c r="X25" s="159"/>
    </row>
    <row r="26" spans="2:24" ht="12.75">
      <c r="B26" s="102" t="s">
        <v>786</v>
      </c>
      <c r="C26" s="20"/>
      <c r="D26" s="442">
        <v>0</v>
      </c>
      <c r="E26" s="20"/>
      <c r="F26" s="455">
        <f>750+810+1000</f>
        <v>2560</v>
      </c>
      <c r="G26" s="20"/>
      <c r="H26" s="454">
        <v>3717</v>
      </c>
      <c r="I26" s="20"/>
      <c r="J26" s="454">
        <f>2306+2489+3717</f>
        <v>8512</v>
      </c>
      <c r="K26" s="20"/>
      <c r="L26" s="271">
        <v>0</v>
      </c>
      <c r="O26" s="447"/>
      <c r="P26" s="448"/>
      <c r="Q26" s="62"/>
      <c r="R26" s="251"/>
      <c r="S26" s="251"/>
      <c r="T26" s="251"/>
      <c r="U26" s="62"/>
      <c r="V26" s="84"/>
      <c r="W26" s="62"/>
      <c r="X26" s="159"/>
    </row>
    <row r="27" spans="2:24" ht="13.5" thickBot="1">
      <c r="B27" s="104" t="s">
        <v>932</v>
      </c>
      <c r="C27" s="20"/>
      <c r="D27" s="522">
        <v>270</v>
      </c>
      <c r="E27" s="20"/>
      <c r="F27" s="524">
        <f>579+600+709+682+695+630+535+644+564+600+645+949+51+1005+857+1+328+17-51+303+264+571+1012+1024+615+536+484+737+997+832+733+134+783+677+826+956+794+725+832+752+1258+569+476+342+474+248+494+740+592+305+280+312+375+478+528+434+599+368+365+226+580+509+435+270</f>
        <v>35884</v>
      </c>
      <c r="G27" s="20"/>
      <c r="H27" s="523">
        <v>971</v>
      </c>
      <c r="I27" s="20"/>
      <c r="J27" s="525">
        <f>18287+15646+18834+16494+17547+17396+393674+21017+9010+2823+414+1+1081+56-21017+998+870+1881+3334+3373+2026+1766+1443+303714+29142+24656+21385+3909+22843+19751+24098+27891+23164+21151+315700+238718+262209+13565+6271+4505+6413+3355+6684+10012+8010+4127+3684+4105+6288+1623+1334+2226+1368+1357+840+2156+1892+1617+971</f>
        <v>1957688</v>
      </c>
      <c r="K27" s="20"/>
      <c r="L27" s="271">
        <f>ROUND(J27/F27,3)</f>
        <v>54.556</v>
      </c>
      <c r="O27" s="447"/>
      <c r="P27" s="448"/>
      <c r="Q27" s="62"/>
      <c r="R27" s="288"/>
      <c r="S27" s="288"/>
      <c r="T27" s="251"/>
      <c r="U27" s="62"/>
      <c r="V27" s="84"/>
      <c r="W27" s="62"/>
      <c r="X27" s="159"/>
    </row>
    <row r="28" spans="1:24" ht="30" customHeight="1" thickBot="1">
      <c r="A28" s="11"/>
      <c r="B28" s="239" t="s">
        <v>73</v>
      </c>
      <c r="C28" s="113"/>
      <c r="D28" s="240"/>
      <c r="E28" s="113"/>
      <c r="F28" s="456">
        <f>+F14+F16+F17+F18+F19+F20+F21+F22-F24-F25-F26-F27</f>
        <v>9881</v>
      </c>
      <c r="G28" s="113"/>
      <c r="H28" s="240"/>
      <c r="I28" s="113"/>
      <c r="J28" s="457">
        <f>+J14+J16+J17+J18+J19+J20+J21+J22-J24-J25-J26-J27</f>
        <v>8853</v>
      </c>
      <c r="K28" s="113"/>
      <c r="L28" s="439">
        <f>ROUND(J28/F28,3)</f>
        <v>0.896</v>
      </c>
      <c r="O28" s="149"/>
      <c r="P28" s="154"/>
      <c r="Q28" s="62"/>
      <c r="R28" s="449"/>
      <c r="S28" s="449"/>
      <c r="T28" s="470"/>
      <c r="U28" s="62"/>
      <c r="W28" s="62"/>
      <c r="X28" s="159"/>
    </row>
    <row r="29" spans="2:24" ht="12.75">
      <c r="B29" s="11"/>
      <c r="C29" s="11"/>
      <c r="D29" s="11"/>
      <c r="E29" s="11"/>
      <c r="F29" s="11"/>
      <c r="G29" s="11"/>
      <c r="H29" s="11"/>
      <c r="I29" s="11"/>
      <c r="J29" s="11" t="s">
        <v>136</v>
      </c>
      <c r="K29" s="63"/>
      <c r="L29" s="11"/>
      <c r="O29" s="147"/>
      <c r="P29" s="147"/>
      <c r="Q29" s="149"/>
      <c r="R29" s="149"/>
      <c r="S29" s="149"/>
      <c r="U29" s="149"/>
      <c r="V29" s="154"/>
      <c r="W29" s="149"/>
      <c r="X29" s="160"/>
    </row>
    <row r="30" spans="2:12" ht="12.75">
      <c r="B30" s="11"/>
      <c r="C30" s="11"/>
      <c r="D30" s="11"/>
      <c r="E30" s="11"/>
      <c r="F30" s="11"/>
      <c r="G30" s="11"/>
      <c r="H30" s="11"/>
      <c r="I30" s="11"/>
      <c r="J30" s="63"/>
      <c r="K30" s="63"/>
      <c r="L30" s="238"/>
    </row>
    <row r="31" spans="2:16" ht="12.75">
      <c r="B31" s="11"/>
      <c r="C31" s="11"/>
      <c r="D31" s="11"/>
      <c r="E31" s="11"/>
      <c r="F31" s="11"/>
      <c r="G31" s="11"/>
      <c r="H31" s="11"/>
      <c r="I31" s="11"/>
      <c r="J31" s="11"/>
      <c r="K31" s="11"/>
      <c r="L31" s="11"/>
      <c r="O31" s="146"/>
      <c r="P31" s="146"/>
    </row>
    <row r="33" ht="12.75">
      <c r="B33" s="146" t="s">
        <v>24</v>
      </c>
    </row>
    <row r="34" ht="12.75">
      <c r="B34" t="s">
        <v>26</v>
      </c>
    </row>
    <row r="35" ht="12.75">
      <c r="B35" s="34" t="s">
        <v>27</v>
      </c>
    </row>
    <row r="36" ht="12.75">
      <c r="B36" t="s">
        <v>28</v>
      </c>
    </row>
    <row r="37" ht="12.75">
      <c r="B37" t="s">
        <v>29</v>
      </c>
    </row>
    <row r="39" ht="12.75">
      <c r="B39" s="146" t="s">
        <v>30</v>
      </c>
    </row>
    <row r="40" ht="12.75">
      <c r="B40" t="s">
        <v>31</v>
      </c>
    </row>
    <row r="41" ht="12.75">
      <c r="B41" t="s">
        <v>32</v>
      </c>
    </row>
    <row r="42" ht="12.75">
      <c r="B42" t="s">
        <v>33</v>
      </c>
    </row>
    <row r="43" ht="12.75">
      <c r="B43" t="s">
        <v>34</v>
      </c>
    </row>
    <row r="44" ht="12.75">
      <c r="B44" t="s">
        <v>35</v>
      </c>
    </row>
    <row r="46" ht="12.75">
      <c r="B46" s="146" t="s">
        <v>36</v>
      </c>
    </row>
    <row r="47" ht="12.75">
      <c r="B47" t="s">
        <v>37</v>
      </c>
    </row>
    <row r="48" ht="12.75">
      <c r="B48" t="s">
        <v>72</v>
      </c>
    </row>
    <row r="49" ht="12.75">
      <c r="B49" t="s">
        <v>38</v>
      </c>
    </row>
    <row r="50" ht="12.75">
      <c r="B50" t="s">
        <v>39</v>
      </c>
    </row>
    <row r="52" spans="2:8" ht="12.75">
      <c r="B52" s="156"/>
      <c r="C52" s="193"/>
      <c r="D52" s="193"/>
      <c r="E52" s="193"/>
      <c r="F52" s="193"/>
      <c r="G52" s="193"/>
      <c r="H52" s="193"/>
    </row>
    <row r="53" spans="2:8" ht="12.75">
      <c r="B53" s="193"/>
      <c r="C53" s="193"/>
      <c r="D53" s="193"/>
      <c r="E53" s="193"/>
      <c r="F53" s="193"/>
      <c r="G53" s="193"/>
      <c r="H53" s="193"/>
    </row>
    <row r="55" ht="12.75">
      <c r="F55" s="62"/>
    </row>
    <row r="56" ht="12.75">
      <c r="F56" s="62"/>
    </row>
    <row r="57" spans="2:6" ht="12.75">
      <c r="B57" s="288"/>
      <c r="F57" s="62"/>
    </row>
    <row r="58" spans="2:6" ht="12.75">
      <c r="B58" s="288"/>
      <c r="F58" s="62"/>
    </row>
    <row r="59" spans="2:6" ht="12.75">
      <c r="B59" s="288"/>
      <c r="F59" s="62"/>
    </row>
    <row r="60" spans="2:6" ht="12.75">
      <c r="B60" s="3"/>
      <c r="F60" s="62"/>
    </row>
    <row r="61" ht="12.75">
      <c r="F61" s="62"/>
    </row>
    <row r="62" ht="12.75">
      <c r="F62" s="62"/>
    </row>
    <row r="63" ht="12.75">
      <c r="F63" s="62"/>
    </row>
  </sheetData>
  <sheetProtection/>
  <mergeCells count="3">
    <mergeCell ref="J2:L2"/>
    <mergeCell ref="O12:P12"/>
    <mergeCell ref="O2:T2"/>
  </mergeCells>
  <printOptions horizontalCentered="1"/>
  <pageMargins left="0" right="0" top="0.5" bottom="0.5" header="0" footer="0"/>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A1:T94"/>
  <sheetViews>
    <sheetView tabSelected="1" zoomScalePageLayoutView="0" workbookViewId="0" topLeftCell="A1">
      <pane ySplit="11" topLeftCell="A30" activePane="bottomLeft" state="frozen"/>
      <selection pane="topLeft" activeCell="E40" sqref="E40"/>
      <selection pane="bottomLeft" activeCell="G48" sqref="G48"/>
    </sheetView>
  </sheetViews>
  <sheetFormatPr defaultColWidth="9.140625" defaultRowHeight="12.75"/>
  <cols>
    <col min="1" max="1" width="5.00390625" style="0" customWidth="1"/>
    <col min="2" max="2" width="4.00390625" style="0" customWidth="1"/>
    <col min="3" max="3" width="0.5625" style="0" customWidth="1"/>
    <col min="4" max="4" width="56.7109375" style="0" customWidth="1"/>
    <col min="5" max="5" width="0.5625" style="0" customWidth="1"/>
    <col min="6" max="7" width="15.7109375" style="0" customWidth="1"/>
    <col min="8" max="8" width="8.7109375" style="0" customWidth="1"/>
    <col min="9" max="9" width="3.7109375" style="0" customWidth="1"/>
    <col min="11" max="11" width="10.28125" style="0" bestFit="1" customWidth="1"/>
    <col min="12" max="12" width="11.8515625" style="0" bestFit="1" customWidth="1"/>
    <col min="13" max="13" width="2.28125" style="0" customWidth="1"/>
    <col min="14" max="14" width="10.140625" style="0" customWidth="1"/>
    <col min="15" max="15" width="9.28125" style="0" bestFit="1" customWidth="1"/>
    <col min="16" max="16" width="11.140625" style="0" bestFit="1" customWidth="1"/>
    <col min="17" max="17" width="2.28125" style="0" customWidth="1"/>
  </cols>
  <sheetData>
    <row r="1" spans="4:12" ht="12.75">
      <c r="D1" s="151"/>
      <c r="I1" s="135"/>
      <c r="J1" s="548" t="s">
        <v>16</v>
      </c>
      <c r="K1" s="547"/>
      <c r="L1" s="547"/>
    </row>
    <row r="2" spans="4:9" ht="12.75">
      <c r="D2" s="151"/>
      <c r="G2" t="s">
        <v>16</v>
      </c>
      <c r="I2" s="135"/>
    </row>
    <row r="3" spans="9:19" ht="12.75">
      <c r="I3" s="135"/>
      <c r="K3" s="148" t="s">
        <v>863</v>
      </c>
      <c r="O3" s="148" t="s">
        <v>863</v>
      </c>
      <c r="S3" s="148" t="s">
        <v>863</v>
      </c>
    </row>
    <row r="4" spans="3:19" ht="12.75">
      <c r="C4" s="1"/>
      <c r="D4" s="1" t="s">
        <v>381</v>
      </c>
      <c r="I4" s="135"/>
      <c r="K4" s="148" t="s">
        <v>865</v>
      </c>
      <c r="O4" s="148" t="s">
        <v>865</v>
      </c>
      <c r="S4" s="148" t="s">
        <v>865</v>
      </c>
    </row>
    <row r="5" spans="3:19" ht="12.75">
      <c r="C5" s="1"/>
      <c r="D5" s="1" t="s">
        <v>22</v>
      </c>
      <c r="I5" s="135"/>
      <c r="K5" s="148" t="s">
        <v>864</v>
      </c>
      <c r="O5" s="148" t="s">
        <v>864</v>
      </c>
      <c r="S5" s="148" t="s">
        <v>864</v>
      </c>
    </row>
    <row r="6" spans="3:19" ht="12.75">
      <c r="C6" s="1"/>
      <c r="D6" s="3"/>
      <c r="I6" s="135"/>
      <c r="K6" s="148" t="s">
        <v>763</v>
      </c>
      <c r="O6" s="148" t="s">
        <v>71</v>
      </c>
      <c r="S6" s="148" t="s">
        <v>475</v>
      </c>
    </row>
    <row r="7" ht="12.75">
      <c r="I7" s="135"/>
    </row>
    <row r="8" spans="4:19" ht="12.75">
      <c r="D8" s="192" t="str">
        <f>'ES 1.0'!E7</f>
        <v>For the Expense Month of October 2013</v>
      </c>
      <c r="I8" s="135"/>
      <c r="J8" s="267"/>
      <c r="K8" s="437" t="s">
        <v>70</v>
      </c>
      <c r="N8" s="267"/>
      <c r="O8" s="437" t="s">
        <v>477</v>
      </c>
      <c r="R8" s="267"/>
      <c r="S8" s="437" t="s">
        <v>762</v>
      </c>
    </row>
    <row r="9" spans="2:19" ht="12.75">
      <c r="B9" s="466"/>
      <c r="C9" s="466"/>
      <c r="D9" s="466"/>
      <c r="E9" s="467"/>
      <c r="I9" s="135"/>
      <c r="K9" s="173" t="s">
        <v>69</v>
      </c>
      <c r="O9" s="173" t="s">
        <v>478</v>
      </c>
      <c r="S9" s="173" t="s">
        <v>69</v>
      </c>
    </row>
    <row r="10" spans="2:19" ht="13.5" thickBot="1">
      <c r="B10" s="466"/>
      <c r="C10" s="466"/>
      <c r="D10" s="466"/>
      <c r="E10" s="467"/>
      <c r="I10" s="135"/>
      <c r="K10" s="173" t="s">
        <v>760</v>
      </c>
      <c r="O10" s="173" t="s">
        <v>476</v>
      </c>
      <c r="S10" s="173" t="s">
        <v>476</v>
      </c>
    </row>
    <row r="11" spans="2:19" ht="13.5" thickBot="1">
      <c r="B11" s="485"/>
      <c r="C11" s="486"/>
      <c r="D11" s="488"/>
      <c r="E11" s="490"/>
      <c r="F11" s="114"/>
      <c r="G11" s="114"/>
      <c r="H11" s="29"/>
      <c r="I11" s="135"/>
      <c r="K11" s="173" t="s">
        <v>761</v>
      </c>
      <c r="O11" s="173" t="s">
        <v>608</v>
      </c>
      <c r="S11" s="173" t="s">
        <v>479</v>
      </c>
    </row>
    <row r="12" spans="2:9" ht="12.75">
      <c r="B12" s="538"/>
      <c r="C12" s="487"/>
      <c r="D12" s="489"/>
      <c r="E12" s="491"/>
      <c r="F12" s="7"/>
      <c r="G12" s="7"/>
      <c r="H12" s="11"/>
      <c r="I12" s="135"/>
    </row>
    <row r="13" spans="2:20" ht="12.75">
      <c r="B13" s="345"/>
      <c r="C13" s="20"/>
      <c r="D13" s="177" t="s">
        <v>934</v>
      </c>
      <c r="E13" s="20"/>
      <c r="F13" s="15"/>
      <c r="G13" s="15"/>
      <c r="H13" s="11"/>
      <c r="I13" s="135"/>
      <c r="J13" s="290" t="s">
        <v>854</v>
      </c>
      <c r="K13" s="3">
        <v>2011</v>
      </c>
      <c r="L13" s="269">
        <v>31699</v>
      </c>
      <c r="N13" s="290" t="s">
        <v>854</v>
      </c>
      <c r="O13" s="3">
        <v>2012</v>
      </c>
      <c r="P13" s="495">
        <v>21113</v>
      </c>
      <c r="R13" s="290" t="s">
        <v>854</v>
      </c>
      <c r="S13" s="3">
        <v>2013</v>
      </c>
      <c r="T13" s="495">
        <v>39266</v>
      </c>
    </row>
    <row r="14" spans="2:20" ht="12.75">
      <c r="B14" s="539">
        <f>+B13+1</f>
        <v>1</v>
      </c>
      <c r="C14" s="20"/>
      <c r="D14" s="11" t="s">
        <v>796</v>
      </c>
      <c r="E14" s="20"/>
      <c r="F14" s="526">
        <v>39266</v>
      </c>
      <c r="G14" s="89"/>
      <c r="H14" s="122"/>
      <c r="I14" s="135"/>
      <c r="J14" s="290" t="s">
        <v>855</v>
      </c>
      <c r="K14" s="3">
        <v>2011</v>
      </c>
      <c r="L14" s="269">
        <v>31699</v>
      </c>
      <c r="N14" s="290" t="s">
        <v>855</v>
      </c>
      <c r="O14" s="3">
        <v>2012</v>
      </c>
      <c r="P14" s="495">
        <v>21113</v>
      </c>
      <c r="R14" s="290" t="s">
        <v>855</v>
      </c>
      <c r="S14" s="3">
        <v>2013</v>
      </c>
      <c r="T14" s="495">
        <v>39266</v>
      </c>
    </row>
    <row r="15" spans="2:20" ht="26.25">
      <c r="B15" s="539">
        <f>+B14+1</f>
        <v>2</v>
      </c>
      <c r="C15" s="20"/>
      <c r="D15" s="13" t="s">
        <v>672</v>
      </c>
      <c r="E15" s="20"/>
      <c r="F15" s="89">
        <f>+'3.14 P2'!G47</f>
        <v>126382</v>
      </c>
      <c r="G15" s="89"/>
      <c r="H15" s="122"/>
      <c r="I15" s="135"/>
      <c r="J15" s="290" t="s">
        <v>856</v>
      </c>
      <c r="K15" s="3">
        <v>2011</v>
      </c>
      <c r="L15" s="269">
        <v>31699</v>
      </c>
      <c r="N15" s="290" t="s">
        <v>856</v>
      </c>
      <c r="O15" s="3">
        <v>2012</v>
      </c>
      <c r="P15" s="495">
        <v>21113</v>
      </c>
      <c r="R15" s="290" t="s">
        <v>856</v>
      </c>
      <c r="S15" s="3">
        <v>2013</v>
      </c>
      <c r="T15" s="495">
        <v>39266</v>
      </c>
    </row>
    <row r="16" spans="2:20" ht="12.75">
      <c r="B16" s="539">
        <f>+B15+1</f>
        <v>3</v>
      </c>
      <c r="C16" s="20"/>
      <c r="D16" s="11" t="s">
        <v>933</v>
      </c>
      <c r="E16" s="20"/>
      <c r="F16" s="188">
        <f>+'ES 3.11'!J31+'ES 3.11'!J29</f>
        <v>149044</v>
      </c>
      <c r="G16" s="89"/>
      <c r="H16" s="122"/>
      <c r="I16" s="135"/>
      <c r="J16" s="290" t="s">
        <v>857</v>
      </c>
      <c r="K16" s="3">
        <v>2011</v>
      </c>
      <c r="L16" s="269">
        <v>31699</v>
      </c>
      <c r="N16" s="290" t="s">
        <v>857</v>
      </c>
      <c r="O16" s="3">
        <v>2012</v>
      </c>
      <c r="P16" s="495">
        <v>21113</v>
      </c>
      <c r="R16" s="290" t="s">
        <v>857</v>
      </c>
      <c r="S16" s="3">
        <v>2013</v>
      </c>
      <c r="T16" s="495">
        <v>39266</v>
      </c>
    </row>
    <row r="17" spans="2:20" ht="12.75">
      <c r="B17" s="539">
        <f>+B16+1</f>
        <v>4</v>
      </c>
      <c r="C17" s="20"/>
      <c r="D17" s="29" t="s">
        <v>10</v>
      </c>
      <c r="E17" s="20"/>
      <c r="F17" s="87"/>
      <c r="G17" s="87">
        <f>+F14+F15+F16</f>
        <v>314692</v>
      </c>
      <c r="H17" s="12"/>
      <c r="I17" s="135"/>
      <c r="J17" s="290" t="s">
        <v>858</v>
      </c>
      <c r="K17" s="3">
        <v>2011</v>
      </c>
      <c r="L17" s="269">
        <v>31699</v>
      </c>
      <c r="N17" s="290" t="s">
        <v>858</v>
      </c>
      <c r="O17" s="3">
        <v>2012</v>
      </c>
      <c r="P17" s="495">
        <v>21113</v>
      </c>
      <c r="R17" s="290" t="s">
        <v>858</v>
      </c>
      <c r="S17" s="3">
        <v>2013</v>
      </c>
      <c r="T17" s="495">
        <v>39266</v>
      </c>
    </row>
    <row r="18" spans="2:20" ht="12.75">
      <c r="B18" s="539"/>
      <c r="C18" s="20"/>
      <c r="D18" s="11"/>
      <c r="E18" s="20"/>
      <c r="F18" s="87"/>
      <c r="G18" s="87"/>
      <c r="H18" s="12"/>
      <c r="I18" s="135"/>
      <c r="J18" s="290" t="s">
        <v>859</v>
      </c>
      <c r="K18" s="3">
        <v>2011</v>
      </c>
      <c r="L18" s="297">
        <v>31701</v>
      </c>
      <c r="N18" s="290" t="s">
        <v>859</v>
      </c>
      <c r="O18" s="3">
        <v>2012</v>
      </c>
      <c r="P18" s="516">
        <v>130032</v>
      </c>
      <c r="R18" s="290" t="s">
        <v>859</v>
      </c>
      <c r="S18" s="3">
        <v>2013</v>
      </c>
      <c r="T18" s="516">
        <v>0</v>
      </c>
    </row>
    <row r="19" spans="2:20" ht="12.75">
      <c r="B19" s="539"/>
      <c r="C19" s="20"/>
      <c r="D19" s="177" t="s">
        <v>935</v>
      </c>
      <c r="E19" s="20"/>
      <c r="F19" s="87"/>
      <c r="G19" s="87"/>
      <c r="H19" s="12"/>
      <c r="I19" s="135"/>
      <c r="J19" s="33"/>
      <c r="K19" s="3"/>
      <c r="L19" s="269"/>
      <c r="N19" s="33"/>
      <c r="O19" s="3"/>
      <c r="P19" s="515"/>
      <c r="R19" s="33"/>
      <c r="S19" s="3"/>
      <c r="T19" s="515"/>
    </row>
    <row r="20" spans="2:20" ht="12.75">
      <c r="B20" s="539">
        <f>+B17+1</f>
        <v>5</v>
      </c>
      <c r="C20" s="20"/>
      <c r="D20" s="11" t="s">
        <v>936</v>
      </c>
      <c r="E20" s="20"/>
      <c r="F20" s="89">
        <v>0</v>
      </c>
      <c r="G20" s="89"/>
      <c r="H20" s="122"/>
      <c r="I20" s="135"/>
      <c r="J20" s="33" t="s">
        <v>849</v>
      </c>
      <c r="K20" s="3">
        <v>2012</v>
      </c>
      <c r="L20" s="509">
        <v>10527</v>
      </c>
      <c r="N20" s="33" t="s">
        <v>849</v>
      </c>
      <c r="O20" s="3">
        <v>2013</v>
      </c>
      <c r="P20" s="495">
        <v>39266</v>
      </c>
      <c r="R20" s="33" t="s">
        <v>849</v>
      </c>
      <c r="S20" s="3">
        <v>2014</v>
      </c>
      <c r="T20" s="495">
        <v>0</v>
      </c>
    </row>
    <row r="21" spans="2:20" ht="12.75">
      <c r="B21" s="539">
        <f aca="true" t="shared" si="0" ref="B21:B26">+B20+1</f>
        <v>6</v>
      </c>
      <c r="C21" s="20"/>
      <c r="D21" s="237" t="s">
        <v>937</v>
      </c>
      <c r="E21" s="20"/>
      <c r="F21" s="526">
        <v>130.85</v>
      </c>
      <c r="G21" s="87"/>
      <c r="H21" s="12"/>
      <c r="I21" s="135"/>
      <c r="J21" s="33" t="s">
        <v>850</v>
      </c>
      <c r="K21" s="3">
        <v>2012</v>
      </c>
      <c r="L21" s="509">
        <v>10527</v>
      </c>
      <c r="N21" s="33" t="s">
        <v>850</v>
      </c>
      <c r="O21" s="3">
        <v>2013</v>
      </c>
      <c r="P21" s="495">
        <v>39266</v>
      </c>
      <c r="R21" s="33" t="s">
        <v>850</v>
      </c>
      <c r="S21" s="3">
        <v>2014</v>
      </c>
      <c r="T21" s="495">
        <v>0</v>
      </c>
    </row>
    <row r="22" spans="2:20" ht="12.75">
      <c r="B22" s="539">
        <f t="shared" si="0"/>
        <v>7</v>
      </c>
      <c r="C22" s="20"/>
      <c r="D22" s="63" t="s">
        <v>0</v>
      </c>
      <c r="E22" s="20"/>
      <c r="F22" s="527">
        <v>0</v>
      </c>
      <c r="G22" s="87"/>
      <c r="H22" s="12"/>
      <c r="I22" s="135"/>
      <c r="J22" s="33" t="s">
        <v>851</v>
      </c>
      <c r="K22" s="3">
        <v>2012</v>
      </c>
      <c r="L22" s="509">
        <v>10527</v>
      </c>
      <c r="N22" s="33" t="s">
        <v>851</v>
      </c>
      <c r="O22" s="3">
        <v>2013</v>
      </c>
      <c r="P22" s="495">
        <v>39266</v>
      </c>
      <c r="R22" s="33" t="s">
        <v>851</v>
      </c>
      <c r="S22" s="3">
        <v>2014</v>
      </c>
      <c r="T22" s="495">
        <v>0</v>
      </c>
    </row>
    <row r="23" spans="2:20" ht="12.75">
      <c r="B23" s="539">
        <f t="shared" si="0"/>
        <v>8</v>
      </c>
      <c r="C23" s="20"/>
      <c r="D23" s="11" t="s">
        <v>1</v>
      </c>
      <c r="E23" s="20"/>
      <c r="F23" s="89">
        <f>+'ES 3.12 A'!H25+'ES 3.12 A'!H26+'ES 3.12 B'!H27</f>
        <v>971</v>
      </c>
      <c r="G23" s="87"/>
      <c r="H23" s="12"/>
      <c r="I23" s="135"/>
      <c r="J23" s="33" t="s">
        <v>852</v>
      </c>
      <c r="K23" s="3">
        <v>2012</v>
      </c>
      <c r="L23" s="509">
        <v>10527</v>
      </c>
      <c r="N23" s="33" t="s">
        <v>852</v>
      </c>
      <c r="O23" s="3">
        <v>2013</v>
      </c>
      <c r="P23" s="495">
        <v>39266</v>
      </c>
      <c r="R23" s="33" t="s">
        <v>852</v>
      </c>
      <c r="S23" s="3">
        <v>2014</v>
      </c>
      <c r="T23" s="495">
        <v>0</v>
      </c>
    </row>
    <row r="24" spans="2:20" ht="12.75">
      <c r="B24" s="539">
        <f t="shared" si="0"/>
        <v>9</v>
      </c>
      <c r="C24" s="20"/>
      <c r="D24" s="237" t="s">
        <v>284</v>
      </c>
      <c r="E24" s="20"/>
      <c r="F24" s="90">
        <f>+'SC 165 &amp; 175'!J24+'SC 165 &amp; 175'!J27</f>
        <v>105.15</v>
      </c>
      <c r="G24" s="87"/>
      <c r="H24" s="12"/>
      <c r="I24" s="135"/>
      <c r="J24" s="33" t="s">
        <v>840</v>
      </c>
      <c r="K24" s="3">
        <v>2012</v>
      </c>
      <c r="L24" s="509">
        <v>10527</v>
      </c>
      <c r="N24" s="33" t="s">
        <v>840</v>
      </c>
      <c r="O24" s="3">
        <v>2013</v>
      </c>
      <c r="P24" s="495">
        <v>39266</v>
      </c>
      <c r="R24" s="33" t="s">
        <v>840</v>
      </c>
      <c r="S24" s="3">
        <v>2014</v>
      </c>
      <c r="T24" s="495">
        <v>0</v>
      </c>
    </row>
    <row r="25" spans="2:20" ht="12.75">
      <c r="B25" s="539">
        <f t="shared" si="0"/>
        <v>10</v>
      </c>
      <c r="C25" s="20"/>
      <c r="D25" s="237" t="s">
        <v>285</v>
      </c>
      <c r="E25" s="20"/>
      <c r="F25" s="286">
        <f>+'SC 165 &amp; 175'!J21+'SC 165 &amp; 175'!J28</f>
        <v>27375.129999999997</v>
      </c>
      <c r="G25" s="87"/>
      <c r="H25" s="12"/>
      <c r="I25" s="135"/>
      <c r="J25" s="33" t="s">
        <v>853</v>
      </c>
      <c r="K25" s="3">
        <v>2012</v>
      </c>
      <c r="L25" s="509">
        <v>10527</v>
      </c>
      <c r="N25" s="33" t="s">
        <v>853</v>
      </c>
      <c r="O25" s="3">
        <v>2013</v>
      </c>
      <c r="P25" s="495">
        <v>39266</v>
      </c>
      <c r="R25" s="33" t="s">
        <v>853</v>
      </c>
      <c r="S25" s="3">
        <v>2014</v>
      </c>
      <c r="T25" s="495">
        <v>0</v>
      </c>
    </row>
    <row r="26" spans="2:20" ht="12.75">
      <c r="B26" s="539">
        <f t="shared" si="0"/>
        <v>11</v>
      </c>
      <c r="C26" s="20"/>
      <c r="D26" s="29" t="s">
        <v>2</v>
      </c>
      <c r="E26" s="20"/>
      <c r="F26" s="89"/>
      <c r="G26" s="189">
        <f>+F20+F21+F22+F23+F24+F25</f>
        <v>28582.129999999997</v>
      </c>
      <c r="H26" s="194"/>
      <c r="I26" s="135"/>
      <c r="J26" s="33"/>
      <c r="K26" s="3"/>
      <c r="L26" s="269"/>
      <c r="N26" s="33"/>
      <c r="O26" s="3"/>
      <c r="P26" s="269"/>
      <c r="R26" s="33"/>
      <c r="S26" s="3"/>
      <c r="T26" s="269"/>
    </row>
    <row r="27" spans="2:9" ht="12.75">
      <c r="B27" s="539"/>
      <c r="C27" s="20"/>
      <c r="D27" s="11"/>
      <c r="E27" s="20"/>
      <c r="F27" s="89"/>
      <c r="G27" s="170"/>
      <c r="H27" s="163"/>
      <c r="I27" s="135"/>
    </row>
    <row r="28" spans="2:20" ht="12.75">
      <c r="B28" s="539">
        <f>B26+1</f>
        <v>12</v>
      </c>
      <c r="C28" s="20"/>
      <c r="D28" s="513" t="s">
        <v>563</v>
      </c>
      <c r="E28" s="20"/>
      <c r="F28" s="89"/>
      <c r="G28" s="170"/>
      <c r="H28" s="163"/>
      <c r="I28" s="135"/>
      <c r="J28" s="147"/>
      <c r="K28" s="147" t="s">
        <v>848</v>
      </c>
      <c r="L28" s="149">
        <f>SUM(L12:L27)</f>
        <v>253358</v>
      </c>
      <c r="N28" s="147"/>
      <c r="O28" s="147" t="s">
        <v>848</v>
      </c>
      <c r="P28" s="149">
        <f>SUM(P12:P27)</f>
        <v>471193</v>
      </c>
      <c r="R28" s="147"/>
      <c r="S28" s="147" t="s">
        <v>848</v>
      </c>
      <c r="T28" s="149">
        <f>SUM(T12:T27)</f>
        <v>196330</v>
      </c>
    </row>
    <row r="29" spans="2:9" ht="12.75">
      <c r="B29" s="539">
        <f>B28+1</f>
        <v>13</v>
      </c>
      <c r="C29" s="20"/>
      <c r="D29" s="372" t="s">
        <v>564</v>
      </c>
      <c r="E29" s="20"/>
      <c r="F29" s="89"/>
      <c r="G29" s="188">
        <f>'ES 3.20'!H26*0.15</f>
        <v>2343.75</v>
      </c>
      <c r="H29" s="163"/>
      <c r="I29" s="135"/>
    </row>
    <row r="30" spans="2:20" ht="12.75">
      <c r="B30" s="539"/>
      <c r="C30" s="20"/>
      <c r="D30" s="11"/>
      <c r="E30" s="20"/>
      <c r="F30" s="89"/>
      <c r="G30" s="170"/>
      <c r="H30" s="163"/>
      <c r="I30" s="135"/>
      <c r="K30" s="410" t="s">
        <v>654</v>
      </c>
      <c r="L30" s="149">
        <f>253358-L28</f>
        <v>0</v>
      </c>
      <c r="O30" s="410" t="s">
        <v>654</v>
      </c>
      <c r="P30" s="149">
        <v>0</v>
      </c>
      <c r="S30" s="410" t="s">
        <v>654</v>
      </c>
      <c r="T30" s="149">
        <v>0</v>
      </c>
    </row>
    <row r="31" spans="2:9" ht="12.75">
      <c r="B31" s="539">
        <f>B29+1</f>
        <v>14</v>
      </c>
      <c r="C31" s="20"/>
      <c r="D31" s="29" t="s">
        <v>3</v>
      </c>
      <c r="E31" s="20"/>
      <c r="F31" s="116"/>
      <c r="G31" s="97">
        <f>+G17+G26+G29</f>
        <v>345617.88</v>
      </c>
      <c r="H31" s="145"/>
      <c r="I31" s="135"/>
    </row>
    <row r="32" spans="2:12" ht="12.75">
      <c r="B32" s="539"/>
      <c r="C32" s="20"/>
      <c r="D32" s="29"/>
      <c r="E32" s="20"/>
      <c r="F32" s="116"/>
      <c r="G32" s="97"/>
      <c r="H32" s="195"/>
      <c r="I32" s="135"/>
      <c r="L32" s="62"/>
    </row>
    <row r="33" spans="2:16" ht="12.75">
      <c r="B33" s="539">
        <f>+B31+1</f>
        <v>15</v>
      </c>
      <c r="C33" s="20"/>
      <c r="D33" s="11" t="s">
        <v>904</v>
      </c>
      <c r="E33" s="20"/>
      <c r="F33" s="116"/>
      <c r="G33" s="187">
        <f>ROUND(G31/8,0)</f>
        <v>43202</v>
      </c>
      <c r="H33" s="175"/>
      <c r="I33" s="135"/>
      <c r="P33" s="62"/>
    </row>
    <row r="34" spans="2:16" ht="12.75">
      <c r="B34" s="539">
        <f>+B33+1</f>
        <v>16</v>
      </c>
      <c r="C34" s="20"/>
      <c r="D34" s="517" t="s">
        <v>966</v>
      </c>
      <c r="E34" s="20"/>
      <c r="F34" s="116"/>
      <c r="G34" s="187">
        <v>61960</v>
      </c>
      <c r="H34" s="175"/>
      <c r="I34" s="135"/>
      <c r="P34" s="62"/>
    </row>
    <row r="35" spans="2:16" ht="12.75">
      <c r="B35" s="539">
        <f aca="true" t="shared" si="1" ref="B35:B44">+B34+1</f>
        <v>17</v>
      </c>
      <c r="C35" s="20"/>
      <c r="D35" s="517" t="s">
        <v>964</v>
      </c>
      <c r="E35" s="20"/>
      <c r="F35" s="116"/>
      <c r="G35" s="187">
        <v>65557</v>
      </c>
      <c r="H35" s="175"/>
      <c r="I35" s="135"/>
      <c r="P35" s="62"/>
    </row>
    <row r="36" spans="2:9" ht="12.75">
      <c r="B36" s="539">
        <f t="shared" si="1"/>
        <v>18</v>
      </c>
      <c r="C36" s="20"/>
      <c r="D36" s="517" t="s">
        <v>961</v>
      </c>
      <c r="E36" s="20"/>
      <c r="F36" s="171"/>
      <c r="G36" s="187">
        <v>62173</v>
      </c>
      <c r="H36" s="175"/>
      <c r="I36" s="135"/>
    </row>
    <row r="37" spans="2:9" ht="12.75">
      <c r="B37" s="539">
        <f t="shared" si="1"/>
        <v>19</v>
      </c>
      <c r="C37" s="20"/>
      <c r="D37" s="11" t="s">
        <v>952</v>
      </c>
      <c r="E37" s="20"/>
      <c r="F37" s="171"/>
      <c r="G37" s="187">
        <v>43265</v>
      </c>
      <c r="H37" s="175"/>
      <c r="I37" s="135"/>
    </row>
    <row r="38" spans="2:9" ht="12.75">
      <c r="B38" s="539">
        <f t="shared" si="1"/>
        <v>20</v>
      </c>
      <c r="C38" s="20"/>
      <c r="D38" s="517" t="s">
        <v>946</v>
      </c>
      <c r="E38" s="20"/>
      <c r="F38" s="171"/>
      <c r="G38" s="543">
        <v>51416</v>
      </c>
      <c r="H38" s="175"/>
      <c r="I38" s="135"/>
    </row>
    <row r="39" spans="2:9" ht="12.75">
      <c r="B39" s="539">
        <f t="shared" si="1"/>
        <v>21</v>
      </c>
      <c r="C39" s="20"/>
      <c r="D39" s="517" t="s">
        <v>945</v>
      </c>
      <c r="E39" s="20"/>
      <c r="F39" s="171"/>
      <c r="G39" s="543">
        <v>171818</v>
      </c>
      <c r="H39" s="175"/>
      <c r="I39" s="135"/>
    </row>
    <row r="40" spans="2:9" ht="12.75">
      <c r="B40" s="539">
        <f t="shared" si="1"/>
        <v>22</v>
      </c>
      <c r="C40" s="20"/>
      <c r="D40" s="11" t="s">
        <v>941</v>
      </c>
      <c r="E40" s="20"/>
      <c r="F40" s="171"/>
      <c r="G40" s="543">
        <v>205874</v>
      </c>
      <c r="H40" s="175"/>
      <c r="I40" s="135"/>
    </row>
    <row r="41" spans="2:9" ht="12.75">
      <c r="B41" s="539">
        <f t="shared" si="1"/>
        <v>23</v>
      </c>
      <c r="C41" s="20"/>
      <c r="D41" s="11" t="s">
        <v>940</v>
      </c>
      <c r="E41" s="20"/>
      <c r="F41" s="171"/>
      <c r="G41" s="543">
        <v>167717</v>
      </c>
      <c r="H41" s="175"/>
      <c r="I41" s="135"/>
    </row>
    <row r="42" spans="2:9" ht="12.75">
      <c r="B42" s="539">
        <f t="shared" si="1"/>
        <v>24</v>
      </c>
      <c r="C42" s="20"/>
      <c r="D42" s="11" t="s">
        <v>189</v>
      </c>
      <c r="E42" s="20"/>
      <c r="F42" s="171"/>
      <c r="G42" s="543">
        <v>213539</v>
      </c>
      <c r="H42" s="175"/>
      <c r="I42" s="135"/>
    </row>
    <row r="43" spans="2:9" ht="12.75">
      <c r="B43" s="539">
        <f t="shared" si="1"/>
        <v>25</v>
      </c>
      <c r="C43" s="20"/>
      <c r="D43" s="517" t="s">
        <v>967</v>
      </c>
      <c r="E43" s="20"/>
      <c r="F43" s="171"/>
      <c r="G43" s="543">
        <v>100045</v>
      </c>
      <c r="H43" s="175"/>
      <c r="I43" s="135"/>
    </row>
    <row r="44" spans="2:9" ht="12.75">
      <c r="B44" s="539">
        <f t="shared" si="1"/>
        <v>26</v>
      </c>
      <c r="C44" s="20"/>
      <c r="D44" s="11" t="s">
        <v>644</v>
      </c>
      <c r="E44" s="20"/>
      <c r="F44" s="171"/>
      <c r="G44" s="187">
        <v>35138</v>
      </c>
      <c r="H44" s="175"/>
      <c r="I44" s="135"/>
    </row>
    <row r="45" spans="2:9" ht="12.75">
      <c r="B45" s="540" t="s">
        <v>136</v>
      </c>
      <c r="C45" s="20"/>
      <c r="D45" s="11"/>
      <c r="E45" s="20"/>
      <c r="F45" s="171"/>
      <c r="G45" s="187"/>
      <c r="H45" s="175"/>
      <c r="I45" s="135"/>
    </row>
    <row r="46" spans="2:9" ht="12.75">
      <c r="B46" s="540" t="s">
        <v>136</v>
      </c>
      <c r="C46" s="20"/>
      <c r="D46" s="11"/>
      <c r="E46" s="20"/>
      <c r="F46" s="171"/>
      <c r="G46" s="189"/>
      <c r="H46" s="175"/>
      <c r="I46" s="135"/>
    </row>
    <row r="47" spans="2:9" ht="12.75">
      <c r="B47" s="540" t="s">
        <v>136</v>
      </c>
      <c r="C47" s="20"/>
      <c r="D47" s="11"/>
      <c r="E47" s="20"/>
      <c r="F47" s="171"/>
      <c r="G47" s="187"/>
      <c r="H47" s="175"/>
      <c r="I47" s="135"/>
    </row>
    <row r="48" spans="2:9" ht="13.5" thickBot="1">
      <c r="B48" s="539">
        <f>+B44+1</f>
        <v>27</v>
      </c>
      <c r="C48" s="21"/>
      <c r="D48" s="102" t="s">
        <v>565</v>
      </c>
      <c r="E48" s="20"/>
      <c r="F48" s="171"/>
      <c r="G48" s="514">
        <f>SUM(G33:G47)</f>
        <v>1221704</v>
      </c>
      <c r="H48" s="12"/>
      <c r="I48" s="135"/>
    </row>
    <row r="49" spans="2:9" ht="13.5" thickBot="1">
      <c r="B49" s="346"/>
      <c r="C49" s="541"/>
      <c r="D49" s="16"/>
      <c r="E49" s="21"/>
      <c r="F49" s="117"/>
      <c r="G49" s="117"/>
      <c r="I49" s="135"/>
    </row>
    <row r="50" spans="9:16" ht="12.75">
      <c r="I50" s="135"/>
      <c r="L50" s="509"/>
      <c r="N50" s="33"/>
      <c r="P50" s="509"/>
    </row>
    <row r="51" spans="9:16" ht="12.75">
      <c r="I51" s="135"/>
      <c r="L51" s="509"/>
      <c r="N51" s="33"/>
      <c r="P51" s="509"/>
    </row>
    <row r="52" spans="4:16" ht="12.75">
      <c r="D52" t="s">
        <v>566</v>
      </c>
      <c r="I52" s="135"/>
      <c r="L52" s="509"/>
      <c r="N52" s="33"/>
      <c r="P52" s="509"/>
    </row>
    <row r="53" spans="9:18" ht="12.75">
      <c r="I53" s="135"/>
      <c r="L53" s="509"/>
      <c r="N53" s="33"/>
      <c r="P53" s="509"/>
      <c r="R53" s="509"/>
    </row>
    <row r="54" spans="9:18" ht="12.75">
      <c r="I54" s="135"/>
      <c r="L54" s="509"/>
      <c r="N54" s="33"/>
      <c r="P54" s="509"/>
      <c r="R54" s="509"/>
    </row>
    <row r="55" spans="9:18" ht="12.75">
      <c r="I55" s="135"/>
      <c r="L55" s="509"/>
      <c r="N55" s="33"/>
      <c r="P55" s="509"/>
      <c r="R55" s="509"/>
    </row>
    <row r="56" spans="9:18" ht="12.75">
      <c r="I56" s="135"/>
      <c r="L56" s="509"/>
      <c r="N56" s="290"/>
      <c r="P56" s="509"/>
      <c r="R56" s="509"/>
    </row>
    <row r="57" spans="9:18" ht="12.75">
      <c r="I57" s="135"/>
      <c r="L57" s="509"/>
      <c r="N57" s="290"/>
      <c r="P57" s="509"/>
      <c r="R57" s="509"/>
    </row>
    <row r="58" spans="9:18" ht="12.75">
      <c r="I58" s="135"/>
      <c r="L58" s="509"/>
      <c r="N58" s="290"/>
      <c r="P58" s="509"/>
      <c r="R58" s="509"/>
    </row>
    <row r="59" spans="9:18" ht="12.75">
      <c r="I59" s="135"/>
      <c r="L59" s="509"/>
      <c r="N59" s="290"/>
      <c r="P59" s="509"/>
      <c r="R59" s="509"/>
    </row>
    <row r="60" spans="9:18" ht="12.75">
      <c r="I60" s="135"/>
      <c r="L60" s="509"/>
      <c r="N60" s="290"/>
      <c r="P60" s="509"/>
      <c r="R60" s="509"/>
    </row>
    <row r="61" spans="9:18" ht="12.75">
      <c r="I61" s="135"/>
      <c r="L61" s="509"/>
      <c r="N61" s="290"/>
      <c r="P61" s="509"/>
      <c r="R61" s="509"/>
    </row>
    <row r="62" spans="9:18" ht="12.75">
      <c r="I62" s="135"/>
      <c r="R62" s="509"/>
    </row>
    <row r="63" spans="9:18" ht="12.75">
      <c r="I63" s="135"/>
      <c r="R63" s="509"/>
    </row>
    <row r="64" spans="9:18" ht="12.75">
      <c r="I64" s="135"/>
      <c r="R64" s="509"/>
    </row>
    <row r="65" ht="12.75">
      <c r="I65" s="135"/>
    </row>
    <row r="66" ht="12.75">
      <c r="I66" s="135"/>
    </row>
    <row r="67" ht="12.75">
      <c r="I67" s="135"/>
    </row>
    <row r="71" spans="1:8" ht="12.75">
      <c r="A71" s="11"/>
      <c r="B71" s="11"/>
      <c r="C71" s="11"/>
      <c r="H71" s="11"/>
    </row>
    <row r="72" spans="1:8" ht="12.75">
      <c r="A72" s="11"/>
      <c r="B72" s="196"/>
      <c r="C72" s="63"/>
      <c r="D72" s="11"/>
      <c r="E72" s="11"/>
      <c r="F72" s="11"/>
      <c r="G72" s="11"/>
      <c r="H72" s="29"/>
    </row>
    <row r="73" spans="1:8" ht="12.75">
      <c r="A73" s="11"/>
      <c r="B73" s="63"/>
      <c r="C73" s="63"/>
      <c r="D73" s="197"/>
      <c r="E73" s="63"/>
      <c r="F73" s="197"/>
      <c r="G73" s="29"/>
      <c r="H73" s="11"/>
    </row>
    <row r="74" spans="1:8" ht="12.75">
      <c r="A74" s="11"/>
      <c r="B74" s="63"/>
      <c r="C74" s="63"/>
      <c r="D74" s="63"/>
      <c r="E74" s="63"/>
      <c r="F74" s="63"/>
      <c r="G74" s="11"/>
      <c r="H74" s="11"/>
    </row>
    <row r="75" spans="1:8" ht="12.75">
      <c r="A75" s="11"/>
      <c r="B75" s="199"/>
      <c r="C75" s="63"/>
      <c r="D75" s="198"/>
      <c r="E75" s="63"/>
      <c r="F75" s="63"/>
      <c r="G75" s="11"/>
      <c r="H75" s="122"/>
    </row>
    <row r="76" spans="1:8" ht="12.75">
      <c r="A76" s="11"/>
      <c r="B76" s="199"/>
      <c r="C76" s="63"/>
      <c r="D76" s="63"/>
      <c r="E76" s="63"/>
      <c r="F76" s="200"/>
      <c r="G76" s="122"/>
      <c r="H76" s="122"/>
    </row>
    <row r="77" spans="1:8" ht="12.75">
      <c r="A77" s="11"/>
      <c r="B77" s="199"/>
      <c r="C77" s="63"/>
      <c r="D77" s="63"/>
      <c r="E77" s="63"/>
      <c r="F77" s="200"/>
      <c r="G77" s="122"/>
      <c r="H77" s="122"/>
    </row>
    <row r="78" spans="1:8" ht="12.75">
      <c r="A78" s="11"/>
      <c r="B78" s="199"/>
      <c r="C78" s="63"/>
      <c r="D78" s="63"/>
      <c r="E78" s="63"/>
      <c r="F78" s="201"/>
      <c r="G78" s="122"/>
      <c r="H78" s="12"/>
    </row>
    <row r="79" spans="1:8" ht="12.75">
      <c r="A79" s="11"/>
      <c r="B79" s="199"/>
      <c r="C79" s="63"/>
      <c r="D79" s="197"/>
      <c r="E79" s="63"/>
      <c r="F79" s="142"/>
      <c r="G79" s="12"/>
      <c r="H79" s="12"/>
    </row>
    <row r="80" spans="1:8" ht="12.75">
      <c r="A80" s="11"/>
      <c r="B80" s="199"/>
      <c r="C80" s="63"/>
      <c r="D80" s="63"/>
      <c r="E80" s="63"/>
      <c r="F80" s="142"/>
      <c r="G80" s="12"/>
      <c r="H80" s="12"/>
    </row>
    <row r="81" spans="1:8" ht="12.75">
      <c r="A81" s="11"/>
      <c r="B81" s="199"/>
      <c r="C81" s="63"/>
      <c r="D81" s="198"/>
      <c r="E81" s="63"/>
      <c r="F81" s="142"/>
      <c r="G81" s="12"/>
      <c r="H81" s="122"/>
    </row>
    <row r="82" spans="1:8" ht="12.75">
      <c r="A82" s="11"/>
      <c r="B82" s="199"/>
      <c r="C82" s="63"/>
      <c r="D82" s="63"/>
      <c r="E82" s="63"/>
      <c r="F82" s="200"/>
      <c r="G82" s="122"/>
      <c r="H82" s="12"/>
    </row>
    <row r="83" spans="1:8" ht="12.75">
      <c r="A83" s="11"/>
      <c r="B83" s="199"/>
      <c r="C83" s="63"/>
      <c r="D83" s="63"/>
      <c r="E83" s="63"/>
      <c r="F83" s="200"/>
      <c r="G83" s="12"/>
      <c r="H83" s="12"/>
    </row>
    <row r="84" spans="1:8" ht="12.75">
      <c r="A84" s="11"/>
      <c r="B84" s="199"/>
      <c r="C84" s="63"/>
      <c r="D84" s="63"/>
      <c r="E84" s="63"/>
      <c r="F84" s="200"/>
      <c r="G84" s="12"/>
      <c r="H84" s="12"/>
    </row>
    <row r="85" spans="1:8" ht="12.75">
      <c r="A85" s="11"/>
      <c r="B85" s="199"/>
      <c r="C85" s="63"/>
      <c r="D85" s="63"/>
      <c r="E85" s="63"/>
      <c r="F85" s="201"/>
      <c r="G85" s="12"/>
      <c r="H85" s="194"/>
    </row>
    <row r="86" spans="1:8" ht="12.75">
      <c r="A86" s="11"/>
      <c r="B86" s="199"/>
      <c r="C86" s="63"/>
      <c r="D86" s="63"/>
      <c r="E86" s="63"/>
      <c r="F86" s="200"/>
      <c r="G86" s="194"/>
      <c r="H86" s="163"/>
    </row>
    <row r="87" spans="1:8" ht="12.75">
      <c r="A87" s="11"/>
      <c r="B87" s="199"/>
      <c r="C87" s="63"/>
      <c r="D87" s="63"/>
      <c r="E87" s="63"/>
      <c r="F87" s="200"/>
      <c r="G87" s="163"/>
      <c r="H87" s="12"/>
    </row>
    <row r="88" spans="1:8" ht="12.75">
      <c r="A88" s="11"/>
      <c r="B88" s="199"/>
      <c r="C88" s="63"/>
      <c r="D88" s="197"/>
      <c r="E88" s="63"/>
      <c r="F88" s="202"/>
      <c r="G88" s="12"/>
      <c r="H88" s="195"/>
    </row>
    <row r="89" spans="1:8" ht="12.75">
      <c r="A89" s="11"/>
      <c r="B89" s="199"/>
      <c r="C89" s="63"/>
      <c r="D89" s="63"/>
      <c r="E89" s="63"/>
      <c r="F89" s="202"/>
      <c r="G89" s="195"/>
      <c r="H89" s="175"/>
    </row>
    <row r="90" spans="1:8" ht="12.75">
      <c r="A90" s="11"/>
      <c r="B90" s="63"/>
      <c r="C90" s="63"/>
      <c r="D90" s="63"/>
      <c r="E90" s="63"/>
      <c r="F90" s="203"/>
      <c r="G90" s="175"/>
      <c r="H90" s="12"/>
    </row>
    <row r="91" spans="1:8" ht="12.75">
      <c r="A91" s="11"/>
      <c r="B91" s="63"/>
      <c r="C91" s="63"/>
      <c r="D91" s="63"/>
      <c r="E91" s="63"/>
      <c r="F91" s="142"/>
      <c r="G91" s="12"/>
      <c r="H91" s="11"/>
    </row>
    <row r="92" spans="1:8" ht="12.75">
      <c r="A92" s="11"/>
      <c r="B92" s="11"/>
      <c r="C92" s="11"/>
      <c r="D92" s="63"/>
      <c r="E92" s="63"/>
      <c r="F92" s="63"/>
      <c r="G92" s="11"/>
      <c r="H92" s="11"/>
    </row>
    <row r="93" spans="1:8" ht="12.75">
      <c r="A93" s="11"/>
      <c r="B93" s="11"/>
      <c r="C93" s="11"/>
      <c r="D93" s="11"/>
      <c r="E93" s="11"/>
      <c r="F93" s="11"/>
      <c r="G93" s="11"/>
      <c r="H93" s="11"/>
    </row>
    <row r="94" spans="4:7" ht="12.75">
      <c r="D94" s="11"/>
      <c r="E94" s="11"/>
      <c r="F94" s="11"/>
      <c r="G94" s="11"/>
    </row>
  </sheetData>
  <sheetProtection/>
  <mergeCells count="1">
    <mergeCell ref="J1:L1"/>
  </mergeCells>
  <printOptions horizontalCentered="1"/>
  <pageMargins left="0" right="0" top="0.5" bottom="0.5" header="0.5" footer="0"/>
  <pageSetup horizontalDpi="300" verticalDpi="300" orientation="portrait" scale="9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AEP-Word-Excel-PowerPoint-Access-6-2-00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s767267</dc:creator>
  <cp:keywords/>
  <dc:description/>
  <cp:lastModifiedBy>AEP</cp:lastModifiedBy>
  <cp:lastPrinted>2013-11-18T17:18:22Z</cp:lastPrinted>
  <dcterms:created xsi:type="dcterms:W3CDTF">2002-05-13T18:35:45Z</dcterms:created>
  <dcterms:modified xsi:type="dcterms:W3CDTF">2015-01-22T20:25:02Z</dcterms:modified>
  <cp:category/>
  <cp:version/>
  <cp:contentType/>
  <cp:contentStatus/>
</cp:coreProperties>
</file>