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180" windowWidth="19230" windowHeight="6105" tabRatio="720"/>
  </bookViews>
  <sheets>
    <sheet name="P 1-2" sheetId="17" r:id="rId1"/>
    <sheet name="P3" sheetId="22" r:id="rId2"/>
    <sheet name="P4" sheetId="23" r:id="rId3"/>
    <sheet name="P 5" sheetId="8" r:id="rId4"/>
    <sheet name="P 6" sheetId="10" r:id="rId5"/>
    <sheet name="P 7" sheetId="9" r:id="rId6"/>
    <sheet name="P 8" sheetId="11" r:id="rId7"/>
    <sheet name="P 9 - 13 CFIT Schedules" sheetId="26" r:id="rId8"/>
    <sheet name="P 14" sheetId="18" r:id="rId9"/>
    <sheet name="P15" sheetId="20" r:id="rId10"/>
    <sheet name="P16" sheetId="19" r:id="rId11"/>
    <sheet name="P 17" sheetId="3" r:id="rId12"/>
    <sheet name="P 18" sheetId="2" r:id="rId13"/>
    <sheet name="P 19" sheetId="21" r:id="rId14"/>
  </sheets>
  <externalReferences>
    <externalReference r:id="rId15"/>
  </externalReferences>
  <definedNames>
    <definedName name="_xlnm.Print_Area" localSheetId="0">'P 1-2'!$A$1:$K$94</definedName>
    <definedName name="_xlnm.Print_Area" localSheetId="8">'P 14'!$A$1:$O$74</definedName>
    <definedName name="_xlnm.Print_Area" localSheetId="11">'P 17'!$A$1:$R$53</definedName>
    <definedName name="_xlnm.Print_Area" localSheetId="4">'P 6'!$A$1:$H$36</definedName>
    <definedName name="_xlnm.Print_Area" localSheetId="5">'P 7'!$A$1:$L$54</definedName>
    <definedName name="_xlnm.Print_Area" localSheetId="7">'P 9 - 13 CFIT Schedules'!$A$1:$N$291</definedName>
    <definedName name="_xlnm.Print_Titles" localSheetId="7">'P 9 - 13 CFIT Schedules'!$1:$13</definedName>
  </definedNames>
  <calcPr calcId="145621" iterate="1"/>
</workbook>
</file>

<file path=xl/calcChain.xml><?xml version="1.0" encoding="utf-8"?>
<calcChain xmlns="http://schemas.openxmlformats.org/spreadsheetml/2006/main">
  <c r="L54" i="9" l="1"/>
  <c r="J43" i="9"/>
  <c r="H43" i="9"/>
  <c r="J94" i="9"/>
  <c r="H94" i="9"/>
  <c r="H93" i="9"/>
  <c r="H96" i="9" s="1"/>
  <c r="H97" i="9" s="1"/>
  <c r="H95" i="9"/>
  <c r="F97" i="9"/>
  <c r="J96" i="9"/>
  <c r="J97" i="9" s="1"/>
  <c r="F96" i="9"/>
  <c r="F94" i="9"/>
  <c r="L94" i="9"/>
  <c r="L93" i="9"/>
  <c r="H9" i="9"/>
  <c r="J10" i="9"/>
  <c r="H10" i="9"/>
  <c r="H84" i="9"/>
  <c r="L84" i="9" s="1"/>
  <c r="H83" i="9"/>
  <c r="H82" i="9"/>
  <c r="H81" i="9"/>
  <c r="H80" i="9"/>
  <c r="H79" i="9"/>
  <c r="H78" i="9"/>
  <c r="H77" i="9"/>
  <c r="H76" i="9"/>
  <c r="H75" i="9"/>
  <c r="H74" i="9"/>
  <c r="H86" i="9"/>
  <c r="H85" i="9"/>
  <c r="L86" i="9"/>
  <c r="L85" i="9"/>
  <c r="F87" i="9"/>
  <c r="L83" i="9"/>
  <c r="L82" i="9"/>
  <c r="L81" i="9"/>
  <c r="L80" i="9"/>
  <c r="L79" i="9"/>
  <c r="L78" i="9"/>
  <c r="L77" i="9"/>
  <c r="L76" i="9"/>
  <c r="L75" i="9"/>
  <c r="L74" i="9"/>
  <c r="J87" i="9"/>
  <c r="J24" i="9"/>
  <c r="J16" i="9"/>
  <c r="J71" i="9"/>
  <c r="H71" i="9"/>
  <c r="H16" i="9" s="1"/>
  <c r="H70" i="9"/>
  <c r="H69" i="9"/>
  <c r="H67" i="9"/>
  <c r="H65" i="9"/>
  <c r="L65" i="9" s="1"/>
  <c r="H64" i="9"/>
  <c r="L64" i="9" s="1"/>
  <c r="H63" i="9"/>
  <c r="H61" i="9"/>
  <c r="L61" i="9" s="1"/>
  <c r="L70" i="9"/>
  <c r="L68" i="9"/>
  <c r="L67" i="9"/>
  <c r="L66" i="9"/>
  <c r="L63" i="9"/>
  <c r="L62" i="9"/>
  <c r="J60" i="9"/>
  <c r="H60" i="9"/>
  <c r="L60" i="9" s="1"/>
  <c r="L71" i="9" s="1"/>
  <c r="F69" i="9"/>
  <c r="L69" i="9" s="1"/>
  <c r="F67" i="9"/>
  <c r="H33" i="9"/>
  <c r="H34" i="9"/>
  <c r="L34" i="9" s="1"/>
  <c r="H35" i="9"/>
  <c r="H37" i="9" s="1"/>
  <c r="H17" i="9"/>
  <c r="H22" i="9"/>
  <c r="H11" i="9"/>
  <c r="L11" i="9" s="1"/>
  <c r="L43" i="9"/>
  <c r="L33" i="9"/>
  <c r="D6" i="9"/>
  <c r="F6" i="9" s="1"/>
  <c r="H6" i="9" s="1"/>
  <c r="J37" i="9"/>
  <c r="J25" i="9"/>
  <c r="L91" i="9" l="1"/>
  <c r="L95" i="9"/>
  <c r="L92" i="9"/>
  <c r="F71" i="9"/>
  <c r="L35" i="9"/>
  <c r="L37" i="9" s="1"/>
  <c r="L87" i="9"/>
  <c r="H87" i="9"/>
  <c r="H13" i="9"/>
  <c r="J13" i="9"/>
  <c r="H19" i="9"/>
  <c r="J19" i="9"/>
  <c r="J28" i="9" s="1"/>
  <c r="J6" i="9"/>
  <c r="L6" i="9" s="1"/>
  <c r="L89" i="22"/>
  <c r="L96" i="9" l="1"/>
  <c r="L97" i="9" s="1"/>
  <c r="J30" i="9"/>
  <c r="J40" i="9" s="1"/>
  <c r="J45" i="9" s="1"/>
  <c r="J47" i="9" s="1"/>
  <c r="J51" i="9" s="1"/>
  <c r="Q38" i="3"/>
  <c r="P38" i="3"/>
  <c r="O38" i="3"/>
  <c r="A25" i="8"/>
  <c r="A24" i="8"/>
  <c r="F19" i="23" l="1"/>
  <c r="F15" i="22" l="1"/>
  <c r="A36" i="22" l="1"/>
  <c r="A37" i="22" s="1"/>
  <c r="E240" i="26" l="1"/>
  <c r="F75" i="11" l="1"/>
  <c r="A75" i="11"/>
  <c r="A71" i="11"/>
  <c r="A72" i="11" s="1"/>
  <c r="A73" i="11" s="1"/>
  <c r="A69" i="11" l="1"/>
  <c r="A70" i="11" s="1"/>
  <c r="F32" i="11"/>
  <c r="F26" i="11"/>
  <c r="F37" i="9" l="1"/>
  <c r="F26" i="9"/>
  <c r="L26" i="9" s="1"/>
  <c r="F22" i="9"/>
  <c r="L22" i="9" s="1"/>
  <c r="F21" i="9"/>
  <c r="L21" i="9" s="1"/>
  <c r="F17" i="9"/>
  <c r="L17" i="9" s="1"/>
  <c r="E34" i="2"/>
  <c r="P34" i="2"/>
  <c r="R32" i="2"/>
  <c r="A34" i="2"/>
  <c r="A32" i="2"/>
  <c r="A31" i="2"/>
  <c r="F21" i="2"/>
  <c r="G21" i="2"/>
  <c r="H21" i="2"/>
  <c r="I21" i="2"/>
  <c r="J21" i="2"/>
  <c r="K21" i="2"/>
  <c r="L21" i="2"/>
  <c r="M21" i="2"/>
  <c r="N21" i="2"/>
  <c r="O21" i="2"/>
  <c r="P21" i="2"/>
  <c r="E21" i="2"/>
  <c r="F11" i="2"/>
  <c r="G11" i="2"/>
  <c r="H11" i="2"/>
  <c r="I11" i="2"/>
  <c r="J11" i="2"/>
  <c r="K11" i="2"/>
  <c r="L11" i="2"/>
  <c r="M11" i="2"/>
  <c r="N11" i="2"/>
  <c r="O11" i="2"/>
  <c r="P11" i="2"/>
  <c r="E11" i="2"/>
  <c r="A29" i="10"/>
  <c r="F7" i="2"/>
  <c r="G7" i="2"/>
  <c r="H7" i="2"/>
  <c r="I7" i="2"/>
  <c r="J7" i="2"/>
  <c r="K7" i="2"/>
  <c r="L7" i="2"/>
  <c r="M7" i="2"/>
  <c r="N7" i="2"/>
  <c r="O7" i="2"/>
  <c r="P7" i="2"/>
  <c r="E7" i="2"/>
  <c r="F6" i="2"/>
  <c r="G6" i="2"/>
  <c r="H6" i="2"/>
  <c r="I6" i="2"/>
  <c r="J6" i="2"/>
  <c r="K6" i="2"/>
  <c r="L6" i="2"/>
  <c r="M6" i="2"/>
  <c r="N6" i="2"/>
  <c r="O6" i="2"/>
  <c r="P6" i="2"/>
  <c r="E6" i="2"/>
  <c r="Q16" i="3"/>
  <c r="Q11" i="3"/>
  <c r="P16" i="3"/>
  <c r="P11" i="3"/>
  <c r="O16" i="3"/>
  <c r="O13" i="3"/>
  <c r="O11" i="3"/>
  <c r="N16" i="3"/>
  <c r="N11" i="3"/>
  <c r="M16" i="3"/>
  <c r="M11" i="3"/>
  <c r="L16" i="3"/>
  <c r="L11" i="3"/>
  <c r="K16" i="3"/>
  <c r="K11" i="3"/>
  <c r="J16" i="3"/>
  <c r="J11" i="3"/>
  <c r="I16" i="3"/>
  <c r="I11" i="3"/>
  <c r="H16" i="3"/>
  <c r="H11" i="3"/>
  <c r="G16" i="3"/>
  <c r="F16" i="3"/>
  <c r="E16" i="3"/>
  <c r="N38" i="3"/>
  <c r="M38" i="3"/>
  <c r="L38" i="3"/>
  <c r="K38" i="3"/>
  <c r="K37" i="3"/>
  <c r="J38" i="3"/>
  <c r="I38" i="3"/>
  <c r="H38" i="3"/>
  <c r="Q30" i="3"/>
  <c r="Q29" i="3"/>
  <c r="P30" i="3"/>
  <c r="P29" i="3"/>
  <c r="O29" i="3"/>
  <c r="N29" i="3"/>
  <c r="M29" i="3"/>
  <c r="L29" i="3"/>
  <c r="K30" i="3"/>
  <c r="K29" i="3"/>
  <c r="J29" i="3"/>
  <c r="I29" i="3"/>
  <c r="H30" i="3"/>
  <c r="H29" i="3"/>
  <c r="D246" i="26"/>
  <c r="D192" i="26"/>
  <c r="N178" i="26"/>
  <c r="N179" i="26"/>
  <c r="N180" i="26"/>
  <c r="K178" i="26"/>
  <c r="K179" i="26"/>
  <c r="I178" i="26"/>
  <c r="I179" i="26"/>
  <c r="I180" i="26"/>
  <c r="G178" i="26"/>
  <c r="G179" i="26"/>
  <c r="G180" i="26"/>
  <c r="E178" i="26"/>
  <c r="E179" i="26"/>
  <c r="D174" i="26"/>
  <c r="G140" i="26"/>
  <c r="I140" i="26" s="1"/>
  <c r="K140" i="26" s="1"/>
  <c r="N140" i="26" s="1"/>
  <c r="G143" i="26"/>
  <c r="I143" i="26" s="1"/>
  <c r="K143" i="26" s="1"/>
  <c r="N143" i="26" s="1"/>
  <c r="G144" i="26"/>
  <c r="I144" i="26" s="1"/>
  <c r="K144" i="26" s="1"/>
  <c r="N144" i="26" s="1"/>
  <c r="E140" i="26"/>
  <c r="E141" i="26"/>
  <c r="G141" i="26" s="1"/>
  <c r="I141" i="26" s="1"/>
  <c r="K141" i="26" s="1"/>
  <c r="N141" i="26" s="1"/>
  <c r="E142" i="26"/>
  <c r="G142" i="26" s="1"/>
  <c r="I142" i="26" s="1"/>
  <c r="K142" i="26" s="1"/>
  <c r="N142" i="26" s="1"/>
  <c r="E143" i="26"/>
  <c r="E144" i="26"/>
  <c r="D142" i="26"/>
  <c r="D135" i="26"/>
  <c r="E121" i="26"/>
  <c r="E113" i="26"/>
  <c r="G113" i="26" s="1"/>
  <c r="I113" i="26" s="1"/>
  <c r="K113" i="26" s="1"/>
  <c r="N113" i="26" s="1"/>
  <c r="E114" i="26"/>
  <c r="G114" i="26" s="1"/>
  <c r="I114" i="26" s="1"/>
  <c r="K114" i="26" s="1"/>
  <c r="N114" i="26" s="1"/>
  <c r="E108" i="26"/>
  <c r="G108" i="26" s="1"/>
  <c r="I108" i="26" s="1"/>
  <c r="K108" i="26" s="1"/>
  <c r="N108" i="26" s="1"/>
  <c r="C123" i="26"/>
  <c r="M93" i="26"/>
  <c r="H93" i="26"/>
  <c r="F93" i="26"/>
  <c r="D93" i="26"/>
  <c r="E92" i="26"/>
  <c r="G92" i="26" s="1"/>
  <c r="I92" i="26" s="1"/>
  <c r="K92" i="26" s="1"/>
  <c r="N92" i="26" s="1"/>
  <c r="C93" i="26"/>
  <c r="C51" i="26"/>
  <c r="E23" i="26"/>
  <c r="G23" i="26" s="1"/>
  <c r="I23" i="26" s="1"/>
  <c r="E24" i="26"/>
  <c r="G24" i="26" s="1"/>
  <c r="I24" i="26" s="1"/>
  <c r="E25" i="26"/>
  <c r="G25" i="26" s="1"/>
  <c r="I25" i="26" s="1"/>
  <c r="E26" i="26"/>
  <c r="G26" i="26" s="1"/>
  <c r="I26" i="26" s="1"/>
  <c r="E27" i="26"/>
  <c r="G27" i="26" s="1"/>
  <c r="I27" i="26" s="1"/>
  <c r="E28" i="26"/>
  <c r="G28" i="26" s="1"/>
  <c r="I28" i="26" s="1"/>
  <c r="E29" i="26"/>
  <c r="G29" i="26" s="1"/>
  <c r="I29" i="26" s="1"/>
  <c r="E30" i="26"/>
  <c r="G30" i="26" s="1"/>
  <c r="I30" i="26" s="1"/>
  <c r="E31" i="26"/>
  <c r="G31" i="26" s="1"/>
  <c r="I31" i="26" s="1"/>
  <c r="E32" i="26"/>
  <c r="G32" i="26" s="1"/>
  <c r="I32" i="26" s="1"/>
  <c r="E33" i="26"/>
  <c r="G33" i="26" s="1"/>
  <c r="I33" i="26" s="1"/>
  <c r="E34" i="26"/>
  <c r="G34" i="26" s="1"/>
  <c r="I34" i="26" s="1"/>
  <c r="E35" i="26"/>
  <c r="G35" i="26" s="1"/>
  <c r="I35" i="26" s="1"/>
  <c r="E36" i="26"/>
  <c r="G36" i="26" s="1"/>
  <c r="I36" i="26" s="1"/>
  <c r="E37" i="26"/>
  <c r="G37" i="26" s="1"/>
  <c r="I37" i="26" s="1"/>
  <c r="E38" i="26"/>
  <c r="G38" i="26" s="1"/>
  <c r="I38" i="26" s="1"/>
  <c r="G16" i="26"/>
  <c r="I16" i="26" s="1"/>
  <c r="H19" i="26"/>
  <c r="I19" i="26" s="1"/>
  <c r="H18" i="26"/>
  <c r="F18" i="26"/>
  <c r="D18" i="26"/>
  <c r="C18" i="26"/>
  <c r="E14" i="26"/>
  <c r="G14" i="26"/>
  <c r="I14" i="26" s="1"/>
  <c r="E15" i="26"/>
  <c r="E18" i="26" s="1"/>
  <c r="G15" i="26"/>
  <c r="I15" i="26" s="1"/>
  <c r="D17" i="26"/>
  <c r="E17" i="26" s="1"/>
  <c r="G17" i="26" s="1"/>
  <c r="I17" i="26" s="1"/>
  <c r="E36" i="2" l="1"/>
  <c r="R31" i="2"/>
  <c r="F25" i="9" s="1"/>
  <c r="I18" i="26"/>
  <c r="K16" i="26"/>
  <c r="N16" i="26" s="1"/>
  <c r="G18" i="26"/>
  <c r="G21" i="21"/>
  <c r="G20" i="21"/>
  <c r="G9" i="21"/>
  <c r="G10" i="21"/>
  <c r="G15" i="21" s="1"/>
  <c r="G11" i="21"/>
  <c r="G12" i="21"/>
  <c r="G13" i="21"/>
  <c r="G8" i="21"/>
  <c r="F15" i="21"/>
  <c r="D15" i="21"/>
  <c r="E15" i="21"/>
  <c r="C15" i="21"/>
  <c r="F25" i="20"/>
  <c r="N11" i="20"/>
  <c r="M11" i="20"/>
  <c r="L11" i="20"/>
  <c r="K11" i="20"/>
  <c r="J11" i="20"/>
  <c r="I11" i="20"/>
  <c r="H11" i="20"/>
  <c r="G11" i="20"/>
  <c r="F11" i="20"/>
  <c r="E11" i="20"/>
  <c r="D11" i="20"/>
  <c r="C11" i="20"/>
  <c r="B11" i="20"/>
  <c r="N8" i="20"/>
  <c r="M8" i="20"/>
  <c r="L8" i="20"/>
  <c r="K8" i="20"/>
  <c r="J8" i="20"/>
  <c r="I8" i="20"/>
  <c r="H8" i="20"/>
  <c r="G8" i="20"/>
  <c r="F8" i="20"/>
  <c r="E8" i="20"/>
  <c r="D8" i="20"/>
  <c r="C8" i="20"/>
  <c r="B8" i="20"/>
  <c r="H12" i="8"/>
  <c r="I40" i="17"/>
  <c r="H37" i="17"/>
  <c r="I37" i="17"/>
  <c r="H25" i="9" l="1"/>
  <c r="L25" i="9" s="1"/>
  <c r="E246" i="26"/>
  <c r="G246" i="26" s="1"/>
  <c r="I246" i="26" s="1"/>
  <c r="K246" i="26" s="1"/>
  <c r="N246" i="26" s="1"/>
  <c r="N245" i="26"/>
  <c r="E245" i="26"/>
  <c r="G245" i="26" s="1"/>
  <c r="I245" i="26" s="1"/>
  <c r="N244" i="26"/>
  <c r="G244" i="26"/>
  <c r="I244" i="26" s="1"/>
  <c r="D244" i="26"/>
  <c r="E244" i="26" s="1"/>
  <c r="N243" i="26"/>
  <c r="D243" i="26"/>
  <c r="E243" i="26" s="1"/>
  <c r="G243" i="26" s="1"/>
  <c r="I243" i="26" s="1"/>
  <c r="N239" i="26"/>
  <c r="D239" i="26"/>
  <c r="E239" i="26" s="1"/>
  <c r="G239" i="26" s="1"/>
  <c r="I239" i="26" s="1"/>
  <c r="M233" i="26"/>
  <c r="H233" i="26"/>
  <c r="F233" i="26"/>
  <c r="C233" i="26"/>
  <c r="J232" i="26"/>
  <c r="E232" i="26"/>
  <c r="G232" i="26" s="1"/>
  <c r="I232" i="26" s="1"/>
  <c r="J231" i="26"/>
  <c r="E231" i="26"/>
  <c r="G231" i="26" s="1"/>
  <c r="I231" i="26" s="1"/>
  <c r="J230" i="26"/>
  <c r="E230" i="26"/>
  <c r="G230" i="26" s="1"/>
  <c r="I230" i="26" s="1"/>
  <c r="J229" i="26"/>
  <c r="E229" i="26"/>
  <c r="G229" i="26" s="1"/>
  <c r="I229" i="26" s="1"/>
  <c r="D229" i="26"/>
  <c r="J228" i="26"/>
  <c r="D228" i="26"/>
  <c r="D233" i="26" s="1"/>
  <c r="J227" i="26"/>
  <c r="E227" i="26"/>
  <c r="G227" i="26" s="1"/>
  <c r="I227" i="26" s="1"/>
  <c r="K227" i="26" s="1"/>
  <c r="N227" i="26" s="1"/>
  <c r="J226" i="26"/>
  <c r="E226" i="26"/>
  <c r="G226" i="26" s="1"/>
  <c r="I226" i="26" s="1"/>
  <c r="K226" i="26" s="1"/>
  <c r="N226" i="26" s="1"/>
  <c r="M223" i="26"/>
  <c r="H223" i="26"/>
  <c r="F223" i="26"/>
  <c r="C223" i="26"/>
  <c r="E222" i="26"/>
  <c r="G222" i="26" s="1"/>
  <c r="I222" i="26" s="1"/>
  <c r="D221" i="26"/>
  <c r="E221" i="26" s="1"/>
  <c r="G221" i="26" s="1"/>
  <c r="I221" i="26" s="1"/>
  <c r="K221" i="26" s="1"/>
  <c r="N221" i="26" s="1"/>
  <c r="D220" i="26"/>
  <c r="E220" i="26" s="1"/>
  <c r="G220" i="26" s="1"/>
  <c r="I220" i="26" s="1"/>
  <c r="E219" i="26"/>
  <c r="G219" i="26" s="1"/>
  <c r="I219" i="26" s="1"/>
  <c r="K219" i="26" s="1"/>
  <c r="N219" i="26" s="1"/>
  <c r="E218" i="26"/>
  <c r="G218" i="26" s="1"/>
  <c r="I218" i="26" s="1"/>
  <c r="K218" i="26" s="1"/>
  <c r="N218" i="26" s="1"/>
  <c r="E217" i="26"/>
  <c r="G217" i="26" s="1"/>
  <c r="I217" i="26" s="1"/>
  <c r="K217" i="26" s="1"/>
  <c r="N217" i="26" s="1"/>
  <c r="E216" i="26"/>
  <c r="G216" i="26" s="1"/>
  <c r="I216" i="26" s="1"/>
  <c r="E215" i="26"/>
  <c r="G215" i="26" s="1"/>
  <c r="I215" i="26" s="1"/>
  <c r="K215" i="26" s="1"/>
  <c r="N215" i="26" s="1"/>
  <c r="E214" i="26"/>
  <c r="G214" i="26" s="1"/>
  <c r="I214" i="26" s="1"/>
  <c r="K214" i="26" s="1"/>
  <c r="N214" i="26" s="1"/>
  <c r="E213" i="26"/>
  <c r="G213" i="26" s="1"/>
  <c r="I213" i="26" s="1"/>
  <c r="K213" i="26" s="1"/>
  <c r="N213" i="26" s="1"/>
  <c r="D212" i="26"/>
  <c r="M209" i="26"/>
  <c r="H209" i="26"/>
  <c r="F209" i="26"/>
  <c r="D209" i="26"/>
  <c r="C209" i="26"/>
  <c r="J208" i="26"/>
  <c r="E208" i="26"/>
  <c r="M205" i="26"/>
  <c r="H205" i="26"/>
  <c r="F205" i="26"/>
  <c r="D205" i="26"/>
  <c r="C205" i="26"/>
  <c r="E204" i="26"/>
  <c r="M201" i="26"/>
  <c r="H201" i="26"/>
  <c r="F201" i="26"/>
  <c r="D201" i="26"/>
  <c r="C201" i="26"/>
  <c r="E200" i="26"/>
  <c r="G200" i="26" s="1"/>
  <c r="I200" i="26" s="1"/>
  <c r="K200" i="26" s="1"/>
  <c r="N200" i="26" s="1"/>
  <c r="E199" i="26"/>
  <c r="G199" i="26" s="1"/>
  <c r="M196" i="26"/>
  <c r="H196" i="26"/>
  <c r="F196" i="26"/>
  <c r="C196" i="26"/>
  <c r="E195" i="26"/>
  <c r="G195" i="26" s="1"/>
  <c r="I195" i="26" s="1"/>
  <c r="E194" i="26"/>
  <c r="G194" i="26" s="1"/>
  <c r="I194" i="26" s="1"/>
  <c r="E193" i="26"/>
  <c r="G193" i="26" s="1"/>
  <c r="I193" i="26" s="1"/>
  <c r="K193" i="26" s="1"/>
  <c r="N193" i="26" s="1"/>
  <c r="E192" i="26"/>
  <c r="G192" i="26" s="1"/>
  <c r="I192" i="26" s="1"/>
  <c r="D191" i="26"/>
  <c r="E191" i="26" s="1"/>
  <c r="G191" i="26" s="1"/>
  <c r="I191" i="26" s="1"/>
  <c r="K191" i="26" s="1"/>
  <c r="N191" i="26" s="1"/>
  <c r="D190" i="26"/>
  <c r="E190" i="26" s="1"/>
  <c r="G190" i="26" s="1"/>
  <c r="I190" i="26" s="1"/>
  <c r="D189" i="26"/>
  <c r="E188" i="26"/>
  <c r="G188" i="26" s="1"/>
  <c r="I188" i="26" s="1"/>
  <c r="E187" i="26"/>
  <c r="G187" i="26" s="1"/>
  <c r="I187" i="26" s="1"/>
  <c r="K187" i="26" s="1"/>
  <c r="N187" i="26" s="1"/>
  <c r="E186" i="26"/>
  <c r="G186" i="26" s="1"/>
  <c r="M182" i="26"/>
  <c r="H182" i="26"/>
  <c r="F182" i="26"/>
  <c r="C182" i="26"/>
  <c r="E181" i="26"/>
  <c r="G181" i="26" s="1"/>
  <c r="I181" i="26" s="1"/>
  <c r="E180" i="26"/>
  <c r="E177" i="26"/>
  <c r="G177" i="26" s="1"/>
  <c r="I177" i="26" s="1"/>
  <c r="K177" i="26" s="1"/>
  <c r="N177" i="26" s="1"/>
  <c r="E176" i="26"/>
  <c r="G176" i="26" s="1"/>
  <c r="I176" i="26" s="1"/>
  <c r="E175" i="26"/>
  <c r="G175" i="26" s="1"/>
  <c r="I175" i="26" s="1"/>
  <c r="E174" i="26"/>
  <c r="G174" i="26" s="1"/>
  <c r="I174" i="26" s="1"/>
  <c r="E173" i="26"/>
  <c r="G173" i="26" s="1"/>
  <c r="I173" i="26" s="1"/>
  <c r="E172" i="26"/>
  <c r="G172" i="26" s="1"/>
  <c r="I172" i="26" s="1"/>
  <c r="E171" i="26"/>
  <c r="G171" i="26" s="1"/>
  <c r="I171" i="26" s="1"/>
  <c r="E170" i="26"/>
  <c r="G170" i="26" s="1"/>
  <c r="I170" i="26" s="1"/>
  <c r="D169" i="26"/>
  <c r="E169" i="26" s="1"/>
  <c r="G169" i="26" s="1"/>
  <c r="I169" i="26" s="1"/>
  <c r="K169" i="26" s="1"/>
  <c r="N169" i="26" s="1"/>
  <c r="D168" i="26"/>
  <c r="E168" i="26" s="1"/>
  <c r="G168" i="26" s="1"/>
  <c r="I168" i="26" s="1"/>
  <c r="E167" i="26"/>
  <c r="G167" i="26" s="1"/>
  <c r="I167" i="26" s="1"/>
  <c r="K167" i="26" s="1"/>
  <c r="N167" i="26" s="1"/>
  <c r="E166" i="26"/>
  <c r="G166" i="26" s="1"/>
  <c r="I166" i="26" s="1"/>
  <c r="E165" i="26"/>
  <c r="G165" i="26" s="1"/>
  <c r="I165" i="26" s="1"/>
  <c r="K165" i="26" s="1"/>
  <c r="N165" i="26" s="1"/>
  <c r="E164" i="26"/>
  <c r="G164" i="26" s="1"/>
  <c r="I164" i="26" s="1"/>
  <c r="E163" i="26"/>
  <c r="G163" i="26" s="1"/>
  <c r="I163" i="26" s="1"/>
  <c r="K163" i="26" s="1"/>
  <c r="N163" i="26" s="1"/>
  <c r="E162" i="26"/>
  <c r="G162" i="26" s="1"/>
  <c r="I162" i="26" s="1"/>
  <c r="E161" i="26"/>
  <c r="G161" i="26" s="1"/>
  <c r="I161" i="26" s="1"/>
  <c r="K161" i="26" s="1"/>
  <c r="N161" i="26" s="1"/>
  <c r="E160" i="26"/>
  <c r="G160" i="26" s="1"/>
  <c r="I160" i="26" s="1"/>
  <c r="E159" i="26"/>
  <c r="G159" i="26" s="1"/>
  <c r="I159" i="26" s="1"/>
  <c r="K159" i="26" s="1"/>
  <c r="N159" i="26" s="1"/>
  <c r="E158" i="26"/>
  <c r="G158" i="26" s="1"/>
  <c r="I158" i="26" s="1"/>
  <c r="M155" i="26"/>
  <c r="H155" i="26"/>
  <c r="F155" i="26"/>
  <c r="D155" i="26"/>
  <c r="C155" i="26"/>
  <c r="J154" i="26"/>
  <c r="E154" i="26"/>
  <c r="E155" i="26" s="1"/>
  <c r="M151" i="26"/>
  <c r="H151" i="26"/>
  <c r="F151" i="26"/>
  <c r="D151" i="26"/>
  <c r="C151" i="26"/>
  <c r="N150" i="26"/>
  <c r="E149" i="26"/>
  <c r="G149" i="26" s="1"/>
  <c r="I149" i="26" s="1"/>
  <c r="K149" i="26" s="1"/>
  <c r="N149" i="26" s="1"/>
  <c r="E148" i="26"/>
  <c r="G148" i="26" s="1"/>
  <c r="I148" i="26" s="1"/>
  <c r="K148" i="26" s="1"/>
  <c r="N148" i="26" s="1"/>
  <c r="E147" i="26"/>
  <c r="G147" i="26" s="1"/>
  <c r="I147" i="26" s="1"/>
  <c r="E146" i="26"/>
  <c r="G146" i="26" s="1"/>
  <c r="I146" i="26" s="1"/>
  <c r="K146" i="26" s="1"/>
  <c r="N146" i="26" s="1"/>
  <c r="E145" i="26"/>
  <c r="G145" i="26" s="1"/>
  <c r="I145" i="26" s="1"/>
  <c r="K145" i="26" s="1"/>
  <c r="E139" i="26"/>
  <c r="G139" i="26" s="1"/>
  <c r="I139" i="26" s="1"/>
  <c r="E138" i="26"/>
  <c r="G138" i="26" s="1"/>
  <c r="I138" i="26" s="1"/>
  <c r="E137" i="26"/>
  <c r="G137" i="26" s="1"/>
  <c r="I137" i="26" s="1"/>
  <c r="K137" i="26" s="1"/>
  <c r="N137" i="26" s="1"/>
  <c r="E136" i="26"/>
  <c r="G136" i="26" s="1"/>
  <c r="I136" i="26" s="1"/>
  <c r="E135" i="26"/>
  <c r="G135" i="26" s="1"/>
  <c r="I135" i="26" s="1"/>
  <c r="K135" i="26" s="1"/>
  <c r="N135" i="26" s="1"/>
  <c r="E134" i="26"/>
  <c r="G134" i="26" s="1"/>
  <c r="I134" i="26" s="1"/>
  <c r="E133" i="26"/>
  <c r="G133" i="26" s="1"/>
  <c r="I133" i="26" s="1"/>
  <c r="K133" i="26" s="1"/>
  <c r="N133" i="26" s="1"/>
  <c r="E132" i="26"/>
  <c r="G132" i="26" s="1"/>
  <c r="I132" i="26" s="1"/>
  <c r="E131" i="26"/>
  <c r="G131" i="26" s="1"/>
  <c r="I131" i="26" s="1"/>
  <c r="K131" i="26" s="1"/>
  <c r="N131" i="26" s="1"/>
  <c r="E130" i="26"/>
  <c r="G130" i="26" s="1"/>
  <c r="I130" i="26" s="1"/>
  <c r="E129" i="26"/>
  <c r="G129" i="26" s="1"/>
  <c r="I129" i="26" s="1"/>
  <c r="K129" i="26" s="1"/>
  <c r="N129" i="26" s="1"/>
  <c r="E128" i="26"/>
  <c r="G128" i="26" s="1"/>
  <c r="I128" i="26" s="1"/>
  <c r="E127" i="26"/>
  <c r="M123" i="26"/>
  <c r="H123" i="26"/>
  <c r="F123" i="26"/>
  <c r="E122" i="26"/>
  <c r="G122" i="26" s="1"/>
  <c r="I122" i="26" s="1"/>
  <c r="K122" i="26" s="1"/>
  <c r="N122" i="26" s="1"/>
  <c r="G121" i="26"/>
  <c r="I121" i="26" s="1"/>
  <c r="K121" i="26" s="1"/>
  <c r="E120" i="26"/>
  <c r="G120" i="26" s="1"/>
  <c r="I120" i="26" s="1"/>
  <c r="D119" i="26"/>
  <c r="E118" i="26"/>
  <c r="G118" i="26" s="1"/>
  <c r="I118" i="26" s="1"/>
  <c r="E117" i="26"/>
  <c r="G117" i="26" s="1"/>
  <c r="I117" i="26" s="1"/>
  <c r="K117" i="26" s="1"/>
  <c r="D116" i="26"/>
  <c r="D115" i="26"/>
  <c r="E112" i="26"/>
  <c r="G112" i="26" s="1"/>
  <c r="I112" i="26" s="1"/>
  <c r="K112" i="26" s="1"/>
  <c r="E111" i="26"/>
  <c r="G111" i="26" s="1"/>
  <c r="I111" i="26" s="1"/>
  <c r="K111" i="26" s="1"/>
  <c r="E110" i="26"/>
  <c r="G110" i="26" s="1"/>
  <c r="I110" i="26" s="1"/>
  <c r="E109" i="26"/>
  <c r="G109" i="26" s="1"/>
  <c r="I109" i="26" s="1"/>
  <c r="K109" i="26" s="1"/>
  <c r="E107" i="26"/>
  <c r="G107" i="26" s="1"/>
  <c r="I107" i="26" s="1"/>
  <c r="K107" i="26" s="1"/>
  <c r="N107" i="26" s="1"/>
  <c r="E106" i="26"/>
  <c r="G106" i="26" s="1"/>
  <c r="I106" i="26" s="1"/>
  <c r="E105" i="26"/>
  <c r="G105" i="26" s="1"/>
  <c r="I105" i="26" s="1"/>
  <c r="E104" i="26"/>
  <c r="G104" i="26" s="1"/>
  <c r="I104" i="26" s="1"/>
  <c r="E103" i="26"/>
  <c r="G103" i="26" s="1"/>
  <c r="I103" i="26" s="1"/>
  <c r="K103" i="26" s="1"/>
  <c r="N103" i="26" s="1"/>
  <c r="E102" i="26"/>
  <c r="G102" i="26" s="1"/>
  <c r="I102" i="26" s="1"/>
  <c r="E101" i="26"/>
  <c r="G101" i="26" s="1"/>
  <c r="I101" i="26" s="1"/>
  <c r="K101" i="26" s="1"/>
  <c r="N101" i="26" s="1"/>
  <c r="E100" i="26"/>
  <c r="M97" i="26"/>
  <c r="H97" i="26"/>
  <c r="F97" i="26"/>
  <c r="C97" i="26"/>
  <c r="J96" i="26"/>
  <c r="E96" i="26"/>
  <c r="E97" i="26" s="1"/>
  <c r="D96" i="26"/>
  <c r="D97" i="26" s="1"/>
  <c r="E91" i="26"/>
  <c r="G91" i="26" s="1"/>
  <c r="I91" i="26" s="1"/>
  <c r="K91" i="26" s="1"/>
  <c r="N91" i="26" s="1"/>
  <c r="E90" i="26"/>
  <c r="G90" i="26" s="1"/>
  <c r="I90" i="26" s="1"/>
  <c r="K90" i="26" s="1"/>
  <c r="N90" i="26" s="1"/>
  <c r="E89" i="26"/>
  <c r="G89" i="26" s="1"/>
  <c r="I89" i="26" s="1"/>
  <c r="K89" i="26" s="1"/>
  <c r="N89" i="26" s="1"/>
  <c r="E88" i="26"/>
  <c r="G88" i="26" s="1"/>
  <c r="I88" i="26" s="1"/>
  <c r="K88" i="26" s="1"/>
  <c r="N88" i="26" s="1"/>
  <c r="E87" i="26"/>
  <c r="M84" i="26"/>
  <c r="H84" i="26"/>
  <c r="F84" i="26"/>
  <c r="D84" i="26"/>
  <c r="C84" i="26"/>
  <c r="J83" i="26"/>
  <c r="E83" i="26"/>
  <c r="M80" i="26"/>
  <c r="H80" i="26"/>
  <c r="F80" i="26"/>
  <c r="D80" i="26"/>
  <c r="C80" i="26"/>
  <c r="J79" i="26"/>
  <c r="E79" i="26"/>
  <c r="M76" i="26"/>
  <c r="H76" i="26"/>
  <c r="F76" i="26"/>
  <c r="D76" i="26"/>
  <c r="C76" i="26"/>
  <c r="E75" i="26"/>
  <c r="M72" i="26"/>
  <c r="H72" i="26"/>
  <c r="F72" i="26"/>
  <c r="D72" i="26"/>
  <c r="C72" i="26"/>
  <c r="E71" i="26"/>
  <c r="M67" i="26"/>
  <c r="H67" i="26"/>
  <c r="F67" i="26"/>
  <c r="D67" i="26"/>
  <c r="C67" i="26"/>
  <c r="E66" i="26"/>
  <c r="G66" i="26" s="1"/>
  <c r="I66" i="26" s="1"/>
  <c r="E65" i="26"/>
  <c r="G65" i="26" s="1"/>
  <c r="I65" i="26" s="1"/>
  <c r="E64" i="26"/>
  <c r="G64" i="26" s="1"/>
  <c r="I64" i="26" s="1"/>
  <c r="K64" i="26" s="1"/>
  <c r="N64" i="26" s="1"/>
  <c r="E63" i="26"/>
  <c r="G63" i="26" s="1"/>
  <c r="I63" i="26" s="1"/>
  <c r="K63" i="26" s="1"/>
  <c r="N63" i="26" s="1"/>
  <c r="E62" i="26"/>
  <c r="G62" i="26" s="1"/>
  <c r="I62" i="26" s="1"/>
  <c r="K62" i="26" s="1"/>
  <c r="N62" i="26" s="1"/>
  <c r="E61" i="26"/>
  <c r="G61" i="26" s="1"/>
  <c r="M58" i="26"/>
  <c r="H58" i="26"/>
  <c r="F58" i="26"/>
  <c r="D58" i="26"/>
  <c r="C58" i="26"/>
  <c r="E57" i="26"/>
  <c r="G57" i="26" s="1"/>
  <c r="I57" i="26" s="1"/>
  <c r="E56" i="26"/>
  <c r="G56" i="26" s="1"/>
  <c r="I56" i="26" s="1"/>
  <c r="K56" i="26" s="1"/>
  <c r="N56" i="26" s="1"/>
  <c r="E55" i="26"/>
  <c r="G55" i="26" s="1"/>
  <c r="I55" i="26" s="1"/>
  <c r="K55" i="26" s="1"/>
  <c r="N55" i="26" s="1"/>
  <c r="E54" i="26"/>
  <c r="G54" i="26" s="1"/>
  <c r="I54" i="26" s="1"/>
  <c r="M51" i="26"/>
  <c r="H51" i="26"/>
  <c r="F51" i="26"/>
  <c r="E50" i="26"/>
  <c r="G50" i="26" s="1"/>
  <c r="I50" i="26" s="1"/>
  <c r="K50" i="26" s="1"/>
  <c r="N50" i="26" s="1"/>
  <c r="E49" i="26"/>
  <c r="G49" i="26" s="1"/>
  <c r="I49" i="26" s="1"/>
  <c r="K49" i="26" s="1"/>
  <c r="N49" i="26" s="1"/>
  <c r="E48" i="26"/>
  <c r="G48" i="26" s="1"/>
  <c r="I48" i="26" s="1"/>
  <c r="K48" i="26" s="1"/>
  <c r="N48" i="26" s="1"/>
  <c r="E47" i="26"/>
  <c r="G47" i="26" s="1"/>
  <c r="I47" i="26" s="1"/>
  <c r="E46" i="26"/>
  <c r="G46" i="26" s="1"/>
  <c r="I46" i="26" s="1"/>
  <c r="K46" i="26" s="1"/>
  <c r="N46" i="26" s="1"/>
  <c r="E45" i="26"/>
  <c r="G45" i="26" s="1"/>
  <c r="I45" i="26" s="1"/>
  <c r="K45" i="26" s="1"/>
  <c r="N45" i="26" s="1"/>
  <c r="E44" i="26"/>
  <c r="G44" i="26" s="1"/>
  <c r="I44" i="26" s="1"/>
  <c r="E43" i="26"/>
  <c r="G43" i="26" s="1"/>
  <c r="I43" i="26" s="1"/>
  <c r="D42" i="26"/>
  <c r="E42" i="26" s="1"/>
  <c r="H39" i="26"/>
  <c r="F39" i="26"/>
  <c r="D39" i="26"/>
  <c r="C39" i="26"/>
  <c r="K37" i="26"/>
  <c r="N37" i="26" s="1"/>
  <c r="K36" i="26"/>
  <c r="N36" i="26" s="1"/>
  <c r="K35" i="26"/>
  <c r="N35" i="26" s="1"/>
  <c r="M39" i="26"/>
  <c r="K33" i="26"/>
  <c r="N33" i="26" s="1"/>
  <c r="K30" i="26"/>
  <c r="N30" i="26" s="1"/>
  <c r="K29" i="26"/>
  <c r="N29" i="26" s="1"/>
  <c r="K28" i="26"/>
  <c r="N28" i="26" s="1"/>
  <c r="K26" i="26"/>
  <c r="N26" i="26" s="1"/>
  <c r="K25" i="26"/>
  <c r="N25" i="26" s="1"/>
  <c r="K24" i="26"/>
  <c r="N24" i="26" s="1"/>
  <c r="M18" i="26"/>
  <c r="N17" i="26"/>
  <c r="A22" i="26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A64" i="26" s="1"/>
  <c r="A65" i="26" s="1"/>
  <c r="A66" i="26" s="1"/>
  <c r="A67" i="26" s="1"/>
  <c r="A68" i="26" s="1"/>
  <c r="A70" i="26" s="1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K15" i="26"/>
  <c r="K18" i="26" s="1"/>
  <c r="A15" i="26"/>
  <c r="A16" i="26" s="1"/>
  <c r="A17" i="26" s="1"/>
  <c r="A18" i="26" s="1"/>
  <c r="A19" i="26" s="1"/>
  <c r="A20" i="26" s="1"/>
  <c r="A21" i="26" s="1"/>
  <c r="N14" i="26"/>
  <c r="I13" i="26"/>
  <c r="K229" i="26" l="1"/>
  <c r="N229" i="26" s="1"/>
  <c r="K231" i="26"/>
  <c r="N231" i="26" s="1"/>
  <c r="K164" i="26"/>
  <c r="N164" i="26" s="1"/>
  <c r="K166" i="26"/>
  <c r="N166" i="26" s="1"/>
  <c r="K170" i="26"/>
  <c r="N170" i="26" s="1"/>
  <c r="K174" i="26"/>
  <c r="N174" i="26" s="1"/>
  <c r="K180" i="26"/>
  <c r="G87" i="26"/>
  <c r="I87" i="26" s="1"/>
  <c r="I93" i="26" s="1"/>
  <c r="E93" i="26"/>
  <c r="G154" i="26"/>
  <c r="E228" i="26"/>
  <c r="G228" i="26" s="1"/>
  <c r="I228" i="26" s="1"/>
  <c r="K228" i="26" s="1"/>
  <c r="N228" i="26" s="1"/>
  <c r="K158" i="26"/>
  <c r="K160" i="26"/>
  <c r="N160" i="26" s="1"/>
  <c r="K192" i="26"/>
  <c r="N192" i="26" s="1"/>
  <c r="K194" i="26"/>
  <c r="N194" i="26" s="1"/>
  <c r="E201" i="26"/>
  <c r="K220" i="26"/>
  <c r="N220" i="26" s="1"/>
  <c r="K232" i="26"/>
  <c r="N232" i="26" s="1"/>
  <c r="N118" i="26"/>
  <c r="K118" i="26"/>
  <c r="K110" i="26"/>
  <c r="N110" i="26" s="1"/>
  <c r="K120" i="26"/>
  <c r="N120" i="26" s="1"/>
  <c r="K128" i="26"/>
  <c r="N128" i="26" s="1"/>
  <c r="K130" i="26"/>
  <c r="N130" i="26" s="1"/>
  <c r="K132" i="26"/>
  <c r="N132" i="26" s="1"/>
  <c r="K134" i="26"/>
  <c r="N134" i="26" s="1"/>
  <c r="K136" i="26"/>
  <c r="N136" i="26" s="1"/>
  <c r="K138" i="26"/>
  <c r="N138" i="26" s="1"/>
  <c r="N145" i="26"/>
  <c r="K147" i="26"/>
  <c r="N147" i="26" s="1"/>
  <c r="E119" i="26"/>
  <c r="G119" i="26" s="1"/>
  <c r="I119" i="26" s="1"/>
  <c r="E116" i="26"/>
  <c r="G116" i="26" s="1"/>
  <c r="I116" i="26" s="1"/>
  <c r="K116" i="26" s="1"/>
  <c r="N116" i="26" s="1"/>
  <c r="G115" i="26"/>
  <c r="I115" i="26" s="1"/>
  <c r="K115" i="26" s="1"/>
  <c r="E115" i="26"/>
  <c r="K102" i="26"/>
  <c r="N102" i="26" s="1"/>
  <c r="N111" i="26"/>
  <c r="N115" i="26"/>
  <c r="N117" i="26"/>
  <c r="N121" i="26"/>
  <c r="A92" i="26"/>
  <c r="A93" i="26" s="1"/>
  <c r="A94" i="26" s="1"/>
  <c r="A95" i="26" s="1"/>
  <c r="A96" i="26" s="1"/>
  <c r="A97" i="26" s="1"/>
  <c r="A98" i="26" s="1"/>
  <c r="A99" i="26" s="1"/>
  <c r="A100" i="26" s="1"/>
  <c r="A101" i="26" s="1"/>
  <c r="A102" i="26" s="1"/>
  <c r="A103" i="26" s="1"/>
  <c r="A104" i="26" s="1"/>
  <c r="A105" i="26" s="1"/>
  <c r="A106" i="26" s="1"/>
  <c r="A107" i="26" s="1"/>
  <c r="G93" i="26"/>
  <c r="D123" i="26"/>
  <c r="M235" i="26"/>
  <c r="D51" i="26"/>
  <c r="H20" i="26"/>
  <c r="D20" i="26"/>
  <c r="K139" i="26"/>
  <c r="N139" i="26" s="1"/>
  <c r="G233" i="26"/>
  <c r="C20" i="26"/>
  <c r="M20" i="26"/>
  <c r="K190" i="26"/>
  <c r="N190" i="26" s="1"/>
  <c r="K171" i="26"/>
  <c r="N171" i="26" s="1"/>
  <c r="K162" i="26"/>
  <c r="N162" i="26" s="1"/>
  <c r="K168" i="26"/>
  <c r="N168" i="26" s="1"/>
  <c r="K172" i="26"/>
  <c r="N172" i="26" s="1"/>
  <c r="K104" i="26"/>
  <c r="N104" i="26" s="1"/>
  <c r="E151" i="26"/>
  <c r="K173" i="26"/>
  <c r="N173" i="26" s="1"/>
  <c r="K176" i="26"/>
  <c r="N176" i="26" s="1"/>
  <c r="K105" i="26"/>
  <c r="N105" i="26" s="1"/>
  <c r="N109" i="26"/>
  <c r="F20" i="26"/>
  <c r="G39" i="26"/>
  <c r="K32" i="26"/>
  <c r="N32" i="26" s="1"/>
  <c r="K44" i="26"/>
  <c r="N44" i="26" s="1"/>
  <c r="K66" i="26"/>
  <c r="N66" i="26" s="1"/>
  <c r="N15" i="26"/>
  <c r="N18" i="26" s="1"/>
  <c r="K20" i="26"/>
  <c r="I58" i="26"/>
  <c r="K54" i="26"/>
  <c r="E39" i="26"/>
  <c r="G58" i="26"/>
  <c r="K27" i="26"/>
  <c r="N27" i="26" s="1"/>
  <c r="K34" i="26"/>
  <c r="N34" i="26" s="1"/>
  <c r="E51" i="26"/>
  <c r="G42" i="26"/>
  <c r="K47" i="26"/>
  <c r="N47" i="26" s="1"/>
  <c r="K57" i="26"/>
  <c r="N57" i="26" s="1"/>
  <c r="K65" i="26"/>
  <c r="N65" i="26" s="1"/>
  <c r="E72" i="26"/>
  <c r="G71" i="26"/>
  <c r="K106" i="26"/>
  <c r="N106" i="26" s="1"/>
  <c r="N112" i="26"/>
  <c r="N158" i="26"/>
  <c r="C235" i="26"/>
  <c r="E58" i="26"/>
  <c r="E67" i="26"/>
  <c r="E76" i="26"/>
  <c r="G75" i="26"/>
  <c r="K31" i="26"/>
  <c r="N31" i="26" s="1"/>
  <c r="K38" i="26"/>
  <c r="N38" i="26" s="1"/>
  <c r="K43" i="26"/>
  <c r="N43" i="26" s="1"/>
  <c r="G67" i="26"/>
  <c r="I61" i="26"/>
  <c r="E80" i="26"/>
  <c r="G79" i="26"/>
  <c r="E84" i="26"/>
  <c r="G83" i="26"/>
  <c r="H235" i="26"/>
  <c r="G96" i="26"/>
  <c r="G100" i="26"/>
  <c r="G127" i="26"/>
  <c r="I182" i="26"/>
  <c r="G182" i="26"/>
  <c r="F235" i="26"/>
  <c r="K175" i="26"/>
  <c r="N175" i="26" s="1"/>
  <c r="D196" i="26"/>
  <c r="E189" i="26"/>
  <c r="G189" i="26" s="1"/>
  <c r="I189" i="26" s="1"/>
  <c r="K189" i="26" s="1"/>
  <c r="N189" i="26" s="1"/>
  <c r="E205" i="26"/>
  <c r="G204" i="26"/>
  <c r="D223" i="26"/>
  <c r="E212" i="26"/>
  <c r="E182" i="26"/>
  <c r="I186" i="26"/>
  <c r="G196" i="26"/>
  <c r="K188" i="26"/>
  <c r="N188" i="26" s="1"/>
  <c r="G201" i="26"/>
  <c r="I199" i="26"/>
  <c r="E233" i="26"/>
  <c r="I233" i="26"/>
  <c r="D182" i="26"/>
  <c r="K181" i="26"/>
  <c r="N181" i="26" s="1"/>
  <c r="K195" i="26"/>
  <c r="N195" i="26" s="1"/>
  <c r="K222" i="26"/>
  <c r="N222" i="26" s="1"/>
  <c r="E209" i="26"/>
  <c r="G208" i="26"/>
  <c r="K216" i="26"/>
  <c r="N216" i="26" s="1"/>
  <c r="K230" i="26"/>
  <c r="N230" i="26" s="1"/>
  <c r="N233" i="26" s="1"/>
  <c r="I154" i="26" l="1"/>
  <c r="G155" i="26"/>
  <c r="N20" i="26"/>
  <c r="K119" i="26"/>
  <c r="N119" i="26" s="1"/>
  <c r="E123" i="26"/>
  <c r="A108" i="26"/>
  <c r="A109" i="26" s="1"/>
  <c r="A110" i="26" s="1"/>
  <c r="A111" i="26" s="1"/>
  <c r="A112" i="26" s="1"/>
  <c r="D235" i="26"/>
  <c r="D240" i="26" s="1"/>
  <c r="D242" i="26" s="1"/>
  <c r="D247" i="26" s="1"/>
  <c r="M240" i="26"/>
  <c r="M242" i="26" s="1"/>
  <c r="M247" i="26" s="1"/>
  <c r="C240" i="26"/>
  <c r="C242" i="26" s="1"/>
  <c r="C247" i="26" s="1"/>
  <c r="H240" i="26"/>
  <c r="H242" i="26" s="1"/>
  <c r="H247" i="26" s="1"/>
  <c r="F240" i="26"/>
  <c r="F242" i="26" s="1"/>
  <c r="F247" i="26" s="1"/>
  <c r="K233" i="26"/>
  <c r="I20" i="26"/>
  <c r="K182" i="26"/>
  <c r="G20" i="26"/>
  <c r="E20" i="26"/>
  <c r="I100" i="26"/>
  <c r="G123" i="26"/>
  <c r="K23" i="26"/>
  <c r="I39" i="26"/>
  <c r="E223" i="26"/>
  <c r="G212" i="26"/>
  <c r="I96" i="26"/>
  <c r="G97" i="26"/>
  <c r="G84" i="26"/>
  <c r="I83" i="26"/>
  <c r="I67" i="26"/>
  <c r="K61" i="26"/>
  <c r="I201" i="26"/>
  <c r="K199" i="26"/>
  <c r="K186" i="26"/>
  <c r="I196" i="26"/>
  <c r="G76" i="26"/>
  <c r="I75" i="26"/>
  <c r="K87" i="26"/>
  <c r="K93" i="26" s="1"/>
  <c r="E196" i="26"/>
  <c r="G205" i="26"/>
  <c r="I204" i="26"/>
  <c r="I127" i="26"/>
  <c r="G151" i="26"/>
  <c r="G80" i="26"/>
  <c r="I79" i="26"/>
  <c r="N182" i="26"/>
  <c r="G72" i="26"/>
  <c r="I71" i="26"/>
  <c r="N54" i="26"/>
  <c r="N58" i="26" s="1"/>
  <c r="K58" i="26"/>
  <c r="G209" i="26"/>
  <c r="I208" i="26"/>
  <c r="G51" i="26"/>
  <c r="I42" i="26"/>
  <c r="K154" i="26" l="1"/>
  <c r="I155" i="26"/>
  <c r="A113" i="26"/>
  <c r="A114" i="26" s="1"/>
  <c r="A115" i="26" s="1"/>
  <c r="A116" i="26" s="1"/>
  <c r="A117" i="26" s="1"/>
  <c r="A118" i="26" s="1"/>
  <c r="A119" i="26" s="1"/>
  <c r="A120" i="26" s="1"/>
  <c r="A121" i="26" s="1"/>
  <c r="A122" i="26" s="1"/>
  <c r="A123" i="26" s="1"/>
  <c r="A124" i="26" s="1"/>
  <c r="A126" i="26" s="1"/>
  <c r="A127" i="26" s="1"/>
  <c r="A128" i="26" s="1"/>
  <c r="A129" i="26" s="1"/>
  <c r="A130" i="26" s="1"/>
  <c r="A131" i="26" s="1"/>
  <c r="A132" i="26" s="1"/>
  <c r="A133" i="26" s="1"/>
  <c r="A134" i="26" s="1"/>
  <c r="A135" i="26" s="1"/>
  <c r="A136" i="26" s="1"/>
  <c r="A137" i="26" s="1"/>
  <c r="A138" i="26" s="1"/>
  <c r="A139" i="26" s="1"/>
  <c r="E235" i="26"/>
  <c r="E242" i="26" s="1"/>
  <c r="E247" i="26" s="1"/>
  <c r="N199" i="26"/>
  <c r="N201" i="26" s="1"/>
  <c r="K201" i="26"/>
  <c r="I97" i="26"/>
  <c r="K96" i="26"/>
  <c r="K39" i="26"/>
  <c r="N23" i="26"/>
  <c r="N39" i="26" s="1"/>
  <c r="I209" i="26"/>
  <c r="K208" i="26"/>
  <c r="K127" i="26"/>
  <c r="I151" i="26"/>
  <c r="N87" i="26"/>
  <c r="N93" i="26" s="1"/>
  <c r="I84" i="26"/>
  <c r="K83" i="26"/>
  <c r="I212" i="26"/>
  <c r="G223" i="26"/>
  <c r="G235" i="26" s="1"/>
  <c r="G240" i="26" s="1"/>
  <c r="G242" i="26" s="1"/>
  <c r="G247" i="26" s="1"/>
  <c r="I51" i="26"/>
  <c r="K42" i="26"/>
  <c r="I72" i="26"/>
  <c r="K71" i="26"/>
  <c r="I80" i="26"/>
  <c r="K79" i="26"/>
  <c r="I205" i="26"/>
  <c r="K204" i="26"/>
  <c r="I123" i="26"/>
  <c r="K100" i="26"/>
  <c r="I76" i="26"/>
  <c r="K75" i="26"/>
  <c r="K196" i="26"/>
  <c r="N186" i="26"/>
  <c r="N196" i="26" s="1"/>
  <c r="K67" i="26"/>
  <c r="N61" i="26"/>
  <c r="N67" i="26" s="1"/>
  <c r="A140" i="26" l="1"/>
  <c r="A141" i="26" s="1"/>
  <c r="A142" i="26" s="1"/>
  <c r="A143" i="26" s="1"/>
  <c r="A144" i="26" s="1"/>
  <c r="A145" i="26" s="1"/>
  <c r="A146" i="26" s="1"/>
  <c r="A147" i="26" s="1"/>
  <c r="A148" i="26" s="1"/>
  <c r="A149" i="26" s="1"/>
  <c r="A150" i="26" s="1"/>
  <c r="A151" i="26" s="1"/>
  <c r="A152" i="26" s="1"/>
  <c r="A153" i="26" s="1"/>
  <c r="A154" i="26" s="1"/>
  <c r="A155" i="26" s="1"/>
  <c r="A156" i="26" s="1"/>
  <c r="A157" i="26" s="1"/>
  <c r="A158" i="26" s="1"/>
  <c r="A159" i="26" s="1"/>
  <c r="A160" i="26" s="1"/>
  <c r="A161" i="26" s="1"/>
  <c r="A162" i="26" s="1"/>
  <c r="A163" i="26" s="1"/>
  <c r="A164" i="26" s="1"/>
  <c r="A165" i="26" s="1"/>
  <c r="A166" i="26" s="1"/>
  <c r="A167" i="26" s="1"/>
  <c r="A168" i="26" s="1"/>
  <c r="A169" i="26" s="1"/>
  <c r="A170" i="26" s="1"/>
  <c r="A171" i="26" s="1"/>
  <c r="A172" i="26" s="1"/>
  <c r="A173" i="26" s="1"/>
  <c r="A174" i="26" s="1"/>
  <c r="A175" i="26" s="1"/>
  <c r="A176" i="26" s="1"/>
  <c r="A177" i="26" s="1"/>
  <c r="A180" i="26" s="1"/>
  <c r="A181" i="26" s="1"/>
  <c r="A182" i="26" s="1"/>
  <c r="A183" i="26" s="1"/>
  <c r="A185" i="26" s="1"/>
  <c r="A186" i="26" s="1"/>
  <c r="A187" i="26" s="1"/>
  <c r="A188" i="26" s="1"/>
  <c r="A189" i="26" s="1"/>
  <c r="A190" i="26" s="1"/>
  <c r="A191" i="26" s="1"/>
  <c r="A192" i="26" s="1"/>
  <c r="A193" i="26" s="1"/>
  <c r="A194" i="26" s="1"/>
  <c r="A195" i="26" s="1"/>
  <c r="A196" i="26" s="1"/>
  <c r="A197" i="26" s="1"/>
  <c r="A198" i="26" s="1"/>
  <c r="A199" i="26" s="1"/>
  <c r="A200" i="26" s="1"/>
  <c r="A201" i="26" s="1"/>
  <c r="A202" i="26" s="1"/>
  <c r="A203" i="26" s="1"/>
  <c r="A204" i="26" s="1"/>
  <c r="A205" i="26" s="1"/>
  <c r="A206" i="26" s="1"/>
  <c r="A207" i="26" s="1"/>
  <c r="A208" i="26" s="1"/>
  <c r="A209" i="26" s="1"/>
  <c r="A210" i="26" s="1"/>
  <c r="A211" i="26" s="1"/>
  <c r="A212" i="26" s="1"/>
  <c r="A213" i="26" s="1"/>
  <c r="A214" i="26" s="1"/>
  <c r="A215" i="26" s="1"/>
  <c r="A216" i="26" s="1"/>
  <c r="A217" i="26" s="1"/>
  <c r="A218" i="26" s="1"/>
  <c r="A219" i="26" s="1"/>
  <c r="A220" i="26" s="1"/>
  <c r="A221" i="26" s="1"/>
  <c r="A222" i="26" s="1"/>
  <c r="A223" i="26" s="1"/>
  <c r="A224" i="26" s="1"/>
  <c r="A225" i="26" s="1"/>
  <c r="A226" i="26" s="1"/>
  <c r="A227" i="26" s="1"/>
  <c r="A228" i="26" s="1"/>
  <c r="A229" i="26" s="1"/>
  <c r="A230" i="26" s="1"/>
  <c r="A231" i="26" s="1"/>
  <c r="A232" i="26" s="1"/>
  <c r="A233" i="26" s="1"/>
  <c r="A234" i="26" s="1"/>
  <c r="A235" i="26" s="1"/>
  <c r="A236" i="26" s="1"/>
  <c r="A238" i="26" s="1"/>
  <c r="A239" i="26" s="1"/>
  <c r="A240" i="26" s="1"/>
  <c r="A241" i="26" s="1"/>
  <c r="A242" i="26" s="1"/>
  <c r="A243" i="26" s="1"/>
  <c r="A244" i="26" s="1"/>
  <c r="A245" i="26" s="1"/>
  <c r="A246" i="26" s="1"/>
  <c r="A247" i="26" s="1"/>
  <c r="A248" i="26" s="1"/>
  <c r="A249" i="26" s="1"/>
  <c r="A250" i="26" s="1"/>
  <c r="A251" i="26" s="1"/>
  <c r="A252" i="26" s="1"/>
  <c r="N154" i="26"/>
  <c r="N155" i="26" s="1"/>
  <c r="K155" i="26"/>
  <c r="K123" i="26"/>
  <c r="N100" i="26"/>
  <c r="N123" i="26" s="1"/>
  <c r="N79" i="26"/>
  <c r="N80" i="26" s="1"/>
  <c r="K80" i="26"/>
  <c r="N42" i="26"/>
  <c r="N51" i="26" s="1"/>
  <c r="K51" i="26"/>
  <c r="N83" i="26"/>
  <c r="N84" i="26" s="1"/>
  <c r="K84" i="26"/>
  <c r="N75" i="26"/>
  <c r="N76" i="26" s="1"/>
  <c r="K76" i="26"/>
  <c r="K151" i="26"/>
  <c r="N127" i="26"/>
  <c r="N151" i="26" s="1"/>
  <c r="N204" i="26"/>
  <c r="N205" i="26" s="1"/>
  <c r="K205" i="26"/>
  <c r="N71" i="26"/>
  <c r="N72" i="26" s="1"/>
  <c r="K72" i="26"/>
  <c r="N208" i="26"/>
  <c r="N209" i="26" s="1"/>
  <c r="K209" i="26"/>
  <c r="K97" i="26"/>
  <c r="N96" i="26"/>
  <c r="N97" i="26" s="1"/>
  <c r="K212" i="26"/>
  <c r="I223" i="26"/>
  <c r="I235" i="26" s="1"/>
  <c r="I240" i="26" s="1"/>
  <c r="I242" i="26" s="1"/>
  <c r="I247" i="26" s="1"/>
  <c r="K223" i="26" l="1"/>
  <c r="K235" i="26" s="1"/>
  <c r="K240" i="26" s="1"/>
  <c r="K242" i="26" s="1"/>
  <c r="K247" i="26" s="1"/>
  <c r="N212" i="26"/>
  <c r="N223" i="26" s="1"/>
  <c r="N235" i="26" s="1"/>
  <c r="N240" i="26" s="1"/>
  <c r="N242" i="26" s="1"/>
  <c r="N247" i="26" s="1"/>
  <c r="L35" i="23" l="1"/>
  <c r="L34" i="23"/>
  <c r="L33" i="23"/>
  <c r="J37" i="23"/>
  <c r="H37" i="23"/>
  <c r="L37" i="23" l="1"/>
  <c r="F24" i="11"/>
  <c r="A41" i="3" l="1"/>
  <c r="A39" i="3"/>
  <c r="F37" i="23" l="1"/>
  <c r="L64" i="22"/>
  <c r="F20" i="22" l="1"/>
  <c r="F27" i="22" s="1"/>
  <c r="J62" i="23"/>
  <c r="F62" i="23"/>
  <c r="L60" i="23"/>
  <c r="L59" i="23"/>
  <c r="L58" i="23"/>
  <c r="L57" i="23"/>
  <c r="L56" i="23"/>
  <c r="H62" i="23"/>
  <c r="J52" i="23"/>
  <c r="F52" i="23"/>
  <c r="L50" i="23"/>
  <c r="L49" i="23"/>
  <c r="L48" i="23"/>
  <c r="L47" i="23"/>
  <c r="L46" i="23"/>
  <c r="L45" i="23"/>
  <c r="H52" i="23"/>
  <c r="L43" i="23"/>
  <c r="L42" i="23"/>
  <c r="L41" i="23"/>
  <c r="L40" i="23"/>
  <c r="J26" i="23"/>
  <c r="H26" i="23"/>
  <c r="F26" i="23"/>
  <c r="F29" i="23" s="1"/>
  <c r="L24" i="23"/>
  <c r="L23" i="23"/>
  <c r="L22" i="23"/>
  <c r="J19" i="23"/>
  <c r="H19" i="23"/>
  <c r="L17" i="23"/>
  <c r="L16" i="23"/>
  <c r="L15" i="23"/>
  <c r="A14" i="23"/>
  <c r="A15" i="23" s="1"/>
  <c r="A16" i="23" s="1"/>
  <c r="A17" i="23" s="1"/>
  <c r="A19" i="23" s="1"/>
  <c r="A22" i="23" s="1"/>
  <c r="A23" i="23" s="1"/>
  <c r="A24" i="23" s="1"/>
  <c r="A26" i="23" s="1"/>
  <c r="D9" i="23"/>
  <c r="F9" i="23" s="1"/>
  <c r="H9" i="23" s="1"/>
  <c r="J9" i="23" s="1"/>
  <c r="L9" i="23" s="1"/>
  <c r="J73" i="22"/>
  <c r="H73" i="22"/>
  <c r="F73" i="22"/>
  <c r="L71" i="22"/>
  <c r="L87" i="22" s="1"/>
  <c r="L69" i="22"/>
  <c r="L63" i="22"/>
  <c r="L62" i="22"/>
  <c r="J60" i="22"/>
  <c r="H60" i="22"/>
  <c r="F60" i="22"/>
  <c r="L57" i="22"/>
  <c r="L56" i="22"/>
  <c r="L55" i="22"/>
  <c r="L54" i="22"/>
  <c r="J51" i="22"/>
  <c r="H51" i="22"/>
  <c r="F51" i="22"/>
  <c r="F66" i="22" s="1"/>
  <c r="L49" i="22"/>
  <c r="L48" i="22"/>
  <c r="L47" i="22"/>
  <c r="L46" i="22"/>
  <c r="L44" i="22"/>
  <c r="L43" i="22"/>
  <c r="J40" i="22"/>
  <c r="H40" i="22"/>
  <c r="L38" i="22"/>
  <c r="L37" i="22"/>
  <c r="L35" i="22"/>
  <c r="L34" i="22"/>
  <c r="L33" i="22"/>
  <c r="L31" i="22"/>
  <c r="L25" i="22"/>
  <c r="L23" i="22"/>
  <c r="J20" i="22"/>
  <c r="J27" i="22" s="1"/>
  <c r="L18" i="22"/>
  <c r="L17" i="22"/>
  <c r="L16" i="22"/>
  <c r="A16" i="22"/>
  <c r="A17" i="22" s="1"/>
  <c r="A18" i="22" s="1"/>
  <c r="A20" i="22" s="1"/>
  <c r="A22" i="22" s="1"/>
  <c r="A24" i="22" s="1"/>
  <c r="A27" i="22" s="1"/>
  <c r="A31" i="22" s="1"/>
  <c r="A32" i="22" s="1"/>
  <c r="A34" i="22" s="1"/>
  <c r="A35" i="22" s="1"/>
  <c r="A38" i="22" s="1"/>
  <c r="A40" i="22" s="1"/>
  <c r="A43" i="22" s="1"/>
  <c r="A44" i="22" s="1"/>
  <c r="A46" i="22" s="1"/>
  <c r="A47" i="22" s="1"/>
  <c r="A48" i="22" s="1"/>
  <c r="A49" i="22" s="1"/>
  <c r="A51" i="22" s="1"/>
  <c r="A54" i="22" s="1"/>
  <c r="A55" i="22" s="1"/>
  <c r="A56" i="22" s="1"/>
  <c r="A57" i="22" s="1"/>
  <c r="A58" i="22" s="1"/>
  <c r="A60" i="22" s="1"/>
  <c r="A62" i="22" s="1"/>
  <c r="A63" i="22" s="1"/>
  <c r="A64" i="22" s="1"/>
  <c r="A66" i="22" s="1"/>
  <c r="A69" i="22" s="1"/>
  <c r="A71" i="22" s="1"/>
  <c r="A73" i="22" s="1"/>
  <c r="A76" i="22" s="1"/>
  <c r="A81" i="22" s="1"/>
  <c r="A83" i="22" s="1"/>
  <c r="A85" i="22" s="1"/>
  <c r="A86" i="22" s="1"/>
  <c r="A87" i="22" s="1"/>
  <c r="A89" i="22" s="1"/>
  <c r="L15" i="22"/>
  <c r="A15" i="22"/>
  <c r="L14" i="22"/>
  <c r="A14" i="22"/>
  <c r="L13" i="22"/>
  <c r="D9" i="22"/>
  <c r="F9" i="22" s="1"/>
  <c r="H9" i="22" s="1"/>
  <c r="H66" i="22" l="1"/>
  <c r="L19" i="23"/>
  <c r="H29" i="23"/>
  <c r="H65" i="23" s="1"/>
  <c r="J66" i="22"/>
  <c r="J76" i="22" s="1"/>
  <c r="L51" i="22"/>
  <c r="L44" i="23"/>
  <c r="J29" i="23"/>
  <c r="J65" i="23" s="1"/>
  <c r="L26" i="23"/>
  <c r="L55" i="23"/>
  <c r="L62" i="23" s="1"/>
  <c r="L52" i="23"/>
  <c r="F65" i="23"/>
  <c r="L73" i="22"/>
  <c r="L20" i="22"/>
  <c r="L27" i="22" s="1"/>
  <c r="J9" i="22"/>
  <c r="L9" i="22"/>
  <c r="A29" i="23"/>
  <c r="A33" i="23" s="1"/>
  <c r="A34" i="23" s="1"/>
  <c r="A37" i="23" s="1"/>
  <c r="A40" i="23" s="1"/>
  <c r="A41" i="23" s="1"/>
  <c r="A42" i="23" s="1"/>
  <c r="A43" i="23" s="1"/>
  <c r="A44" i="23" s="1"/>
  <c r="A45" i="23" s="1"/>
  <c r="A46" i="23" s="1"/>
  <c r="A47" i="23" s="1"/>
  <c r="A48" i="23" s="1"/>
  <c r="A49" i="23" s="1"/>
  <c r="A50" i="23" s="1"/>
  <c r="A52" i="23" s="1"/>
  <c r="A55" i="23" s="1"/>
  <c r="A56" i="23" s="1"/>
  <c r="A57" i="23" s="1"/>
  <c r="A58" i="23" s="1"/>
  <c r="A59" i="23" s="1"/>
  <c r="A60" i="23" s="1"/>
  <c r="A62" i="23" s="1"/>
  <c r="A65" i="23" s="1"/>
  <c r="L40" i="22"/>
  <c r="L58" i="22"/>
  <c r="L60" i="22" s="1"/>
  <c r="H20" i="22"/>
  <c r="H27" i="22" s="1"/>
  <c r="F40" i="22"/>
  <c r="I8" i="21"/>
  <c r="J8" i="21" s="1"/>
  <c r="I9" i="21"/>
  <c r="J9" i="21" s="1"/>
  <c r="I10" i="21"/>
  <c r="J10" i="21" s="1"/>
  <c r="I11" i="21"/>
  <c r="J11" i="21" s="1"/>
  <c r="I12" i="21"/>
  <c r="J12" i="21" s="1"/>
  <c r="I13" i="21"/>
  <c r="J13" i="21" s="1"/>
  <c r="I15" i="21"/>
  <c r="J15" i="21" s="1"/>
  <c r="I20" i="21"/>
  <c r="J20" i="21" s="1"/>
  <c r="I21" i="21"/>
  <c r="J21" i="21" s="1"/>
  <c r="D23" i="21"/>
  <c r="E23" i="21"/>
  <c r="F23" i="21"/>
  <c r="G23" i="21"/>
  <c r="B20" i="20"/>
  <c r="C20" i="20"/>
  <c r="D20" i="20"/>
  <c r="E20" i="20"/>
  <c r="F20" i="20"/>
  <c r="G20" i="20"/>
  <c r="H20" i="20"/>
  <c r="I20" i="20"/>
  <c r="J20" i="20"/>
  <c r="K20" i="20"/>
  <c r="L20" i="20"/>
  <c r="M20" i="20"/>
  <c r="N20" i="20"/>
  <c r="B29" i="20"/>
  <c r="B33" i="20" s="1"/>
  <c r="C29" i="20"/>
  <c r="D29" i="20"/>
  <c r="E29" i="20"/>
  <c r="F29" i="20"/>
  <c r="F33" i="20" s="1"/>
  <c r="G29" i="20"/>
  <c r="G33" i="20" s="1"/>
  <c r="H29" i="20"/>
  <c r="I29" i="20"/>
  <c r="I33" i="20" s="1"/>
  <c r="J29" i="20"/>
  <c r="J33" i="20" s="1"/>
  <c r="K29" i="20"/>
  <c r="K33" i="20" s="1"/>
  <c r="L29" i="20"/>
  <c r="L33" i="20" s="1"/>
  <c r="M29" i="20"/>
  <c r="M33" i="20" s="1"/>
  <c r="N29" i="20"/>
  <c r="N33" i="20" s="1"/>
  <c r="C33" i="20"/>
  <c r="D33" i="20"/>
  <c r="E33" i="20"/>
  <c r="H33" i="20"/>
  <c r="C10" i="19"/>
  <c r="D10" i="19"/>
  <c r="E10" i="19"/>
  <c r="F10" i="19"/>
  <c r="G10" i="19"/>
  <c r="H10" i="19"/>
  <c r="I10" i="19"/>
  <c r="J10" i="19"/>
  <c r="K10" i="19"/>
  <c r="L10" i="19"/>
  <c r="M10" i="19"/>
  <c r="N10" i="19"/>
  <c r="O10" i="19"/>
  <c r="C9" i="18"/>
  <c r="D9" i="18"/>
  <c r="E9" i="18"/>
  <c r="F9" i="18"/>
  <c r="G9" i="18"/>
  <c r="H9" i="18"/>
  <c r="I9" i="18"/>
  <c r="J9" i="18"/>
  <c r="K9" i="18"/>
  <c r="L9" i="18"/>
  <c r="M9" i="18"/>
  <c r="N9" i="18"/>
  <c r="O9" i="18"/>
  <c r="C14" i="18"/>
  <c r="D14" i="18"/>
  <c r="E14" i="18"/>
  <c r="F14" i="18"/>
  <c r="G14" i="18"/>
  <c r="H14" i="18"/>
  <c r="I14" i="18"/>
  <c r="J14" i="18"/>
  <c r="K14" i="18"/>
  <c r="L14" i="18"/>
  <c r="M14" i="18"/>
  <c r="N14" i="18"/>
  <c r="O14" i="18"/>
  <c r="C24" i="18"/>
  <c r="D24" i="18"/>
  <c r="E24" i="18"/>
  <c r="F24" i="18"/>
  <c r="G24" i="18"/>
  <c r="H24" i="18"/>
  <c r="I24" i="18"/>
  <c r="J24" i="18"/>
  <c r="K24" i="18"/>
  <c r="L24" i="18"/>
  <c r="M24" i="18"/>
  <c r="N24" i="18"/>
  <c r="O24" i="18"/>
  <c r="C37" i="18"/>
  <c r="D37" i="18"/>
  <c r="E37" i="18"/>
  <c r="F37" i="18"/>
  <c r="G37" i="18"/>
  <c r="H37" i="18"/>
  <c r="I37" i="18"/>
  <c r="J37" i="18"/>
  <c r="K37" i="18"/>
  <c r="L37" i="18"/>
  <c r="M37" i="18"/>
  <c r="N37" i="18"/>
  <c r="O37" i="18"/>
  <c r="C53" i="18"/>
  <c r="D53" i="18"/>
  <c r="E53" i="18"/>
  <c r="F53" i="18"/>
  <c r="G53" i="18"/>
  <c r="H53" i="18"/>
  <c r="I53" i="18"/>
  <c r="J53" i="18"/>
  <c r="K53" i="18"/>
  <c r="L53" i="18"/>
  <c r="M53" i="18"/>
  <c r="N53" i="18"/>
  <c r="O53" i="18"/>
  <c r="C68" i="18"/>
  <c r="D68" i="18"/>
  <c r="E68" i="18"/>
  <c r="F68" i="18"/>
  <c r="G68" i="18"/>
  <c r="G70" i="18" s="1"/>
  <c r="H68" i="18"/>
  <c r="I68" i="18"/>
  <c r="J68" i="18"/>
  <c r="K68" i="18"/>
  <c r="L68" i="18"/>
  <c r="M68" i="18"/>
  <c r="N68" i="18"/>
  <c r="O68" i="18"/>
  <c r="H76" i="22" l="1"/>
  <c r="L29" i="23"/>
  <c r="L65" i="23" s="1"/>
  <c r="L66" i="22"/>
  <c r="L76" i="22" s="1"/>
  <c r="L81" i="22" s="1"/>
  <c r="E35" i="20"/>
  <c r="M35" i="20"/>
  <c r="I35" i="20"/>
  <c r="K70" i="18"/>
  <c r="O70" i="18"/>
  <c r="C70" i="18"/>
  <c r="L70" i="18"/>
  <c r="H70" i="18"/>
  <c r="D70" i="18"/>
  <c r="M70" i="18"/>
  <c r="I70" i="18"/>
  <c r="E70" i="18"/>
  <c r="N70" i="18"/>
  <c r="F70" i="18"/>
  <c r="J70" i="18"/>
  <c r="D35" i="20"/>
  <c r="L35" i="20"/>
  <c r="H35" i="20"/>
  <c r="K35" i="20"/>
  <c r="G35" i="20"/>
  <c r="C35" i="20"/>
  <c r="F76" i="22"/>
  <c r="C23" i="21"/>
  <c r="I23" i="21" s="1"/>
  <c r="J23" i="21" s="1"/>
  <c r="N35" i="20"/>
  <c r="F35" i="20"/>
  <c r="B35" i="20"/>
  <c r="J35" i="20"/>
  <c r="H35" i="17" l="1"/>
  <c r="I35" i="17"/>
  <c r="H36" i="17"/>
  <c r="I36" i="17"/>
  <c r="H38" i="17"/>
  <c r="I38" i="17"/>
  <c r="H39" i="17"/>
  <c r="I39" i="17"/>
  <c r="H40" i="17"/>
  <c r="H43" i="17"/>
  <c r="I43" i="17"/>
  <c r="J3" i="2" l="1"/>
  <c r="D3" i="9"/>
  <c r="D3" i="11" s="1"/>
  <c r="C3" i="10"/>
  <c r="F50" i="11"/>
  <c r="F61" i="11"/>
  <c r="F44" i="11"/>
  <c r="A12" i="11"/>
  <c r="A14" i="11" s="1"/>
  <c r="A15" i="11" s="1"/>
  <c r="A17" i="11" s="1"/>
  <c r="A21" i="11"/>
  <c r="A22" i="11" s="1"/>
  <c r="A24" i="11" s="1"/>
  <c r="I34" i="2"/>
  <c r="R13" i="2"/>
  <c r="R11" i="2"/>
  <c r="F9" i="9" s="1"/>
  <c r="L9" i="9" s="1"/>
  <c r="R12" i="2"/>
  <c r="F10" i="9" s="1"/>
  <c r="L10" i="9" s="1"/>
  <c r="P36" i="2"/>
  <c r="O34" i="2"/>
  <c r="O36" i="2" s="1"/>
  <c r="N34" i="2"/>
  <c r="N36" i="2" s="1"/>
  <c r="M34" i="2"/>
  <c r="M36" i="2" s="1"/>
  <c r="L34" i="2"/>
  <c r="L36" i="2" s="1"/>
  <c r="K34" i="2"/>
  <c r="K36" i="2" s="1"/>
  <c r="J34" i="2"/>
  <c r="J36" i="2" s="1"/>
  <c r="H34" i="2"/>
  <c r="H36" i="2" s="1"/>
  <c r="G34" i="2"/>
  <c r="G36" i="2" s="1"/>
  <c r="G38" i="2" s="1"/>
  <c r="R19" i="2"/>
  <c r="Q33" i="3"/>
  <c r="Q41" i="3" s="1"/>
  <c r="P33" i="3"/>
  <c r="P41" i="3" s="1"/>
  <c r="O33" i="3"/>
  <c r="O41" i="3" s="1"/>
  <c r="N33" i="3"/>
  <c r="N41" i="3" s="1"/>
  <c r="M33" i="3"/>
  <c r="M41" i="3" s="1"/>
  <c r="L33" i="3"/>
  <c r="L41" i="3" s="1"/>
  <c r="K33" i="3"/>
  <c r="K41" i="3" s="1"/>
  <c r="J33" i="3"/>
  <c r="J41" i="3" s="1"/>
  <c r="I33" i="3"/>
  <c r="I41" i="3" s="1"/>
  <c r="H33" i="3"/>
  <c r="H41" i="3" s="1"/>
  <c r="G33" i="3"/>
  <c r="G41" i="3" s="1"/>
  <c r="F33" i="3"/>
  <c r="F41" i="3" s="1"/>
  <c r="E33" i="3"/>
  <c r="E41" i="3" s="1"/>
  <c r="A12" i="3"/>
  <c r="A13" i="3" s="1"/>
  <c r="A14" i="3" s="1"/>
  <c r="A15" i="3" s="1"/>
  <c r="A16" i="3" s="1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A11" i="2"/>
  <c r="A12" i="2" s="1"/>
  <c r="A13" i="2" s="1"/>
  <c r="A15" i="2" s="1"/>
  <c r="A17" i="2" s="1"/>
  <c r="A18" i="2" s="1"/>
  <c r="A19" i="2" s="1"/>
  <c r="A21" i="2" s="1"/>
  <c r="A23" i="2" s="1"/>
  <c r="A25" i="2" s="1"/>
  <c r="A26" i="2" s="1"/>
  <c r="A27" i="2" s="1"/>
  <c r="A28" i="2" s="1"/>
  <c r="A29" i="2" s="1"/>
  <c r="A30" i="2" s="1"/>
  <c r="A36" i="2" s="1"/>
  <c r="A38" i="2" s="1"/>
  <c r="F34" i="2"/>
  <c r="R23" i="2"/>
  <c r="R30" i="2"/>
  <c r="R29" i="2"/>
  <c r="F24" i="9" s="1"/>
  <c r="R28" i="2"/>
  <c r="R27" i="2"/>
  <c r="F23" i="9" s="1"/>
  <c r="H23" i="9" s="1"/>
  <c r="R26" i="2"/>
  <c r="H27" i="8"/>
  <c r="A10" i="8"/>
  <c r="A12" i="8"/>
  <c r="A15" i="8" s="1"/>
  <c r="A18" i="8" s="1"/>
  <c r="A23" i="8" s="1"/>
  <c r="A27" i="8" s="1"/>
  <c r="H18" i="8"/>
  <c r="A12" i="10"/>
  <c r="A13" i="10" s="1"/>
  <c r="A14" i="10" s="1"/>
  <c r="A15" i="10" s="1"/>
  <c r="A17" i="10" s="1"/>
  <c r="A19" i="10" s="1"/>
  <c r="A21" i="10" s="1"/>
  <c r="A23" i="10" s="1"/>
  <c r="A25" i="10" s="1"/>
  <c r="G34" i="10"/>
  <c r="G17" i="10"/>
  <c r="G21" i="10" s="1"/>
  <c r="G25" i="10" s="1"/>
  <c r="A10" i="9"/>
  <c r="A11" i="9" s="1"/>
  <c r="A13" i="9" s="1"/>
  <c r="A16" i="9" s="1"/>
  <c r="A17" i="9" s="1"/>
  <c r="A19" i="9" s="1"/>
  <c r="A21" i="9" s="1"/>
  <c r="A22" i="9" s="1"/>
  <c r="A23" i="9" s="1"/>
  <c r="A24" i="9" s="1"/>
  <c r="F49" i="9"/>
  <c r="L49" i="9" s="1"/>
  <c r="F14" i="11"/>
  <c r="F17" i="11" s="1"/>
  <c r="F28" i="11"/>
  <c r="F39" i="11"/>
  <c r="A25" i="11"/>
  <c r="A26" i="11"/>
  <c r="A28" i="11" s="1"/>
  <c r="A31" i="11" s="1"/>
  <c r="A32" i="11" s="1"/>
  <c r="A34" i="11" s="1"/>
  <c r="A36" i="11" s="1"/>
  <c r="A37" i="11" s="1"/>
  <c r="A39" i="11" s="1"/>
  <c r="A41" i="11" s="1"/>
  <c r="A42" i="11" s="1"/>
  <c r="A44" i="11" s="1"/>
  <c r="A47" i="11" s="1"/>
  <c r="A48" i="11" s="1"/>
  <c r="A50" i="11" s="1"/>
  <c r="A52" i="11" s="1"/>
  <c r="A54" i="11" s="1"/>
  <c r="A56" i="11" s="1"/>
  <c r="A58" i="11" s="1"/>
  <c r="A59" i="11" s="1"/>
  <c r="A61" i="11" s="1"/>
  <c r="A63" i="11" s="1"/>
  <c r="A66" i="11" s="1"/>
  <c r="A67" i="11" s="1"/>
  <c r="A68" i="11" s="1"/>
  <c r="L23" i="9" l="1"/>
  <c r="L13" i="9"/>
  <c r="H24" i="9"/>
  <c r="H28" i="9" s="1"/>
  <c r="H30" i="9" s="1"/>
  <c r="H40" i="9" s="1"/>
  <c r="H45" i="9" s="1"/>
  <c r="H47" i="9" s="1"/>
  <c r="H51" i="9" s="1"/>
  <c r="A25" i="9"/>
  <c r="A26" i="9" s="1"/>
  <c r="A28" i="9" s="1"/>
  <c r="A30" i="9" s="1"/>
  <c r="A33" i="9" s="1"/>
  <c r="A34" i="9" s="1"/>
  <c r="A35" i="9" s="1"/>
  <c r="A37" i="9" s="1"/>
  <c r="A40" i="9" s="1"/>
  <c r="A42" i="9" s="1"/>
  <c r="A45" i="9" s="1"/>
  <c r="A47" i="9" s="1"/>
  <c r="A49" i="9" s="1"/>
  <c r="A51" i="9" s="1"/>
  <c r="F36" i="2"/>
  <c r="F38" i="2" s="1"/>
  <c r="R34" i="2"/>
  <c r="E38" i="2"/>
  <c r="J38" i="2"/>
  <c r="A19" i="3"/>
  <c r="A23" i="3" s="1"/>
  <c r="A29" i="3" s="1"/>
  <c r="A30" i="3" s="1"/>
  <c r="A31" i="3" s="1"/>
  <c r="A33" i="3" s="1"/>
  <c r="A35" i="3" s="1"/>
  <c r="A36" i="3" s="1"/>
  <c r="A37" i="3" s="1"/>
  <c r="A38" i="3" s="1"/>
  <c r="A17" i="3"/>
  <c r="F31" i="11"/>
  <c r="F34" i="11" s="1"/>
  <c r="F63" i="11" s="1"/>
  <c r="A30" i="10"/>
  <c r="A31" i="10" s="1"/>
  <c r="A32" i="10" s="1"/>
  <c r="A34" i="10" s="1"/>
  <c r="O38" i="2"/>
  <c r="M38" i="2"/>
  <c r="N38" i="2"/>
  <c r="L38" i="2"/>
  <c r="H38" i="2"/>
  <c r="F13" i="9"/>
  <c r="P38" i="2"/>
  <c r="R15" i="2"/>
  <c r="R18" i="2"/>
  <c r="I36" i="2"/>
  <c r="I38" i="2" s="1"/>
  <c r="K38" i="2"/>
  <c r="L24" i="9" l="1"/>
  <c r="R21" i="2"/>
  <c r="R36" i="2" s="1"/>
  <c r="R38" i="2" s="1"/>
  <c r="F16" i="9"/>
  <c r="F19" i="9" l="1"/>
  <c r="F28" i="9" s="1"/>
  <c r="F30" i="9" s="1"/>
  <c r="F40" i="9" s="1"/>
  <c r="F45" i="9" s="1"/>
  <c r="L16" i="9"/>
  <c r="L19" i="9" s="1"/>
  <c r="L28" i="9" s="1"/>
  <c r="L30" i="9" s="1"/>
  <c r="L40" i="9" s="1"/>
  <c r="L45" i="9" s="1"/>
  <c r="L47" i="9" s="1"/>
  <c r="L51" i="9" s="1"/>
  <c r="F47" i="9"/>
  <c r="F51" i="9" s="1"/>
</calcChain>
</file>

<file path=xl/sharedStrings.xml><?xml version="1.0" encoding="utf-8"?>
<sst xmlns="http://schemas.openxmlformats.org/spreadsheetml/2006/main" count="1382" uniqueCount="781">
  <si>
    <t>Line       No.</t>
  </si>
  <si>
    <t>Intangible Plant</t>
  </si>
  <si>
    <t>Transmission Plant</t>
  </si>
  <si>
    <t>Distribution Plant</t>
  </si>
  <si>
    <t>General Plant</t>
  </si>
  <si>
    <t>Other Electric Plant</t>
  </si>
  <si>
    <t>CWIP</t>
  </si>
  <si>
    <t>Additions</t>
  </si>
  <si>
    <t>Retirements</t>
  </si>
  <si>
    <t>Transfers</t>
  </si>
  <si>
    <t>Amount</t>
  </si>
  <si>
    <t>--------------------</t>
  </si>
  <si>
    <t>Section IV</t>
  </si>
  <si>
    <t>KENTUCKY POWER COMPANY</t>
  </si>
  <si>
    <t>TOTAL ELECTRIC PLANT</t>
  </si>
  <si>
    <t>Increase</t>
  </si>
  <si>
    <t>Utility Operating Income - Electric</t>
  </si>
  <si>
    <t>12 Months                             Ended</t>
  </si>
  <si>
    <t>Monthly Statements of Electric Operating Income</t>
  </si>
  <si>
    <t>1</t>
  </si>
  <si>
    <t>Operating Expenses - Electric</t>
  </si>
  <si>
    <t>Operating Expense</t>
  </si>
  <si>
    <t>Maintenance Expense</t>
  </si>
  <si>
    <t>Total Operation &amp; Maintenance</t>
  </si>
  <si>
    <t>Taxes &amp; Provisions for Deferred Federal Income Taxes - Net</t>
  </si>
  <si>
    <t>Taxes Other Than Income Taxes</t>
  </si>
  <si>
    <t>State Income Taxes</t>
  </si>
  <si>
    <t>Total Taxes &amp; Provisions For Deferred Income Taxes</t>
  </si>
  <si>
    <t>==========</t>
  </si>
  <si>
    <t>Depreciation and Amortization</t>
  </si>
  <si>
    <t>Total Current Federal Income Tax</t>
  </si>
  <si>
    <t>Total Deferred Federal Income Tax</t>
  </si>
  <si>
    <t>Total Deferred Investment Tax Credits</t>
  </si>
  <si>
    <t>Net Electric Operating Income</t>
  </si>
  <si>
    <t>Total Electric Operating Expenses</t>
  </si>
  <si>
    <t>Interest</t>
  </si>
  <si>
    <t>Insurance</t>
  </si>
  <si>
    <t>------------------</t>
  </si>
  <si>
    <t>Prepayments</t>
  </si>
  <si>
    <t>Total Prepayments</t>
  </si>
  <si>
    <t>Retirement Work In Progress</t>
  </si>
  <si>
    <t>Material and Supplies</t>
  </si>
  <si>
    <t>Fuel Stock - Coal</t>
  </si>
  <si>
    <t>Fuel Stock - Oil</t>
  </si>
  <si>
    <t>Undistributed Expenses</t>
  </si>
  <si>
    <t>Total Fuel</t>
  </si>
  <si>
    <t>Other Expenses</t>
  </si>
  <si>
    <t>MONTHLY BEGINNING AND ENDING BALANCES OF CERTAIN OTHER ACCOUNTS</t>
  </si>
  <si>
    <t>Other - Materials and Supplies</t>
  </si>
  <si>
    <t>SO2 Emission Allowance Inventory</t>
  </si>
  <si>
    <t>CO2 Emission Allowance Inventory</t>
  </si>
  <si>
    <t>Regular Construction</t>
  </si>
  <si>
    <t>ELECTRIC UTILITY PLANT:</t>
  </si>
  <si>
    <t>------------------------</t>
  </si>
  <si>
    <t xml:space="preserve">Accumulated Provision for Depreciation of </t>
  </si>
  <si>
    <t xml:space="preserve">       Electric Utility Plant In Service</t>
  </si>
  <si>
    <t xml:space="preserve">Accumulated Provision for Amortization of </t>
  </si>
  <si>
    <t>In Service</t>
  </si>
  <si>
    <t>Property Under Capital Leases</t>
  </si>
  <si>
    <t>Electric Plant Held for Future Use</t>
  </si>
  <si>
    <t>Construction Not Classified</t>
  </si>
  <si>
    <t>Construction Work In Progress</t>
  </si>
  <si>
    <t>NET ELECTRIC UTILITY PLANT</t>
  </si>
  <si>
    <t>Long Term Energy Trading Contracts</t>
  </si>
  <si>
    <t>Non-Utility Property</t>
  </si>
  <si>
    <t>Accumulated Provision for Depreciation</t>
  </si>
  <si>
    <t xml:space="preserve">       and Amortization</t>
  </si>
  <si>
    <t>Non-Utility Property WIP</t>
  </si>
  <si>
    <t>Other Investments</t>
  </si>
  <si>
    <t>TOTAL OTHER PROPERTY AND INVESTMENTS</t>
  </si>
  <si>
    <t>CURRENT AND ACCRUED ASSETS:</t>
  </si>
  <si>
    <t>OTHER PROPERTY AND INVESTMENTS:</t>
  </si>
  <si>
    <t>Cash and Cash Equivalents</t>
  </si>
  <si>
    <t>Advances to Affiliates                                            (Notes Receivables to Associated Companies)</t>
  </si>
  <si>
    <t xml:space="preserve">       Customers</t>
  </si>
  <si>
    <t>Accounts Receivable:</t>
  </si>
  <si>
    <t xml:space="preserve">       Accounts Receivable - Net</t>
  </si>
  <si>
    <t>Materials and Supplies:</t>
  </si>
  <si>
    <t xml:space="preserve">       Fuel</t>
  </si>
  <si>
    <t xml:space="preserve">       Other Accounts</t>
  </si>
  <si>
    <t xml:space="preserve">       SO2 Allowance Inventory - Current       </t>
  </si>
  <si>
    <t xml:space="preserve">       CO2 Allowance Inventory - Current       </t>
  </si>
  <si>
    <t xml:space="preserve">       Urea</t>
  </si>
  <si>
    <t xml:space="preserve">       Miscellaneous</t>
  </si>
  <si>
    <t xml:space="preserve">       Uncollectible Accounts</t>
  </si>
  <si>
    <t xml:space="preserve">       Associated Companies</t>
  </si>
  <si>
    <t xml:space="preserve">       Total Material and Supplies</t>
  </si>
  <si>
    <t>Accrued Utility Revenues</t>
  </si>
  <si>
    <t>Prepayments &amp; Other Current Assets</t>
  </si>
  <si>
    <t>TOTAL CURRENT AND ACCRUED ASSETS</t>
  </si>
  <si>
    <t>Energy Trading Cont Current Asset</t>
  </si>
  <si>
    <t>Regulatory Assets</t>
  </si>
  <si>
    <t>Deferred Charges</t>
  </si>
  <si>
    <t xml:space="preserve">       Other Deferred Charges</t>
  </si>
  <si>
    <t>TOTAL REGULATORY ASSETS AND                                 DEFERRED CHARGES</t>
  </si>
  <si>
    <t>TOTAL ASSETS AND OTHER DEBITS</t>
  </si>
  <si>
    <t>============</t>
  </si>
  <si>
    <t>CAPITALIZATION AND LONG TERM DEBT</t>
  </si>
  <si>
    <t>Common Stock - Par Value $50</t>
  </si>
  <si>
    <t xml:space="preserve">       Outstanding: 1,009,000 Shares</t>
  </si>
  <si>
    <t>Paid-In Capital</t>
  </si>
  <si>
    <t>Retained Earnings</t>
  </si>
  <si>
    <t xml:space="preserve">       Common Shareowners Equity</t>
  </si>
  <si>
    <t>Advances from Associated Companies</t>
  </si>
  <si>
    <t>Senior Unsecured Notes</t>
  </si>
  <si>
    <t xml:space="preserve">Unamortized Discount LTD - Senior Unsecured Note </t>
  </si>
  <si>
    <t xml:space="preserve">       Long Term Debt</t>
  </si>
  <si>
    <t>TOTAL CAPITALIZATION AND LONG TERM DEBT</t>
  </si>
  <si>
    <t>OTHER NONCURRENT LIABILITIES</t>
  </si>
  <si>
    <t>Accumulated Provisions - Miscellaneous</t>
  </si>
  <si>
    <t>MONTHLY BEGINNING AND ENDING BALANCES OF ELECTRIC PLANT IN SERVICE</t>
  </si>
  <si>
    <t>Total Intangible Plant</t>
  </si>
  <si>
    <t>Total General Plant</t>
  </si>
  <si>
    <t>RETAINED EARNINGS:</t>
  </si>
  <si>
    <t>BALANCE TRANSFERRED FROM (NET) INCOME</t>
  </si>
  <si>
    <t xml:space="preserve">       TOTAL</t>
  </si>
  <si>
    <t>STATEMENT OF RETAINED EARNINGS</t>
  </si>
  <si>
    <t>AND OTHER PAID-IN CAPITAL</t>
  </si>
  <si>
    <t>CASH DIVIDENDS DECLARED ON COMMON STOCK</t>
  </si>
  <si>
    <t>OTHER PAID-IN CAPITAL:</t>
  </si>
  <si>
    <t>DONATIONS RECEIVED FROM SHAREHOLDERS</t>
  </si>
  <si>
    <t>TOTAL OTHER PAID-IN CAPITAL</t>
  </si>
  <si>
    <t>STATEMENT OF INCOME</t>
  </si>
  <si>
    <t>OPERATING REVENUE - ELECTRIC</t>
  </si>
  <si>
    <t>Total Operating Revenues</t>
  </si>
  <si>
    <t xml:space="preserve">       TOTAL OPERATING REVENUES</t>
  </si>
  <si>
    <t>OPERATING EXPENSES - ELECTRIC</t>
  </si>
  <si>
    <t xml:space="preserve">       TOTAL OPERATION &amp; MAINTENANCE</t>
  </si>
  <si>
    <t xml:space="preserve">       TOTAL OPERATING EXPENSES</t>
  </si>
  <si>
    <t xml:space="preserve">       NET OPERATING INCOME</t>
  </si>
  <si>
    <t>OTHER INCOME AND DEDUCTIONS</t>
  </si>
  <si>
    <t>Other Income Deductions</t>
  </si>
  <si>
    <t>Taxes Applicable to Other Income &amp; Deductions</t>
  </si>
  <si>
    <t xml:space="preserve">       TOTAL OTHER INCOME AND DEDUCTIONS</t>
  </si>
  <si>
    <t>INCOME BEFORE INTEREST CHARGES</t>
  </si>
  <si>
    <t>INTEREST CHARGES</t>
  </si>
  <si>
    <t>(Net of Allowance for Borrowed Funds Used During Construction)</t>
  </si>
  <si>
    <t xml:space="preserve">       NET INCOME</t>
  </si>
  <si>
    <t>EARNINGS FOR COMMON STOCK</t>
  </si>
  <si>
    <t>DIVIDENDS DECLARED ON COMMON STOCK</t>
  </si>
  <si>
    <t>UNDISTRIBUTED NET INCOME</t>
  </si>
  <si>
    <t>Other Income                                                                                                   (Includes Allowance for Funds Used During Construction)</t>
  </si>
  <si>
    <t>OPERATING REVENUES BY REVENUE CLASS</t>
  </si>
  <si>
    <t>Sales of Electricity</t>
  </si>
  <si>
    <t>FERC Account No.</t>
  </si>
  <si>
    <t>Title</t>
  </si>
  <si>
    <t>Residential Sales</t>
  </si>
  <si>
    <t>Commercial &amp; Industrial Sales:</t>
  </si>
  <si>
    <t xml:space="preserve">       Commercial</t>
  </si>
  <si>
    <t xml:space="preserve">       Industrial</t>
  </si>
  <si>
    <t>Public Street &amp; Highway Lighting</t>
  </si>
  <si>
    <t>Other Sales to Public Authorities</t>
  </si>
  <si>
    <t>Subtotal - Total Sales - Ultimate Customers</t>
  </si>
  <si>
    <t>Sales for Resale</t>
  </si>
  <si>
    <t>Total Sales of Electricity</t>
  </si>
  <si>
    <t>Other Operating Revenues</t>
  </si>
  <si>
    <t>Forfeited Discounts</t>
  </si>
  <si>
    <t>Miscellaneous Service Revenues</t>
  </si>
  <si>
    <t>Rent form Electric Property</t>
  </si>
  <si>
    <t>Other Electric Revenues</t>
  </si>
  <si>
    <t>Total Other Operating Revenues</t>
  </si>
  <si>
    <t>OPERATING EXPENSES - FUNCTIONAL DETAILS</t>
  </si>
  <si>
    <t>OPERATING EXPENSES</t>
  </si>
  <si>
    <t>(OPERATION &amp; MAINTENANCE)</t>
  </si>
  <si>
    <t>POWER PRODUCTION EXPENSES</t>
  </si>
  <si>
    <t>Operation - Fuel</t>
  </si>
  <si>
    <t>Operation - Other</t>
  </si>
  <si>
    <t xml:space="preserve">       Total Operation       </t>
  </si>
  <si>
    <t>Maintenance</t>
  </si>
  <si>
    <t xml:space="preserve">       TOTAL STEAM POWER GENERATION</t>
  </si>
  <si>
    <t>TOTAL OTHER POWER GENERATION</t>
  </si>
  <si>
    <t>OTHER POWER SUPPLY EXPENSES:</t>
  </si>
  <si>
    <t>Purchase Power Expense</t>
  </si>
  <si>
    <t>Interchange Power Net - System Account</t>
  </si>
  <si>
    <t xml:space="preserve">       Total - Purchased Power</t>
  </si>
  <si>
    <t xml:space="preserve">       TOTAL OTHER POWER SUPPLY EXPENSES</t>
  </si>
  <si>
    <t xml:space="preserve">               TOTAL POWER PRODUCTION - OPERATION</t>
  </si>
  <si>
    <t xml:space="preserve">               TOTAL POWER PRODUCTION - MAINTENANCE</t>
  </si>
  <si>
    <t xml:space="preserve">       TOTAL POWER PRODUCTION EXPENSES</t>
  </si>
  <si>
    <t>TRANSMISSION - Operation</t>
  </si>
  <si>
    <t xml:space="preserve">                          - Maintenance</t>
  </si>
  <si>
    <t xml:space="preserve">                            - Maintenance</t>
  </si>
  <si>
    <t xml:space="preserve">       TOTAL TRANSMISSION EXPENSES</t>
  </si>
  <si>
    <t>DISTRIBUTION - Operation</t>
  </si>
  <si>
    <t xml:space="preserve">       TOTAL DISTRIBUTION EXPENSES</t>
  </si>
  <si>
    <t>CUSTOMER ACCOUNTS EXPENSE - OPERATION</t>
  </si>
  <si>
    <t>CUSTOMER SERVICE &amp; INFORMATION EXPENSES - OPERATION</t>
  </si>
  <si>
    <t>SALES EXPENSES - OPERATION</t>
  </si>
  <si>
    <t>ADMINISTRATIVE &amp; GENERAL EXPENSES - Operation</t>
  </si>
  <si>
    <t xml:space="preserve">                                                                           - Maintenance</t>
  </si>
  <si>
    <t xml:space="preserve">       TOTAL ADMINISTRATIVE &amp; GENERAL EXPENSES</t>
  </si>
  <si>
    <t xml:space="preserve">       TOTAL OPERATION &amp; MAINTENANCE EXPENSES</t>
  </si>
  <si>
    <t>PERCENT REPAIR ALLOWANCE</t>
  </si>
  <si>
    <t>Obligations Under Capital Lease</t>
  </si>
  <si>
    <t>Long-Term Debt Due within 1 Year</t>
  </si>
  <si>
    <t>Accounts Payable</t>
  </si>
  <si>
    <t>Accounts Payable to Associated Companies</t>
  </si>
  <si>
    <t>Customer Deposits</t>
  </si>
  <si>
    <t>Taxes Accrued</t>
  </si>
  <si>
    <t>Interest Accrued</t>
  </si>
  <si>
    <t>Other Current and Accrued Liabilities</t>
  </si>
  <si>
    <t>Risk Management Liabilities</t>
  </si>
  <si>
    <t>Regulatory Liabilities</t>
  </si>
  <si>
    <t>Long-Term Risk Management Liabilities</t>
  </si>
  <si>
    <t>Customer Advances for Construction</t>
  </si>
  <si>
    <t>Other Deferred Credits</t>
  </si>
  <si>
    <t>Accumulated Deferred Investment Tax Credit</t>
  </si>
  <si>
    <t>Accumulated Deferred Income Taxes</t>
  </si>
  <si>
    <t>DEFERRED CREDITS AND OPERATING RESERVES</t>
  </si>
  <si>
    <t>TOTAL LIABILITIES AND OTHER CREDITS</t>
  </si>
  <si>
    <t>CURRENT AND ACCRUED LIABILITIES</t>
  </si>
  <si>
    <t xml:space="preserve">       TOTAL OTHER NONCURRENT LIABILITIES</t>
  </si>
  <si>
    <t xml:space="preserve">       TOTAL CURRENT AND ACCRUED LIABILITIES</t>
  </si>
  <si>
    <t xml:space="preserve">       TOTAL DEFERRED CREDITS AND OPERATING RESERVES</t>
  </si>
  <si>
    <t>FINANCIAL EXHIBIT</t>
  </si>
  <si>
    <t>1.</t>
  </si>
  <si>
    <t>Amounts and kinds of stock authorized.</t>
  </si>
  <si>
    <t>2,000,000 Shares of Common Stock, $50 par value.</t>
  </si>
  <si>
    <t>2.</t>
  </si>
  <si>
    <t>Amounts and kinds of stock issued and outstanding.</t>
  </si>
  <si>
    <t>1,009,000 Shares of Common Stock, $50 par value, recorded at $50,450,000.</t>
  </si>
  <si>
    <t>3.</t>
  </si>
  <si>
    <t>The Company has no preferred stock authorized or outstanding.</t>
  </si>
  <si>
    <t>4.</t>
  </si>
  <si>
    <t>5.</t>
  </si>
  <si>
    <t>6.</t>
  </si>
  <si>
    <t>Senior Notes</t>
  </si>
  <si>
    <t>Promissory Notes</t>
  </si>
  <si>
    <t>Short Term Borrowings</t>
  </si>
  <si>
    <t>7.</t>
  </si>
  <si>
    <t>The Company has no other indebtedness.</t>
  </si>
  <si>
    <t>8.</t>
  </si>
  <si>
    <t>Year</t>
  </si>
  <si>
    <t>9.</t>
  </si>
  <si>
    <t>Capitalized Software</t>
  </si>
  <si>
    <t>SCR Catalyst</t>
  </si>
  <si>
    <t>Other</t>
  </si>
  <si>
    <t>Leased Property</t>
  </si>
  <si>
    <t>=============</t>
  </si>
  <si>
    <t>===========</t>
  </si>
  <si>
    <t>Total Materials &amp; Supplies</t>
  </si>
  <si>
    <t>Detailed income statement and balance sheet (see attached pages 3 - 16).</t>
  </si>
  <si>
    <t>Rate of                                   Interest</t>
  </si>
  <si>
    <t>Date of                                  Maturity</t>
  </si>
  <si>
    <t>Date of                      Issue</t>
  </si>
  <si>
    <t>Common                    Shares                               Outstanding</t>
  </si>
  <si>
    <t>Common                               Dividend                                Amount</t>
  </si>
  <si>
    <t>Dividend per                                          Common                                            Share</t>
  </si>
  <si>
    <t>Line</t>
  </si>
  <si>
    <t>No.</t>
  </si>
  <si>
    <t>ACCUMULATED OTHER COMPREHENSIVE INCOME</t>
  </si>
  <si>
    <t xml:space="preserve">       SUBTOTAL OPERATION &amp; MAINTENANCE EXPENSES</t>
  </si>
  <si>
    <t>GAINS FROM DISPOSITON OF UTILITY PLANT</t>
  </si>
  <si>
    <t>FACTORED CUSTOMER A/R EXPENSE</t>
  </si>
  <si>
    <t>FACTORED CUSTOMER A/R BAD DEBT</t>
  </si>
  <si>
    <t>TOTAL OWNED ELECTRIC PLANT</t>
  </si>
  <si>
    <t>Employee Benefits - Pension</t>
  </si>
  <si>
    <t>Taxes</t>
  </si>
  <si>
    <t>Carry Costs - Factored A/R</t>
  </si>
  <si>
    <t>Sales / Use Taxes</t>
  </si>
  <si>
    <t>NOx Compliance Inventory</t>
  </si>
  <si>
    <t>Provision for Rate Refund</t>
  </si>
  <si>
    <t>Asset Retirement Obligation</t>
  </si>
  <si>
    <t>REGIONAL MARKET EXPENSES</t>
  </si>
  <si>
    <t>Regional Market Operation Expenses</t>
  </si>
  <si>
    <t>TOTAL REGIONAL MARKET EXPENSES</t>
  </si>
  <si>
    <t>Subtotal Sales of Electricity</t>
  </si>
  <si>
    <t xml:space="preserve">       Authorized: 2,000,000 Shares</t>
  </si>
  <si>
    <t>Accrued Capital Leases</t>
  </si>
  <si>
    <t>SO2 Allowance Inventory</t>
  </si>
  <si>
    <t>Operating Revenue - Sales To Affiliates</t>
  </si>
  <si>
    <t>Operating Revenue - Sales To Non Affiliates</t>
  </si>
  <si>
    <t xml:space="preserve">Note:   </t>
  </si>
  <si>
    <t>None</t>
  </si>
  <si>
    <t xml:space="preserve"> </t>
  </si>
  <si>
    <t>Accumulated Provisions - Rate Relief</t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</si>
  <si>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Asset Report 1000c</t>
    </r>
  </si>
  <si>
    <r>
      <t xml:space="preserve">NOTE: </t>
    </r>
    <r>
      <rPr>
        <sz val="10"/>
        <rFont val="Arial"/>
        <family val="2"/>
      </rPr>
      <t>Columns may not foot due to rounding</t>
    </r>
  </si>
  <si>
    <t>39800 - Miscellaneous Equipment</t>
  </si>
  <si>
    <t>39716 - AMI Communication Equipment</t>
  </si>
  <si>
    <t>39700 - Communication Equipment</t>
  </si>
  <si>
    <t>39600 - Power Operated Equipment</t>
  </si>
  <si>
    <t>39500 - Laboratory Equipment</t>
  </si>
  <si>
    <t>39400 - Tools</t>
  </si>
  <si>
    <t>39300 - Stores Equipment</t>
  </si>
  <si>
    <t>39200 - Transportation Equipment</t>
  </si>
  <si>
    <t>39100 - Office Furniture, Equipment</t>
  </si>
  <si>
    <t>39000 - Structures and Improvements</t>
  </si>
  <si>
    <t>38910 - Land Rights</t>
  </si>
  <si>
    <t>38900 - Land</t>
  </si>
  <si>
    <t xml:space="preserve">Total Distribution Plant </t>
  </si>
  <si>
    <t>37300 - Street Lghtng &amp; Signal Sys</t>
  </si>
  <si>
    <t>37100 - Installs Customer Premises</t>
  </si>
  <si>
    <t>37000 - Meters</t>
  </si>
  <si>
    <t>36900 - Services</t>
  </si>
  <si>
    <t>36800 - Line Transformers</t>
  </si>
  <si>
    <t>36600 - Underground Conduit</t>
  </si>
  <si>
    <t>36500 - Overhead Conductors, Device</t>
  </si>
  <si>
    <t>36400 - Poles, Towers and Fixtures</t>
  </si>
  <si>
    <t>36200 - Station Equipment</t>
  </si>
  <si>
    <t>36100 - Structures and Improvements</t>
  </si>
  <si>
    <t>36010 - Land Rights</t>
  </si>
  <si>
    <t>36000 - Land</t>
  </si>
  <si>
    <t xml:space="preserve">Distribution Plant </t>
  </si>
  <si>
    <t>Total Transmission Plant</t>
  </si>
  <si>
    <t>35800 - Undergrnd Conductors Device</t>
  </si>
  <si>
    <t>35700 - Underground Conduit</t>
  </si>
  <si>
    <t>35610 - ROW Clearing OVH Conductors</t>
  </si>
  <si>
    <t>35600 - Overhead Conductors, Device</t>
  </si>
  <si>
    <t>35500 - Poles and Fixtures</t>
  </si>
  <si>
    <t>35400 - Towers and Fixtures</t>
  </si>
  <si>
    <t>35300 - Station Equipment</t>
  </si>
  <si>
    <t>35200 - Structures and Improvements</t>
  </si>
  <si>
    <t>35010 - Land Rights</t>
  </si>
  <si>
    <t>35000 - Land</t>
  </si>
  <si>
    <t>Total Steam Generation Plant</t>
  </si>
  <si>
    <t>31600 - Misc Pwr Plant Equip-Coal</t>
  </si>
  <si>
    <t>31500 - Accessory Elect Equip-Coal</t>
  </si>
  <si>
    <t>31200 - Boiler Plant Equip-Coal</t>
  </si>
  <si>
    <t>31010 - Land Rights - Coal Fired</t>
  </si>
  <si>
    <t>31000 - Land - Coal Fired</t>
  </si>
  <si>
    <t>Steam Generation Plant</t>
  </si>
  <si>
    <t>30300 - Intangible Property</t>
  </si>
  <si>
    <t>30200 - Franchises and Consents</t>
  </si>
  <si>
    <t>Total Asset Retirement Obligations</t>
  </si>
  <si>
    <t>39919 - ARO General Plant</t>
  </si>
  <si>
    <t>31700 - ARO Steam Production Plant</t>
  </si>
  <si>
    <t>Asset Retirement Obligations</t>
  </si>
  <si>
    <t xml:space="preserve">Line </t>
  </si>
  <si>
    <t>Financial Page 16</t>
  </si>
  <si>
    <t>SOURCE:</t>
  </si>
  <si>
    <t>TOTAL CWIP</t>
  </si>
  <si>
    <t>Depreciation Ledger and Financial Page 18</t>
  </si>
  <si>
    <t>Source:</t>
  </si>
  <si>
    <t>Total Accum Provision for Depr., Depl., and Amort. Of Electric Utility Plant - Net</t>
  </si>
  <si>
    <t>Accumulated Provision for Amortization of Electric Plant &amp; Leased Property</t>
  </si>
  <si>
    <t>Total Electric Utility Plant</t>
  </si>
  <si>
    <t>Accumulated Provision for Amortization of Electric Plant in Service</t>
  </si>
  <si>
    <t>Total Accumulated Provision for Depreciation</t>
  </si>
  <si>
    <t>Retirement Work in Progress</t>
  </si>
  <si>
    <t>Less:</t>
  </si>
  <si>
    <t>Asset Retirement Obligation Removal Depreciation &amp; Accretion</t>
  </si>
  <si>
    <t>Distribution Plant - Electric</t>
  </si>
  <si>
    <t>Transmission Plant - Electric</t>
  </si>
  <si>
    <t>Depreciation of Electric Utility Plant in Service</t>
  </si>
  <si>
    <t>Total Owned Electric Plant</t>
  </si>
  <si>
    <t>Held For Future Use</t>
  </si>
  <si>
    <t>Electric Plant</t>
  </si>
  <si>
    <t>Total Owned Electric Plant In Service</t>
  </si>
  <si>
    <t>Percent</t>
  </si>
  <si>
    <t xml:space="preserve"> Balance</t>
  </si>
  <si>
    <t>Owned Electric Plant In Service</t>
  </si>
  <si>
    <t>JURISDICTIONAL ASSETS</t>
  </si>
  <si>
    <t>Description</t>
  </si>
  <si>
    <t>Eliminating                                   Adjustments</t>
  </si>
  <si>
    <t>Jurisdictional                                Rate Case                                    Adjustments                                                      (Schedule 4)</t>
  </si>
  <si>
    <t>(C3 + C4 + C5)</t>
  </si>
  <si>
    <t>---------------------</t>
  </si>
  <si>
    <t>TOTAL ELECTRIC UTILITY PLANT</t>
  </si>
  <si>
    <t>Reconcile:</t>
  </si>
  <si>
    <t>Add:</t>
  </si>
  <si>
    <t>JURISDICTIONAL CAPITALIZATION, LONG-TERM DEBT AND LIABILITIES</t>
  </si>
  <si>
    <t>Elimination                                                                 Adjustments</t>
  </si>
  <si>
    <t>Rate Case                                                                 Adjustments                                                               (Schedules 3 &amp; 4)</t>
  </si>
  <si>
    <t>-------------------</t>
  </si>
  <si>
    <t>Short-Term Debt</t>
  </si>
  <si>
    <t>Dividends Declared</t>
  </si>
  <si>
    <t xml:space="preserve">BALANCE SHEET - </t>
  </si>
  <si>
    <t>BALANCE SHEET</t>
  </si>
  <si>
    <t>April</t>
  </si>
  <si>
    <t>March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</si>
  <si>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</si>
  <si>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</si>
  <si>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</si>
  <si>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</si>
  <si>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</si>
  <si>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</si>
  <si>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</si>
  <si>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</si>
  <si>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</si>
  <si>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</si>
  <si>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Prepaid Lease</t>
  </si>
  <si>
    <t>CSAPR Current SO2 Inv</t>
  </si>
  <si>
    <t>NON-UTILITY</t>
  </si>
  <si>
    <t>NON-APPLIC</t>
  </si>
  <si>
    <t>SPECIFIC</t>
  </si>
  <si>
    <t>DEMAND</t>
  </si>
  <si>
    <t>REVENUE-OTH</t>
  </si>
  <si>
    <t>REVENUE</t>
  </si>
  <si>
    <t>O&amp;M EXP</t>
  </si>
  <si>
    <t>LABOR</t>
  </si>
  <si>
    <t>ENERGY</t>
  </si>
  <si>
    <t>T&amp;D PLT</t>
  </si>
  <si>
    <t>DIST PLT</t>
  </si>
  <si>
    <t>TRAN PLT</t>
  </si>
  <si>
    <t>PROD PLT</t>
  </si>
  <si>
    <t>NET PLANT</t>
  </si>
  <si>
    <t>GROSS PLT</t>
  </si>
  <si>
    <t>ALLOCATION FACTORS:</t>
  </si>
  <si>
    <t>Current Tax</t>
  </si>
  <si>
    <t xml:space="preserve">Parent Company Loss Allocation </t>
  </si>
  <si>
    <t>NOL - Reclass Adjustment to Deferred Tax Asset</t>
  </si>
  <si>
    <t>Tax Return Adjustments</t>
  </si>
  <si>
    <t>Tax Adjustments</t>
  </si>
  <si>
    <t>Tax Before Credits</t>
  </si>
  <si>
    <t>Statutory Rate</t>
  </si>
  <si>
    <t>Taxable Income</t>
  </si>
  <si>
    <t>State Income Tax Return Adjustment</t>
  </si>
  <si>
    <t>========================================</t>
  </si>
  <si>
    <t>Total Book/Tax Income Differences</t>
  </si>
  <si>
    <t>Total EMISSION ALLOWANCES</t>
  </si>
  <si>
    <t xml:space="preserve">        640K DEFD TAX GAIN-EPA AUCTION</t>
  </si>
  <si>
    <t xml:space="preserve">        639S DEFD TAX LOSS - INTERCO SALE - EMA</t>
  </si>
  <si>
    <t xml:space="preserve">        639Q DEFD TAX GAIN - INTERCO SALE - EMA</t>
  </si>
  <si>
    <t xml:space="preserve">        639O BOOK &gt; TAX BASIS EMA - 283 (B/L)</t>
  </si>
  <si>
    <t xml:space="preserve">        639M TAX &gt; BOOK BASIS - EMA-A/C 190 (B/L)</t>
  </si>
  <si>
    <t xml:space="preserve">        638C TAX &gt; BOOK BASIS - EMA-A/C 190</t>
  </si>
  <si>
    <t xml:space="preserve">        638A BOOK &gt; TAX BASIS - EMA-A/C 283</t>
  </si>
  <si>
    <t>EMISSION ALLOWANCES</t>
  </si>
  <si>
    <t>Total MARK-TO-MARKET ADJUSTMENTS</t>
  </si>
  <si>
    <t xml:space="preserve">        652G REG LIAB-UNREAL MTM GAIN-DEFL</t>
  </si>
  <si>
    <t xml:space="preserve">        610X PROV - SFAS 157 - B/L</t>
  </si>
  <si>
    <t xml:space="preserve">        610W PROV-TRADING CREDIT RISK - B/L</t>
  </si>
  <si>
    <t xml:space="preserve">        610V PROV - SFAS 157 - A/L</t>
  </si>
  <si>
    <t xml:space="preserve">        610U PROV-TRADING CREDIT RISK - A/L</t>
  </si>
  <si>
    <t xml:space="preserve">        576F MARK &amp; SPREAD-DEFL-190-A/L</t>
  </si>
  <si>
    <t xml:space="preserve">        576E MARK &amp; SPREAD-DEFL-283-A/L</t>
  </si>
  <si>
    <t xml:space="preserve">        576C MARK &amp; SPREAD-DEFL-190-B/L</t>
  </si>
  <si>
    <t xml:space="preserve">        576A MARK &amp; SPREAD-DEFL-283-B/L</t>
  </si>
  <si>
    <t xml:space="preserve">        575E MTM BK GAIN-A/L-TAX DEFL</t>
  </si>
  <si>
    <t xml:space="preserve">        575A MTM BK GAIN-B/L-TAX DEFL</t>
  </si>
  <si>
    <t>MARK-TO-MARKET ADJUSTMENTS</t>
  </si>
  <si>
    <t>Total TAX vs BOOK GAIN / LOSS</t>
  </si>
  <si>
    <t xml:space="preserve">        562B DEFD BK GAIN-RKPT 2 SALE/LEASE</t>
  </si>
  <si>
    <t>TAX vs BOOK GAIN / LOSS</t>
  </si>
  <si>
    <t>Total TAX DEFERRALS</t>
  </si>
  <si>
    <t xml:space="preserve">        712K CAPITALIZED SOFTWARE COST-BOOK</t>
  </si>
  <si>
    <t>TAX DEFERRALS</t>
  </si>
  <si>
    <t>Total TAX ACCRUALS</t>
  </si>
  <si>
    <t xml:space="preserve">        711O BOOK LEASES CAPITALIZED FOR TAX</t>
  </si>
  <si>
    <t xml:space="preserve">        711N CAPITALIZED SOFTWARE COSTS-TAX</t>
  </si>
  <si>
    <t>TAX ACCRUALS</t>
  </si>
  <si>
    <t>Total PERMANENT SCHEDULE M's</t>
  </si>
  <si>
    <t xml:space="preserve">        999Q FIN-48 DSIT - PERM - FIN 48</t>
  </si>
  <si>
    <t xml:space="preserve">        970A MANUFACTURING DEDUCTION</t>
  </si>
  <si>
    <t xml:space="preserve">        913A LUXURY AUTO ADJUSTMENT</t>
  </si>
  <si>
    <t xml:space="preserve">        910U MEMBERSHIP DUES</t>
  </si>
  <si>
    <t xml:space="preserve">        910S NON-DEDUCT LOBBYING</t>
  </si>
  <si>
    <t xml:space="preserve">        910E NON-DEDUCT MISCELLANEOUS</t>
  </si>
  <si>
    <t xml:space="preserve">        910C NON-DEDUCT FINES&amp;PENALTIES</t>
  </si>
  <si>
    <t xml:space="preserve">        910B NON-DEDUCT MEALS AND T&amp;E</t>
  </si>
  <si>
    <t xml:space="preserve">        906B SFAS 106 - POST RETIRE BEN MEDICARE SUBSIDY</t>
  </si>
  <si>
    <t xml:space="preserve">        611M NON-TAXABLE DEFD COMP - CSV EARN</t>
  </si>
  <si>
    <t>PERMANENT SCHEDULE M's</t>
  </si>
  <si>
    <t>Total OTHER MISCELLANEOUS</t>
  </si>
  <si>
    <t xml:space="preserve">        960Z NOL - DEFERRED TAX ASSET RECLASS</t>
  </si>
  <si>
    <t xml:space="preserve">        940X IRS CAPITALIZATION ADJUSTMENT</t>
  </si>
  <si>
    <t xml:space="preserve">        940S 1997-2003 IRS AUDIT SETTLEMENT</t>
  </si>
  <si>
    <t xml:space="preserve">        914K REG ASSET - ACCRUED SFAS 112</t>
  </si>
  <si>
    <t xml:space="preserve">        914B REG ASSET - SFAS 109 DSIT LIAB</t>
  </si>
  <si>
    <t xml:space="preserve">        914A SFAS 109 - DEFD SIT LIABILITY</t>
  </si>
  <si>
    <t xml:space="preserve">        913D CHARITABLE CONTRIBUTION CARRYFWD</t>
  </si>
  <si>
    <t xml:space="preserve">        911W ACCRD SIT TX RESERVE-SHRT-TERM-FIN 48</t>
  </si>
  <si>
    <t xml:space="preserve">        911V ACCRD SIT TX RESERVE-LNG-TERM-FIN 48</t>
  </si>
  <si>
    <t xml:space="preserve">        911Q DEFERRED STATE INCOME TAXES</t>
  </si>
  <si>
    <t xml:space="preserve">        911F FIN 48 DEFERRED STATE INCOME TAXES</t>
  </si>
  <si>
    <t xml:space="preserve">        910A GAIN ON REACQUIRED DEBT</t>
  </si>
  <si>
    <t xml:space="preserve">        907B SFAS 106 - MEDICARE SUBSIDY - NORMALIZED</t>
  </si>
  <si>
    <t xml:space="preserve">        907A REG ASSET - MEDICARE SUBSIDY - FLOW THRU</t>
  </si>
  <si>
    <t xml:space="preserve">        906P ACCRD BOOK ARO EXPENSE - SFAS 143</t>
  </si>
  <si>
    <t xml:space="preserve">        906K ACCRD SFAS 112 PST EMPLOY BEN</t>
  </si>
  <si>
    <t xml:space="preserve">        906F ACCRD OPEB COSTS - SFAS 158</t>
  </si>
  <si>
    <t xml:space="preserve">        906D SFAS 106 PST RETIRE EXP - NON-DEDUCT CONT</t>
  </si>
  <si>
    <t xml:space="preserve">        906C DEFD SFAS 106 BOOK COSTS</t>
  </si>
  <si>
    <t xml:space="preserve">        906A ACCRD SFAS 106 PST RETIRE EXP</t>
  </si>
  <si>
    <t xml:space="preserve">        900A LOSS ON REACQUIRED DEBT</t>
  </si>
  <si>
    <t>OTHER MISCELLANEOUS</t>
  </si>
  <si>
    <t>Total BOOK RESERVES</t>
  </si>
  <si>
    <t xml:space="preserve">        611Y PROVISION FOR LITIGATION</t>
  </si>
  <si>
    <t>BOOK RESERVES</t>
  </si>
  <si>
    <t>Total BOOK DEFERRALS</t>
  </si>
  <si>
    <t xml:space="preserve">        664V REG ASSET - NET CCS FEED STUDY COSTS</t>
  </si>
  <si>
    <t xml:space="preserve">        664N REG ASSET - DEFD SEVERANCE COSTS</t>
  </si>
  <si>
    <t xml:space="preserve">        663G REG ASSET - UNDERRECOVERY PJM EXPENSES</t>
  </si>
  <si>
    <t xml:space="preserve">        661T REG ASSET - SFAS 158 - OPEB</t>
  </si>
  <si>
    <t xml:space="preserve">        661S REG ASSET - SFAS 158 - SERP</t>
  </si>
  <si>
    <t xml:space="preserve">        661R REG ASSET - SFAS 158 - PENSIONS</t>
  </si>
  <si>
    <t xml:space="preserve">        660Z REG ASSET - DEFERRED EQUITY CARRYING CHGS</t>
  </si>
  <si>
    <t xml:space="preserve">        660X REG ASSET - DEFERRED PJM FEES</t>
  </si>
  <si>
    <t xml:space="preserve">        641I ADVANCE RENTAL INC (CUR MO)</t>
  </si>
  <si>
    <t xml:space="preserve">        632U BK DEFL - DEMAND SIDE MANAGEMENT</t>
  </si>
  <si>
    <t xml:space="preserve">        630J DEFD STORM DAMAGE</t>
  </si>
  <si>
    <t xml:space="preserve">        630F DEFD BK CONTRACT REVENUE</t>
  </si>
  <si>
    <t xml:space="preserve">        390F CUST ADV INC FOR TAX</t>
  </si>
  <si>
    <t>BOOK DEFERRALS</t>
  </si>
  <si>
    <t>Total BOOK ACCRUALS</t>
  </si>
  <si>
    <t xml:space="preserve">        625B STATE MITIGATION PROGRAMS</t>
  </si>
  <si>
    <t xml:space="preserve">        625A FEDERAL MITIGATION PROGRAMS</t>
  </si>
  <si>
    <t xml:space="preserve">        615R REG ASSET - DEFERRED RTO COSTS</t>
  </si>
  <si>
    <t xml:space="preserve">        615E ACCRUED STATE INCOME TAX EXP</t>
  </si>
  <si>
    <t xml:space="preserve">        615C ACCRUED INTEREST-SHORT-TERM - FIN 48</t>
  </si>
  <si>
    <t xml:space="preserve">        615B ACCRUED INTEREST-LONG-TERM - FIN 48</t>
  </si>
  <si>
    <t xml:space="preserve">        615A ACCRUED INTEREST EXP -STATE</t>
  </si>
  <si>
    <t xml:space="preserve">        614L PROVISION FOR POTENTIAL LOSS</t>
  </si>
  <si>
    <t xml:space="preserve">        613Y ACCRD BK SEVERANCE BENEFITS</t>
  </si>
  <si>
    <t xml:space="preserve">        613K (ICDP) INCENTIVE COMP DEFERRAL PLAN</t>
  </si>
  <si>
    <t xml:space="preserve">        613E ACCRUED BOOK VACATION PAY</t>
  </si>
  <si>
    <t xml:space="preserve">        612Y ACCRD COMPANYWIDE INCENT PLAN</t>
  </si>
  <si>
    <t xml:space="preserve">        610A BK PROV UNCOLL ACCTS</t>
  </si>
  <si>
    <t xml:space="preserve">        605O ACCRUED PSI PLAN EXP</t>
  </si>
  <si>
    <t xml:space="preserve">        605I ACCRD BK SUP. SAVINGS PLAN EXP</t>
  </si>
  <si>
    <t xml:space="preserve">        605F ACCRD SUP EXEC RETIRE PLAN COSTS-SFAS 158</t>
  </si>
  <si>
    <t xml:space="preserve">        605E SUPPLEMENTAL EXECUTIVE RETIREMENT PLAN</t>
  </si>
  <si>
    <t xml:space="preserve">        605C ACCRUED BK PENSION COSTS - SFAS 158</t>
  </si>
  <si>
    <t xml:space="preserve">        605B ACCRUED BK PENSION EXPENSE</t>
  </si>
  <si>
    <t xml:space="preserve">        602A PROV WORKER'S COMP</t>
  </si>
  <si>
    <t>BOOK ACCRUALS</t>
  </si>
  <si>
    <t>Total EQUITY IN EARNINGS OF SUBSIDIARIES</t>
  </si>
  <si>
    <t xml:space="preserve">        531A EQTY IN SUBSIDIARIES    (US)</t>
  </si>
  <si>
    <t>EQUITY IN EARNINGS OF SUBSIDIARIES</t>
  </si>
  <si>
    <t>Total DEFERRED FUEL COSTS</t>
  </si>
  <si>
    <t xml:space="preserve">        411B DEFD FUEL ACC REVS - A/C 283</t>
  </si>
  <si>
    <t xml:space="preserve">        411A DEFD FUEL CUR SET UP - A/C 283</t>
  </si>
  <si>
    <t xml:space="preserve">        410E DEFD FUEL ADJ - REG</t>
  </si>
  <si>
    <t xml:space="preserve">        410B DEFD FUEL ADJ - ACCRD UTIL REVS</t>
  </si>
  <si>
    <t xml:space="preserve">        410A DEFD FUEL EXP - CUR DEFL SET UP</t>
  </si>
  <si>
    <t>DEFERRED FUEL COSTS</t>
  </si>
  <si>
    <t>Total REVENUE REFUNDS</t>
  </si>
  <si>
    <t xml:space="preserve">        520A PROVS POSS REV REFDS</t>
  </si>
  <si>
    <t>REVENUE REFUNDS</t>
  </si>
  <si>
    <t>Total PROPERTY TAX ADJUSTMENTS</t>
  </si>
  <si>
    <t xml:space="preserve">        510H PROPERTY TAX-NEW METHOD-BOOK</t>
  </si>
  <si>
    <t>PROPERTY TAX ADJUSTMENTS</t>
  </si>
  <si>
    <t>Total ACCELERATED AMORTIZATION</t>
  </si>
  <si>
    <t xml:space="preserve">        533A TX AMORT POLLUTION CONT EQPT</t>
  </si>
  <si>
    <t>ACCELERATED AMORTIZATION</t>
  </si>
  <si>
    <t>Total REMOVAL COSTS</t>
  </si>
  <si>
    <t xml:space="preserve">        910K REMOVAL CST</t>
  </si>
  <si>
    <t>REMOVAL COSTS</t>
  </si>
  <si>
    <t>Total PERCENT REPAIR ALLOWANCE</t>
  </si>
  <si>
    <t xml:space="preserve">        534A CAPITALIZED RELOCATION COSTS - DFIT FBK</t>
  </si>
  <si>
    <t xml:space="preserve">        534A CAPITALIZED RELOCATION COSTS</t>
  </si>
  <si>
    <t xml:space="preserve">        532D BK/TX UNIT OF PROPERTY ADJ - SECTION 481</t>
  </si>
  <si>
    <t xml:space="preserve">        532C BOOK/TAX UNIT OF PROPERTY ADJ</t>
  </si>
  <si>
    <t xml:space="preserve">        532A PERCENT REPAIR ALLOWANCE - DFIT FBK</t>
  </si>
  <si>
    <t xml:space="preserve">        532A PERCENT REPAIR ALLOWANCE</t>
  </si>
  <si>
    <t>Total MISC OVERHEADS CAPITALIZED</t>
  </si>
  <si>
    <t xml:space="preserve">        370A SAV PLAN CAPD</t>
  </si>
  <si>
    <t xml:space="preserve">        360J SEC 481 PENS/OPEB ADJUSTMENT</t>
  </si>
  <si>
    <t xml:space="preserve">        360A PENS CAPD</t>
  </si>
  <si>
    <t xml:space="preserve">        350A TXS CAPD</t>
  </si>
  <si>
    <t>MISC OVERHEADS CAPITALIZED</t>
  </si>
  <si>
    <t>Total AFUDC / INTEREST CAPITALIZED</t>
  </si>
  <si>
    <t xml:space="preserve">        380J INT EXP CAPITALIZED FOR TAX - DFIT FBK</t>
  </si>
  <si>
    <t xml:space="preserve">        380J INT EXP CAPITALIZED FOR TAX</t>
  </si>
  <si>
    <t xml:space="preserve">        320I ABFUDC - HRJ POST-IN-SERVICE - DFIT FBK</t>
  </si>
  <si>
    <t xml:space="preserve">        320I ABFUDC - HRJ POST-IN-SERVICE</t>
  </si>
  <si>
    <t xml:space="preserve">        320J ABFUDC - HRJ - DFIT FBK</t>
  </si>
  <si>
    <t xml:space="preserve">        320A ABFUDC - DFIT FBK</t>
  </si>
  <si>
    <t xml:space="preserve">        320A ABFUDC</t>
  </si>
  <si>
    <t xml:space="preserve">        310D AOFUDC - HRJ POST-IN-SERVICE</t>
  </si>
  <si>
    <t xml:space="preserve">        310A AOFUDC</t>
  </si>
  <si>
    <t>AFUDC / INTEREST CAPITALIZED</t>
  </si>
  <si>
    <t>Total EXCESS TAX vs BOOK DEPRECIATION</t>
  </si>
  <si>
    <t xml:space="preserve">        390A CIAC - BOOK RECEIPTS</t>
  </si>
  <si>
    <t xml:space="preserve">        295C GAIN/LOSS ACRS/MACRS-BK/TX UNIT PROPERTY</t>
  </si>
  <si>
    <t xml:space="preserve">        295A GAIN/LOSS ON ACRS/MACRS PROPERTY - DFIT FBK</t>
  </si>
  <si>
    <t xml:space="preserve">        295A GAIN/LOSS ON ACRS/MACRS PROPERTY</t>
  </si>
  <si>
    <t xml:space="preserve">        280H BK PLANT IN SERVICE - SFAS 143 - ARO</t>
  </si>
  <si>
    <t xml:space="preserve">        280A EXCESS TX VS S/L BK DEPR</t>
  </si>
  <si>
    <t xml:space="preserve">        232A-XS EXCESS DIT - ACRS TAX DEPR - HRJ</t>
  </si>
  <si>
    <t xml:space="preserve">        232A ACRS TAX DEPRECIATION - HRJ</t>
  </si>
  <si>
    <t xml:space="preserve">        230X R&amp;D DEDUCTION - SECTION 174</t>
  </si>
  <si>
    <t xml:space="preserve">        230K PJM INTEGRATION-SEC 481(a)-INTANG-DFD LABOR</t>
  </si>
  <si>
    <t xml:space="preserve">        230J RELOCATION CST-SECTION 481(a)-CHANGE IN METHD</t>
  </si>
  <si>
    <t xml:space="preserve">        230I CAPD INTEREST-SECTION 481(a)-CHANGE IN METHD </t>
  </si>
  <si>
    <t xml:space="preserve">        230A-XS EXCESS DIT - ACRS NORM REVERSAL</t>
  </si>
  <si>
    <t xml:space="preserve">        230A ACRS BENEFIT NORMALIZED</t>
  </si>
  <si>
    <t xml:space="preserve">        210A-XS EXCESS DFIT - LIBERALIZED DEPR-REG</t>
  </si>
  <si>
    <t xml:space="preserve">        210A LIBERALIZED DEPR-REG</t>
  </si>
  <si>
    <t>EXCESS TAX vs BOOK DEPRECIATION</t>
  </si>
  <si>
    <t>PRE-TAX BOOK INCOME BEFORE FEDERAL INCOME TAX</t>
  </si>
  <si>
    <t>CALCULATED</t>
  </si>
  <si>
    <t>SIT CALC</t>
  </si>
  <si>
    <t>Current State Income Tax Expense</t>
  </si>
  <si>
    <t>PRE-TAX BOOK INCOME BEFORE STATE INCOME TAX</t>
  </si>
  <si>
    <t>NON-UTIL</t>
  </si>
  <si>
    <t>Other Income &amp; Deductions   (Before Income Tax)</t>
  </si>
  <si>
    <t>Interest Expense Synchronized</t>
  </si>
  <si>
    <t>NET ELECTRIC OPERATING INCOME BEFORE INCOME TAX</t>
  </si>
  <si>
    <t>Basis</t>
  </si>
  <si>
    <t>Factor</t>
  </si>
  <si>
    <t>Adjustments</t>
  </si>
  <si>
    <t>Non-Applicable</t>
  </si>
  <si>
    <t>Item Description</t>
  </si>
  <si>
    <t>Line No.</t>
  </si>
  <si>
    <t>Allocation</t>
  </si>
  <si>
    <t>Allocated</t>
  </si>
  <si>
    <t>&amp; Mitchell Adjust.</t>
  </si>
  <si>
    <t>Mitchell Plant</t>
  </si>
  <si>
    <t>After Rate Case</t>
  </si>
  <si>
    <t>Before Rate Case</t>
  </si>
  <si>
    <t>Non-Utility/</t>
  </si>
  <si>
    <t>Per Books</t>
  </si>
  <si>
    <t>KY Jurisdictional</t>
  </si>
  <si>
    <t>Utility After Rate</t>
  </si>
  <si>
    <t>Rate Case /</t>
  </si>
  <si>
    <t>Electric Utility</t>
  </si>
  <si>
    <t>Less</t>
  </si>
  <si>
    <t>Total Company</t>
  </si>
  <si>
    <t>Total Co Electric</t>
  </si>
  <si>
    <t>(10)</t>
  </si>
  <si>
    <t>(9)</t>
  </si>
  <si>
    <t>(8)</t>
  </si>
  <si>
    <t>(7)</t>
  </si>
  <si>
    <t>(6)</t>
  </si>
  <si>
    <t>(5)</t>
  </si>
  <si>
    <t>(4)</t>
  </si>
  <si>
    <t>(3)</t>
  </si>
  <si>
    <t>(2)</t>
  </si>
  <si>
    <t>(1)</t>
  </si>
  <si>
    <t>Historical Test Year - As Adjusted</t>
  </si>
  <si>
    <t>Current Federal Income Tax Expense</t>
  </si>
  <si>
    <t>Computation of Adjusted</t>
  </si>
  <si>
    <t>Kentucky Power Company</t>
  </si>
  <si>
    <t>DFIT - Account 190 included in line 36 from above</t>
  </si>
  <si>
    <t>(11)</t>
  </si>
  <si>
    <t>(12)</t>
  </si>
  <si>
    <t>Kentucky</t>
  </si>
  <si>
    <t>Elimination</t>
  </si>
  <si>
    <t>Jurisdictional</t>
  </si>
  <si>
    <t>Adjusted</t>
  </si>
  <si>
    <t xml:space="preserve">        0000 REG ASSET - DEFD BIG SANDY O&amp;M COSTS</t>
  </si>
  <si>
    <t xml:space="preserve">        0000 REG ASSET - DEFD BIG SANDY BOOK DEPR</t>
  </si>
  <si>
    <t xml:space="preserve">        0000 REG ASSET - DEFD BIG SANDY FGD COSTS</t>
  </si>
  <si>
    <t xml:space="preserve">        0000 REG ASSET - DEFD IGCC COSTS</t>
  </si>
  <si>
    <t xml:space="preserve">        0000 REG ASSET - DEFD CARRS PLANT SITE COSTS</t>
  </si>
  <si>
    <t xml:space="preserve">        0000 REG ASSET - EMPLOYER GROUP WAIVER PLAN</t>
  </si>
  <si>
    <t>Section IV                             Page 18 of 19</t>
  </si>
  <si>
    <t>Page 1 of 19</t>
  </si>
  <si>
    <t>Page 2 of 19</t>
  </si>
  <si>
    <t>Page 3 of 19</t>
  </si>
  <si>
    <t>Page 4 of 19</t>
  </si>
  <si>
    <t>Page 5 of 19</t>
  </si>
  <si>
    <t>Page 6 of 19</t>
  </si>
  <si>
    <t>Page 7 of 19</t>
  </si>
  <si>
    <t>Page 8 of 19</t>
  </si>
  <si>
    <t>Section IV                             Page 17 of 19</t>
  </si>
  <si>
    <t>Section IV                             Page 16 of 19</t>
  </si>
  <si>
    <t>Section IV                             Page 15 of 19</t>
  </si>
  <si>
    <t>Section IV                             Page 14 of 19</t>
  </si>
  <si>
    <t>Section IV                             Page 9 of 19</t>
  </si>
  <si>
    <t>Section IV                             Page 10 of 19</t>
  </si>
  <si>
    <t>Section IV                             Page 11 of 19</t>
  </si>
  <si>
    <t>Section IV                             Page 12 of 19</t>
  </si>
  <si>
    <t>Section IV                             Page 13 of 19</t>
  </si>
  <si>
    <t>Section IV                             Page 19 of 19</t>
  </si>
  <si>
    <t>Federal Income Taxes - Current and Deferred</t>
  </si>
  <si>
    <t>System Control &amp; Load Dispatch</t>
  </si>
  <si>
    <t>31100 - Structures, Improvement-Coal</t>
  </si>
  <si>
    <t>31400 - Turbo generator Units-Coal</t>
  </si>
  <si>
    <t>36700 - Undergrnd Conductors, Device</t>
  </si>
  <si>
    <t>Franchises</t>
  </si>
  <si>
    <t>807 KAR 5:001 SECTION 12</t>
  </si>
  <si>
    <t>September 30, 2014</t>
  </si>
  <si>
    <t>Principal                                Amount                                      as of                                                     December 31,            2013</t>
  </si>
  <si>
    <t>Principal                                Amount                                      as of                                                     September 30, 2014</t>
  </si>
  <si>
    <t>Interest Expense                    12 Months                                         Ending                                     December 31,                            2013</t>
  </si>
  <si>
    <t>Interest Expense                    12 Months                                  Ending                                            September 30, 2014</t>
  </si>
  <si>
    <t>Pollution Control Bonds</t>
  </si>
  <si>
    <t>Variable</t>
  </si>
  <si>
    <t>Term Loans</t>
  </si>
  <si>
    <t xml:space="preserve">   The Senior Notes in 2003 and 2007 were issued in public offerings. The Senior Notes in 2009 and 2014 were</t>
  </si>
  <si>
    <t xml:space="preserve">   issued in private offerings to qualified institutional investors.   The Promissory Notes were issued to </t>
  </si>
  <si>
    <t xml:space="preserve">   American Electric Power, Inc.</t>
  </si>
  <si>
    <t>The financial statements have been restated to give retroactive effect to the transfer of a fifty percent</t>
  </si>
  <si>
    <t>interest in Units 1 and 2 of the Mitchell Plant to the Company on December 31, 2013. The Company restated</t>
  </si>
  <si>
    <t xml:space="preserve">the balance sheets as of December 31, 2013 and 2012, and the related statements of income, comprehensive </t>
  </si>
  <si>
    <t>period ended December 31, 2013.</t>
  </si>
  <si>
    <t xml:space="preserve">income (loss), changes in common shareholder's equity, and cash flows for each of the three years in the </t>
  </si>
  <si>
    <t>Terms of preference of preferred stock whether cumulative or participating, or on dividends or assets or otherwise.</t>
  </si>
  <si>
    <t xml:space="preserve">Brief description of each mortgage on property of applicant, giving date of execution, name of mortgagor, name of </t>
  </si>
  <si>
    <t>actually secured, together with any sinking funds provisions.</t>
  </si>
  <si>
    <t>mortgagee, or trustee, amount of indebtedness authorized to be secured thereby, and the amount of indebtedness</t>
  </si>
  <si>
    <t xml:space="preserve">Amount of bonds authorized, and amount issued, describing each class separately, and giving date of issue, face </t>
  </si>
  <si>
    <t>the last fiscal year.</t>
  </si>
  <si>
    <t xml:space="preserve">value, rate of interest, date of maturity and how secured, together with the amount of interest paid thereon during </t>
  </si>
  <si>
    <t>amount of interest paid thereon during the twelve months ending September 30, 2014.</t>
  </si>
  <si>
    <t xml:space="preserve">Each note outstanding, giving date of issue, amount, date of maturity, rate of interest, in whose favor, together with </t>
  </si>
  <si>
    <t xml:space="preserve">     The Company participates in the AEP System Corporate Borrowing Program.   As of December 31, 2013, the </t>
  </si>
  <si>
    <t xml:space="preserve">     Company had $8,564,457 of Short Term Debt borrowing, the twelve months ending intest expense was $12,442 </t>
  </si>
  <si>
    <t xml:space="preserve">     and the Weighted Average Interest Rate was 0.3739%.  As of September 30, 2014, the Company had $0 of Short </t>
  </si>
  <si>
    <t xml:space="preserve">     Term Debt borrowing, the twelve months ended interest expense was $28,510 and the Weighted Average </t>
  </si>
  <si>
    <t xml:space="preserve">     Interest Rate was 0.2785%.  The Company was in a borrowed position for 9161 days in the last twelve months.</t>
  </si>
  <si>
    <t xml:space="preserve">Other indebtedness, giving same by classes and describing security, if any, with a brief statement of the devolution </t>
  </si>
  <si>
    <t xml:space="preserve">of assumption of any portion of such indebtedness upon or by person or corporation if the original liability has been </t>
  </si>
  <si>
    <t>transferred, together with amount of interest paid thereon during the twelve months ending September 30, 2014.</t>
  </si>
  <si>
    <t>which dividends were paid each year:</t>
  </si>
  <si>
    <t xml:space="preserve">Rate and amount of dividends paid during the five previous calendar years, and the amount of capital stock on </t>
  </si>
  <si>
    <t>BALANCE AT OCTOBER 1, 2013</t>
  </si>
  <si>
    <t>BALANCE AT SEPTEMBER 30, 2014</t>
  </si>
  <si>
    <t>FOR THE TWELVE MONTHS ENDED SEPTEMBER 30, 2014</t>
  </si>
  <si>
    <t>FOR 12 MONTHS ENDED SEPTEMBER 30, 2014</t>
  </si>
  <si>
    <t>MONTHLY BEGINNING AND ENDING BALANCES OF THE RESERVE FOR DEPRECIATION OF UTILITY PLANT IN SERVICE FOR THE 12 MONTHS ENDING SEPTEMBER 30, 2014</t>
  </si>
  <si>
    <t>MONTHLY BEGINNING AND ENDING BALANCES OF CONSTRUCTION WORK IN PROGRESS FOR THE 12 MONTHS ENDED SEPTEMBER 30, 2014</t>
  </si>
  <si>
    <t>12 MONTHS ENDED SEPTEMBER 30, 2014</t>
  </si>
  <si>
    <t>OCT 1, 2013</t>
  </si>
  <si>
    <t>SEP 30, 2014</t>
  </si>
  <si>
    <t>Oct 2013 over Sep 2014</t>
  </si>
  <si>
    <t>Allowance for Borrowed Funds Used During Construction</t>
  </si>
  <si>
    <t xml:space="preserve">        411C DEFD FUEL REG ADJ - A/C 283</t>
  </si>
  <si>
    <t xml:space="preserve">        612G ACCRD COMPANY INCENT PLAN - ENGAGE TO GAIN</t>
  </si>
  <si>
    <t xml:space="preserve">        614I ECONOMIC DEVEL FUND - CURRENT</t>
  </si>
  <si>
    <t xml:space="preserve">        614J ECONOMIC DEVEL FUND - NON-CURRENT</t>
  </si>
  <si>
    <t xml:space="preserve">        642B DEFD REV - BONUS LEASE SHORT-TERM</t>
  </si>
  <si>
    <t xml:space="preserve">        642C DEFD REV - BONUS LEASE LONG-TERM</t>
  </si>
  <si>
    <t xml:space="preserve">        668Q REG ASSET - CCS FEED STUDY RESERVE</t>
  </si>
  <si>
    <t xml:space="preserve">        668W REG ASSET - ATR UNDER RECOVERY</t>
  </si>
  <si>
    <t xml:space="preserve">        906Z SFAS 109 - MEDICARE SUBSIDY (PPACA) REG ASSET</t>
  </si>
  <si>
    <t xml:space="preserve">        911S ACCRUED SALES &amp; USE TAX RESERVE</t>
  </si>
  <si>
    <t xml:space="preserve">        0000 IRS AUDIT ADJUSTMENTS</t>
  </si>
  <si>
    <t>Twelve Months Ended September 30, 2014</t>
  </si>
  <si>
    <t>FOR THE TEST YEAR ENDED SEPTEMBER 30, 2014</t>
  </si>
  <si>
    <t>Total Gain from Disposition of Allowance</t>
  </si>
  <si>
    <t>Total Accreation Expense</t>
  </si>
  <si>
    <t>Gain from Disposition of Allowance</t>
  </si>
  <si>
    <t>G/L Disp. Of Allowances 411.8</t>
  </si>
  <si>
    <t>Accretion 4110005</t>
  </si>
  <si>
    <t>Acct 4190005</t>
  </si>
  <si>
    <t>Acct 4300003</t>
  </si>
  <si>
    <t>4310007-Other Interest Expense</t>
  </si>
  <si>
    <t>Other Special Funds</t>
  </si>
  <si>
    <t>Per Books                                   as of                                   September 30, 2014</t>
  </si>
  <si>
    <t>SEPTEMBER 30, 2014</t>
  </si>
  <si>
    <t>Adjusted                                     as of                                      September 30, 2014                             (Schedule 4)</t>
  </si>
  <si>
    <t>Adjusted                                     as of                                      September 30, 2014</t>
  </si>
  <si>
    <t xml:space="preserve">Section V, Schedule 4, Column 8, Line 43 - Cash Working Capital </t>
  </si>
  <si>
    <t>Per Jurisdictional Balance Sheet - Assets - Line 39</t>
  </si>
  <si>
    <t>Section V, Schedule 4, Column 8, Line 45 - Customer Advances &amp; Deposits</t>
  </si>
  <si>
    <t xml:space="preserve">Section V, Schedule 4, Column 8, Line 46 - Accumulated Deferred Income Taxes </t>
  </si>
  <si>
    <t>Section V, Schedule 4, Column 8, Line 47 - Total Rate Base (Ln 40 + Ln 41 - Ln 42 - Ln 43 - Ln 44)</t>
  </si>
  <si>
    <t xml:space="preserve">  Fuel, Production, Purch Power</t>
  </si>
  <si>
    <t xml:space="preserve">  Transmission</t>
  </si>
  <si>
    <t xml:space="preserve">  Distribution</t>
  </si>
  <si>
    <t xml:space="preserve">  Customer Accounts</t>
  </si>
  <si>
    <t xml:space="preserve">  Customer Service</t>
  </si>
  <si>
    <t xml:space="preserve">  Administration &amp; General</t>
  </si>
  <si>
    <t xml:space="preserve">  Regional Market Expense (575.7)</t>
  </si>
  <si>
    <t xml:space="preserve">  Factoring 4265009/4265010</t>
  </si>
  <si>
    <t xml:space="preserve">  Gains from Disp Plan 411.6</t>
  </si>
  <si>
    <t xml:space="preserve">  Interest - Assoc CBP 4190005/4300003</t>
  </si>
  <si>
    <t xml:space="preserve">  Lines of Credit 4310007</t>
  </si>
  <si>
    <t>Total Operating Expense</t>
  </si>
  <si>
    <t>Accretion Expense</t>
  </si>
  <si>
    <t>Operating Expense Backup</t>
  </si>
  <si>
    <t>Affiliated Revenue Backup</t>
  </si>
  <si>
    <t>4470001 Sales for Resale - Assoc Cos</t>
  </si>
  <si>
    <t>4470035 Sls for Rsl - Fuel Rev - Assoc</t>
  </si>
  <si>
    <t>4470128 Sales for Res-Aff. Pool Energy</t>
  </si>
  <si>
    <t>4540001 Rent From Elect Property - Af</t>
  </si>
  <si>
    <t>4560001 Oth Elect Rev - Affiliated</t>
  </si>
  <si>
    <t>4561033 PJM NITS Revenue - Affiliated</t>
  </si>
  <si>
    <t>4561034 PJM TO Adm. Serv Rev - Aff</t>
  </si>
  <si>
    <t>4561035 PJM Affiliated Trans NITS Cost</t>
  </si>
  <si>
    <t>4561036 PJM Affiliated Trans TO Cost</t>
  </si>
  <si>
    <t>4561059 Affil PJM Trans Enhancmnt Rev</t>
  </si>
  <si>
    <t>4561060 Affil PJM Trans Enhancmnt Cost</t>
  </si>
  <si>
    <t>4561062 PROVISION RTO Cost - Affi</t>
  </si>
  <si>
    <t>4561063 PROVISION RTO Rev Affiliated</t>
  </si>
  <si>
    <t>Total Affiliated Revenue</t>
  </si>
  <si>
    <t>Interest Backup</t>
  </si>
  <si>
    <t>Total Interest Charges</t>
  </si>
  <si>
    <t>4300003 Int to Assoc Co - CBP</t>
  </si>
  <si>
    <t>4310002 Interest on Customer Deposits</t>
  </si>
  <si>
    <t>4310007 Lines Of Credit</t>
  </si>
  <si>
    <t>All Other</t>
  </si>
  <si>
    <t>Less: ABFUDC</t>
  </si>
  <si>
    <t>Line 21 INTEREST CHARGES</t>
  </si>
  <si>
    <t>Verification: Line 15 = Section V, Schedule 4, Page 1, Line 22 + Line 33</t>
  </si>
  <si>
    <t>12 Mo. 09/30/14</t>
  </si>
  <si>
    <t>Workpaper - Do Not File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</si>
</sst>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&quot;$&quot;#,##0"/>
    <numFmt numFmtId="167" formatCode="_(* #,##0_);_(* \(#,##0\);_(* &quot;-&quot;??_);_(@_)"/>
    <numFmt numFmtId="168" formatCode="&quot;$&quot;#,##0.00;\(&quot;$&quot;#,##0.00\)"/>
    <numFmt numFmtId="169" formatCode="&quot;$&quot;#,##0;\(&quot;$&quot;#,##0\)"/>
    <numFmt numFmtId="170" formatCode="mm/dd/yyyy"/>
    <numFmt numFmtId="171" formatCode="&quot;$&quot;#,##0.00"/>
    <numFmt numFmtId="172" formatCode="[$-409]mmm\-yy;@"/>
    <numFmt numFmtId="173" formatCode="[$-409]mmmm\-yy;@"/>
    <numFmt numFmtId="174" formatCode="0.0000000"/>
    <numFmt numFmtId="175" formatCode="0.000000"/>
    <numFmt numFmtId="176" formatCode="_(* #,##0.0_);_(* \(#,##0.0\);&quot;&quot;;_(@_)"/>
    <numFmt numFmtId="177" formatCode="[Blue]#,##0,_);[Red]\(#,##0,\)"/>
  </numFmts>
  <fonts count="9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u val="singleAccounting"/>
      <sz val="10"/>
      <name val="Times New Roman"/>
      <family val="1"/>
    </font>
    <font>
      <u/>
      <sz val="10"/>
      <name val="Times New Roman"/>
      <family val="1"/>
    </font>
    <font>
      <b/>
      <sz val="8"/>
      <name val="Arial"/>
      <family val="2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8"/>
      <color indexed="18"/>
      <name val="Arial"/>
      <family val="2"/>
    </font>
    <font>
      <sz val="10"/>
      <name val="Arial Narrow"/>
      <family val="2"/>
    </font>
    <font>
      <b/>
      <sz val="11"/>
      <name val="Arial"/>
      <family val="2"/>
    </font>
    <font>
      <sz val="11"/>
      <name val="Arial Narrow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8.5"/>
      <name val="Arial"/>
      <family val="2"/>
    </font>
    <font>
      <sz val="9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MS Sans Serif"/>
      <family val="2"/>
    </font>
    <font>
      <sz val="10"/>
      <name val="Arial Unicode MS"/>
      <family val="2"/>
    </font>
    <font>
      <sz val="12"/>
      <name val="Arial MT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0"/>
      <color indexed="9"/>
      <name val="Tahoma"/>
      <family val="2"/>
    </font>
    <font>
      <sz val="11"/>
      <color indexed="20"/>
      <name val="Calibri"/>
      <family val="2"/>
    </font>
    <font>
      <sz val="10"/>
      <color indexed="20"/>
      <name val="Arial"/>
      <family val="2"/>
    </font>
    <font>
      <sz val="10"/>
      <color indexed="20"/>
      <name val="Tahoma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b/>
      <sz val="10"/>
      <color indexed="52"/>
      <name val="Tahoma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10"/>
      <color indexed="9"/>
      <name val="Tahoma"/>
      <family val="2"/>
    </font>
    <font>
      <b/>
      <sz val="10"/>
      <name val="Arial Unicode MS"/>
      <family val="2"/>
    </font>
    <font>
      <i/>
      <sz val="11"/>
      <color indexed="23"/>
      <name val="Calibri"/>
      <family val="2"/>
    </font>
    <font>
      <i/>
      <sz val="10"/>
      <color indexed="23"/>
      <name val="Arial"/>
      <family val="2"/>
    </font>
    <font>
      <i/>
      <sz val="10"/>
      <color indexed="23"/>
      <name val="Tahoma"/>
      <family val="2"/>
    </font>
    <font>
      <sz val="11"/>
      <color indexed="17"/>
      <name val="Calibri"/>
      <family val="2"/>
    </font>
    <font>
      <sz val="10"/>
      <color indexed="17"/>
      <name val="Arial"/>
      <family val="2"/>
    </font>
    <font>
      <sz val="10"/>
      <color indexed="17"/>
      <name val="Tahoma"/>
      <family val="2"/>
    </font>
    <font>
      <b/>
      <sz val="15"/>
      <color indexed="62"/>
      <name val="Calibri"/>
      <family val="2"/>
    </font>
    <font>
      <b/>
      <sz val="15"/>
      <color indexed="62"/>
      <name val="Arial"/>
      <family val="2"/>
    </font>
    <font>
      <b/>
      <sz val="15"/>
      <color indexed="56"/>
      <name val="Tahoma"/>
      <family val="2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62"/>
      <name val="Arial"/>
      <family val="2"/>
    </font>
    <font>
      <b/>
      <sz val="13"/>
      <color indexed="56"/>
      <name val="Tahoma"/>
      <family val="2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indexed="62"/>
      <name val="Calibri"/>
      <family val="2"/>
    </font>
    <font>
      <b/>
      <sz val="11"/>
      <color indexed="62"/>
      <name val="Arial"/>
      <family val="2"/>
    </font>
    <font>
      <b/>
      <sz val="11"/>
      <color indexed="56"/>
      <name val="Tahoma"/>
      <family val="2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color indexed="62"/>
      <name val="Arial"/>
      <family val="2"/>
    </font>
    <font>
      <sz val="10"/>
      <color indexed="62"/>
      <name val="Tahoma"/>
      <family val="2"/>
    </font>
    <font>
      <b/>
      <sz val="12"/>
      <color indexed="12"/>
      <name val="Arial"/>
      <family val="2"/>
    </font>
    <font>
      <sz val="11"/>
      <color indexed="52"/>
      <name val="Calibri"/>
      <family val="2"/>
    </font>
    <font>
      <sz val="10"/>
      <color indexed="52"/>
      <name val="Arial"/>
      <family val="2"/>
    </font>
    <font>
      <sz val="10"/>
      <color indexed="52"/>
      <name val="Tahoma"/>
      <family val="2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color indexed="60"/>
      <name val="Tahoma"/>
      <family val="2"/>
    </font>
    <font>
      <sz val="10"/>
      <color indexed="64"/>
      <name val="Arial"/>
      <family val="2"/>
    </font>
    <font>
      <sz val="8"/>
      <color indexed="48"/>
      <name val="Arial"/>
      <family val="2"/>
    </font>
    <font>
      <b/>
      <sz val="11"/>
      <color indexed="63"/>
      <name val="Calibri"/>
      <family val="2"/>
    </font>
    <font>
      <b/>
      <sz val="10"/>
      <color indexed="63"/>
      <name val="Arial"/>
      <family val="2"/>
    </font>
    <font>
      <b/>
      <sz val="10"/>
      <color indexed="63"/>
      <name val="Tahoma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ahoma"/>
      <family val="2"/>
    </font>
    <font>
      <sz val="11"/>
      <color indexed="10"/>
      <name val="Calibri"/>
      <family val="2"/>
    </font>
    <font>
      <sz val="10"/>
      <color indexed="10"/>
      <name val="Tahoma"/>
      <family val="2"/>
    </font>
    <font>
      <b/>
      <u/>
      <sz val="10"/>
      <name val="Arial"/>
      <family val="2"/>
    </font>
    <font>
      <b/>
      <sz val="10"/>
      <color rgb="FFFF0000"/>
      <name val="Arial"/>
      <family val="2"/>
    </font>
  </fonts>
  <fills count="28">
    <fill>
      <patternFill patternType="none"/>
    </fill>
    <fill>
      <patternFill patternType="gray125"/>
    </fill>
    <fill>
      <patternFill patternType="mediumGray">
        <fgColor indexed="22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14"/>
      </patternFill>
    </fill>
    <fill>
      <patternFill patternType="solid">
        <fgColor indexed="55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30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8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2" fillId="0" borderId="5">
      <alignment horizontal="center"/>
    </xf>
    <xf numFmtId="0" fontId="32" fillId="0" borderId="5">
      <alignment horizontal="center"/>
    </xf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4" borderId="0" applyNumberFormat="0" applyBorder="0" applyAlignment="0" applyProtection="0"/>
    <xf numFmtId="0" fontId="29" fillId="4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29" fillId="5" borderId="0" applyNumberFormat="0" applyBorder="0" applyAlignment="0" applyProtection="0"/>
    <xf numFmtId="0" fontId="36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  <xf numFmtId="0" fontId="36" fillId="7" borderId="0" applyNumberFormat="0" applyBorder="0" applyAlignment="0" applyProtection="0"/>
    <xf numFmtId="0" fontId="29" fillId="7" borderId="0" applyNumberFormat="0" applyBorder="0" applyAlignment="0" applyProtection="0"/>
    <xf numFmtId="0" fontId="35" fillId="7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29" fillId="3" borderId="0" applyNumberFormat="0" applyBorder="0" applyAlignment="0" applyProtection="0"/>
    <xf numFmtId="0" fontId="36" fillId="8" borderId="0" applyNumberFormat="0" applyBorder="0" applyAlignment="0" applyProtection="0"/>
    <xf numFmtId="0" fontId="29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29" fillId="9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6" fillId="12" borderId="0" applyNumberFormat="0" applyBorder="0" applyAlignment="0" applyProtection="0"/>
    <xf numFmtId="0" fontId="29" fillId="12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29" fillId="13" borderId="0" applyNumberFormat="0" applyBorder="0" applyAlignment="0" applyProtection="0"/>
    <xf numFmtId="0" fontId="36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36" fillId="15" borderId="0" applyNumberFormat="0" applyBorder="0" applyAlignment="0" applyProtection="0"/>
    <xf numFmtId="0" fontId="29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1" borderId="0" applyNumberFormat="0" applyBorder="0" applyAlignment="0" applyProtection="0"/>
    <xf numFmtId="0" fontId="35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29" fillId="11" borderId="0" applyNumberFormat="0" applyBorder="0" applyAlignment="0" applyProtection="0"/>
    <xf numFmtId="0" fontId="36" fillId="8" borderId="0" applyNumberFormat="0" applyBorder="0" applyAlignment="0" applyProtection="0"/>
    <xf numFmtId="0" fontId="29" fillId="8" borderId="0" applyNumberFormat="0" applyBorder="0" applyAlignment="0" applyProtection="0"/>
    <xf numFmtId="0" fontId="35" fillId="8" borderId="0" applyNumberFormat="0" applyBorder="0" applyAlignment="0" applyProtection="0"/>
    <xf numFmtId="0" fontId="35" fillId="12" borderId="0" applyNumberFormat="0" applyBorder="0" applyAlignment="0" applyProtection="0"/>
    <xf numFmtId="0" fontId="35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29" fillId="12" borderId="0" applyNumberFormat="0" applyBorder="0" applyAlignment="0" applyProtection="0"/>
    <xf numFmtId="0" fontId="36" fillId="12" borderId="0" applyNumberFormat="0" applyBorder="0" applyAlignment="0" applyProtection="0"/>
    <xf numFmtId="0" fontId="35" fillId="10" borderId="0" applyNumberFormat="0" applyBorder="0" applyAlignment="0" applyProtection="0"/>
    <xf numFmtId="0" fontId="35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29" fillId="10" borderId="0" applyNumberFormat="0" applyBorder="0" applyAlignment="0" applyProtection="0"/>
    <xf numFmtId="0" fontId="36" fillId="16" borderId="0" applyNumberFormat="0" applyBorder="0" applyAlignment="0" applyProtection="0"/>
    <xf numFmtId="0" fontId="29" fillId="16" borderId="0" applyNumberFormat="0" applyBorder="0" applyAlignment="0" applyProtection="0"/>
    <xf numFmtId="0" fontId="35" fillId="16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8" borderId="0" applyNumberFormat="0" applyBorder="0" applyAlignment="0" applyProtection="0"/>
    <xf numFmtId="0" fontId="38" fillId="18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13" borderId="0" applyNumberFormat="0" applyBorder="0" applyAlignment="0" applyProtection="0"/>
    <xf numFmtId="0" fontId="37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9" fillId="15" borderId="0" applyNumberFormat="0" applyBorder="0" applyAlignment="0" applyProtection="0"/>
    <xf numFmtId="0" fontId="38" fillId="15" borderId="0" applyNumberFormat="0" applyBorder="0" applyAlignment="0" applyProtection="0"/>
    <xf numFmtId="0" fontId="37" fillId="15" borderId="0" applyNumberFormat="0" applyBorder="0" applyAlignment="0" applyProtection="0"/>
    <xf numFmtId="0" fontId="37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8" fillId="11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7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8" fillId="13" borderId="0" applyNumberFormat="0" applyBorder="0" applyAlignment="0" applyProtection="0"/>
    <xf numFmtId="0" fontId="39" fillId="20" borderId="0" applyNumberFormat="0" applyBorder="0" applyAlignment="0" applyProtection="0"/>
    <xf numFmtId="0" fontId="38" fillId="20" borderId="0" applyNumberFormat="0" applyBorder="0" applyAlignment="0" applyProtection="0"/>
    <xf numFmtId="0" fontId="37" fillId="20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21" borderId="0" applyNumberFormat="0" applyBorder="0" applyAlignment="0" applyProtection="0"/>
    <xf numFmtId="0" fontId="38" fillId="21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9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8" fillId="23" borderId="0" applyNumberFormat="0" applyBorder="0" applyAlignment="0" applyProtection="0"/>
    <xf numFmtId="0" fontId="39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8" fillId="24" borderId="0" applyNumberFormat="0" applyBorder="0" applyAlignment="0" applyProtection="0"/>
    <xf numFmtId="0" fontId="39" fillId="19" borderId="0" applyNumberFormat="0" applyBorder="0" applyAlignment="0" applyProtection="0"/>
    <xf numFmtId="0" fontId="38" fillId="19" borderId="0" applyNumberFormat="0" applyBorder="0" applyAlignment="0" applyProtection="0"/>
    <xf numFmtId="0" fontId="37" fillId="19" borderId="0" applyNumberFormat="0" applyBorder="0" applyAlignment="0" applyProtection="0"/>
    <xf numFmtId="0" fontId="37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8" fillId="17" borderId="0" applyNumberFormat="0" applyBorder="0" applyAlignment="0" applyProtection="0"/>
    <xf numFmtId="0" fontId="39" fillId="17" borderId="0" applyNumberFormat="0" applyBorder="0" applyAlignment="0" applyProtection="0"/>
    <xf numFmtId="0" fontId="37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5" borderId="0" applyNumberFormat="0" applyBorder="0" applyAlignment="0" applyProtection="0"/>
    <xf numFmtId="0" fontId="41" fillId="5" borderId="0" applyNumberFormat="0" applyBorder="0" applyAlignment="0" applyProtection="0"/>
    <xf numFmtId="0" fontId="40" fillId="5" borderId="0" applyNumberFormat="0" applyBorder="0" applyAlignment="0" applyProtection="0"/>
    <xf numFmtId="0" fontId="43" fillId="3" borderId="6" applyNumberFormat="0" applyAlignment="0" applyProtection="0"/>
    <xf numFmtId="0" fontId="44" fillId="3" borderId="6" applyNumberFormat="0" applyAlignment="0" applyProtection="0"/>
    <xf numFmtId="0" fontId="44" fillId="3" borderId="6" applyNumberFormat="0" applyAlignment="0" applyProtection="0"/>
    <xf numFmtId="0" fontId="44" fillId="3" borderId="6" applyNumberFormat="0" applyAlignment="0" applyProtection="0"/>
    <xf numFmtId="0" fontId="45" fillId="3" borderId="6" applyNumberFormat="0" applyAlignment="0" applyProtection="0"/>
    <xf numFmtId="0" fontId="46" fillId="11" borderId="7" applyNumberFormat="0" applyAlignment="0" applyProtection="0"/>
    <xf numFmtId="0" fontId="47" fillId="11" borderId="7" applyNumberFormat="0" applyAlignment="0" applyProtection="0"/>
    <xf numFmtId="0" fontId="47" fillId="11" borderId="7" applyNumberFormat="0" applyAlignment="0" applyProtection="0"/>
    <xf numFmtId="0" fontId="47" fillId="11" borderId="7" applyNumberFormat="0" applyAlignment="0" applyProtection="0"/>
    <xf numFmtId="0" fontId="48" fillId="27" borderId="7" applyNumberFormat="0" applyAlignment="0" applyProtection="0"/>
    <xf numFmtId="0" fontId="47" fillId="27" borderId="7" applyNumberFormat="0" applyAlignment="0" applyProtection="0"/>
    <xf numFmtId="0" fontId="46" fillId="27" borderId="7" applyNumberFormat="0" applyAlignment="0" applyProtection="0"/>
    <xf numFmtId="43" fontId="4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4" fillId="7" borderId="0" applyNumberFormat="0" applyBorder="0" applyAlignment="0" applyProtection="0"/>
    <xf numFmtId="0" fontId="55" fillId="7" borderId="0" applyNumberFormat="0" applyBorder="0" applyAlignment="0" applyProtection="0"/>
    <xf numFmtId="0" fontId="56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0" borderId="9" applyNumberFormat="0" applyFill="0" applyAlignment="0" applyProtection="0"/>
    <xf numFmtId="0" fontId="60" fillId="0" borderId="9" applyNumberFormat="0" applyFill="0" applyAlignment="0" applyProtection="0"/>
    <xf numFmtId="0" fontId="61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2" fillId="0" borderId="10" applyNumberFormat="0" applyFill="0" applyAlignment="0" applyProtection="0"/>
    <xf numFmtId="0" fontId="63" fillId="0" borderId="11" applyNumberFormat="0" applyFill="0" applyAlignment="0" applyProtection="0"/>
    <xf numFmtId="0" fontId="64" fillId="0" borderId="11" applyNumberFormat="0" applyFill="0" applyAlignment="0" applyProtection="0"/>
    <xf numFmtId="0" fontId="65" fillId="0" borderId="11" applyNumberFormat="0" applyFill="0" applyAlignment="0" applyProtection="0"/>
    <xf numFmtId="0" fontId="66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7" fillId="0" borderId="12" applyNumberFormat="0" applyFill="0" applyAlignment="0" applyProtection="0"/>
    <xf numFmtId="0" fontId="68" fillId="0" borderId="13" applyNumberFormat="0" applyFill="0" applyAlignment="0" applyProtection="0"/>
    <xf numFmtId="0" fontId="69" fillId="0" borderId="13" applyNumberFormat="0" applyFill="0" applyAlignment="0" applyProtection="0"/>
    <xf numFmtId="0" fontId="70" fillId="0" borderId="13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10" borderId="6" applyNumberFormat="0" applyAlignment="0" applyProtection="0"/>
    <xf numFmtId="0" fontId="72" fillId="10" borderId="6" applyNumberFormat="0" applyAlignment="0" applyProtection="0"/>
    <xf numFmtId="0" fontId="72" fillId="10" borderId="6" applyNumberFormat="0" applyAlignment="0" applyProtection="0"/>
    <xf numFmtId="0" fontId="72" fillId="10" borderId="6" applyNumberFormat="0" applyAlignment="0" applyProtection="0"/>
    <xf numFmtId="0" fontId="73" fillId="10" borderId="6" applyNumberFormat="0" applyAlignment="0" applyProtection="0"/>
    <xf numFmtId="41" fontId="74" fillId="0" borderId="0">
      <alignment horizontal="left"/>
    </xf>
    <xf numFmtId="0" fontId="75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6" fillId="0" borderId="14" applyNumberFormat="0" applyFill="0" applyAlignment="0" applyProtection="0"/>
    <xf numFmtId="0" fontId="77" fillId="0" borderId="14" applyNumberFormat="0" applyFill="0" applyAlignment="0" applyProtection="0"/>
    <xf numFmtId="0" fontId="78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79" fillId="14" borderId="0" applyNumberFormat="0" applyBorder="0" applyAlignment="0" applyProtection="0"/>
    <xf numFmtId="0" fontId="80" fillId="14" borderId="0" applyNumberFormat="0" applyBorder="0" applyAlignment="0" applyProtection="0"/>
    <xf numFmtId="0" fontId="19" fillId="0" borderId="0"/>
    <xf numFmtId="0" fontId="33" fillId="0" borderId="0"/>
    <xf numFmtId="37" fontId="34" fillId="0" borderId="0"/>
    <xf numFmtId="0" fontId="34" fillId="0" borderId="0"/>
    <xf numFmtId="0" fontId="5" fillId="0" borderId="0"/>
    <xf numFmtId="0" fontId="1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5" fillId="0" borderId="0"/>
    <xf numFmtId="0" fontId="5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33" fillId="0" borderId="0"/>
    <xf numFmtId="0" fontId="81" fillId="0" borderId="0"/>
    <xf numFmtId="0" fontId="81" fillId="0" borderId="0"/>
    <xf numFmtId="0" fontId="33" fillId="0" borderId="0"/>
    <xf numFmtId="0" fontId="81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38" fontId="4" fillId="0" borderId="0"/>
    <xf numFmtId="0" fontId="1" fillId="0" borderId="0"/>
    <xf numFmtId="0" fontId="33" fillId="0" borderId="0"/>
    <xf numFmtId="0" fontId="4" fillId="0" borderId="0"/>
    <xf numFmtId="0" fontId="4" fillId="0" borderId="0"/>
    <xf numFmtId="0" fontId="19" fillId="0" borderId="0"/>
    <xf numFmtId="0" fontId="19" fillId="0" borderId="0"/>
    <xf numFmtId="0" fontId="19" fillId="0" borderId="0"/>
    <xf numFmtId="0" fontId="4" fillId="6" borderId="15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0" fontId="4" fillId="6" borderId="6" applyNumberFormat="0" applyFont="0" applyAlignment="0" applyProtection="0"/>
    <xf numFmtId="43" fontId="72" fillId="0" borderId="0"/>
    <xf numFmtId="177" fontId="82" fillId="0" borderId="0"/>
    <xf numFmtId="0" fontId="83" fillId="3" borderId="16" applyNumberFormat="0" applyAlignment="0" applyProtection="0"/>
    <xf numFmtId="0" fontId="84" fillId="3" borderId="16" applyNumberFormat="0" applyAlignment="0" applyProtection="0"/>
    <xf numFmtId="0" fontId="84" fillId="3" borderId="16" applyNumberFormat="0" applyAlignment="0" applyProtection="0"/>
    <xf numFmtId="0" fontId="84" fillId="3" borderId="16" applyNumberFormat="0" applyAlignment="0" applyProtection="0"/>
    <xf numFmtId="0" fontId="85" fillId="3" borderId="16" applyNumberFormat="0" applyAlignment="0" applyProtection="0"/>
    <xf numFmtId="9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0" fontId="5" fillId="0" borderId="0" applyNumberFormat="0" applyFont="0" applyFill="0" applyBorder="0" applyAlignment="0" applyProtection="0">
      <alignment horizontal="left"/>
    </xf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15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4" fontId="5" fillId="0" borderId="0" applyFont="0" applyFill="0" applyBorder="0" applyAlignment="0" applyProtection="0"/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0" fontId="32" fillId="0" borderId="5">
      <alignment horizontal="center"/>
    </xf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5" fillId="2" borderId="0" applyNumberFormat="0" applyFont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88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30" fillId="0" borderId="17" applyNumberFormat="0" applyFill="0" applyAlignment="0" applyProtection="0"/>
    <xf numFmtId="0" fontId="89" fillId="0" borderId="18" applyNumberFormat="0" applyFill="0" applyAlignment="0" applyProtection="0"/>
    <xf numFmtId="0" fontId="30" fillId="0" borderId="18" applyNumberFormat="0" applyFill="0" applyAlignment="0" applyProtection="0"/>
    <xf numFmtId="0" fontId="88" fillId="0" borderId="18" applyNumberFormat="0" applyFill="0" applyAlignment="0" applyProtection="0"/>
    <xf numFmtId="0" fontId="9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98">
    <xf numFmtId="0" fontId="0" fillId="0" borderId="0" xfId="0"/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49" fontId="0" fillId="0" borderId="0" xfId="0" applyNumberFormat="1"/>
    <xf numFmtId="37" fontId="0" fillId="0" borderId="0" xfId="0" applyNumberFormat="1"/>
    <xf numFmtId="37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5" fontId="0" fillId="0" borderId="0" xfId="0" applyNumberFormat="1"/>
    <xf numFmtId="49" fontId="0" fillId="0" borderId="0" xfId="4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6" fillId="0" borderId="0" xfId="0" applyNumberFormat="1" applyFont="1"/>
    <xf numFmtId="49" fontId="0" fillId="0" borderId="0" xfId="0" applyNumberFormat="1" applyAlignment="1">
      <alignment horizontal="right"/>
    </xf>
    <xf numFmtId="0" fontId="6" fillId="0" borderId="0" xfId="0" applyFont="1"/>
    <xf numFmtId="37" fontId="0" fillId="0" borderId="0" xfId="4" applyNumberFormat="1" applyFont="1" applyAlignment="1">
      <alignment horizontal="right"/>
    </xf>
    <xf numFmtId="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44" fontId="0" fillId="0" borderId="0" xfId="2" applyFont="1"/>
    <xf numFmtId="44" fontId="0" fillId="0" borderId="0" xfId="2" applyFont="1" applyAlignment="1">
      <alignment horizontal="right"/>
    </xf>
    <xf numFmtId="5" fontId="0" fillId="0" borderId="0" xfId="4" applyNumberFormat="1" applyFont="1" applyAlignment="1">
      <alignment horizontal="right"/>
    </xf>
    <xf numFmtId="49" fontId="8" fillId="0" borderId="0" xfId="0" applyNumberFormat="1" applyFont="1"/>
    <xf numFmtId="37" fontId="0" fillId="0" borderId="0" xfId="0" applyNumberFormat="1" applyAlignment="1">
      <alignment horizontal="right"/>
    </xf>
    <xf numFmtId="49" fontId="8" fillId="0" borderId="0" xfId="0" applyNumberFormat="1" applyFont="1" applyAlignment="1">
      <alignment wrapText="1"/>
    </xf>
    <xf numFmtId="49" fontId="0" fillId="0" borderId="0" xfId="0" applyNumberFormat="1" applyFill="1" applyAlignment="1">
      <alignment horizontal="center"/>
    </xf>
    <xf numFmtId="167" fontId="9" fillId="0" borderId="0" xfId="1" applyNumberFormat="1" applyFont="1"/>
    <xf numFmtId="0" fontId="4" fillId="0" borderId="0" xfId="0" applyFont="1"/>
    <xf numFmtId="10" fontId="9" fillId="0" borderId="0" xfId="3" applyNumberFormat="1" applyFont="1" applyAlignment="1">
      <alignment horizontal="center"/>
    </xf>
    <xf numFmtId="5" fontId="9" fillId="0" borderId="0" xfId="1" applyNumberFormat="1" applyFont="1"/>
    <xf numFmtId="7" fontId="9" fillId="0" borderId="0" xfId="1" applyNumberFormat="1" applyFont="1"/>
    <xf numFmtId="15" fontId="0" fillId="0" borderId="0" xfId="0" applyNumberFormat="1"/>
    <xf numFmtId="49" fontId="0" fillId="0" borderId="0" xfId="0" applyNumberForma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/>
    <xf numFmtId="37" fontId="8" fillId="0" borderId="0" xfId="0" applyNumberFormat="1" applyFont="1" applyAlignment="1"/>
    <xf numFmtId="2" fontId="8" fillId="0" borderId="0" xfId="0" applyNumberFormat="1" applyFont="1" applyAlignment="1">
      <alignment horizontal="center"/>
    </xf>
    <xf numFmtId="0" fontId="9" fillId="0" borderId="0" xfId="5" applyFont="1"/>
    <xf numFmtId="0" fontId="9" fillId="0" borderId="0" xfId="5" quotePrefix="1" applyFont="1"/>
    <xf numFmtId="168" fontId="12" fillId="0" borderId="0" xfId="6" applyNumberFormat="1" applyFont="1" applyFill="1" applyAlignment="1">
      <alignment horizontal="center"/>
    </xf>
    <xf numFmtId="167" fontId="12" fillId="0" borderId="0" xfId="7" applyNumberFormat="1" applyFont="1" applyFill="1" applyAlignment="1">
      <alignment horizontal="center"/>
    </xf>
    <xf numFmtId="169" fontId="12" fillId="0" borderId="0" xfId="6" applyNumberFormat="1" applyFont="1" applyFill="1" applyAlignment="1">
      <alignment horizontal="center"/>
    </xf>
    <xf numFmtId="0" fontId="12" fillId="0" borderId="0" xfId="6" applyFont="1" applyFill="1" applyAlignment="1">
      <alignment horizontal="center"/>
    </xf>
    <xf numFmtId="0" fontId="9" fillId="0" borderId="0" xfId="5" applyFont="1" applyAlignment="1">
      <alignment horizontal="center"/>
    </xf>
    <xf numFmtId="0" fontId="10" fillId="0" borderId="0" xfId="5" applyFont="1" applyAlignment="1">
      <alignment horizontal="center" wrapText="1"/>
    </xf>
    <xf numFmtId="0" fontId="13" fillId="0" borderId="0" xfId="5" applyFont="1"/>
    <xf numFmtId="49" fontId="4" fillId="0" borderId="0" xfId="5" applyNumberFormat="1" applyFont="1" applyAlignment="1">
      <alignment horizontal="right"/>
    </xf>
    <xf numFmtId="0" fontId="14" fillId="0" borderId="0" xfId="5" applyFont="1"/>
    <xf numFmtId="0" fontId="11" fillId="0" borderId="0" xfId="5" applyFont="1"/>
    <xf numFmtId="165" fontId="12" fillId="0" borderId="0" xfId="8" applyNumberFormat="1" applyFont="1" applyFill="1" applyAlignment="1">
      <alignment horizontal="center"/>
    </xf>
    <xf numFmtId="170" fontId="12" fillId="0" borderId="0" xfId="6" applyNumberFormat="1" applyFont="1" applyFill="1" applyAlignment="1">
      <alignment horizontal="center"/>
    </xf>
    <xf numFmtId="166" fontId="9" fillId="0" borderId="0" xfId="5" applyNumberFormat="1" applyFont="1"/>
    <xf numFmtId="169" fontId="15" fillId="0" borderId="0" xfId="5" applyNumberFormat="1" applyFont="1" applyFill="1" applyAlignment="1">
      <alignment horizontal="center"/>
    </xf>
    <xf numFmtId="49" fontId="10" fillId="0" borderId="0" xfId="5" applyNumberFormat="1" applyFont="1" applyAlignment="1">
      <alignment horizontal="center" wrapText="1"/>
    </xf>
    <xf numFmtId="3" fontId="9" fillId="0" borderId="0" xfId="5" applyNumberFormat="1" applyFont="1"/>
    <xf numFmtId="3" fontId="13" fillId="0" borderId="0" xfId="5" applyNumberFormat="1" applyFont="1"/>
    <xf numFmtId="49" fontId="9" fillId="0" borderId="0" xfId="5" applyNumberFormat="1" applyFont="1" applyAlignment="1"/>
    <xf numFmtId="49" fontId="9" fillId="0" borderId="0" xfId="5" applyNumberFormat="1" applyFont="1" applyAlignment="1">
      <alignment horizontal="centerContinuous"/>
    </xf>
    <xf numFmtId="49" fontId="9" fillId="0" borderId="0" xfId="5" quotePrefix="1" applyNumberFormat="1" applyFont="1" applyAlignment="1">
      <alignment horizontal="center"/>
    </xf>
    <xf numFmtId="0" fontId="9" fillId="0" borderId="0" xfId="5" applyFont="1" applyAlignment="1"/>
    <xf numFmtId="5" fontId="0" fillId="0" borderId="0" xfId="0" applyNumberFormat="1" applyFill="1"/>
    <xf numFmtId="37" fontId="0" fillId="0" borderId="0" xfId="0" applyNumberFormat="1" applyFill="1"/>
    <xf numFmtId="49" fontId="0" fillId="0" borderId="0" xfId="4" applyNumberFormat="1" applyFont="1" applyFill="1" applyAlignment="1">
      <alignment horizontal="right"/>
    </xf>
    <xf numFmtId="37" fontId="0" fillId="0" borderId="0" xfId="4" applyNumberFormat="1" applyFont="1" applyFill="1" applyAlignment="1">
      <alignment horizontal="right"/>
    </xf>
    <xf numFmtId="5" fontId="0" fillId="0" borderId="0" xfId="4" applyNumberFormat="1" applyFont="1" applyFill="1" applyAlignment="1">
      <alignment horizontal="right"/>
    </xf>
    <xf numFmtId="43" fontId="4" fillId="0" borderId="0" xfId="1" applyFont="1"/>
    <xf numFmtId="0" fontId="4" fillId="0" borderId="0" xfId="5"/>
    <xf numFmtId="0" fontId="16" fillId="0" borderId="0" xfId="5" applyFont="1" applyAlignment="1">
      <alignment horizontal="center"/>
    </xf>
    <xf numFmtId="0" fontId="4" fillId="0" borderId="0" xfId="5" applyFont="1"/>
    <xf numFmtId="0" fontId="7" fillId="0" borderId="0" xfId="5" applyFont="1" applyAlignment="1">
      <alignment horizontal="left"/>
    </xf>
    <xf numFmtId="171" fontId="4" fillId="0" borderId="0" xfId="5" applyNumberFormat="1"/>
    <xf numFmtId="0" fontId="7" fillId="0" borderId="0" xfId="5" applyFont="1" applyAlignment="1">
      <alignment horizontal="center"/>
    </xf>
    <xf numFmtId="166" fontId="4" fillId="0" borderId="0" xfId="5" applyNumberFormat="1"/>
    <xf numFmtId="172" fontId="4" fillId="0" borderId="0" xfId="5" applyNumberFormat="1" applyAlignment="1">
      <alignment horizontal="center"/>
    </xf>
    <xf numFmtId="172" fontId="7" fillId="0" borderId="0" xfId="5" applyNumberFormat="1" applyFont="1" applyAlignment="1">
      <alignment horizontal="center"/>
    </xf>
    <xf numFmtId="0" fontId="17" fillId="0" borderId="0" xfId="5" applyFont="1" applyAlignment="1"/>
    <xf numFmtId="0" fontId="18" fillId="0" borderId="0" xfId="5" applyFont="1" applyAlignment="1">
      <alignment horizontal="right"/>
    </xf>
    <xf numFmtId="0" fontId="19" fillId="0" borderId="0" xfId="9"/>
    <xf numFmtId="0" fontId="20" fillId="0" borderId="0" xfId="9" applyFont="1" applyAlignment="1">
      <alignment horizontal="center"/>
    </xf>
    <xf numFmtId="0" fontId="19" fillId="0" borderId="0" xfId="9" applyAlignment="1">
      <alignment horizontal="center"/>
    </xf>
    <xf numFmtId="166" fontId="19" fillId="0" borderId="0" xfId="9" applyNumberFormat="1"/>
    <xf numFmtId="166" fontId="19" fillId="0" borderId="4" xfId="9" applyNumberFormat="1" applyBorder="1"/>
    <xf numFmtId="173" fontId="19" fillId="0" borderId="0" xfId="9" applyNumberFormat="1" applyAlignment="1">
      <alignment horizontal="center"/>
    </xf>
    <xf numFmtId="0" fontId="4" fillId="0" borderId="0" xfId="5" applyAlignment="1">
      <alignment horizontal="center"/>
    </xf>
    <xf numFmtId="166" fontId="4" fillId="0" borderId="4" xfId="5" applyNumberFormat="1" applyBorder="1"/>
    <xf numFmtId="0" fontId="4" fillId="0" borderId="0" xfId="5" applyBorder="1" applyAlignment="1">
      <alignment horizontal="center" wrapText="1"/>
    </xf>
    <xf numFmtId="166" fontId="4" fillId="0" borderId="2" xfId="5" applyNumberFormat="1" applyBorder="1"/>
    <xf numFmtId="166" fontId="16" fillId="0" borderId="0" xfId="5" applyNumberFormat="1" applyFont="1"/>
    <xf numFmtId="0" fontId="4" fillId="0" borderId="1" xfId="5" applyBorder="1" applyAlignment="1">
      <alignment horizontal="center" wrapText="1"/>
    </xf>
    <xf numFmtId="173" fontId="4" fillId="0" borderId="0" xfId="5" applyNumberFormat="1" applyAlignment="1">
      <alignment horizontal="center"/>
    </xf>
    <xf numFmtId="164" fontId="4" fillId="0" borderId="4" xfId="5" applyNumberFormat="1" applyBorder="1" applyAlignment="1">
      <alignment horizontal="center"/>
    </xf>
    <xf numFmtId="44" fontId="4" fillId="0" borderId="4" xfId="5" applyNumberFormat="1" applyBorder="1"/>
    <xf numFmtId="0" fontId="7" fillId="0" borderId="0" xfId="5" applyFont="1" applyAlignment="1">
      <alignment horizontal="center" wrapText="1"/>
    </xf>
    <xf numFmtId="164" fontId="4" fillId="0" borderId="0" xfId="5" applyNumberFormat="1" applyAlignment="1">
      <alignment horizontal="center"/>
    </xf>
    <xf numFmtId="44" fontId="4" fillId="0" borderId="0" xfId="5" applyNumberFormat="1"/>
    <xf numFmtId="0" fontId="6" fillId="0" borderId="0" xfId="5" applyFont="1" applyAlignment="1">
      <alignment horizontal="center"/>
    </xf>
    <xf numFmtId="44" fontId="4" fillId="0" borderId="0" xfId="5" applyNumberFormat="1" applyAlignment="1">
      <alignment horizontal="center"/>
    </xf>
    <xf numFmtId="44" fontId="7" fillId="0" borderId="0" xfId="5" applyNumberFormat="1" applyFont="1" applyAlignment="1">
      <alignment horizontal="center"/>
    </xf>
    <xf numFmtId="44" fontId="7" fillId="0" borderId="0" xfId="5" quotePrefix="1" applyNumberFormat="1" applyFont="1" applyAlignment="1">
      <alignment horizontal="center"/>
    </xf>
    <xf numFmtId="0" fontId="7" fillId="0" borderId="0" xfId="5" applyFont="1"/>
    <xf numFmtId="49" fontId="4" fillId="0" borderId="0" xfId="5" applyNumberFormat="1" applyAlignment="1">
      <alignment horizontal="center"/>
    </xf>
    <xf numFmtId="49" fontId="4" fillId="0" borderId="0" xfId="5" applyNumberFormat="1" applyAlignment="1"/>
    <xf numFmtId="49" fontId="4" fillId="0" borderId="0" xfId="5" applyNumberFormat="1" applyAlignment="1">
      <alignment horizontal="right"/>
    </xf>
    <xf numFmtId="49" fontId="4" fillId="0" borderId="0" xfId="5" applyNumberFormat="1" applyAlignment="1">
      <alignment horizontal="center" wrapText="1"/>
    </xf>
    <xf numFmtId="49" fontId="23" fillId="0" borderId="0" xfId="5" applyNumberFormat="1" applyFont="1" applyAlignment="1">
      <alignment horizontal="center" wrapText="1"/>
    </xf>
    <xf numFmtId="37" fontId="4" fillId="0" borderId="0" xfId="5" applyNumberFormat="1" applyAlignment="1">
      <alignment horizontal="center" wrapText="1"/>
    </xf>
    <xf numFmtId="37" fontId="4" fillId="0" borderId="0" xfId="5" applyNumberFormat="1" applyAlignment="1">
      <alignment horizontal="center"/>
    </xf>
    <xf numFmtId="37" fontId="24" fillId="0" borderId="0" xfId="5" applyNumberFormat="1" applyFont="1" applyAlignment="1">
      <alignment horizontal="center"/>
    </xf>
    <xf numFmtId="5" fontId="4" fillId="0" borderId="0" xfId="5" applyNumberFormat="1"/>
    <xf numFmtId="37" fontId="4" fillId="0" borderId="0" xfId="5" applyNumberFormat="1"/>
    <xf numFmtId="49" fontId="4" fillId="0" borderId="0" xfId="5" applyNumberFormat="1" applyAlignment="1">
      <alignment wrapText="1"/>
    </xf>
    <xf numFmtId="5" fontId="4" fillId="0" borderId="0" xfId="5" applyNumberFormat="1" applyAlignment="1">
      <alignment horizontal="right"/>
    </xf>
    <xf numFmtId="0" fontId="4" fillId="0" borderId="0" xfId="5" applyAlignment="1">
      <alignment horizontal="left"/>
    </xf>
    <xf numFmtId="37" fontId="4" fillId="0" borderId="0" xfId="5" applyNumberFormat="1" applyAlignment="1">
      <alignment horizontal="right"/>
    </xf>
    <xf numFmtId="49" fontId="4" fillId="0" borderId="0" xfId="5" applyNumberFormat="1" applyFill="1" applyAlignment="1">
      <alignment horizontal="center"/>
    </xf>
    <xf numFmtId="49" fontId="4" fillId="0" borderId="0" xfId="5" applyNumberFormat="1" applyFill="1" applyAlignment="1">
      <alignment horizontal="right"/>
    </xf>
    <xf numFmtId="49" fontId="4" fillId="0" borderId="0" xfId="5" applyNumberFormat="1" applyFill="1" applyAlignment="1"/>
    <xf numFmtId="49" fontId="23" fillId="0" borderId="0" xfId="5" applyNumberFormat="1" applyFont="1" applyFill="1" applyAlignment="1">
      <alignment horizontal="center" wrapText="1"/>
    </xf>
    <xf numFmtId="37" fontId="4" fillId="0" borderId="0" xfId="5" applyNumberFormat="1" applyFill="1" applyAlignment="1">
      <alignment horizontal="center"/>
    </xf>
    <xf numFmtId="0" fontId="4" fillId="0" borderId="0" xfId="5" applyFill="1"/>
    <xf numFmtId="5" fontId="4" fillId="0" borderId="0" xfId="5" applyNumberFormat="1" applyFill="1"/>
    <xf numFmtId="37" fontId="4" fillId="0" borderId="0" xfId="5" applyNumberFormat="1" applyFill="1"/>
    <xf numFmtId="5" fontId="4" fillId="0" borderId="0" xfId="5" applyNumberFormat="1" applyFill="1" applyAlignment="1">
      <alignment horizontal="right"/>
    </xf>
    <xf numFmtId="5" fontId="4" fillId="0" borderId="0" xfId="0" applyNumberFormat="1" applyFont="1" applyFill="1"/>
    <xf numFmtId="37" fontId="0" fillId="0" borderId="0" xfId="0" applyNumberFormat="1" applyFill="1" applyBorder="1"/>
    <xf numFmtId="167" fontId="4" fillId="0" borderId="0" xfId="0" applyNumberFormat="1" applyFont="1" applyFill="1" applyBorder="1"/>
    <xf numFmtId="0" fontId="0" fillId="0" borderId="0" xfId="0" applyFill="1"/>
    <xf numFmtId="49" fontId="0" fillId="0" borderId="0" xfId="0" applyNumberFormat="1" applyFill="1" applyAlignment="1">
      <alignment horizontal="right"/>
    </xf>
    <xf numFmtId="49" fontId="4" fillId="0" borderId="0" xfId="0" applyNumberFormat="1" applyFont="1" applyAlignment="1">
      <alignment wrapText="1"/>
    </xf>
    <xf numFmtId="49" fontId="4" fillId="0" borderId="0" xfId="0" applyNumberFormat="1" applyFont="1"/>
    <xf numFmtId="167" fontId="4" fillId="0" borderId="0" xfId="1" applyNumberFormat="1" applyFill="1"/>
    <xf numFmtId="167" fontId="4" fillId="0" borderId="1" xfId="1" applyNumberFormat="1" applyFill="1" applyBorder="1"/>
    <xf numFmtId="0" fontId="0" fillId="0" borderId="0" xfId="0" applyFill="1" applyAlignment="1">
      <alignment horizontal="center"/>
    </xf>
    <xf numFmtId="2" fontId="4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49" fontId="4" fillId="0" borderId="0" xfId="4" applyNumberFormat="1" applyFont="1" applyAlignment="1">
      <alignment horizontal="right"/>
    </xf>
    <xf numFmtId="37" fontId="4" fillId="0" borderId="0" xfId="0" applyNumberFormat="1" applyFont="1" applyFill="1"/>
    <xf numFmtId="7" fontId="0" fillId="0" borderId="0" xfId="0" applyNumberFormat="1"/>
    <xf numFmtId="49" fontId="4" fillId="0" borderId="0" xfId="5" applyNumberFormat="1" applyAlignment="1">
      <alignment horizontal="center"/>
    </xf>
    <xf numFmtId="0" fontId="4" fillId="0" borderId="0" xfId="5" applyAlignment="1">
      <alignment horizontal="center"/>
    </xf>
    <xf numFmtId="0" fontId="4" fillId="0" borderId="1" xfId="5" applyBorder="1" applyAlignment="1">
      <alignment horizontal="center"/>
    </xf>
    <xf numFmtId="167" fontId="4" fillId="0" borderId="0" xfId="1" applyNumberFormat="1" applyFont="1" applyFill="1"/>
    <xf numFmtId="167" fontId="4" fillId="0" borderId="0" xfId="5" applyNumberFormat="1" applyFill="1"/>
    <xf numFmtId="0" fontId="4" fillId="0" borderId="0" xfId="5" applyFill="1" applyBorder="1" applyAlignment="1">
      <alignment horizontal="center"/>
    </xf>
    <xf numFmtId="167" fontId="4" fillId="0" borderId="0" xfId="5" applyNumberFormat="1" applyFill="1" applyAlignment="1"/>
    <xf numFmtId="0" fontId="4" fillId="0" borderId="0" xfId="5" applyFill="1" applyAlignment="1">
      <alignment horizontal="center"/>
    </xf>
    <xf numFmtId="175" fontId="4" fillId="0" borderId="0" xfId="5" applyNumberFormat="1" applyFont="1" applyFill="1" applyAlignment="1">
      <alignment horizontal="center"/>
    </xf>
    <xf numFmtId="167" fontId="4" fillId="0" borderId="1" xfId="5" applyNumberFormat="1" applyFill="1" applyBorder="1"/>
    <xf numFmtId="167" fontId="4" fillId="0" borderId="1" xfId="5" applyNumberFormat="1" applyFill="1" applyBorder="1" applyAlignment="1"/>
    <xf numFmtId="167" fontId="4" fillId="0" borderId="0" xfId="1" applyNumberFormat="1" applyFill="1" applyAlignment="1"/>
    <xf numFmtId="167" fontId="7" fillId="0" borderId="2" xfId="1" applyNumberFormat="1" applyFont="1" applyFill="1" applyBorder="1"/>
    <xf numFmtId="0" fontId="7" fillId="0" borderId="0" xfId="5" applyFont="1" applyFill="1" applyBorder="1"/>
    <xf numFmtId="167" fontId="7" fillId="0" borderId="2" xfId="1" applyNumberFormat="1" applyFont="1" applyFill="1" applyBorder="1" applyAlignment="1"/>
    <xf numFmtId="0" fontId="4" fillId="0" borderId="0" xfId="5" applyFill="1" applyBorder="1"/>
    <xf numFmtId="167" fontId="0" fillId="0" borderId="0" xfId="1" applyNumberFormat="1" applyFont="1" applyFill="1"/>
    <xf numFmtId="0" fontId="4" fillId="0" borderId="0" xfId="5" applyFont="1" applyFill="1"/>
    <xf numFmtId="175" fontId="7" fillId="0" borderId="0" xfId="5" applyNumberFormat="1" applyFont="1" applyFill="1" applyBorder="1" applyAlignment="1">
      <alignment horizontal="center"/>
    </xf>
    <xf numFmtId="175" fontId="4" fillId="0" borderId="0" xfId="5" applyNumberFormat="1" applyFill="1" applyBorder="1" applyAlignment="1">
      <alignment horizontal="center"/>
    </xf>
    <xf numFmtId="167" fontId="4" fillId="0" borderId="0" xfId="1" applyNumberFormat="1" applyFill="1" applyBorder="1"/>
    <xf numFmtId="0" fontId="7" fillId="0" borderId="0" xfId="5" applyFont="1" applyBorder="1"/>
    <xf numFmtId="167" fontId="4" fillId="0" borderId="0" xfId="5" applyNumberFormat="1" applyFill="1" applyBorder="1"/>
    <xf numFmtId="0" fontId="4" fillId="0" borderId="0" xfId="5" applyFont="1" applyFill="1" applyAlignment="1">
      <alignment horizontal="center"/>
    </xf>
    <xf numFmtId="167" fontId="7" fillId="0" borderId="1" xfId="1" applyNumberFormat="1" applyFont="1" applyFill="1" applyBorder="1"/>
    <xf numFmtId="167" fontId="4" fillId="0" borderId="1" xfId="1" applyNumberFormat="1" applyFill="1" applyBorder="1" applyAlignment="1"/>
    <xf numFmtId="10" fontId="4" fillId="0" borderId="1" xfId="1" applyNumberFormat="1" applyFill="1" applyBorder="1"/>
    <xf numFmtId="10" fontId="4" fillId="0" borderId="1" xfId="3" applyNumberFormat="1" applyFill="1" applyBorder="1" applyAlignment="1"/>
    <xf numFmtId="167" fontId="7" fillId="0" borderId="4" xfId="1" applyNumberFormat="1" applyFont="1" applyFill="1" applyBorder="1"/>
    <xf numFmtId="0" fontId="7" fillId="0" borderId="0" xfId="5" applyFont="1" applyFill="1"/>
    <xf numFmtId="167" fontId="7" fillId="0" borderId="4" xfId="1" applyNumberFormat="1" applyFont="1" applyFill="1" applyBorder="1" applyAlignment="1"/>
    <xf numFmtId="167" fontId="4" fillId="0" borderId="0" xfId="5" applyNumberFormat="1" applyAlignment="1"/>
    <xf numFmtId="0" fontId="7" fillId="0" borderId="1" xfId="5" applyFont="1" applyBorder="1"/>
    <xf numFmtId="0" fontId="4" fillId="0" borderId="1" xfId="5" applyBorder="1"/>
    <xf numFmtId="174" fontId="4" fillId="0" borderId="0" xfId="5" applyNumberFormat="1" applyFill="1" applyBorder="1" applyAlignment="1">
      <alignment horizontal="right"/>
    </xf>
    <xf numFmtId="0" fontId="4" fillId="0" borderId="0" xfId="5" applyFont="1" applyAlignment="1">
      <alignment horizontal="left"/>
    </xf>
    <xf numFmtId="49" fontId="4" fillId="0" borderId="0" xfId="0" applyNumberFormat="1" applyFont="1" applyAlignment="1">
      <alignment horizontal="right"/>
    </xf>
    <xf numFmtId="49" fontId="25" fillId="0" borderId="0" xfId="5" applyNumberFormat="1" applyFont="1" applyFill="1" applyAlignment="1">
      <alignment horizontal="right"/>
    </xf>
    <xf numFmtId="49" fontId="25" fillId="0" borderId="0" xfId="5" applyNumberFormat="1" applyFont="1" applyAlignment="1">
      <alignment horizontal="right"/>
    </xf>
    <xf numFmtId="0" fontId="4" fillId="0" borderId="0" xfId="0" applyFont="1" applyAlignment="1">
      <alignment horizontal="right"/>
    </xf>
    <xf numFmtId="49" fontId="25" fillId="0" borderId="0" xfId="0" applyNumberFormat="1" applyFont="1" applyFill="1" applyAlignment="1">
      <alignment horizontal="right" textRotation="180" wrapText="1"/>
    </xf>
    <xf numFmtId="49" fontId="27" fillId="0" borderId="0" xfId="0" applyNumberFormat="1" applyFont="1" applyFill="1" applyAlignment="1">
      <alignment horizontal="right" textRotation="180" wrapText="1"/>
    </xf>
    <xf numFmtId="49" fontId="26" fillId="0" borderId="0" xfId="0" applyNumberFormat="1" applyFont="1" applyAlignment="1">
      <alignment horizontal="right" textRotation="180" wrapText="1"/>
    </xf>
    <xf numFmtId="0" fontId="4" fillId="0" borderId="0" xfId="5" applyAlignment="1">
      <alignment horizontal="center"/>
    </xf>
    <xf numFmtId="0" fontId="9" fillId="0" borderId="0" xfId="5" applyFont="1"/>
    <xf numFmtId="170" fontId="12" fillId="0" borderId="0" xfId="13" applyNumberFormat="1" applyFont="1" applyFill="1" applyAlignment="1">
      <alignment horizontal="center"/>
    </xf>
    <xf numFmtId="165" fontId="12" fillId="0" borderId="0" xfId="14" applyNumberFormat="1" applyFont="1" applyFill="1" applyAlignment="1">
      <alignment horizontal="center"/>
    </xf>
    <xf numFmtId="169" fontId="12" fillId="0" borderId="0" xfId="13" applyNumberFormat="1" applyFont="1" applyFill="1" applyAlignment="1">
      <alignment horizontal="center"/>
    </xf>
    <xf numFmtId="0" fontId="2" fillId="0" borderId="0" xfId="13"/>
    <xf numFmtId="0" fontId="9" fillId="0" borderId="0" xfId="5" applyFont="1"/>
    <xf numFmtId="0" fontId="11" fillId="0" borderId="0" xfId="5" applyFont="1"/>
    <xf numFmtId="170" fontId="12" fillId="0" borderId="0" xfId="13" applyNumberFormat="1" applyFont="1" applyFill="1" applyAlignment="1">
      <alignment horizontal="center"/>
    </xf>
    <xf numFmtId="165" fontId="12" fillId="0" borderId="0" xfId="14" applyNumberFormat="1" applyFont="1" applyFill="1" applyAlignment="1">
      <alignment horizontal="center"/>
    </xf>
    <xf numFmtId="169" fontId="12" fillId="0" borderId="0" xfId="13" applyNumberFormat="1" applyFont="1" applyFill="1" applyAlignment="1">
      <alignment horizontal="center"/>
    </xf>
    <xf numFmtId="10" fontId="9" fillId="0" borderId="0" xfId="3" applyNumberFormat="1" applyFont="1" applyAlignment="1">
      <alignment horizontal="center"/>
    </xf>
    <xf numFmtId="166" fontId="9" fillId="0" borderId="0" xfId="5" applyNumberFormat="1" applyFont="1"/>
    <xf numFmtId="166" fontId="9" fillId="0" borderId="0" xfId="5" applyNumberFormat="1" applyFont="1" applyFill="1"/>
    <xf numFmtId="0" fontId="2" fillId="0" borderId="0" xfId="13"/>
    <xf numFmtId="0" fontId="11" fillId="0" borderId="0" xfId="5" applyFont="1"/>
    <xf numFmtId="170" fontId="12" fillId="0" borderId="0" xfId="13" applyNumberFormat="1" applyFont="1" applyFill="1" applyAlignment="1">
      <alignment horizontal="center"/>
    </xf>
    <xf numFmtId="165" fontId="12" fillId="0" borderId="0" xfId="14" applyNumberFormat="1" applyFont="1" applyFill="1" applyAlignment="1">
      <alignment horizontal="center"/>
    </xf>
    <xf numFmtId="169" fontId="12" fillId="0" borderId="0" xfId="13" applyNumberFormat="1" applyFont="1" applyFill="1" applyAlignment="1">
      <alignment horizontal="center"/>
    </xf>
    <xf numFmtId="10" fontId="9" fillId="0" borderId="0" xfId="3" applyNumberFormat="1" applyFont="1" applyAlignment="1">
      <alignment horizontal="center"/>
    </xf>
    <xf numFmtId="166" fontId="9" fillId="0" borderId="0" xfId="5" applyNumberFormat="1" applyFont="1"/>
    <xf numFmtId="166" fontId="4" fillId="0" borderId="0" xfId="5" applyNumberFormat="1" applyFont="1" applyFill="1" applyBorder="1"/>
    <xf numFmtId="167" fontId="0" fillId="0" borderId="0" xfId="1" applyNumberFormat="1" applyFont="1" applyAlignment="1">
      <alignment horizontal="right"/>
    </xf>
    <xf numFmtId="0" fontId="9" fillId="0" borderId="0" xfId="5" applyFont="1"/>
    <xf numFmtId="166" fontId="4" fillId="0" borderId="3" xfId="5" applyNumberFormat="1" applyBorder="1"/>
    <xf numFmtId="166" fontId="0" fillId="0" borderId="0" xfId="15" applyNumberFormat="1" applyFont="1"/>
    <xf numFmtId="166" fontId="0" fillId="0" borderId="1" xfId="15" applyNumberFormat="1" applyFont="1" applyBorder="1"/>
    <xf numFmtId="166" fontId="0" fillId="0" borderId="0" xfId="15" applyNumberFormat="1" applyFont="1"/>
    <xf numFmtId="166" fontId="0" fillId="0" borderId="1" xfId="15" applyNumberFormat="1" applyFont="1" applyBorder="1"/>
    <xf numFmtId="166" fontId="0" fillId="0" borderId="0" xfId="15" applyNumberFormat="1" applyFont="1"/>
    <xf numFmtId="166" fontId="0" fillId="0" borderId="1" xfId="15" applyNumberFormat="1" applyFont="1" applyBorder="1"/>
    <xf numFmtId="166" fontId="0" fillId="0" borderId="0" xfId="15" applyNumberFormat="1" applyFont="1"/>
    <xf numFmtId="166" fontId="0" fillId="0" borderId="1" xfId="15" applyNumberFormat="1" applyFont="1" applyBorder="1"/>
    <xf numFmtId="166" fontId="0" fillId="0" borderId="0" xfId="15" applyNumberFormat="1" applyFont="1"/>
    <xf numFmtId="166" fontId="0" fillId="0" borderId="1" xfId="15" applyNumberFormat="1" applyFont="1" applyBorder="1"/>
    <xf numFmtId="166" fontId="0" fillId="0" borderId="0" xfId="15" applyNumberFormat="1" applyFont="1"/>
    <xf numFmtId="166" fontId="0" fillId="0" borderId="1" xfId="15" applyNumberFormat="1" applyFont="1" applyBorder="1"/>
    <xf numFmtId="173" fontId="4" fillId="0" borderId="0" xfId="5" applyNumberFormat="1" applyFont="1" applyFill="1" applyBorder="1" applyAlignment="1">
      <alignment horizontal="center"/>
    </xf>
    <xf numFmtId="166" fontId="4" fillId="0" borderId="0" xfId="10" applyNumberFormat="1" applyFont="1" applyFill="1" applyBorder="1"/>
    <xf numFmtId="167" fontId="0" fillId="0" borderId="0" xfId="0" applyNumberFormat="1" applyFill="1"/>
    <xf numFmtId="167" fontId="0" fillId="0" borderId="0" xfId="0" applyNumberFormat="1" applyFill="1"/>
    <xf numFmtId="167" fontId="4" fillId="0" borderId="0" xfId="1" applyNumberFormat="1" applyFill="1"/>
    <xf numFmtId="167" fontId="4" fillId="0" borderId="0" xfId="1" applyNumberFormat="1" applyFill="1"/>
    <xf numFmtId="167" fontId="4" fillId="0" borderId="0" xfId="1" applyNumberFormat="1" applyFill="1" applyBorder="1"/>
    <xf numFmtId="0" fontId="0" fillId="0" borderId="0" xfId="0" applyFill="1"/>
    <xf numFmtId="167" fontId="4" fillId="0" borderId="0" xfId="1" applyNumberFormat="1" applyFill="1"/>
    <xf numFmtId="167" fontId="4" fillId="0" borderId="0" xfId="1" applyNumberFormat="1" applyFill="1" applyBorder="1"/>
    <xf numFmtId="0" fontId="0" fillId="0" borderId="0" xfId="0" applyFill="1"/>
    <xf numFmtId="167" fontId="4" fillId="0" borderId="0" xfId="1" applyNumberFormat="1" applyFill="1"/>
    <xf numFmtId="167" fontId="7" fillId="0" borderId="2" xfId="1" applyNumberFormat="1" applyFont="1" applyFill="1" applyBorder="1"/>
    <xf numFmtId="167" fontId="4" fillId="0" borderId="0" xfId="1" applyNumberFormat="1" applyFill="1" applyBorder="1"/>
    <xf numFmtId="0" fontId="0" fillId="0" borderId="0" xfId="0"/>
    <xf numFmtId="0" fontId="0" fillId="0" borderId="0" xfId="0" applyFill="1"/>
    <xf numFmtId="167" fontId="0" fillId="0" borderId="0" xfId="1" applyNumberFormat="1" applyFont="1" applyFill="1"/>
    <xf numFmtId="0" fontId="0" fillId="0" borderId="0" xfId="0" applyFill="1" applyBorder="1"/>
    <xf numFmtId="167" fontId="4" fillId="0" borderId="1" xfId="1" applyNumberFormat="1" applyFill="1" applyBorder="1"/>
    <xf numFmtId="167" fontId="4" fillId="0" borderId="0" xfId="1" applyNumberFormat="1" applyFill="1"/>
    <xf numFmtId="49" fontId="0" fillId="0" borderId="0" xfId="0" applyNumberFormat="1" applyFill="1" applyAlignment="1">
      <alignment horizontal="center"/>
    </xf>
    <xf numFmtId="167" fontId="4" fillId="0" borderId="0" xfId="1" applyNumberFormat="1" applyFill="1" applyBorder="1"/>
    <xf numFmtId="37" fontId="0" fillId="0" borderId="0" xfId="0" applyNumberFormat="1" applyFill="1"/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ill="1"/>
    <xf numFmtId="2" fontId="0" fillId="0" borderId="0" xfId="0" applyNumberFormat="1" applyFill="1"/>
    <xf numFmtId="2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 wrapText="1"/>
    </xf>
    <xf numFmtId="49" fontId="8" fillId="0" borderId="0" xfId="0" applyNumberFormat="1" applyFont="1" applyFill="1" applyAlignment="1">
      <alignment horizontal="center"/>
    </xf>
    <xf numFmtId="49" fontId="0" fillId="0" borderId="0" xfId="0" applyNumberFormat="1" applyFill="1" applyBorder="1" applyAlignment="1">
      <alignment horizontal="center" wrapText="1"/>
    </xf>
    <xf numFmtId="49" fontId="0" fillId="0" borderId="0" xfId="0" applyNumberFormat="1" applyFill="1" applyBorder="1"/>
    <xf numFmtId="49" fontId="6" fillId="0" borderId="0" xfId="0" applyNumberFormat="1" applyFont="1" applyFill="1"/>
    <xf numFmtId="37" fontId="0" fillId="0" borderId="0" xfId="0" applyNumberFormat="1" applyFill="1" applyAlignment="1">
      <alignment horizontal="center"/>
    </xf>
    <xf numFmtId="37" fontId="4" fillId="0" borderId="0" xfId="0" applyNumberFormat="1" applyFont="1" applyFill="1" applyBorder="1"/>
    <xf numFmtId="49" fontId="0" fillId="0" borderId="0" xfId="4" applyNumberFormat="1" applyFont="1" applyFill="1" applyBorder="1" applyAlignment="1">
      <alignment horizontal="right"/>
    </xf>
    <xf numFmtId="49" fontId="0" fillId="0" borderId="0" xfId="0" applyNumberFormat="1" applyFill="1" applyAlignment="1">
      <alignment wrapText="1"/>
    </xf>
    <xf numFmtId="39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37" fontId="0" fillId="0" borderId="0" xfId="0" applyNumberFormat="1"/>
    <xf numFmtId="37" fontId="0" fillId="0" borderId="0" xfId="0" applyNumberFormat="1" applyFill="1"/>
    <xf numFmtId="0" fontId="0" fillId="0" borderId="0" xfId="0" applyAlignment="1">
      <alignment horizontal="left"/>
    </xf>
    <xf numFmtId="5" fontId="0" fillId="0" borderId="0" xfId="0" applyNumberFormat="1" applyFill="1"/>
    <xf numFmtId="167" fontId="0" fillId="0" borderId="0" xfId="1" applyNumberFormat="1" applyFont="1" applyAlignment="1">
      <alignment horizontal="right"/>
    </xf>
    <xf numFmtId="37" fontId="4" fillId="0" borderId="0" xfId="5" applyNumberFormat="1" applyFill="1" applyAlignment="1">
      <alignment horizontal="right"/>
    </xf>
    <xf numFmtId="0" fontId="0" fillId="0" borderId="0" xfId="0" applyAlignment="1">
      <alignment horizontal="center"/>
    </xf>
    <xf numFmtId="49" fontId="4" fillId="0" borderId="0" xfId="5" applyNumberFormat="1" applyFont="1" applyAlignment="1">
      <alignment horizontal="center" wrapText="1"/>
    </xf>
    <xf numFmtId="0" fontId="4" fillId="0" borderId="0" xfId="5" applyFont="1" applyAlignment="1">
      <alignment horizontal="center"/>
    </xf>
    <xf numFmtId="49" fontId="4" fillId="0" borderId="0" xfId="5" applyNumberFormat="1" applyFont="1" applyFill="1" applyAlignment="1">
      <alignment horizontal="center" wrapText="1"/>
    </xf>
    <xf numFmtId="37" fontId="4" fillId="0" borderId="0" xfId="5" applyNumberFormat="1" applyFont="1" applyAlignment="1">
      <alignment horizontal="center" wrapText="1"/>
    </xf>
    <xf numFmtId="37" fontId="4" fillId="0" borderId="0" xfId="5" applyNumberFormat="1" applyFont="1" applyAlignment="1">
      <alignment horizontal="center"/>
    </xf>
    <xf numFmtId="37" fontId="4" fillId="0" borderId="0" xfId="5" applyNumberFormat="1" applyFont="1" applyFill="1" applyAlignment="1">
      <alignment horizontal="center"/>
    </xf>
    <xf numFmtId="49" fontId="4" fillId="0" borderId="0" xfId="0" applyNumberFormat="1" applyFont="1" applyAlignment="1">
      <alignment horizontal="center" wrapText="1"/>
    </xf>
    <xf numFmtId="37" fontId="4" fillId="0" borderId="0" xfId="4" applyNumberFormat="1" applyFont="1" applyFill="1" applyAlignment="1">
      <alignment horizontal="left"/>
    </xf>
    <xf numFmtId="37" fontId="4" fillId="0" borderId="0" xfId="0" applyNumberFormat="1" applyFont="1"/>
    <xf numFmtId="37" fontId="0" fillId="0" borderId="1" xfId="0" applyNumberFormat="1" applyBorder="1"/>
    <xf numFmtId="37" fontId="4" fillId="0" borderId="0" xfId="4" applyNumberFormat="1" applyFont="1" applyAlignment="1">
      <alignment horizontal="right"/>
    </xf>
    <xf numFmtId="37" fontId="0" fillId="0" borderId="1" xfId="4" applyNumberFormat="1" applyFont="1" applyFill="1" applyBorder="1" applyAlignment="1">
      <alignment horizontal="right"/>
    </xf>
    <xf numFmtId="37" fontId="0" fillId="0" borderId="1" xfId="0" applyNumberFormat="1" applyBorder="1" applyAlignment="1">
      <alignment horizontal="right"/>
    </xf>
    <xf numFmtId="37" fontId="0" fillId="0" borderId="0" xfId="0" applyNumberFormat="1" applyBorder="1"/>
    <xf numFmtId="0" fontId="4" fillId="0" borderId="1" xfId="0" applyFont="1" applyBorder="1"/>
    <xf numFmtId="49" fontId="4" fillId="0" borderId="0" xfId="0" applyNumberFormat="1" applyFont="1" applyFill="1" applyAlignment="1">
      <alignment wrapText="1"/>
    </xf>
    <xf numFmtId="0" fontId="92" fillId="0" borderId="0" xfId="0" applyFont="1"/>
    <xf numFmtId="40" fontId="4" fillId="0" borderId="1" xfId="5" applyNumberFormat="1" applyFont="1" applyFill="1" applyBorder="1" applyAlignment="1">
      <alignment horizontal="left" indent="6"/>
    </xf>
    <xf numFmtId="40" fontId="4" fillId="0" borderId="0" xfId="5" applyNumberFormat="1" applyFont="1" applyFill="1" applyBorder="1" applyAlignment="1">
      <alignment horizontal="left" indent="6"/>
    </xf>
    <xf numFmtId="0" fontId="4" fillId="0" borderId="1" xfId="5" quotePrefix="1" applyBorder="1" applyAlignment="1">
      <alignment horizontal="center"/>
    </xf>
    <xf numFmtId="0" fontId="93" fillId="0" borderId="0" xfId="0" applyFont="1"/>
    <xf numFmtId="40" fontId="4" fillId="0" borderId="0" xfId="5" applyNumberFormat="1" applyFont="1" applyFill="1" applyAlignment="1">
      <alignment horizontal="left" indent="6"/>
    </xf>
    <xf numFmtId="37" fontId="4" fillId="0" borderId="1" xfId="0" applyNumberFormat="1" applyFont="1" applyBorder="1"/>
    <xf numFmtId="49" fontId="9" fillId="0" borderId="0" xfId="5" applyNumberFormat="1" applyFont="1" applyAlignment="1">
      <alignment horizontal="center"/>
    </xf>
    <xf numFmtId="49" fontId="13" fillId="0" borderId="0" xfId="5" applyNumberFormat="1" applyFont="1" applyAlignment="1">
      <alignment horizontal="center"/>
    </xf>
    <xf numFmtId="0" fontId="9" fillId="0" borderId="0" xfId="5" applyFont="1" applyAlignment="1">
      <alignment horizontal="center"/>
    </xf>
    <xf numFmtId="49" fontId="4" fillId="0" borderId="0" xfId="5" applyNumberFormat="1" applyAlignment="1">
      <alignment horizontal="center"/>
    </xf>
    <xf numFmtId="0" fontId="0" fillId="0" borderId="0" xfId="0" applyAlignment="1">
      <alignment horizontal="center"/>
    </xf>
    <xf numFmtId="0" fontId="7" fillId="0" borderId="0" xfId="5" applyFont="1" applyAlignment="1">
      <alignment horizontal="center"/>
    </xf>
    <xf numFmtId="0" fontId="4" fillId="0" borderId="0" xfId="5" applyAlignment="1">
      <alignment horizontal="center"/>
    </xf>
    <xf numFmtId="0" fontId="17" fillId="0" borderId="0" xfId="5" applyFont="1" applyAlignment="1">
      <alignment horizontal="center"/>
    </xf>
    <xf numFmtId="0" fontId="22" fillId="0" borderId="0" xfId="9" applyFont="1" applyAlignment="1">
      <alignment horizontal="center"/>
    </xf>
    <xf numFmtId="0" fontId="21" fillId="0" borderId="0" xfId="9" applyFont="1" applyAlignment="1">
      <alignment horizontal="center"/>
    </xf>
    <xf numFmtId="37" fontId="8" fillId="0" borderId="0" xfId="0" applyNumberFormat="1" applyFont="1" applyAlignment="1">
      <alignment horizontal="center"/>
    </xf>
    <xf numFmtId="44" fontId="7" fillId="0" borderId="0" xfId="5" applyNumberFormat="1" applyFont="1" applyAlignment="1">
      <alignment horizontal="center"/>
    </xf>
  </cellXfs>
  <cellStyles count="530">
    <cellStyle name="20% - Accent1 2" xfId="43"/>
    <cellStyle name="20% - Accent1 2 2" xfId="44"/>
    <cellStyle name="20% - Accent1 3" xfId="45"/>
    <cellStyle name="20% - Accent1 4" xfId="46"/>
    <cellStyle name="20% - Accent1 5" xfId="47"/>
    <cellStyle name="20% - Accent1 6" xfId="48"/>
    <cellStyle name="20% - Accent1 7" xfId="49"/>
    <cellStyle name="20% - Accent1 8" xfId="50"/>
    <cellStyle name="20% - Accent2 2" xfId="51"/>
    <cellStyle name="20% - Accent2 2 2" xfId="52"/>
    <cellStyle name="20% - Accent2 3" xfId="53"/>
    <cellStyle name="20% - Accent2 4" xfId="54"/>
    <cellStyle name="20% - Accent2 5" xfId="55"/>
    <cellStyle name="20% - Accent2 6" xfId="56"/>
    <cellStyle name="20% - Accent3 2" xfId="57"/>
    <cellStyle name="20% - Accent3 2 2" xfId="58"/>
    <cellStyle name="20% - Accent3 3" xfId="59"/>
    <cellStyle name="20% - Accent3 4" xfId="60"/>
    <cellStyle name="20% - Accent3 5" xfId="61"/>
    <cellStyle name="20% - Accent3 6" xfId="62"/>
    <cellStyle name="20% - Accent3 7" xfId="63"/>
    <cellStyle name="20% - Accent3 8" xfId="64"/>
    <cellStyle name="20% - Accent4 2" xfId="65"/>
    <cellStyle name="20% - Accent4 2 2" xfId="66"/>
    <cellStyle name="20% - Accent4 3" xfId="67"/>
    <cellStyle name="20% - Accent4 4" xfId="68"/>
    <cellStyle name="20% - Accent4 5" xfId="69"/>
    <cellStyle name="20% - Accent4 6" xfId="70"/>
    <cellStyle name="20% - Accent4 7" xfId="71"/>
    <cellStyle name="20% - Accent4 8" xfId="72"/>
    <cellStyle name="20% - Accent5 2" xfId="73"/>
    <cellStyle name="20% - Accent5 2 2" xfId="74"/>
    <cellStyle name="20% - Accent5 3" xfId="75"/>
    <cellStyle name="20% - Accent5 4" xfId="76"/>
    <cellStyle name="20% - Accent5 5" xfId="77"/>
    <cellStyle name="20% - Accent5 6" xfId="78"/>
    <cellStyle name="20% - Accent6 2" xfId="79"/>
    <cellStyle name="20% - Accent6 2 2" xfId="80"/>
    <cellStyle name="20% - Accent6 3" xfId="81"/>
    <cellStyle name="20% - Accent6 4" xfId="82"/>
    <cellStyle name="20% - Accent6 5" xfId="83"/>
    <cellStyle name="20% - Accent6 6" xfId="84"/>
    <cellStyle name="40% - Accent1 2" xfId="85"/>
    <cellStyle name="40% - Accent1 2 2" xfId="86"/>
    <cellStyle name="40% - Accent1 3" xfId="87"/>
    <cellStyle name="40% - Accent1 4" xfId="88"/>
    <cellStyle name="40% - Accent1 5" xfId="89"/>
    <cellStyle name="40% - Accent1 6" xfId="90"/>
    <cellStyle name="40% - Accent1 7" xfId="91"/>
    <cellStyle name="40% - Accent1 8" xfId="92"/>
    <cellStyle name="40% - Accent2 2" xfId="93"/>
    <cellStyle name="40% - Accent2 2 2" xfId="94"/>
    <cellStyle name="40% - Accent2 3" xfId="95"/>
    <cellStyle name="40% - Accent2 4" xfId="96"/>
    <cellStyle name="40% - Accent2 5" xfId="97"/>
    <cellStyle name="40% - Accent2 6" xfId="98"/>
    <cellStyle name="40% - Accent3 2" xfId="99"/>
    <cellStyle name="40% - Accent3 2 2" xfId="100"/>
    <cellStyle name="40% - Accent3 3" xfId="101"/>
    <cellStyle name="40% - Accent3 4" xfId="102"/>
    <cellStyle name="40% - Accent3 5" xfId="103"/>
    <cellStyle name="40% - Accent3 6" xfId="104"/>
    <cellStyle name="40% - Accent3 7" xfId="105"/>
    <cellStyle name="40% - Accent3 8" xfId="106"/>
    <cellStyle name="40% - Accent4 2" xfId="107"/>
    <cellStyle name="40% - Accent4 2 2" xfId="108"/>
    <cellStyle name="40% - Accent4 3" xfId="109"/>
    <cellStyle name="40% - Accent4 4" xfId="110"/>
    <cellStyle name="40% - Accent4 5" xfId="111"/>
    <cellStyle name="40% - Accent4 6" xfId="112"/>
    <cellStyle name="40% - Accent4 7" xfId="113"/>
    <cellStyle name="40% - Accent4 8" xfId="114"/>
    <cellStyle name="40% - Accent5 2" xfId="115"/>
    <cellStyle name="40% - Accent5 2 2" xfId="116"/>
    <cellStyle name="40% - Accent5 3" xfId="117"/>
    <cellStyle name="40% - Accent5 4" xfId="118"/>
    <cellStyle name="40% - Accent5 5" xfId="119"/>
    <cellStyle name="40% - Accent5 6" xfId="120"/>
    <cellStyle name="40% - Accent6 2" xfId="121"/>
    <cellStyle name="40% - Accent6 2 2" xfId="122"/>
    <cellStyle name="40% - Accent6 3" xfId="123"/>
    <cellStyle name="40% - Accent6 4" xfId="124"/>
    <cellStyle name="40% - Accent6 5" xfId="125"/>
    <cellStyle name="40% - Accent6 6" xfId="126"/>
    <cellStyle name="40% - Accent6 7" xfId="127"/>
    <cellStyle name="40% - Accent6 8" xfId="128"/>
    <cellStyle name="60% - Accent1 2" xfId="129"/>
    <cellStyle name="60% - Accent1 3" xfId="130"/>
    <cellStyle name="60% - Accent1 4" xfId="131"/>
    <cellStyle name="60% - Accent1 5" xfId="132"/>
    <cellStyle name="60% - Accent1 6" xfId="133"/>
    <cellStyle name="60% - Accent1 7" xfId="134"/>
    <cellStyle name="60% - Accent1 8" xfId="135"/>
    <cellStyle name="60% - Accent2 2" xfId="136"/>
    <cellStyle name="60% - Accent2 3" xfId="137"/>
    <cellStyle name="60% - Accent2 4" xfId="138"/>
    <cellStyle name="60% - Accent2 5" xfId="139"/>
    <cellStyle name="60% - Accent2 6" xfId="140"/>
    <cellStyle name="60% - Accent3 2" xfId="141"/>
    <cellStyle name="60% - Accent3 3" xfId="142"/>
    <cellStyle name="60% - Accent3 4" xfId="143"/>
    <cellStyle name="60% - Accent3 5" xfId="144"/>
    <cellStyle name="60% - Accent3 6" xfId="145"/>
    <cellStyle name="60% - Accent3 7" xfId="146"/>
    <cellStyle name="60% - Accent3 8" xfId="147"/>
    <cellStyle name="60% - Accent4 2" xfId="148"/>
    <cellStyle name="60% - Accent4 3" xfId="149"/>
    <cellStyle name="60% - Accent4 4" xfId="150"/>
    <cellStyle name="60% - Accent4 5" xfId="151"/>
    <cellStyle name="60% - Accent4 6" xfId="152"/>
    <cellStyle name="60% - Accent4 7" xfId="153"/>
    <cellStyle name="60% - Accent4 8" xfId="154"/>
    <cellStyle name="60% - Accent5 2" xfId="155"/>
    <cellStyle name="60% - Accent5 3" xfId="156"/>
    <cellStyle name="60% - Accent5 4" xfId="157"/>
    <cellStyle name="60% - Accent5 5" xfId="158"/>
    <cellStyle name="60% - Accent5 6" xfId="159"/>
    <cellStyle name="60% - Accent6 2" xfId="160"/>
    <cellStyle name="60% - Accent6 3" xfId="161"/>
    <cellStyle name="60% - Accent6 4" xfId="162"/>
    <cellStyle name="60% - Accent6 5" xfId="163"/>
    <cellStyle name="60% - Accent6 6" xfId="164"/>
    <cellStyle name="60% - Accent6 7" xfId="165"/>
    <cellStyle name="60% - Accent6 8" xfId="166"/>
    <cellStyle name="Accent1 2" xfId="167"/>
    <cellStyle name="Accent1 3" xfId="168"/>
    <cellStyle name="Accent1 4" xfId="169"/>
    <cellStyle name="Accent1 5" xfId="170"/>
    <cellStyle name="Accent1 6" xfId="171"/>
    <cellStyle name="Accent1 7" xfId="172"/>
    <cellStyle name="Accent1 8" xfId="173"/>
    <cellStyle name="Accent2 2" xfId="174"/>
    <cellStyle name="Accent2 3" xfId="175"/>
    <cellStyle name="Accent2 4" xfId="176"/>
    <cellStyle name="Accent2 5" xfId="177"/>
    <cellStyle name="Accent2 6" xfId="178"/>
    <cellStyle name="Accent3 2" xfId="179"/>
    <cellStyle name="Accent3 3" xfId="180"/>
    <cellStyle name="Accent3 4" xfId="181"/>
    <cellStyle name="Accent3 5" xfId="182"/>
    <cellStyle name="Accent3 6" xfId="183"/>
    <cellStyle name="Accent4 2" xfId="184"/>
    <cellStyle name="Accent4 3" xfId="185"/>
    <cellStyle name="Accent4 4" xfId="186"/>
    <cellStyle name="Accent4 5" xfId="187"/>
    <cellStyle name="Accent4 6" xfId="188"/>
    <cellStyle name="Accent4 7" xfId="189"/>
    <cellStyle name="Accent4 8" xfId="190"/>
    <cellStyle name="Accent5 2" xfId="191"/>
    <cellStyle name="Accent5 3" xfId="192"/>
    <cellStyle name="Accent5 4" xfId="193"/>
    <cellStyle name="Accent5 5" xfId="194"/>
    <cellStyle name="Accent5 6" xfId="195"/>
    <cellStyle name="Accent6 2" xfId="196"/>
    <cellStyle name="Accent6 3" xfId="197"/>
    <cellStyle name="Accent6 4" xfId="198"/>
    <cellStyle name="Accent6 5" xfId="199"/>
    <cellStyle name="Accent6 6" xfId="200"/>
    <cellStyle name="Bad 2" xfId="201"/>
    <cellStyle name="Bad 3" xfId="202"/>
    <cellStyle name="Bad 4" xfId="203"/>
    <cellStyle name="Bad 5" xfId="204"/>
    <cellStyle name="Bad 6" xfId="205"/>
    <cellStyle name="Bad 7" xfId="206"/>
    <cellStyle name="Bad 8" xfId="207"/>
    <cellStyle name="Calculation 2" xfId="208"/>
    <cellStyle name="Calculation 3" xfId="209"/>
    <cellStyle name="Calculation 4" xfId="210"/>
    <cellStyle name="Calculation 5" xfId="211"/>
    <cellStyle name="Calculation 6" xfId="212"/>
    <cellStyle name="Check Cell 2" xfId="213"/>
    <cellStyle name="Check Cell 3" xfId="214"/>
    <cellStyle name="Check Cell 4" xfId="215"/>
    <cellStyle name="Check Cell 5" xfId="216"/>
    <cellStyle name="Check Cell 6" xfId="217"/>
    <cellStyle name="Check Cell 7" xfId="218"/>
    <cellStyle name="Check Cell 8" xfId="219"/>
    <cellStyle name="Comma" xfId="1" builtinId="3"/>
    <cellStyle name="Comma 10" xfId="220"/>
    <cellStyle name="Comma 11" xfId="221"/>
    <cellStyle name="Comma 12" xfId="222"/>
    <cellStyle name="Comma 13" xfId="223"/>
    <cellStyle name="Comma 14" xfId="224"/>
    <cellStyle name="Comma 15" xfId="225"/>
    <cellStyle name="Comma 16" xfId="40"/>
    <cellStyle name="Comma 17" xfId="226"/>
    <cellStyle name="Comma 17 2" xfId="510"/>
    <cellStyle name="Comma 17 3" xfId="488"/>
    <cellStyle name="Comma 18" xfId="227"/>
    <cellStyle name="Comma 19" xfId="41"/>
    <cellStyle name="Comma 2" xfId="7"/>
    <cellStyle name="Comma 2 2" xfId="12"/>
    <cellStyle name="Comma 2 2 2" xfId="470"/>
    <cellStyle name="Comma 2 2 3" xfId="228"/>
    <cellStyle name="Comma 2 2 4" xfId="20"/>
    <cellStyle name="Comma 2 3" xfId="16"/>
    <cellStyle name="Comma 2 4" xfId="229"/>
    <cellStyle name="Comma 2 5" xfId="19"/>
    <cellStyle name="Comma 2_Allocators" xfId="230"/>
    <cellStyle name="Comma 20" xfId="231"/>
    <cellStyle name="Comma 20 2" xfId="511"/>
    <cellStyle name="Comma 20 3" xfId="489"/>
    <cellStyle name="Comma 3" xfId="10"/>
    <cellStyle name="Comma 3 10" xfId="486"/>
    <cellStyle name="Comma 3 10 2" xfId="528"/>
    <cellStyle name="Comma 3 10 3" xfId="506"/>
    <cellStyle name="Comma 3 11" xfId="232"/>
    <cellStyle name="Comma 3 12" xfId="508"/>
    <cellStyle name="Comma 3 13" xfId="21"/>
    <cellStyle name="Comma 3 2" xfId="233"/>
    <cellStyle name="Comma 3 3" xfId="234"/>
    <cellStyle name="Comma 3 4" xfId="471"/>
    <cellStyle name="Comma 3 4 2" xfId="516"/>
    <cellStyle name="Comma 3 4 3" xfId="494"/>
    <cellStyle name="Comma 3 5" xfId="476"/>
    <cellStyle name="Comma 3 5 2" xfId="518"/>
    <cellStyle name="Comma 3 5 3" xfId="496"/>
    <cellStyle name="Comma 3 6" xfId="478"/>
    <cellStyle name="Comma 3 6 2" xfId="520"/>
    <cellStyle name="Comma 3 6 3" xfId="498"/>
    <cellStyle name="Comma 3 7" xfId="480"/>
    <cellStyle name="Comma 3 7 2" xfId="522"/>
    <cellStyle name="Comma 3 7 3" xfId="500"/>
    <cellStyle name="Comma 3 8" xfId="482"/>
    <cellStyle name="Comma 3 8 2" xfId="524"/>
    <cellStyle name="Comma 3 8 3" xfId="502"/>
    <cellStyle name="Comma 3 9" xfId="484"/>
    <cellStyle name="Comma 3 9 2" xfId="526"/>
    <cellStyle name="Comma 3 9 3" xfId="504"/>
    <cellStyle name="Comma 4" xfId="22"/>
    <cellStyle name="Comma 4 2" xfId="42"/>
    <cellStyle name="Comma 4 3" xfId="235"/>
    <cellStyle name="Comma 5" xfId="236"/>
    <cellStyle name="Comma 6" xfId="237"/>
    <cellStyle name="Comma 6 2" xfId="238"/>
    <cellStyle name="Comma 7" xfId="239"/>
    <cellStyle name="Comma 7 2" xfId="240"/>
    <cellStyle name="Comma 8" xfId="241"/>
    <cellStyle name="Comma 8 2" xfId="242"/>
    <cellStyle name="Comma 9" xfId="243"/>
    <cellStyle name="CommaBlank" xfId="244"/>
    <cellStyle name="CommaBlank 2" xfId="245"/>
    <cellStyle name="Currency" xfId="2" builtinId="4"/>
    <cellStyle name="Currency 10" xfId="246"/>
    <cellStyle name="Currency 10 2" xfId="512"/>
    <cellStyle name="Currency 10 3" xfId="490"/>
    <cellStyle name="Currency 2" xfId="15"/>
    <cellStyle name="Currency 2 2" xfId="24"/>
    <cellStyle name="Currency 2 3" xfId="469"/>
    <cellStyle name="Currency 2 4" xfId="23"/>
    <cellStyle name="Currency 3" xfId="25"/>
    <cellStyle name="Currency 3 2" xfId="248"/>
    <cellStyle name="Currency 3 3" xfId="249"/>
    <cellStyle name="Currency 3 4" xfId="250"/>
    <cellStyle name="Currency 3 5" xfId="247"/>
    <cellStyle name="Currency 4" xfId="251"/>
    <cellStyle name="Currency 4 2" xfId="252"/>
    <cellStyle name="Currency 4 3" xfId="253"/>
    <cellStyle name="Currency 4 4" xfId="254"/>
    <cellStyle name="Currency 5" xfId="255"/>
    <cellStyle name="Currency 6" xfId="256"/>
    <cellStyle name="Currency 7" xfId="257"/>
    <cellStyle name="Currency 8" xfId="258"/>
    <cellStyle name="Currency 9" xfId="259"/>
    <cellStyle name="Explanatory Text 2" xfId="260"/>
    <cellStyle name="Explanatory Text 3" xfId="261"/>
    <cellStyle name="Explanatory Text 4" xfId="262"/>
    <cellStyle name="Explanatory Text 5" xfId="263"/>
    <cellStyle name="Explanatory Text 6" xfId="264"/>
    <cellStyle name="Good 2" xfId="265"/>
    <cellStyle name="Good 3" xfId="266"/>
    <cellStyle name="Good 4" xfId="267"/>
    <cellStyle name="Good 5" xfId="268"/>
    <cellStyle name="Good 6" xfId="269"/>
    <cellStyle name="Heading 1 2" xfId="270"/>
    <cellStyle name="Heading 1 3" xfId="271"/>
    <cellStyle name="Heading 1 4" xfId="272"/>
    <cellStyle name="Heading 1 5" xfId="273"/>
    <cellStyle name="Heading 1 6" xfId="274"/>
    <cellStyle name="Heading 1 7" xfId="275"/>
    <cellStyle name="Heading 1 8" xfId="276"/>
    <cellStyle name="Heading 2 2" xfId="277"/>
    <cellStyle name="Heading 2 3" xfId="278"/>
    <cellStyle name="Heading 2 4" xfId="279"/>
    <cellStyle name="Heading 2 5" xfId="280"/>
    <cellStyle name="Heading 2 6" xfId="281"/>
    <cellStyle name="Heading 2 7" xfId="282"/>
    <cellStyle name="Heading 2 8" xfId="283"/>
    <cellStyle name="Heading 3 2" xfId="284"/>
    <cellStyle name="Heading 3 3" xfId="285"/>
    <cellStyle name="Heading 3 4" xfId="286"/>
    <cellStyle name="Heading 3 5" xfId="287"/>
    <cellStyle name="Heading 3 6" xfId="288"/>
    <cellStyle name="Heading 3 7" xfId="289"/>
    <cellStyle name="Heading 3 8" xfId="290"/>
    <cellStyle name="Heading 4 2" xfId="291"/>
    <cellStyle name="Heading 4 3" xfId="292"/>
    <cellStyle name="Heading 4 4" xfId="293"/>
    <cellStyle name="Heading 4 5" xfId="294"/>
    <cellStyle name="Heading 4 6" xfId="295"/>
    <cellStyle name="Heading 4 7" xfId="296"/>
    <cellStyle name="Heading 4 8" xfId="297"/>
    <cellStyle name="Input 2" xfId="298"/>
    <cellStyle name="Input 3" xfId="299"/>
    <cellStyle name="Input 4" xfId="300"/>
    <cellStyle name="Input 5" xfId="301"/>
    <cellStyle name="Input 6" xfId="302"/>
    <cellStyle name="kirkdollars" xfId="303"/>
    <cellStyle name="Linked Cell 2" xfId="304"/>
    <cellStyle name="Linked Cell 3" xfId="305"/>
    <cellStyle name="Linked Cell 4" xfId="306"/>
    <cellStyle name="Linked Cell 5" xfId="307"/>
    <cellStyle name="Linked Cell 6" xfId="308"/>
    <cellStyle name="Neutral 2" xfId="309"/>
    <cellStyle name="Neutral 3" xfId="310"/>
    <cellStyle name="Neutral 4" xfId="311"/>
    <cellStyle name="Neutral 5" xfId="312"/>
    <cellStyle name="Neutral 6" xfId="313"/>
    <cellStyle name="Normal" xfId="0" builtinId="0"/>
    <cellStyle name="Normal 10" xfId="314"/>
    <cellStyle name="Normal 11" xfId="315"/>
    <cellStyle name="Normal 12" xfId="316"/>
    <cellStyle name="Normal 13" xfId="317"/>
    <cellStyle name="Normal 14" xfId="318"/>
    <cellStyle name="Normal 15" xfId="319"/>
    <cellStyle name="Normal 15 2" xfId="513"/>
    <cellStyle name="Normal 15 3" xfId="491"/>
    <cellStyle name="Normal 16" xfId="320"/>
    <cellStyle name="Normal 17" xfId="321"/>
    <cellStyle name="Normal 18" xfId="322"/>
    <cellStyle name="Normal 19" xfId="323"/>
    <cellStyle name="Normal 2" xfId="5"/>
    <cellStyle name="Normal 2 2" xfId="6"/>
    <cellStyle name="Normal 2 2 2" xfId="13"/>
    <cellStyle name="Normal 2 2 3" xfId="26"/>
    <cellStyle name="Normal 2 3" xfId="39"/>
    <cellStyle name="Normal 2 4" xfId="324"/>
    <cellStyle name="Normal 2_Adjustment WP" xfId="325"/>
    <cellStyle name="Normal 20" xfId="326"/>
    <cellStyle name="Normal 21" xfId="327"/>
    <cellStyle name="Normal 22" xfId="328"/>
    <cellStyle name="Normal 23" xfId="329"/>
    <cellStyle name="Normal 24" xfId="330"/>
    <cellStyle name="Normal 25" xfId="331"/>
    <cellStyle name="Normal 26" xfId="332"/>
    <cellStyle name="Normal 27" xfId="333"/>
    <cellStyle name="Normal 28" xfId="334"/>
    <cellStyle name="Normal 29" xfId="335"/>
    <cellStyle name="Normal 3" xfId="9"/>
    <cellStyle name="Normal 3 2" xfId="337"/>
    <cellStyle name="Normal 3 3" xfId="338"/>
    <cellStyle name="Normal 3 4" xfId="339"/>
    <cellStyle name="Normal 3 5" xfId="468"/>
    <cellStyle name="Normal 3 6" xfId="336"/>
    <cellStyle name="Normal 3 7" xfId="27"/>
    <cellStyle name="Normal 3_108 Summary" xfId="340"/>
    <cellStyle name="Normal 30" xfId="341"/>
    <cellStyle name="Normal 31" xfId="342"/>
    <cellStyle name="Normal 32" xfId="343"/>
    <cellStyle name="Normal 33" xfId="344"/>
    <cellStyle name="Normal 34" xfId="345"/>
    <cellStyle name="Normal 35" xfId="346"/>
    <cellStyle name="Normal 35 2" xfId="514"/>
    <cellStyle name="Normal 35 3" xfId="492"/>
    <cellStyle name="Normal 4" xfId="11"/>
    <cellStyle name="Normal 4 2" xfId="472"/>
    <cellStyle name="Normal 4 3" xfId="347"/>
    <cellStyle name="Normal 4 4" xfId="28"/>
    <cellStyle name="Normal 5" xfId="29"/>
    <cellStyle name="Normal 5 2" xfId="473"/>
    <cellStyle name="Normal 5 3" xfId="348"/>
    <cellStyle name="Normal 6" xfId="30"/>
    <cellStyle name="Normal 6 10" xfId="509"/>
    <cellStyle name="Normal 6 2" xfId="475"/>
    <cellStyle name="Normal 6 2 2" xfId="517"/>
    <cellStyle name="Normal 6 2 3" xfId="495"/>
    <cellStyle name="Normal 6 3" xfId="477"/>
    <cellStyle name="Normal 6 3 2" xfId="519"/>
    <cellStyle name="Normal 6 3 3" xfId="497"/>
    <cellStyle name="Normal 6 4" xfId="479"/>
    <cellStyle name="Normal 6 4 2" xfId="521"/>
    <cellStyle name="Normal 6 4 3" xfId="499"/>
    <cellStyle name="Normal 6 5" xfId="481"/>
    <cellStyle name="Normal 6 5 2" xfId="523"/>
    <cellStyle name="Normal 6 5 3" xfId="501"/>
    <cellStyle name="Normal 6 6" xfId="483"/>
    <cellStyle name="Normal 6 6 2" xfId="525"/>
    <cellStyle name="Normal 6 6 3" xfId="503"/>
    <cellStyle name="Normal 6 7" xfId="485"/>
    <cellStyle name="Normal 6 7 2" xfId="527"/>
    <cellStyle name="Normal 6 7 3" xfId="505"/>
    <cellStyle name="Normal 6 8" xfId="487"/>
    <cellStyle name="Normal 6 8 2" xfId="529"/>
    <cellStyle name="Normal 6 8 3" xfId="507"/>
    <cellStyle name="Normal 6 9" xfId="349"/>
    <cellStyle name="Normal 7" xfId="350"/>
    <cellStyle name="Normal 8" xfId="351"/>
    <cellStyle name="Normal 9" xfId="352"/>
    <cellStyle name="Note 10" xfId="353"/>
    <cellStyle name="Note 11" xfId="354"/>
    <cellStyle name="Note 2" xfId="355"/>
    <cellStyle name="Note 2 2" xfId="356"/>
    <cellStyle name="Note 2_Allocators" xfId="357"/>
    <cellStyle name="Note 3" xfId="358"/>
    <cellStyle name="Note 3 2" xfId="359"/>
    <cellStyle name="Note 3 3" xfId="360"/>
    <cellStyle name="Note 3_Allocators" xfId="361"/>
    <cellStyle name="Note 4" xfId="362"/>
    <cellStyle name="Note 4 2" xfId="363"/>
    <cellStyle name="Note 4_Allocators" xfId="364"/>
    <cellStyle name="Note 5" xfId="365"/>
    <cellStyle name="Note 6" xfId="366"/>
    <cellStyle name="Note 6 2" xfId="367"/>
    <cellStyle name="Note 6_Allocators" xfId="368"/>
    <cellStyle name="Note 7" xfId="369"/>
    <cellStyle name="Note 7 2" xfId="370"/>
    <cellStyle name="Note 8" xfId="371"/>
    <cellStyle name="Note 9" xfId="372"/>
    <cellStyle name="nPlosion" xfId="373"/>
    <cellStyle name="nvision" xfId="374"/>
    <cellStyle name="Output 2" xfId="375"/>
    <cellStyle name="Output 3" xfId="376"/>
    <cellStyle name="Output 4" xfId="377"/>
    <cellStyle name="Output 5" xfId="378"/>
    <cellStyle name="Output 6" xfId="379"/>
    <cellStyle name="Percent" xfId="3" builtinId="5"/>
    <cellStyle name="Percent 10" xfId="380"/>
    <cellStyle name="Percent 11" xfId="381"/>
    <cellStyle name="Percent 12" xfId="382"/>
    <cellStyle name="Percent 13" xfId="383"/>
    <cellStyle name="Percent 13 2" xfId="515"/>
    <cellStyle name="Percent 13 3" xfId="493"/>
    <cellStyle name="Percent 2" xfId="8"/>
    <cellStyle name="Percent 2 2" xfId="14"/>
    <cellStyle name="Percent 2 2 2" xfId="384"/>
    <cellStyle name="Percent 2 3" xfId="17"/>
    <cellStyle name="Percent 3" xfId="31"/>
    <cellStyle name="Percent 3 2" xfId="386"/>
    <cellStyle name="Percent 3 3" xfId="387"/>
    <cellStyle name="Percent 3 4" xfId="474"/>
    <cellStyle name="Percent 3 5" xfId="385"/>
    <cellStyle name="Percent 4" xfId="388"/>
    <cellStyle name="Percent 4 2" xfId="389"/>
    <cellStyle name="Percent 4 3" xfId="390"/>
    <cellStyle name="Percent 4 4" xfId="391"/>
    <cellStyle name="Percent 5" xfId="392"/>
    <cellStyle name="Percent 5 2" xfId="393"/>
    <cellStyle name="Percent 6" xfId="394"/>
    <cellStyle name="Percent 6 2" xfId="395"/>
    <cellStyle name="Percent 7" xfId="396"/>
    <cellStyle name="Percent 8" xfId="397"/>
    <cellStyle name="Percent 9" xfId="398"/>
    <cellStyle name="PSChar" xfId="18"/>
    <cellStyle name="PSChar 2" xfId="32"/>
    <cellStyle name="PSChar 2 2" xfId="399"/>
    <cellStyle name="PSChar 2 3" xfId="400"/>
    <cellStyle name="PSChar 3" xfId="401"/>
    <cellStyle name="PSChar 3 2" xfId="402"/>
    <cellStyle name="PSChar 4" xfId="403"/>
    <cellStyle name="PSChar 5" xfId="404"/>
    <cellStyle name="PSChar 6" xfId="405"/>
    <cellStyle name="PSDate" xfId="33"/>
    <cellStyle name="PSDate 2" xfId="406"/>
    <cellStyle name="PSDate 2 2" xfId="407"/>
    <cellStyle name="PSDate 2 3" xfId="408"/>
    <cellStyle name="PSDate 3" xfId="409"/>
    <cellStyle name="PSDate 3 2" xfId="410"/>
    <cellStyle name="PSDate 4" xfId="411"/>
    <cellStyle name="PSDate 5" xfId="412"/>
    <cellStyle name="PSDate 6" xfId="413"/>
    <cellStyle name="PSDec" xfId="4"/>
    <cellStyle name="PSDec 2" xfId="34"/>
    <cellStyle name="PSDec 2 2" xfId="414"/>
    <cellStyle name="PSDec 2 3" xfId="415"/>
    <cellStyle name="PSDec 3" xfId="416"/>
    <cellStyle name="PSDec 3 2" xfId="417"/>
    <cellStyle name="PSDec 4" xfId="418"/>
    <cellStyle name="PSDec 5" xfId="419"/>
    <cellStyle name="PSDec 6" xfId="420"/>
    <cellStyle name="PSHeading" xfId="35"/>
    <cellStyle name="PSHeading 10" xfId="421"/>
    <cellStyle name="PSHeading 11" xfId="422"/>
    <cellStyle name="PSHeading 2" xfId="36"/>
    <cellStyle name="PSHeading 2 2" xfId="423"/>
    <cellStyle name="PSHeading 2 3" xfId="424"/>
    <cellStyle name="PSHeading 2_108 Summary" xfId="425"/>
    <cellStyle name="PSHeading 3" xfId="426"/>
    <cellStyle name="PSHeading 3 2" xfId="427"/>
    <cellStyle name="PSHeading 3_108 Summary" xfId="428"/>
    <cellStyle name="PSHeading 4" xfId="429"/>
    <cellStyle name="PSHeading 5" xfId="430"/>
    <cellStyle name="PSHeading 6" xfId="431"/>
    <cellStyle name="PSHeading 7" xfId="432"/>
    <cellStyle name="PSHeading 8" xfId="433"/>
    <cellStyle name="PSHeading 9" xfId="434"/>
    <cellStyle name="PSHeading_101 check" xfId="435"/>
    <cellStyle name="PSInt" xfId="37"/>
    <cellStyle name="PSInt 2" xfId="436"/>
    <cellStyle name="PSInt 2 2" xfId="437"/>
    <cellStyle name="PSInt 2 3" xfId="438"/>
    <cellStyle name="PSInt 3" xfId="439"/>
    <cellStyle name="PSInt 3 2" xfId="440"/>
    <cellStyle name="PSInt 4" xfId="441"/>
    <cellStyle name="PSInt 5" xfId="442"/>
    <cellStyle name="PSInt 6" xfId="443"/>
    <cellStyle name="PSSpacer" xfId="38"/>
    <cellStyle name="PSSpacer 2" xfId="444"/>
    <cellStyle name="PSSpacer 2 2" xfId="445"/>
    <cellStyle name="PSSpacer 2 3" xfId="446"/>
    <cellStyle name="PSSpacer 3" xfId="447"/>
    <cellStyle name="PSSpacer 3 2" xfId="448"/>
    <cellStyle name="PSSpacer 4" xfId="449"/>
    <cellStyle name="PSSpacer 5" xfId="450"/>
    <cellStyle name="PSSpacer 6" xfId="451"/>
    <cellStyle name="Title 2" xfId="452"/>
    <cellStyle name="Title 3" xfId="453"/>
    <cellStyle name="Title 4" xfId="454"/>
    <cellStyle name="Title 5" xfId="455"/>
    <cellStyle name="Total 2" xfId="456"/>
    <cellStyle name="Total 3" xfId="457"/>
    <cellStyle name="Total 4" xfId="458"/>
    <cellStyle name="Total 5" xfId="459"/>
    <cellStyle name="Total 6" xfId="460"/>
    <cellStyle name="Total 7" xfId="461"/>
    <cellStyle name="Total 8" xfId="462"/>
    <cellStyle name="Warning Text 2" xfId="463"/>
    <cellStyle name="Warning Text 3" xfId="464"/>
    <cellStyle name="Warning Text 4" xfId="465"/>
    <cellStyle name="Warning Text 5" xfId="466"/>
    <cellStyle name="Warning Text 6" xfId="46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notes7FB054\Income%20Tax%20Schedules_03-31-2013_FINAL-REVISED_053113_pre-tax%20revised%20by%20J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FIT Schedules"/>
      <sheetName val="DFIT-Per Books as Adjusted"/>
      <sheetName val="DFIT Computations"/>
      <sheetName val="SIT Schedules"/>
    </sheetNames>
    <sheetDataSet>
      <sheetData sheetId="0">
        <row r="4">
          <cell r="A4" t="str">
            <v>Twelve Months Ended March 31, 2013</v>
          </cell>
        </row>
      </sheetData>
      <sheetData sheetId="1"/>
      <sheetData sheetId="2"/>
      <sheetData sheetId="3"/>
      <sheetData sheetId="4">
        <row r="182">
          <cell r="D182">
            <v>2754086</v>
          </cell>
          <cell r="I18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03"/>
  <sheetViews>
    <sheetView tabSelected="1" zoomScaleNormal="100" workbookViewId="0">
      <selection activeCell="M31" sqref="M31"/>
    </sheetView>
  </sheetViews>
  <sheetFormatPr defaultRowHeight="12.75"/>
  <cols>
    <col min="1" max="1" width="2.42578125" style="34" customWidth="1"/>
    <col min="2" max="2" width="4.7109375" style="34" customWidth="1"/>
    <col min="3" max="3" width="10.140625" style="34" bestFit="1" customWidth="1"/>
    <col min="4" max="4" width="14.28515625" style="34" customWidth="1"/>
    <col min="5" max="5" width="10.7109375" style="34" customWidth="1"/>
    <col min="6" max="6" width="12.7109375" style="34" customWidth="1"/>
    <col min="7" max="7" width="12.85546875" style="34" customWidth="1"/>
    <col min="8" max="9" width="13.7109375" style="34" bestFit="1" customWidth="1"/>
    <col min="10" max="10" width="2.28515625" style="34" customWidth="1"/>
    <col min="11" max="11" width="9.140625" style="34"/>
    <col min="12" max="12" width="9.5703125" style="34" bestFit="1" customWidth="1"/>
    <col min="13" max="16384" width="9.140625" style="34"/>
  </cols>
  <sheetData>
    <row r="1" spans="1:14">
      <c r="A1" s="286" t="s">
        <v>13</v>
      </c>
      <c r="B1" s="286"/>
      <c r="C1" s="286"/>
      <c r="D1" s="286"/>
      <c r="E1" s="286"/>
      <c r="F1" s="286"/>
      <c r="G1" s="286"/>
      <c r="H1" s="286"/>
      <c r="I1" s="43" t="s">
        <v>12</v>
      </c>
      <c r="K1" s="53"/>
      <c r="L1" s="53"/>
      <c r="M1" s="53"/>
      <c r="N1" s="53"/>
    </row>
    <row r="2" spans="1:14">
      <c r="A2" s="288" t="s">
        <v>663</v>
      </c>
      <c r="B2" s="288"/>
      <c r="C2" s="288"/>
      <c r="D2" s="288"/>
      <c r="E2" s="288"/>
      <c r="F2" s="288"/>
      <c r="G2" s="288"/>
      <c r="H2" s="288"/>
      <c r="I2" s="43" t="s">
        <v>639</v>
      </c>
      <c r="K2" s="53"/>
      <c r="L2" s="53"/>
      <c r="M2" s="53"/>
      <c r="N2" s="53"/>
    </row>
    <row r="3" spans="1:14">
      <c r="A3" s="286" t="s">
        <v>214</v>
      </c>
      <c r="B3" s="286"/>
      <c r="C3" s="286"/>
      <c r="D3" s="286"/>
      <c r="E3" s="286"/>
      <c r="F3" s="286"/>
      <c r="G3" s="286"/>
      <c r="H3" s="286"/>
      <c r="I3" s="54"/>
      <c r="J3" s="54"/>
      <c r="K3" s="53"/>
      <c r="L3" s="53"/>
      <c r="M3" s="53"/>
      <c r="N3" s="53"/>
    </row>
    <row r="4" spans="1:14">
      <c r="A4" s="286" t="s">
        <v>664</v>
      </c>
      <c r="B4" s="286"/>
      <c r="C4" s="286"/>
      <c r="D4" s="286"/>
      <c r="E4" s="286"/>
      <c r="F4" s="286"/>
      <c r="G4" s="286"/>
      <c r="H4" s="286"/>
      <c r="I4" s="54"/>
      <c r="J4" s="54"/>
      <c r="K4" s="53"/>
      <c r="L4" s="53"/>
      <c r="M4" s="53"/>
      <c r="N4" s="53"/>
    </row>
    <row r="5" spans="1:14">
      <c r="A5" s="53"/>
      <c r="B5" s="54"/>
      <c r="C5" s="56"/>
      <c r="D5" s="56"/>
      <c r="E5" s="55"/>
      <c r="F5" s="54"/>
      <c r="G5" s="54"/>
      <c r="H5" s="54"/>
      <c r="I5" s="54"/>
      <c r="J5" s="54"/>
      <c r="K5" s="53"/>
      <c r="L5" s="53"/>
      <c r="M5" s="53"/>
      <c r="N5" s="53"/>
    </row>
    <row r="6" spans="1:14" ht="12.75" customHeight="1">
      <c r="A6" s="35" t="s">
        <v>215</v>
      </c>
      <c r="B6" s="34" t="s">
        <v>216</v>
      </c>
    </row>
    <row r="7" spans="1:14" ht="12.75" customHeight="1">
      <c r="A7" s="35"/>
    </row>
    <row r="8" spans="1:14" ht="12.75" customHeight="1">
      <c r="C8" s="42" t="s">
        <v>217</v>
      </c>
      <c r="D8" s="42"/>
      <c r="E8" s="42"/>
    </row>
    <row r="9" spans="1:14" ht="12.75" customHeight="1"/>
    <row r="10" spans="1:14" ht="12.75" customHeight="1">
      <c r="A10" s="35" t="s">
        <v>218</v>
      </c>
      <c r="B10" s="34" t="s">
        <v>219</v>
      </c>
    </row>
    <row r="11" spans="1:14" ht="12.75" customHeight="1">
      <c r="A11" s="35"/>
    </row>
    <row r="12" spans="1:14" ht="12.75" customHeight="1">
      <c r="C12" s="52" t="s">
        <v>220</v>
      </c>
      <c r="D12" s="42"/>
      <c r="E12" s="42"/>
      <c r="F12" s="42"/>
      <c r="G12" s="42"/>
    </row>
    <row r="13" spans="1:14" ht="12.75" customHeight="1">
      <c r="C13" s="51"/>
    </row>
    <row r="14" spans="1:14" ht="12.75" customHeight="1">
      <c r="A14" s="35" t="s">
        <v>221</v>
      </c>
      <c r="B14" s="34" t="s">
        <v>680</v>
      </c>
    </row>
    <row r="15" spans="1:14" ht="12.75" customHeight="1"/>
    <row r="16" spans="1:14" ht="12.75" customHeight="1">
      <c r="C16" s="42" t="s">
        <v>222</v>
      </c>
      <c r="D16" s="42"/>
      <c r="E16" s="42"/>
      <c r="F16" s="42"/>
      <c r="G16" s="42"/>
    </row>
    <row r="17" spans="1:3" ht="12.75" customHeight="1"/>
    <row r="18" spans="1:3" ht="12.75" customHeight="1">
      <c r="A18" s="35" t="s">
        <v>223</v>
      </c>
      <c r="B18" s="34" t="s">
        <v>681</v>
      </c>
    </row>
    <row r="19" spans="1:3" ht="12.75" customHeight="1">
      <c r="B19" s="34" t="s">
        <v>683</v>
      </c>
    </row>
    <row r="20" spans="1:3" ht="12.75" customHeight="1">
      <c r="B20" s="34" t="s">
        <v>682</v>
      </c>
    </row>
    <row r="21" spans="1:3" ht="12.75" customHeight="1"/>
    <row r="22" spans="1:3" ht="12.75" customHeight="1">
      <c r="C22" s="42" t="s">
        <v>273</v>
      </c>
    </row>
    <row r="23" spans="1:3" ht="12.75" customHeight="1"/>
    <row r="24" spans="1:3" ht="12.75" customHeight="1">
      <c r="A24" s="35" t="s">
        <v>224</v>
      </c>
      <c r="B24" s="34" t="s">
        <v>684</v>
      </c>
    </row>
    <row r="25" spans="1:3" ht="12.75" customHeight="1">
      <c r="B25" s="34" t="s">
        <v>686</v>
      </c>
    </row>
    <row r="26" spans="1:3" ht="12.75" customHeight="1">
      <c r="B26" s="34" t="s">
        <v>685</v>
      </c>
    </row>
    <row r="27" spans="1:3" ht="12.75" customHeight="1"/>
    <row r="28" spans="1:3" ht="12.75" customHeight="1">
      <c r="C28" s="42" t="s">
        <v>273</v>
      </c>
    </row>
    <row r="29" spans="1:3" ht="12.75" customHeight="1"/>
    <row r="30" spans="1:3" ht="12.75" customHeight="1">
      <c r="A30" s="35" t="s">
        <v>225</v>
      </c>
      <c r="B30" s="34" t="s">
        <v>688</v>
      </c>
    </row>
    <row r="31" spans="1:3" ht="12.75" customHeight="1">
      <c r="B31" s="34" t="s">
        <v>687</v>
      </c>
    </row>
    <row r="32" spans="1:3" ht="12.75" customHeight="1"/>
    <row r="33" spans="2:12" ht="77.099999999999994" customHeight="1">
      <c r="C33" s="50" t="s">
        <v>244</v>
      </c>
      <c r="D33" s="50" t="s">
        <v>243</v>
      </c>
      <c r="E33" s="50" t="s">
        <v>242</v>
      </c>
      <c r="F33" s="50" t="s">
        <v>665</v>
      </c>
      <c r="G33" s="50" t="s">
        <v>666</v>
      </c>
      <c r="H33" s="50" t="s">
        <v>667</v>
      </c>
      <c r="I33" s="50" t="s">
        <v>668</v>
      </c>
    </row>
    <row r="34" spans="2:12" ht="13.7" customHeight="1">
      <c r="B34" s="45" t="s">
        <v>226</v>
      </c>
      <c r="C34" s="41"/>
      <c r="D34" s="41"/>
      <c r="E34" s="41"/>
      <c r="F34" s="41"/>
      <c r="G34" s="41"/>
      <c r="H34" s="41"/>
      <c r="I34" s="41"/>
    </row>
    <row r="35" spans="2:12" ht="12.75" customHeight="1">
      <c r="C35" s="180">
        <v>37785</v>
      </c>
      <c r="D35" s="180">
        <v>48549</v>
      </c>
      <c r="E35" s="181">
        <v>5.6250000000000001E-2</v>
      </c>
      <c r="F35" s="182">
        <v>75000000</v>
      </c>
      <c r="G35" s="182">
        <v>75000000</v>
      </c>
      <c r="H35" s="38">
        <f t="shared" ref="H35:H40" si="0">F35*E35</f>
        <v>4218750</v>
      </c>
      <c r="I35" s="38">
        <f>G35*E35</f>
        <v>4218750</v>
      </c>
      <c r="L35" s="49"/>
    </row>
    <row r="36" spans="2:12" ht="12.75" customHeight="1">
      <c r="C36" s="180">
        <v>39336</v>
      </c>
      <c r="D36" s="180">
        <v>42993</v>
      </c>
      <c r="E36" s="181">
        <v>0.06</v>
      </c>
      <c r="F36" s="182">
        <v>325000000</v>
      </c>
      <c r="G36" s="182">
        <v>325000000</v>
      </c>
      <c r="H36" s="38">
        <f t="shared" si="0"/>
        <v>19500000</v>
      </c>
      <c r="I36" s="38">
        <f>G36*E36</f>
        <v>19500000</v>
      </c>
      <c r="L36" s="49"/>
    </row>
    <row r="37" spans="2:12" ht="12.75" customHeight="1">
      <c r="C37" s="180">
        <v>39982</v>
      </c>
      <c r="D37" s="180">
        <v>44365</v>
      </c>
      <c r="E37" s="181">
        <v>7.2499999999999995E-2</v>
      </c>
      <c r="F37" s="182">
        <v>40000000</v>
      </c>
      <c r="G37" s="182">
        <v>40000000</v>
      </c>
      <c r="H37" s="38">
        <f t="shared" si="0"/>
        <v>2900000</v>
      </c>
      <c r="I37" s="38">
        <f>G37*E37</f>
        <v>2900000</v>
      </c>
      <c r="L37" s="49"/>
    </row>
    <row r="38" spans="2:12" ht="12.75" customHeight="1">
      <c r="C38" s="180">
        <v>39982</v>
      </c>
      <c r="D38" s="180">
        <v>47287</v>
      </c>
      <c r="E38" s="181">
        <v>8.0299999999999996E-2</v>
      </c>
      <c r="F38" s="182">
        <v>30000000</v>
      </c>
      <c r="G38" s="182">
        <v>30000000</v>
      </c>
      <c r="H38" s="38">
        <f t="shared" si="0"/>
        <v>2409000</v>
      </c>
      <c r="I38" s="38">
        <f>G38*E38</f>
        <v>2409000</v>
      </c>
      <c r="L38" s="49"/>
    </row>
    <row r="39" spans="2:12" ht="12.75" customHeight="1">
      <c r="C39" s="180">
        <v>39982</v>
      </c>
      <c r="D39" s="180">
        <v>50939</v>
      </c>
      <c r="E39" s="181">
        <v>8.1299999999999997E-2</v>
      </c>
      <c r="F39" s="182">
        <v>60000000</v>
      </c>
      <c r="G39" s="182">
        <v>60000000</v>
      </c>
      <c r="H39" s="38">
        <f t="shared" si="0"/>
        <v>4878000</v>
      </c>
      <c r="I39" s="38">
        <f>G39*E39</f>
        <v>4878000</v>
      </c>
      <c r="L39" s="49"/>
    </row>
    <row r="40" spans="2:12" ht="12.75" customHeight="1">
      <c r="C40" s="180">
        <v>41912</v>
      </c>
      <c r="D40" s="180">
        <v>46295</v>
      </c>
      <c r="E40" s="181">
        <v>4.1799999999999997E-2</v>
      </c>
      <c r="F40" s="182">
        <v>0</v>
      </c>
      <c r="G40" s="182">
        <v>120000000</v>
      </c>
      <c r="H40" s="38">
        <f t="shared" si="0"/>
        <v>0</v>
      </c>
      <c r="I40" s="38">
        <f>(G40*E40)*(1/360)</f>
        <v>13933.333333333334</v>
      </c>
      <c r="L40" s="49"/>
    </row>
    <row r="42" spans="2:12" ht="12.75" customHeight="1">
      <c r="B42" s="45" t="s">
        <v>227</v>
      </c>
      <c r="E42" s="25"/>
      <c r="F42" s="48"/>
      <c r="G42" s="48"/>
      <c r="H42" s="48"/>
      <c r="I42" s="48"/>
    </row>
    <row r="43" spans="2:12" ht="12.75" customHeight="1">
      <c r="C43" s="47">
        <v>38022</v>
      </c>
      <c r="D43" s="47">
        <v>42156</v>
      </c>
      <c r="E43" s="46">
        <v>5.2499999999999998E-2</v>
      </c>
      <c r="F43" s="38">
        <v>20000000</v>
      </c>
      <c r="G43" s="38">
        <v>20000000</v>
      </c>
      <c r="H43" s="38">
        <f>F43*E43</f>
        <v>1050000</v>
      </c>
      <c r="I43" s="38">
        <f>G43*E43</f>
        <v>1050000</v>
      </c>
    </row>
    <row r="44" spans="2:12" ht="12.75" customHeight="1"/>
    <row r="45" spans="2:12" s="179" customFormat="1" ht="12.75" customHeight="1">
      <c r="B45" s="185" t="s">
        <v>669</v>
      </c>
      <c r="C45" s="183"/>
      <c r="D45" s="183"/>
      <c r="E45" s="189"/>
      <c r="F45" s="190"/>
      <c r="G45" s="190"/>
      <c r="H45" s="190"/>
      <c r="I45" s="191"/>
    </row>
    <row r="46" spans="2:12" s="179" customFormat="1" ht="12.75" customHeight="1">
      <c r="B46" s="183"/>
      <c r="C46" s="186">
        <v>41816</v>
      </c>
      <c r="D46" s="186">
        <v>49766</v>
      </c>
      <c r="E46" s="187" t="s">
        <v>670</v>
      </c>
      <c r="F46" s="188">
        <v>0</v>
      </c>
      <c r="G46" s="188">
        <v>65000000</v>
      </c>
      <c r="H46" s="188">
        <v>0</v>
      </c>
      <c r="I46" s="188">
        <v>10506.85</v>
      </c>
    </row>
    <row r="47" spans="2:12" s="179" customFormat="1" ht="12.75" customHeight="1"/>
    <row r="48" spans="2:12" s="179" customFormat="1" ht="12.75" customHeight="1">
      <c r="B48" s="193" t="s">
        <v>671</v>
      </c>
      <c r="C48" s="192"/>
      <c r="D48" s="192"/>
      <c r="E48" s="197"/>
      <c r="F48" s="198"/>
      <c r="G48" s="198"/>
      <c r="H48" s="198"/>
      <c r="I48" s="198"/>
    </row>
    <row r="49" spans="1:9" s="184" customFormat="1" ht="12.75" customHeight="1">
      <c r="B49" s="192"/>
      <c r="C49" s="194">
        <v>41639</v>
      </c>
      <c r="D49" s="194">
        <v>42137</v>
      </c>
      <c r="E49" s="195" t="s">
        <v>670</v>
      </c>
      <c r="F49" s="196">
        <v>200000000</v>
      </c>
      <c r="G49" s="196">
        <v>80000000</v>
      </c>
      <c r="H49" s="196">
        <v>0</v>
      </c>
      <c r="I49" s="196">
        <v>2183402.7799999998</v>
      </c>
    </row>
    <row r="50" spans="1:9" s="179" customFormat="1" ht="12.75" customHeight="1"/>
    <row r="51" spans="1:9" ht="12.75" customHeight="1">
      <c r="B51" s="45" t="s">
        <v>228</v>
      </c>
    </row>
    <row r="52" spans="1:9" ht="12.75" customHeight="1">
      <c r="B52" s="42" t="s">
        <v>689</v>
      </c>
      <c r="C52" s="42"/>
      <c r="D52" s="42"/>
      <c r="E52" s="42"/>
      <c r="F52" s="42"/>
      <c r="G52" s="42"/>
      <c r="H52" s="42"/>
      <c r="I52" s="42"/>
    </row>
    <row r="53" spans="1:9" ht="12.75" customHeight="1">
      <c r="B53" s="42" t="s">
        <v>690</v>
      </c>
      <c r="C53" s="42"/>
      <c r="D53" s="42"/>
      <c r="E53" s="42"/>
      <c r="F53" s="42"/>
      <c r="G53" s="42"/>
      <c r="H53" s="42"/>
      <c r="I53" s="42"/>
    </row>
    <row r="54" spans="1:9" ht="12.75" customHeight="1">
      <c r="B54" s="42" t="s">
        <v>691</v>
      </c>
      <c r="C54" s="42"/>
      <c r="D54" s="42"/>
      <c r="E54" s="42"/>
      <c r="F54" s="42"/>
      <c r="G54" s="42"/>
      <c r="H54" s="42"/>
      <c r="I54" s="42"/>
    </row>
    <row r="55" spans="1:9" ht="12.75" customHeight="1">
      <c r="B55" s="42" t="s">
        <v>692</v>
      </c>
      <c r="C55" s="42"/>
      <c r="D55" s="42"/>
      <c r="E55" s="42"/>
      <c r="F55" s="42"/>
      <c r="G55" s="42"/>
      <c r="H55" s="42"/>
      <c r="I55" s="42"/>
    </row>
    <row r="56" spans="1:9" ht="12.75" customHeight="1">
      <c r="B56" s="42" t="s">
        <v>693</v>
      </c>
      <c r="C56" s="42"/>
      <c r="D56" s="42"/>
      <c r="E56" s="42"/>
      <c r="F56" s="42"/>
      <c r="G56" s="42"/>
      <c r="H56" s="42"/>
      <c r="I56" s="42"/>
    </row>
    <row r="57" spans="1:9" ht="12.75" customHeight="1"/>
    <row r="58" spans="1:9" ht="12.75" customHeight="1">
      <c r="B58" s="34" t="s">
        <v>272</v>
      </c>
      <c r="C58" s="34" t="s">
        <v>672</v>
      </c>
      <c r="F58" s="44"/>
      <c r="G58" s="44"/>
      <c r="H58" s="44"/>
    </row>
    <row r="59" spans="1:9" ht="12.75" customHeight="1">
      <c r="C59" s="34" t="s">
        <v>673</v>
      </c>
      <c r="F59" s="44"/>
      <c r="G59" s="44"/>
      <c r="H59" s="44"/>
    </row>
    <row r="60" spans="1:9" ht="12.75" customHeight="1">
      <c r="C60" s="34" t="s">
        <v>674</v>
      </c>
      <c r="F60" s="44"/>
      <c r="G60" s="44"/>
      <c r="H60" s="44"/>
    </row>
    <row r="61" spans="1:9" ht="12.75" customHeight="1"/>
    <row r="62" spans="1:9" ht="12.75" customHeight="1"/>
    <row r="63" spans="1:9" ht="12.75" customHeight="1">
      <c r="A63" s="286" t="s">
        <v>13</v>
      </c>
      <c r="B63" s="286"/>
      <c r="C63" s="286"/>
      <c r="D63" s="286"/>
      <c r="E63" s="286"/>
      <c r="F63" s="286"/>
      <c r="G63" s="286"/>
      <c r="H63" s="286"/>
      <c r="I63" s="43" t="s">
        <v>12</v>
      </c>
    </row>
    <row r="64" spans="1:9" ht="12.75" customHeight="1">
      <c r="A64" s="286" t="s">
        <v>214</v>
      </c>
      <c r="B64" s="286"/>
      <c r="C64" s="286"/>
      <c r="D64" s="286"/>
      <c r="E64" s="286"/>
      <c r="F64" s="286"/>
      <c r="G64" s="286"/>
      <c r="H64" s="286"/>
      <c r="I64" s="43" t="s">
        <v>640</v>
      </c>
    </row>
    <row r="65" spans="1:9" ht="12.75" customHeight="1">
      <c r="A65" s="287" t="s">
        <v>664</v>
      </c>
      <c r="B65" s="287"/>
      <c r="C65" s="287"/>
      <c r="D65" s="287"/>
      <c r="E65" s="287"/>
      <c r="F65" s="287"/>
      <c r="G65" s="287"/>
      <c r="H65" s="287"/>
    </row>
    <row r="66" spans="1:9" ht="12.75" customHeight="1"/>
    <row r="67" spans="1:9" ht="12.75" customHeight="1"/>
    <row r="68" spans="1:9" ht="12.75" customHeight="1">
      <c r="A68" s="35" t="s">
        <v>229</v>
      </c>
      <c r="B68" s="34" t="s">
        <v>694</v>
      </c>
    </row>
    <row r="69" spans="1:9" ht="12.75" customHeight="1">
      <c r="B69" s="34" t="s">
        <v>695</v>
      </c>
    </row>
    <row r="70" spans="1:9" ht="12.75" customHeight="1">
      <c r="B70" s="34" t="s">
        <v>696</v>
      </c>
    </row>
    <row r="71" spans="1:9" ht="12.75" customHeight="1"/>
    <row r="72" spans="1:9" ht="12.75" customHeight="1">
      <c r="C72" s="42" t="s">
        <v>230</v>
      </c>
    </row>
    <row r="73" spans="1:9" ht="12.75" customHeight="1"/>
    <row r="74" spans="1:9" ht="12.75" customHeight="1">
      <c r="A74" s="35" t="s">
        <v>231</v>
      </c>
      <c r="B74" s="34" t="s">
        <v>698</v>
      </c>
    </row>
    <row r="75" spans="1:9" ht="12.75" customHeight="1">
      <c r="B75" s="34" t="s">
        <v>697</v>
      </c>
    </row>
    <row r="76" spans="1:9" ht="12.75" customHeight="1"/>
    <row r="77" spans="1:9" ht="46.5" customHeight="1">
      <c r="C77" s="41" t="s">
        <v>232</v>
      </c>
      <c r="D77" s="41" t="s">
        <v>246</v>
      </c>
      <c r="E77" s="41" t="s">
        <v>245</v>
      </c>
      <c r="F77" s="41" t="s">
        <v>247</v>
      </c>
      <c r="G77" s="41"/>
      <c r="H77" s="41"/>
      <c r="I77" s="41"/>
    </row>
    <row r="78" spans="1:9" ht="12.75" customHeight="1">
      <c r="C78" s="40"/>
      <c r="D78" s="26"/>
      <c r="E78" s="23"/>
      <c r="F78" s="27"/>
      <c r="G78" s="27"/>
      <c r="H78" s="27"/>
    </row>
    <row r="79" spans="1:9" ht="12.75" customHeight="1">
      <c r="C79" s="39">
        <v>2013</v>
      </c>
      <c r="D79" s="38">
        <v>20034000</v>
      </c>
      <c r="E79" s="37">
        <v>1009000</v>
      </c>
      <c r="F79" s="36">
        <v>19.86</v>
      </c>
      <c r="G79" s="27"/>
      <c r="H79" s="27"/>
    </row>
    <row r="80" spans="1:9" ht="12.75" customHeight="1">
      <c r="C80" s="39">
        <v>2012</v>
      </c>
      <c r="D80" s="38">
        <v>33997000</v>
      </c>
      <c r="E80" s="37">
        <v>1009000</v>
      </c>
      <c r="F80" s="36">
        <v>33.69</v>
      </c>
      <c r="G80" s="27"/>
      <c r="H80" s="27"/>
    </row>
    <row r="81" spans="1:8" ht="12.75" customHeight="1">
      <c r="C81" s="39">
        <v>2011</v>
      </c>
      <c r="D81" s="38">
        <v>39602000</v>
      </c>
      <c r="E81" s="37">
        <v>1009000</v>
      </c>
      <c r="F81" s="36">
        <v>39.25</v>
      </c>
      <c r="G81" s="27"/>
      <c r="H81" s="27"/>
    </row>
    <row r="82" spans="1:8" ht="12.75" customHeight="1">
      <c r="C82" s="39">
        <v>2010</v>
      </c>
      <c r="D82" s="38">
        <v>21000000</v>
      </c>
      <c r="E82" s="37">
        <v>1009000</v>
      </c>
      <c r="F82" s="36">
        <v>20.81</v>
      </c>
      <c r="G82" s="27"/>
      <c r="H82" s="27"/>
    </row>
    <row r="83" spans="1:8" ht="12.75" customHeight="1">
      <c r="C83" s="39">
        <v>2009</v>
      </c>
      <c r="D83" s="38">
        <v>19500000</v>
      </c>
      <c r="E83" s="37">
        <v>1009000</v>
      </c>
      <c r="F83" s="36">
        <v>19.329999999999998</v>
      </c>
      <c r="G83" s="27"/>
      <c r="H83" s="27"/>
    </row>
    <row r="84" spans="1:8" ht="12.75" customHeight="1"/>
    <row r="85" spans="1:8" ht="12.75" customHeight="1">
      <c r="B85" s="201" t="s">
        <v>272</v>
      </c>
      <c r="C85" s="201" t="s">
        <v>675</v>
      </c>
    </row>
    <row r="86" spans="1:8" ht="12.75" customHeight="1">
      <c r="C86" s="201" t="s">
        <v>676</v>
      </c>
    </row>
    <row r="87" spans="1:8" ht="12.75" customHeight="1">
      <c r="C87" s="201" t="s">
        <v>677</v>
      </c>
    </row>
    <row r="88" spans="1:8" ht="12.75" customHeight="1">
      <c r="C88" s="201" t="s">
        <v>679</v>
      </c>
    </row>
    <row r="89" spans="1:8">
      <c r="C89" s="201" t="s">
        <v>678</v>
      </c>
    </row>
    <row r="91" spans="1:8">
      <c r="A91" s="35" t="s">
        <v>233</v>
      </c>
      <c r="B91" s="34" t="s">
        <v>241</v>
      </c>
    </row>
    <row r="99" spans="3:9">
      <c r="D99" s="201"/>
      <c r="E99" s="201"/>
      <c r="F99" s="201"/>
      <c r="G99" s="201"/>
      <c r="H99" s="201"/>
      <c r="I99" s="201"/>
    </row>
    <row r="100" spans="3:9">
      <c r="C100" s="201"/>
      <c r="D100" s="201"/>
      <c r="E100" s="201"/>
      <c r="F100" s="201"/>
      <c r="G100" s="201"/>
      <c r="H100" s="201"/>
      <c r="I100" s="201"/>
    </row>
    <row r="101" spans="3:9">
      <c r="C101" s="201"/>
      <c r="D101" s="201"/>
      <c r="E101" s="201"/>
      <c r="F101" s="201"/>
      <c r="G101" s="201"/>
      <c r="H101" s="201"/>
      <c r="I101" s="201"/>
    </row>
    <row r="102" spans="3:9">
      <c r="C102" s="201"/>
      <c r="D102" s="201"/>
      <c r="E102" s="201"/>
      <c r="F102" s="201"/>
      <c r="G102" s="201"/>
      <c r="H102" s="201"/>
      <c r="I102" s="201"/>
    </row>
    <row r="103" spans="3:9">
      <c r="C103" s="201"/>
      <c r="D103" s="201"/>
      <c r="E103" s="201"/>
      <c r="F103" s="201"/>
      <c r="G103" s="201"/>
      <c r="H103" s="201"/>
      <c r="I103" s="201"/>
    </row>
  </sheetData>
  <mergeCells count="7">
    <mergeCell ref="A63:H63"/>
    <mergeCell ref="A64:H64"/>
    <mergeCell ref="A65:H65"/>
    <mergeCell ref="A1:H1"/>
    <mergeCell ref="A2:H2"/>
    <mergeCell ref="A3:H3"/>
    <mergeCell ref="A4:H4"/>
  </mergeCells>
  <printOptions horizontalCentered="1"/>
  <pageMargins left="1" right="0" top="0.5" bottom="0" header="0" footer="0"/>
  <pageSetup scale="84" orientation="portrait" verticalDpi="300" r:id="rId1"/>
  <headerFooter alignWithMargins="0"/>
  <rowBreaks count="1" manualBreakCount="1">
    <brk id="61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N51"/>
  <sheetViews>
    <sheetView zoomScale="85" zoomScaleNormal="85" workbookViewId="0">
      <pane xSplit="1" ySplit="4" topLeftCell="B5" activePane="bottomRight" state="frozen"/>
      <selection activeCell="H6" sqref="H6"/>
      <selection pane="topRight" activeCell="H6" sqref="H6"/>
      <selection pane="bottomLeft" activeCell="H6" sqref="H6"/>
      <selection pane="bottomRight" activeCell="B5" sqref="B5"/>
    </sheetView>
  </sheetViews>
  <sheetFormatPr defaultRowHeight="12.75"/>
  <cols>
    <col min="1" max="1" width="25.28515625" style="63" bestFit="1" customWidth="1"/>
    <col min="2" max="3" width="13.140625" style="63" bestFit="1" customWidth="1"/>
    <col min="4" max="7" width="12.28515625" style="63" bestFit="1" customWidth="1"/>
    <col min="8" max="8" width="12.5703125" style="63" bestFit="1" customWidth="1"/>
    <col min="9" max="11" width="12.28515625" style="63" bestFit="1" customWidth="1"/>
    <col min="12" max="14" width="13.85546875" style="63" bestFit="1" customWidth="1"/>
    <col min="15" max="16384" width="9.140625" style="63"/>
  </cols>
  <sheetData>
    <row r="3" spans="1:14" ht="15">
      <c r="A3" s="293" t="s">
        <v>13</v>
      </c>
      <c r="B3" s="293"/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  <c r="N3" s="293"/>
    </row>
    <row r="4" spans="1:14">
      <c r="A4" s="291" t="s">
        <v>703</v>
      </c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</row>
    <row r="6" spans="1:14">
      <c r="B6" s="215">
        <v>41518</v>
      </c>
      <c r="C6" s="215">
        <v>41548</v>
      </c>
      <c r="D6" s="215">
        <v>41579</v>
      </c>
      <c r="E6" s="215">
        <v>41609</v>
      </c>
      <c r="F6" s="215">
        <v>41640</v>
      </c>
      <c r="G6" s="215">
        <v>41671</v>
      </c>
      <c r="H6" s="215">
        <v>41699</v>
      </c>
      <c r="I6" s="215">
        <v>41730</v>
      </c>
      <c r="J6" s="215">
        <v>41760</v>
      </c>
      <c r="K6" s="215">
        <v>41791</v>
      </c>
      <c r="L6" s="215">
        <v>41821</v>
      </c>
      <c r="M6" s="215">
        <v>41852</v>
      </c>
      <c r="N6" s="215">
        <v>41883</v>
      </c>
    </row>
    <row r="7" spans="1:14" ht="25.5">
      <c r="A7" s="85" t="s">
        <v>344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</row>
    <row r="8" spans="1:14">
      <c r="A8" s="63" t="s">
        <v>321</v>
      </c>
      <c r="B8" s="199">
        <f>283026764.58-3487556.97</f>
        <v>279539207.60999995</v>
      </c>
      <c r="C8" s="199">
        <f>284536264.69-3531601.01</f>
        <v>281004663.68000001</v>
      </c>
      <c r="D8" s="199">
        <f>286197065.69-3575751.67</f>
        <v>282621314.01999998</v>
      </c>
      <c r="E8" s="199">
        <f>287455029.82-3620015.26</f>
        <v>283835014.56</v>
      </c>
      <c r="F8" s="199">
        <f>596752108.43-1636873.92-3664305.64</f>
        <v>591450928.87</v>
      </c>
      <c r="G8" s="199">
        <f>601450866.43-1787339.36-3708366.13</f>
        <v>595955160.93999994</v>
      </c>
      <c r="H8" s="199">
        <f>606039663.83-1937804.84-3752055.22</f>
        <v>600349803.76999998</v>
      </c>
      <c r="I8" s="199">
        <f>610056101.06-2088270.35-3795450.31</f>
        <v>604172380.39999998</v>
      </c>
      <c r="J8" s="199">
        <f>614124813.08-1767750.77-3838772.78</f>
        <v>608518289.53000009</v>
      </c>
      <c r="K8" s="199">
        <f>617431941.09-1824257.85-3882156.63</f>
        <v>611725526.61000001</v>
      </c>
      <c r="L8" s="199">
        <f>622352304.61-2107242.62-3925559.5</f>
        <v>616319502.49000001</v>
      </c>
      <c r="M8" s="199">
        <f>626808214.79-2390227.19-3969086.58</f>
        <v>620448901.01999986</v>
      </c>
      <c r="N8" s="199">
        <f>631769235.78-2673211.81-4012737.43</f>
        <v>625083286.54000008</v>
      </c>
    </row>
    <row r="9" spans="1:14">
      <c r="A9" s="63" t="s">
        <v>343</v>
      </c>
      <c r="B9" s="199">
        <v>163179518.77000001</v>
      </c>
      <c r="C9" s="199">
        <v>163890329.46000001</v>
      </c>
      <c r="D9" s="199">
        <v>164508427.74000001</v>
      </c>
      <c r="E9" s="199">
        <v>161949987.31</v>
      </c>
      <c r="F9" s="199">
        <v>167499720.78</v>
      </c>
      <c r="G9" s="199">
        <v>168223942.93000001</v>
      </c>
      <c r="H9" s="199">
        <v>168944251.91</v>
      </c>
      <c r="I9" s="199">
        <v>169635211.84</v>
      </c>
      <c r="J9" s="199">
        <v>170279629.81</v>
      </c>
      <c r="K9" s="199">
        <v>170965833.86000001</v>
      </c>
      <c r="L9" s="199">
        <v>171620086.38999999</v>
      </c>
      <c r="M9" s="199">
        <v>172079278.28999999</v>
      </c>
      <c r="N9" s="199">
        <v>172761832.44999999</v>
      </c>
    </row>
    <row r="10" spans="1:14">
      <c r="A10" s="63" t="s">
        <v>342</v>
      </c>
      <c r="B10" s="199">
        <v>181282922.66999999</v>
      </c>
      <c r="C10" s="199">
        <v>182356927.59999999</v>
      </c>
      <c r="D10" s="199">
        <v>183750344.24000001</v>
      </c>
      <c r="E10" s="199">
        <v>184771861.31999999</v>
      </c>
      <c r="F10" s="199">
        <v>185928758.09999999</v>
      </c>
      <c r="G10" s="199">
        <v>187425686.28</v>
      </c>
      <c r="H10" s="199">
        <v>188738609.80000001</v>
      </c>
      <c r="I10" s="199">
        <v>189991592.15000001</v>
      </c>
      <c r="J10" s="199">
        <v>191469017.97999999</v>
      </c>
      <c r="K10" s="199">
        <v>192616272.28999999</v>
      </c>
      <c r="L10" s="199">
        <v>193720862.87</v>
      </c>
      <c r="M10" s="199">
        <v>195116962.30000001</v>
      </c>
      <c r="N10" s="199">
        <v>196289628.25</v>
      </c>
    </row>
    <row r="11" spans="1:14">
      <c r="A11" s="63" t="s">
        <v>4</v>
      </c>
      <c r="B11" s="199">
        <f>8553541.14-24423.05</f>
        <v>8529118.0899999999</v>
      </c>
      <c r="C11" s="199">
        <f>8241725.37-25180.27</f>
        <v>8216545.1000000006</v>
      </c>
      <c r="D11" s="199">
        <f>8312923.25-25938.86</f>
        <v>8286984.3899999997</v>
      </c>
      <c r="E11" s="199">
        <f>8379981.06-26698.85</f>
        <v>8353282.21</v>
      </c>
      <c r="F11" s="199">
        <f>8299867.48-27460.23</f>
        <v>8272407.25</v>
      </c>
      <c r="G11" s="199">
        <f>8372016.89-28223.01</f>
        <v>8343793.8799999999</v>
      </c>
      <c r="H11" s="199">
        <f>8444466.47-28987.2</f>
        <v>8415479.2700000014</v>
      </c>
      <c r="I11" s="199">
        <f>8506776.14-29752.8</f>
        <v>8477023.3399999999</v>
      </c>
      <c r="J11" s="199">
        <f>8579104.92-30519.83</f>
        <v>8548585.0899999999</v>
      </c>
      <c r="K11" s="199">
        <f>8557073.98-31288.27</f>
        <v>8525785.7100000009</v>
      </c>
      <c r="L11" s="199">
        <f>8623174.53-32058.14</f>
        <v>8591116.3899999987</v>
      </c>
      <c r="M11" s="199">
        <f>8696638.66-32829.46</f>
        <v>8663809.1999999993</v>
      </c>
      <c r="N11" s="199">
        <f>8754419.69-33602.22</f>
        <v>8720817.4699999988</v>
      </c>
    </row>
    <row r="12" spans="1:14"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ht="38.25">
      <c r="A13" s="85" t="s">
        <v>341</v>
      </c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</row>
    <row r="14" spans="1:14">
      <c r="A14" s="63" t="s">
        <v>321</v>
      </c>
      <c r="B14" s="199">
        <v>1078617.8600000001</v>
      </c>
      <c r="C14" s="199">
        <v>1094419.6399999999</v>
      </c>
      <c r="D14" s="199">
        <v>1110221.42</v>
      </c>
      <c r="E14" s="199">
        <v>1126023.2</v>
      </c>
      <c r="F14" s="199">
        <v>1636873.92</v>
      </c>
      <c r="G14" s="199">
        <v>1787339.36</v>
      </c>
      <c r="H14" s="199">
        <v>1937804.84</v>
      </c>
      <c r="I14" s="199">
        <v>2088270.35</v>
      </c>
      <c r="J14" s="199">
        <v>1767750.77</v>
      </c>
      <c r="K14" s="199">
        <v>1824257.85</v>
      </c>
      <c r="L14" s="199">
        <v>2107242.62</v>
      </c>
      <c r="M14" s="199">
        <v>2390227.19</v>
      </c>
      <c r="N14" s="199">
        <v>2673211.81</v>
      </c>
    </row>
    <row r="15" spans="1:14">
      <c r="A15" s="63" t="s">
        <v>4</v>
      </c>
      <c r="B15" s="199">
        <v>15343.41</v>
      </c>
      <c r="C15" s="199">
        <v>15812.77</v>
      </c>
      <c r="D15" s="199">
        <v>16282.13</v>
      </c>
      <c r="E15" s="199">
        <v>16751.490000000002</v>
      </c>
      <c r="F15" s="199">
        <v>17220.849999999999</v>
      </c>
      <c r="G15" s="199">
        <v>17690.21</v>
      </c>
      <c r="H15" s="199">
        <v>18159.57</v>
      </c>
      <c r="I15" s="199">
        <v>18628.93</v>
      </c>
      <c r="J15" s="199">
        <v>19098.29</v>
      </c>
      <c r="K15" s="199">
        <v>19567.650000000001</v>
      </c>
      <c r="L15" s="199">
        <v>20037.009999999998</v>
      </c>
      <c r="M15" s="199">
        <v>20506.37</v>
      </c>
      <c r="N15" s="199">
        <v>20975.73</v>
      </c>
    </row>
    <row r="16" spans="1:14"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>
      <c r="A17" s="63" t="s">
        <v>340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>
      <c r="A18" s="63" t="s">
        <v>339</v>
      </c>
      <c r="B18" s="216">
        <v>6637424.8499999996</v>
      </c>
      <c r="C18" s="216">
        <v>7895718.8099999996</v>
      </c>
      <c r="D18" s="199">
        <v>8319060.7599999998</v>
      </c>
      <c r="E18" s="199">
        <v>8320252.5199999996</v>
      </c>
      <c r="F18" s="199">
        <v>8146518.21</v>
      </c>
      <c r="G18" s="199">
        <v>8568882.3200000003</v>
      </c>
      <c r="H18" s="199">
        <v>8853035.8699999992</v>
      </c>
      <c r="I18" s="199">
        <v>9015053.9600000009</v>
      </c>
      <c r="J18" s="199">
        <v>9862801.6699999999</v>
      </c>
      <c r="K18" s="199">
        <v>8808045.8300000001</v>
      </c>
      <c r="L18" s="199">
        <v>9018333.6799999997</v>
      </c>
      <c r="M18" s="199">
        <v>9084830.5199999996</v>
      </c>
      <c r="N18" s="199">
        <v>9135302.0099999998</v>
      </c>
    </row>
    <row r="19" spans="1:14"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</row>
    <row r="20" spans="1:14" ht="25.5">
      <c r="A20" s="82" t="s">
        <v>338</v>
      </c>
      <c r="B20" s="83">
        <f t="shared" ref="B20:N20" si="0">SUM(B8:B15)-B18</f>
        <v>626987303.55999994</v>
      </c>
      <c r="C20" s="83">
        <f t="shared" si="0"/>
        <v>628682979.44000006</v>
      </c>
      <c r="D20" s="83">
        <f t="shared" si="0"/>
        <v>631974513.17999995</v>
      </c>
      <c r="E20" s="83">
        <f t="shared" si="0"/>
        <v>631732667.57000017</v>
      </c>
      <c r="F20" s="83">
        <f t="shared" si="0"/>
        <v>946659391.55999994</v>
      </c>
      <c r="G20" s="83">
        <f t="shared" si="0"/>
        <v>953184731.27999985</v>
      </c>
      <c r="H20" s="83">
        <f t="shared" si="0"/>
        <v>959551073.29000008</v>
      </c>
      <c r="I20" s="83">
        <f t="shared" si="0"/>
        <v>965368053.04999995</v>
      </c>
      <c r="J20" s="83">
        <f t="shared" si="0"/>
        <v>970739569.80000019</v>
      </c>
      <c r="K20" s="83">
        <f t="shared" si="0"/>
        <v>976869198.13999999</v>
      </c>
      <c r="L20" s="83">
        <f t="shared" si="0"/>
        <v>983360514.09000003</v>
      </c>
      <c r="M20" s="83">
        <f t="shared" si="0"/>
        <v>989634853.85000002</v>
      </c>
      <c r="N20" s="83">
        <f t="shared" si="0"/>
        <v>996414450.24000001</v>
      </c>
    </row>
    <row r="21" spans="1:14">
      <c r="B21" s="69"/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69"/>
      <c r="N21" s="69"/>
    </row>
    <row r="22" spans="1:14">
      <c r="B22" s="69"/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69"/>
      <c r="N22" s="69"/>
    </row>
    <row r="23" spans="1:14" ht="38.25">
      <c r="A23" s="85" t="s">
        <v>337</v>
      </c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</row>
    <row r="24" spans="1:14">
      <c r="A24" s="63" t="s">
        <v>662</v>
      </c>
      <c r="B24" s="199">
        <v>51492.619999999995</v>
      </c>
      <c r="C24" s="199">
        <v>51532.65</v>
      </c>
      <c r="D24" s="199">
        <v>51572.69000000001</v>
      </c>
      <c r="E24" s="199">
        <v>51612.72</v>
      </c>
      <c r="F24" s="199">
        <v>51652.75</v>
      </c>
      <c r="G24" s="199">
        <v>51692.799999999996</v>
      </c>
      <c r="H24" s="199">
        <v>51732.829999999994</v>
      </c>
      <c r="I24" s="199">
        <v>51772.87000000001</v>
      </c>
      <c r="J24" s="199">
        <v>51812.920000000006</v>
      </c>
      <c r="K24" s="199">
        <v>51852.95</v>
      </c>
      <c r="L24" s="199">
        <v>51893</v>
      </c>
      <c r="M24" s="199">
        <v>51933.03</v>
      </c>
      <c r="N24" s="199">
        <v>51973.070000000007</v>
      </c>
    </row>
    <row r="25" spans="1:14">
      <c r="A25" s="63" t="s">
        <v>234</v>
      </c>
      <c r="B25" s="199">
        <v>16982450.050000001</v>
      </c>
      <c r="C25" s="199">
        <v>17237930.210000001</v>
      </c>
      <c r="D25" s="199">
        <v>12165221.85</v>
      </c>
      <c r="E25" s="199">
        <v>12394942.199999999</v>
      </c>
      <c r="F25" s="199">
        <f>12715726.71-84795.27</f>
        <v>12630931.440000001</v>
      </c>
      <c r="G25" s="199">
        <v>12959405.48</v>
      </c>
      <c r="H25" s="199">
        <v>13206939.270000001</v>
      </c>
      <c r="I25" s="199">
        <v>13457553.73</v>
      </c>
      <c r="J25" s="199">
        <v>13712743.229999999</v>
      </c>
      <c r="K25" s="199">
        <v>13970975.1</v>
      </c>
      <c r="L25" s="199">
        <v>14231306.560000001</v>
      </c>
      <c r="M25" s="199">
        <v>14495863.029999999</v>
      </c>
      <c r="N25" s="199">
        <v>14768357.469999997</v>
      </c>
    </row>
    <row r="26" spans="1:14">
      <c r="A26" s="63" t="s">
        <v>235</v>
      </c>
      <c r="B26" s="199">
        <v>5645024.5700000003</v>
      </c>
      <c r="C26" s="199">
        <v>5677449.71</v>
      </c>
      <c r="D26" s="199">
        <v>5709874.8599999994</v>
      </c>
      <c r="E26" s="199">
        <v>5742300</v>
      </c>
      <c r="F26" s="199">
        <v>5774725.1399999997</v>
      </c>
      <c r="G26" s="199">
        <v>5807150.29</v>
      </c>
      <c r="H26" s="199">
        <v>5839575.4399999995</v>
      </c>
      <c r="I26" s="199">
        <v>5872000.5899999999</v>
      </c>
      <c r="J26" s="199">
        <v>5904425.7299999995</v>
      </c>
      <c r="K26" s="199">
        <v>5936850.8799999999</v>
      </c>
      <c r="L26" s="199">
        <v>5969276.0200000005</v>
      </c>
      <c r="M26" s="199">
        <v>6001701.1699999999</v>
      </c>
      <c r="N26" s="199">
        <v>6034126.3199999994</v>
      </c>
    </row>
    <row r="27" spans="1:14">
      <c r="A27" s="63" t="s">
        <v>236</v>
      </c>
      <c r="B27" s="199">
        <v>1011317.17</v>
      </c>
      <c r="C27" s="199">
        <v>1018630.98</v>
      </c>
      <c r="D27" s="199">
        <v>1023559.57</v>
      </c>
      <c r="E27" s="199">
        <v>1030873.38</v>
      </c>
      <c r="F27" s="199">
        <v>1038187.19</v>
      </c>
      <c r="G27" s="199">
        <v>1045501</v>
      </c>
      <c r="H27" s="199">
        <v>1052814.81</v>
      </c>
      <c r="I27" s="199">
        <v>1060128.6200000001</v>
      </c>
      <c r="J27" s="199">
        <v>1067442.43</v>
      </c>
      <c r="K27" s="199">
        <v>1074756.24</v>
      </c>
      <c r="L27" s="199">
        <v>1082070.05</v>
      </c>
      <c r="M27" s="199">
        <v>1089383.8600000001</v>
      </c>
      <c r="N27" s="199">
        <v>1096697.67</v>
      </c>
    </row>
    <row r="28" spans="1:14"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>
      <c r="A29" s="63" t="s">
        <v>336</v>
      </c>
      <c r="B29" s="69">
        <f t="shared" ref="B29:N29" si="1">SUM(B24:B28)</f>
        <v>23690284.410000004</v>
      </c>
      <c r="C29" s="69">
        <f t="shared" si="1"/>
        <v>23985543.550000001</v>
      </c>
      <c r="D29" s="69">
        <f t="shared" si="1"/>
        <v>18950228.969999999</v>
      </c>
      <c r="E29" s="69">
        <f t="shared" si="1"/>
        <v>19219728.300000001</v>
      </c>
      <c r="F29" s="69">
        <f t="shared" si="1"/>
        <v>19495496.520000003</v>
      </c>
      <c r="G29" s="69">
        <f t="shared" si="1"/>
        <v>19863749.57</v>
      </c>
      <c r="H29" s="69">
        <f t="shared" si="1"/>
        <v>20151062.349999998</v>
      </c>
      <c r="I29" s="69">
        <f t="shared" si="1"/>
        <v>20441455.809999999</v>
      </c>
      <c r="J29" s="69">
        <f t="shared" si="1"/>
        <v>20736424.309999999</v>
      </c>
      <c r="K29" s="69">
        <f t="shared" si="1"/>
        <v>21034435.169999998</v>
      </c>
      <c r="L29" s="69">
        <f t="shared" si="1"/>
        <v>21334545.630000003</v>
      </c>
      <c r="M29" s="69">
        <f t="shared" si="1"/>
        <v>21638881.089999996</v>
      </c>
      <c r="N29" s="69">
        <f t="shared" si="1"/>
        <v>21951154.529999994</v>
      </c>
    </row>
    <row r="30" spans="1:14"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</row>
    <row r="31" spans="1:14">
      <c r="A31" s="63" t="s">
        <v>237</v>
      </c>
      <c r="B31" s="199">
        <v>2652874.36</v>
      </c>
      <c r="C31" s="199">
        <v>2748951.7</v>
      </c>
      <c r="D31" s="199">
        <v>2840940.18</v>
      </c>
      <c r="E31" s="199">
        <v>1869467.09</v>
      </c>
      <c r="F31" s="199">
        <v>1588645.27</v>
      </c>
      <c r="G31" s="199">
        <v>1659170.89</v>
      </c>
      <c r="H31" s="199">
        <v>1742963.8</v>
      </c>
      <c r="I31" s="199">
        <v>1830181.74</v>
      </c>
      <c r="J31" s="199">
        <v>1927172.98</v>
      </c>
      <c r="K31" s="199">
        <v>2026099.73</v>
      </c>
      <c r="L31" s="199">
        <v>1983651.28</v>
      </c>
      <c r="M31" s="199">
        <v>2081093</v>
      </c>
      <c r="N31" s="199">
        <v>2145480.06</v>
      </c>
    </row>
    <row r="32" spans="1:14"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</row>
    <row r="33" spans="1:14" ht="38.25">
      <c r="A33" s="82" t="s">
        <v>335</v>
      </c>
      <c r="B33" s="83">
        <f t="shared" ref="B33:N33" si="2">SUM(B29:B31)</f>
        <v>26343158.770000003</v>
      </c>
      <c r="C33" s="83">
        <f t="shared" si="2"/>
        <v>26734495.25</v>
      </c>
      <c r="D33" s="83">
        <f t="shared" si="2"/>
        <v>21791169.149999999</v>
      </c>
      <c r="E33" s="83">
        <f t="shared" si="2"/>
        <v>21089195.390000001</v>
      </c>
      <c r="F33" s="83">
        <f t="shared" si="2"/>
        <v>21084141.790000003</v>
      </c>
      <c r="G33" s="83">
        <f t="shared" si="2"/>
        <v>21522920.460000001</v>
      </c>
      <c r="H33" s="83">
        <f t="shared" si="2"/>
        <v>21894026.149999999</v>
      </c>
      <c r="I33" s="83">
        <f t="shared" si="2"/>
        <v>22271637.549999997</v>
      </c>
      <c r="J33" s="83">
        <f t="shared" si="2"/>
        <v>22663597.289999999</v>
      </c>
      <c r="K33" s="83">
        <f t="shared" si="2"/>
        <v>23060534.899999999</v>
      </c>
      <c r="L33" s="83">
        <f t="shared" si="2"/>
        <v>23318196.910000004</v>
      </c>
      <c r="M33" s="83">
        <f t="shared" si="2"/>
        <v>23719974.089999996</v>
      </c>
      <c r="N33" s="83">
        <f t="shared" si="2"/>
        <v>24096634.589999992</v>
      </c>
    </row>
    <row r="34" spans="1:14">
      <c r="B34" s="69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</row>
    <row r="35" spans="1:14" ht="39" thickBot="1">
      <c r="A35" s="82" t="s">
        <v>334</v>
      </c>
      <c r="B35" s="81">
        <f t="shared" ref="B35:N35" si="3">+B20+B33</f>
        <v>653330462.32999992</v>
      </c>
      <c r="C35" s="81">
        <f t="shared" si="3"/>
        <v>655417474.69000006</v>
      </c>
      <c r="D35" s="81">
        <f t="shared" si="3"/>
        <v>653765682.32999992</v>
      </c>
      <c r="E35" s="81">
        <f t="shared" si="3"/>
        <v>652821862.96000016</v>
      </c>
      <c r="F35" s="81">
        <f t="shared" si="3"/>
        <v>967743533.3499999</v>
      </c>
      <c r="G35" s="81">
        <f t="shared" si="3"/>
        <v>974707651.73999989</v>
      </c>
      <c r="H35" s="81">
        <f t="shared" si="3"/>
        <v>981445099.44000006</v>
      </c>
      <c r="I35" s="81">
        <f t="shared" si="3"/>
        <v>987639690.5999999</v>
      </c>
      <c r="J35" s="81">
        <f t="shared" si="3"/>
        <v>993403167.09000015</v>
      </c>
      <c r="K35" s="81">
        <f t="shared" si="3"/>
        <v>999929733.03999996</v>
      </c>
      <c r="L35" s="81">
        <f t="shared" si="3"/>
        <v>1006678711</v>
      </c>
      <c r="M35" s="81">
        <f t="shared" si="3"/>
        <v>1013354827.9400001</v>
      </c>
      <c r="N35" s="81">
        <f t="shared" si="3"/>
        <v>1020511084.83</v>
      </c>
    </row>
    <row r="36" spans="1:14" ht="13.5" thickTop="1">
      <c r="B36" s="69"/>
      <c r="C36" s="69"/>
      <c r="D36" s="69"/>
      <c r="E36" s="69"/>
      <c r="F36" s="69"/>
      <c r="G36" s="69"/>
      <c r="H36" s="69"/>
      <c r="I36" s="69"/>
      <c r="J36" s="69"/>
      <c r="K36" s="69"/>
      <c r="L36" s="69"/>
      <c r="M36" s="69"/>
      <c r="N36" s="69"/>
    </row>
    <row r="37" spans="1:14"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</row>
    <row r="38" spans="1:14">
      <c r="A38" s="80" t="s">
        <v>333</v>
      </c>
      <c r="B38" s="69" t="s">
        <v>332</v>
      </c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</row>
    <row r="39" spans="1:14">
      <c r="A39" s="136"/>
      <c r="B39" s="69"/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</row>
    <row r="40" spans="1:14">
      <c r="A40" s="136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</row>
    <row r="41" spans="1:14">
      <c r="A41" s="136"/>
      <c r="B41" s="69"/>
      <c r="C41" s="69"/>
      <c r="D41" s="69"/>
      <c r="E41" s="69"/>
      <c r="F41" s="69"/>
      <c r="G41" s="69"/>
      <c r="H41" s="69"/>
      <c r="I41" s="69"/>
      <c r="J41" s="69"/>
      <c r="K41" s="69"/>
      <c r="L41" s="69"/>
      <c r="M41" s="69"/>
      <c r="N41" s="69"/>
    </row>
    <row r="42" spans="1:14">
      <c r="A42" s="136"/>
      <c r="B42" s="69"/>
      <c r="C42" s="69"/>
      <c r="D42" s="69"/>
      <c r="E42" s="69"/>
      <c r="F42" s="69"/>
      <c r="G42" s="69"/>
      <c r="H42" s="69"/>
      <c r="I42" s="69"/>
      <c r="J42" s="69"/>
      <c r="K42" s="69"/>
      <c r="L42" s="69"/>
      <c r="M42" s="69"/>
      <c r="N42" s="69"/>
    </row>
    <row r="43" spans="1:14">
      <c r="B43" s="69"/>
      <c r="C43" s="69"/>
      <c r="D43" s="69"/>
      <c r="E43" s="69"/>
      <c r="F43" s="69"/>
      <c r="G43" s="69"/>
      <c r="H43" s="69"/>
      <c r="I43" s="69"/>
      <c r="J43" s="69"/>
      <c r="K43" s="69"/>
      <c r="L43" s="69"/>
      <c r="M43" s="69"/>
      <c r="N43" s="69"/>
    </row>
    <row r="44" spans="1:14"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</row>
    <row r="45" spans="1:14" ht="99.75" customHeight="1"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175" t="s">
        <v>649</v>
      </c>
    </row>
    <row r="46" spans="1:14"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</row>
    <row r="47" spans="1:14"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69"/>
    </row>
    <row r="48" spans="1:14"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</row>
    <row r="49" spans="2:14"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</row>
    <row r="50" spans="2:14"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69"/>
      <c r="N50" s="69"/>
    </row>
    <row r="51" spans="2:14">
      <c r="B51" s="69"/>
      <c r="C51" s="69"/>
      <c r="D51" s="69"/>
      <c r="E51" s="69"/>
      <c r="F51" s="69"/>
      <c r="G51" s="69"/>
      <c r="H51" s="69"/>
      <c r="I51" s="69"/>
      <c r="J51" s="69"/>
      <c r="K51" s="69"/>
      <c r="L51" s="69"/>
      <c r="M51" s="69"/>
      <c r="N51" s="69"/>
    </row>
  </sheetData>
  <mergeCells count="2">
    <mergeCell ref="A3:N3"/>
    <mergeCell ref="A4:N4"/>
  </mergeCells>
  <printOptions horizontalCentered="1"/>
  <pageMargins left="0" right="0" top="0.5" bottom="0.5" header="0.3" footer="0.3"/>
  <pageSetup scale="67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3:O51"/>
  <sheetViews>
    <sheetView zoomScale="85" zoomScaleNormal="85" workbookViewId="0"/>
  </sheetViews>
  <sheetFormatPr defaultRowHeight="12.75"/>
  <cols>
    <col min="1" max="1" width="5.140625" style="75" customWidth="1"/>
    <col min="2" max="2" width="18.5703125" style="74" bestFit="1" customWidth="1"/>
    <col min="3" max="16" width="12.7109375" style="74" customWidth="1"/>
    <col min="17" max="16384" width="9.140625" style="74"/>
  </cols>
  <sheetData>
    <row r="3" spans="1:15" ht="15">
      <c r="B3" s="294" t="s">
        <v>13</v>
      </c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</row>
    <row r="4" spans="1:15">
      <c r="B4" s="295" t="s">
        <v>704</v>
      </c>
      <c r="C4" s="295"/>
      <c r="D4" s="295"/>
      <c r="E4" s="295"/>
      <c r="F4" s="295"/>
      <c r="G4" s="295"/>
      <c r="H4" s="295"/>
      <c r="I4" s="295"/>
      <c r="J4" s="295"/>
      <c r="K4" s="295"/>
      <c r="L4" s="295"/>
      <c r="M4" s="295"/>
      <c r="N4" s="295"/>
      <c r="O4" s="295"/>
    </row>
    <row r="6" spans="1:15">
      <c r="A6" s="75" t="s">
        <v>248</v>
      </c>
    </row>
    <row r="7" spans="1:15">
      <c r="A7" s="75" t="s">
        <v>249</v>
      </c>
      <c r="C7" s="79">
        <v>41518</v>
      </c>
      <c r="D7" s="79">
        <v>41548</v>
      </c>
      <c r="E7" s="79">
        <v>41579</v>
      </c>
      <c r="F7" s="79">
        <v>41609</v>
      </c>
      <c r="G7" s="79">
        <v>41640</v>
      </c>
      <c r="H7" s="79">
        <v>41671</v>
      </c>
      <c r="I7" s="79">
        <v>41699</v>
      </c>
      <c r="J7" s="79">
        <v>41730</v>
      </c>
      <c r="K7" s="79">
        <v>41760</v>
      </c>
      <c r="L7" s="79">
        <v>41791</v>
      </c>
      <c r="M7" s="79">
        <v>41821</v>
      </c>
      <c r="N7" s="79">
        <v>41852</v>
      </c>
      <c r="O7" s="79">
        <v>41883</v>
      </c>
    </row>
    <row r="8" spans="1:15">
      <c r="A8" s="75">
        <v>1</v>
      </c>
      <c r="B8" s="74" t="s">
        <v>51</v>
      </c>
      <c r="C8" s="77">
        <v>57588482.450000003</v>
      </c>
      <c r="D8" s="77">
        <v>55724617.799999997</v>
      </c>
      <c r="E8" s="77">
        <v>56045464.780000001</v>
      </c>
      <c r="F8" s="77">
        <v>128599148.43000001</v>
      </c>
      <c r="G8" s="77">
        <v>130707958.55</v>
      </c>
      <c r="H8" s="77">
        <v>135291107.84</v>
      </c>
      <c r="I8" s="77">
        <v>139320819.81999999</v>
      </c>
      <c r="J8" s="77">
        <v>145473712.18000001</v>
      </c>
      <c r="K8" s="77">
        <v>150183144.69999999</v>
      </c>
      <c r="L8" s="77">
        <v>93023178</v>
      </c>
      <c r="M8" s="77">
        <v>79319866.430000007</v>
      </c>
      <c r="N8" s="77">
        <v>76043985.439999998</v>
      </c>
      <c r="O8" s="77">
        <v>80210718.159999996</v>
      </c>
    </row>
    <row r="9" spans="1:15"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77"/>
    </row>
    <row r="10" spans="1:15" ht="13.5" thickBot="1">
      <c r="A10" s="75">
        <v>2</v>
      </c>
      <c r="B10" s="76" t="s">
        <v>331</v>
      </c>
      <c r="C10" s="78">
        <f t="shared" ref="C10:O10" si="0">+C8</f>
        <v>57588482.450000003</v>
      </c>
      <c r="D10" s="78">
        <f t="shared" si="0"/>
        <v>55724617.799999997</v>
      </c>
      <c r="E10" s="78">
        <f t="shared" si="0"/>
        <v>56045464.780000001</v>
      </c>
      <c r="F10" s="78">
        <f t="shared" si="0"/>
        <v>128599148.43000001</v>
      </c>
      <c r="G10" s="78">
        <f t="shared" si="0"/>
        <v>130707958.55</v>
      </c>
      <c r="H10" s="78">
        <f t="shared" si="0"/>
        <v>135291107.84</v>
      </c>
      <c r="I10" s="78">
        <f t="shared" si="0"/>
        <v>139320819.81999999</v>
      </c>
      <c r="J10" s="78">
        <f t="shared" si="0"/>
        <v>145473712.18000001</v>
      </c>
      <c r="K10" s="78">
        <f t="shared" si="0"/>
        <v>150183144.69999999</v>
      </c>
      <c r="L10" s="78">
        <f t="shared" si="0"/>
        <v>93023178</v>
      </c>
      <c r="M10" s="78">
        <f t="shared" si="0"/>
        <v>79319866.430000007</v>
      </c>
      <c r="N10" s="78">
        <f t="shared" si="0"/>
        <v>76043985.439999998</v>
      </c>
      <c r="O10" s="78">
        <f t="shared" si="0"/>
        <v>80210718.159999996</v>
      </c>
    </row>
    <row r="11" spans="1:15" ht="13.5" thickTop="1"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</row>
    <row r="12" spans="1:15"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77"/>
    </row>
    <row r="14" spans="1:15">
      <c r="B14" s="76" t="s">
        <v>330</v>
      </c>
      <c r="C14" s="74" t="s">
        <v>329</v>
      </c>
    </row>
    <row r="51" spans="15:15" ht="82.5" customHeight="1">
      <c r="O51" s="175" t="s">
        <v>648</v>
      </c>
    </row>
  </sheetData>
  <mergeCells count="2">
    <mergeCell ref="B3:O3"/>
    <mergeCell ref="B4:O4"/>
  </mergeCells>
  <printOptions horizontalCentered="1"/>
  <pageMargins left="0" right="0" top="0.75" bottom="0.75" header="0.3" footer="0.3"/>
  <pageSetup scale="70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92D050"/>
  </sheetPr>
  <dimension ref="A1:AA71"/>
  <sheetViews>
    <sheetView zoomScaleNormal="100" workbookViewId="0">
      <pane xSplit="3" ySplit="7" topLeftCell="D8" activePane="bottomRight" state="frozen"/>
      <selection activeCell="H6" sqref="H6"/>
      <selection pane="topRight" activeCell="H6" sqref="H6"/>
      <selection pane="bottomLeft" activeCell="H6" sqref="H6"/>
      <selection pane="bottomRight" activeCell="K6" sqref="K6"/>
    </sheetView>
  </sheetViews>
  <sheetFormatPr defaultRowHeight="12.75"/>
  <cols>
    <col min="1" max="1" width="4.42578125" style="6" bestFit="1" customWidth="1"/>
    <col min="2" max="2" width="2.28515625" customWidth="1"/>
    <col min="3" max="3" width="30.5703125" bestFit="1" customWidth="1"/>
    <col min="4" max="4" width="2.28515625" customWidth="1"/>
    <col min="5" max="5" width="14" bestFit="1" customWidth="1"/>
    <col min="6" max="8" width="12.42578125" bestFit="1" customWidth="1"/>
    <col min="9" max="9" width="12.42578125" style="123" bestFit="1" customWidth="1"/>
    <col min="10" max="10" width="12.7109375" style="123" customWidth="1"/>
    <col min="11" max="17" width="12.42578125" style="123" bestFit="1" customWidth="1"/>
    <col min="18" max="18" width="2.28515625" customWidth="1"/>
  </cols>
  <sheetData>
    <row r="1" spans="1:27">
      <c r="J1" s="129" t="s">
        <v>13</v>
      </c>
    </row>
    <row r="2" spans="1:27">
      <c r="J2" s="22" t="s">
        <v>47</v>
      </c>
    </row>
    <row r="3" spans="1:27">
      <c r="C3" s="296" t="s">
        <v>722</v>
      </c>
      <c r="D3" s="296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32"/>
      <c r="U3" s="32"/>
      <c r="V3" s="32"/>
      <c r="W3" s="32"/>
      <c r="X3" s="32"/>
      <c r="Y3" s="32"/>
      <c r="Z3" s="32"/>
    </row>
    <row r="4" spans="1:27">
      <c r="J4" s="22"/>
    </row>
    <row r="6" spans="1:27">
      <c r="E6" s="130" t="s">
        <v>375</v>
      </c>
      <c r="F6" s="130" t="s">
        <v>376</v>
      </c>
      <c r="G6" s="130" t="s">
        <v>377</v>
      </c>
      <c r="H6" s="130" t="s">
        <v>378</v>
      </c>
      <c r="I6" s="130" t="s">
        <v>379</v>
      </c>
      <c r="J6" s="130" t="s">
        <v>380</v>
      </c>
      <c r="K6" s="130" t="s">
        <v>370</v>
      </c>
      <c r="L6" s="130" t="s">
        <v>369</v>
      </c>
      <c r="M6" s="130" t="s">
        <v>371</v>
      </c>
      <c r="N6" s="130" t="s">
        <v>372</v>
      </c>
      <c r="O6" s="130" t="s">
        <v>373</v>
      </c>
      <c r="P6" s="130" t="s">
        <v>374</v>
      </c>
      <c r="Q6" s="130" t="s">
        <v>375</v>
      </c>
      <c r="R6" s="33" t="s">
        <v>274</v>
      </c>
      <c r="S6" s="3"/>
      <c r="T6" s="3"/>
      <c r="U6" s="3"/>
      <c r="V6" s="3"/>
      <c r="W6" s="3"/>
      <c r="X6" s="3"/>
      <c r="Y6" s="3"/>
      <c r="Z6" s="3"/>
      <c r="AA6" s="3"/>
    </row>
    <row r="7" spans="1:27" ht="25.5">
      <c r="A7" s="2" t="s">
        <v>0</v>
      </c>
      <c r="E7" s="131">
        <v>2013</v>
      </c>
      <c r="F7" s="131">
        <v>2013</v>
      </c>
      <c r="G7" s="131">
        <v>2013</v>
      </c>
      <c r="H7" s="131">
        <v>2013</v>
      </c>
      <c r="I7" s="131">
        <v>2014</v>
      </c>
      <c r="J7" s="131">
        <v>2014</v>
      </c>
      <c r="K7" s="131">
        <v>2014</v>
      </c>
      <c r="L7" s="131">
        <v>2014</v>
      </c>
      <c r="M7" s="131">
        <v>2014</v>
      </c>
      <c r="N7" s="131">
        <v>2014</v>
      </c>
      <c r="O7" s="131">
        <v>2014</v>
      </c>
      <c r="P7" s="131">
        <v>2014</v>
      </c>
      <c r="Q7" s="131">
        <v>2014</v>
      </c>
      <c r="R7" s="3"/>
      <c r="S7" s="3"/>
      <c r="T7" s="3"/>
      <c r="U7" s="3"/>
      <c r="V7" s="3"/>
      <c r="W7" s="3"/>
      <c r="X7" s="3"/>
      <c r="Y7" s="3"/>
      <c r="Z7" s="3"/>
    </row>
    <row r="8" spans="1:27">
      <c r="A8" s="2"/>
      <c r="E8" s="9"/>
      <c r="F8" s="9"/>
      <c r="G8" s="9"/>
      <c r="H8" s="9"/>
      <c r="I8" s="22"/>
      <c r="J8" s="22"/>
      <c r="K8" s="22"/>
      <c r="L8" s="22"/>
      <c r="M8" s="22"/>
      <c r="N8" s="22"/>
      <c r="O8" s="22"/>
      <c r="P8" s="22"/>
      <c r="Q8" s="22"/>
      <c r="R8" s="3"/>
      <c r="S8" s="3"/>
      <c r="T8" s="3"/>
      <c r="U8" s="3"/>
      <c r="V8" s="3"/>
      <c r="W8" s="3"/>
      <c r="X8" s="3"/>
      <c r="Y8" s="3"/>
      <c r="Z8" s="3"/>
    </row>
    <row r="9" spans="1:27">
      <c r="A9" s="2"/>
      <c r="C9" s="12" t="s">
        <v>38</v>
      </c>
      <c r="E9" s="22"/>
      <c r="F9" s="9"/>
      <c r="G9" s="9"/>
      <c r="H9" s="9"/>
      <c r="I9" s="22"/>
      <c r="J9" s="22"/>
      <c r="K9" s="22"/>
      <c r="L9" s="22"/>
      <c r="M9" s="22"/>
      <c r="N9" s="22"/>
      <c r="O9" s="22"/>
      <c r="P9" s="22"/>
      <c r="Q9" s="22"/>
      <c r="R9" s="3"/>
      <c r="S9" s="3"/>
      <c r="T9" s="3"/>
      <c r="U9" s="3"/>
      <c r="V9" s="3"/>
      <c r="W9" s="3"/>
      <c r="X9" s="3"/>
      <c r="Y9" s="3"/>
      <c r="Z9" s="3"/>
    </row>
    <row r="10" spans="1:27">
      <c r="E10" s="123"/>
      <c r="F10" s="123"/>
      <c r="G10" s="123"/>
    </row>
    <row r="11" spans="1:27">
      <c r="A11" s="6">
        <v>1</v>
      </c>
      <c r="C11" s="3" t="s">
        <v>36</v>
      </c>
      <c r="E11" s="57">
        <v>900437</v>
      </c>
      <c r="F11" s="57">
        <v>761306</v>
      </c>
      <c r="G11" s="57">
        <v>622175</v>
      </c>
      <c r="H11" s="57">
        <f>357881.14+236149.85</f>
        <v>594030.99</v>
      </c>
      <c r="I11" s="57">
        <f>300745.78+818536.94</f>
        <v>1119282.72</v>
      </c>
      <c r="J11" s="57">
        <f>243610.56+722656.33</f>
        <v>966266.8899999999</v>
      </c>
      <c r="K11" s="57">
        <f>321330.95+626775.72</f>
        <v>948106.66999999993</v>
      </c>
      <c r="L11" s="57">
        <f>260856.44+530895.11</f>
        <v>791751.55</v>
      </c>
      <c r="M11" s="57">
        <f>200381.93+435014.5</f>
        <v>635396.42999999993</v>
      </c>
      <c r="N11" s="57">
        <f>139907.57+339133.84</f>
        <v>479041.41000000003</v>
      </c>
      <c r="O11" s="57">
        <f>819672.05+859753.6</f>
        <v>1679425.65</v>
      </c>
      <c r="P11" s="57">
        <f>734346.17+750763.83</f>
        <v>1485110</v>
      </c>
      <c r="Q11" s="57">
        <f>649020.29+641774.06</f>
        <v>1290794.3500000001</v>
      </c>
      <c r="R11" s="4"/>
      <c r="S11" s="4"/>
    </row>
    <row r="12" spans="1:27">
      <c r="A12" s="6">
        <f t="shared" ref="A12:A17" si="0">+A11+1</f>
        <v>2</v>
      </c>
      <c r="C12" s="3" t="s">
        <v>256</v>
      </c>
      <c r="E12" s="57">
        <v>0</v>
      </c>
      <c r="F12" s="57">
        <v>0</v>
      </c>
      <c r="G12" s="57">
        <v>0</v>
      </c>
      <c r="H12" s="57">
        <v>0</v>
      </c>
      <c r="I12" s="57">
        <v>0</v>
      </c>
      <c r="J12" s="57">
        <v>0</v>
      </c>
      <c r="K12" s="57">
        <v>0</v>
      </c>
      <c r="L12" s="57">
        <v>0</v>
      </c>
      <c r="M12" s="57">
        <v>0</v>
      </c>
      <c r="N12" s="57">
        <v>0</v>
      </c>
      <c r="O12" s="57">
        <v>0</v>
      </c>
      <c r="P12" s="57">
        <v>0</v>
      </c>
      <c r="Q12" s="57">
        <v>0</v>
      </c>
      <c r="R12" s="4"/>
      <c r="S12" s="4"/>
    </row>
    <row r="13" spans="1:27">
      <c r="A13" s="6">
        <f t="shared" si="0"/>
        <v>3</v>
      </c>
      <c r="C13" s="3" t="s">
        <v>257</v>
      </c>
      <c r="E13" s="237">
        <v>709683.16</v>
      </c>
      <c r="F13" s="237">
        <v>630829.47</v>
      </c>
      <c r="G13" s="237">
        <v>551975.78</v>
      </c>
      <c r="H13" s="237">
        <v>473122.09</v>
      </c>
      <c r="I13" s="237">
        <v>394268.4</v>
      </c>
      <c r="J13" s="237">
        <v>315414.71000000002</v>
      </c>
      <c r="K13" s="237">
        <v>236561.02</v>
      </c>
      <c r="L13" s="237">
        <v>157707.32999999999</v>
      </c>
      <c r="M13" s="237">
        <v>78853.64</v>
      </c>
      <c r="N13" s="237">
        <v>1069553.31</v>
      </c>
      <c r="O13" s="237">
        <f>980423.87</f>
        <v>980423.87</v>
      </c>
      <c r="P13" s="237">
        <v>891294.43</v>
      </c>
      <c r="Q13" s="237">
        <v>802164.99</v>
      </c>
      <c r="R13" s="4"/>
      <c r="S13" s="4"/>
    </row>
    <row r="14" spans="1:27">
      <c r="A14" s="6">
        <f t="shared" si="0"/>
        <v>4</v>
      </c>
      <c r="C14" s="3" t="s">
        <v>35</v>
      </c>
      <c r="E14" s="237">
        <v>0</v>
      </c>
      <c r="F14" s="237">
        <v>0</v>
      </c>
      <c r="G14" s="237">
        <v>0</v>
      </c>
      <c r="H14" s="237">
        <v>0</v>
      </c>
      <c r="I14" s="237">
        <v>0</v>
      </c>
      <c r="J14" s="237">
        <v>0</v>
      </c>
      <c r="K14" s="237">
        <v>0</v>
      </c>
      <c r="L14" s="237">
        <v>0</v>
      </c>
      <c r="M14" s="237">
        <v>0</v>
      </c>
      <c r="N14" s="237">
        <v>0</v>
      </c>
      <c r="O14" s="237">
        <v>0</v>
      </c>
      <c r="P14" s="237">
        <v>0</v>
      </c>
      <c r="Q14" s="237">
        <v>0</v>
      </c>
      <c r="R14" s="4"/>
      <c r="S14" s="4"/>
    </row>
    <row r="15" spans="1:27">
      <c r="A15" s="6">
        <f t="shared" si="0"/>
        <v>5</v>
      </c>
      <c r="C15" s="3" t="s">
        <v>258</v>
      </c>
      <c r="E15" s="237">
        <v>14859.14</v>
      </c>
      <c r="F15" s="237">
        <v>20797.88</v>
      </c>
      <c r="G15" s="237">
        <v>15517.55</v>
      </c>
      <c r="H15" s="237">
        <v>14961.95</v>
      </c>
      <c r="I15" s="237">
        <v>35422.120000000003</v>
      </c>
      <c r="J15" s="237">
        <v>19363.09</v>
      </c>
      <c r="K15" s="237">
        <v>21160.86</v>
      </c>
      <c r="L15" s="237">
        <v>21108.799999999999</v>
      </c>
      <c r="M15" s="237">
        <v>22201.56</v>
      </c>
      <c r="N15" s="237">
        <v>30338.33</v>
      </c>
      <c r="O15" s="237">
        <v>29889.37</v>
      </c>
      <c r="P15" s="237">
        <v>16053.52</v>
      </c>
      <c r="Q15" s="237">
        <v>26888.2</v>
      </c>
      <c r="R15" s="4"/>
      <c r="S15" s="4"/>
    </row>
    <row r="16" spans="1:27">
      <c r="A16" s="6">
        <f t="shared" si="0"/>
        <v>6</v>
      </c>
      <c r="C16" s="3" t="s">
        <v>259</v>
      </c>
      <c r="E16" s="237">
        <f>324132.03+57469.6</f>
        <v>381601.63</v>
      </c>
      <c r="F16" s="237">
        <f>295837.82+65164.18</f>
        <v>361002</v>
      </c>
      <c r="G16" s="237">
        <f>290050.8+66000.88</f>
        <v>356051.68</v>
      </c>
      <c r="H16" s="237">
        <f>274001.31+47060.45</f>
        <v>321061.76000000001</v>
      </c>
      <c r="I16" s="237">
        <f>320897.99+73933.4</f>
        <v>394831.39</v>
      </c>
      <c r="J16" s="237">
        <f>395235.12+44852.17</f>
        <v>440087.29</v>
      </c>
      <c r="K16" s="237">
        <f>384371.87+25325.96</f>
        <v>409697.83</v>
      </c>
      <c r="L16" s="237">
        <f>366972.43+73655.53</f>
        <v>440627.95999999996</v>
      </c>
      <c r="M16" s="237">
        <f>347421.46+49399.33</f>
        <v>396820.79000000004</v>
      </c>
      <c r="N16" s="237">
        <f>358539.12+37829.68</f>
        <v>396368.8</v>
      </c>
      <c r="O16" s="237">
        <f>390778.23+45678.8</f>
        <v>436457.02999999997</v>
      </c>
      <c r="P16" s="237">
        <f>395655+33169</f>
        <v>428824</v>
      </c>
      <c r="Q16" s="237">
        <f>352658+31883</f>
        <v>384541</v>
      </c>
      <c r="R16" s="4"/>
      <c r="S16" s="4"/>
    </row>
    <row r="17" spans="1:19" ht="15" customHeight="1">
      <c r="A17" s="6">
        <f t="shared" si="0"/>
        <v>7</v>
      </c>
      <c r="C17" s="125" t="s">
        <v>381</v>
      </c>
      <c r="E17" s="237">
        <v>0</v>
      </c>
      <c r="F17" s="237">
        <v>0</v>
      </c>
      <c r="G17" s="237">
        <v>0</v>
      </c>
      <c r="H17" s="237">
        <v>3631.77</v>
      </c>
      <c r="I17" s="237">
        <v>0</v>
      </c>
      <c r="J17" s="237">
        <v>0</v>
      </c>
      <c r="K17" s="237">
        <v>0</v>
      </c>
      <c r="L17" s="237">
        <v>0</v>
      </c>
      <c r="M17" s="237">
        <v>0</v>
      </c>
      <c r="N17" s="237">
        <v>395</v>
      </c>
      <c r="O17" s="237">
        <v>0</v>
      </c>
      <c r="P17" s="237">
        <v>0</v>
      </c>
      <c r="Q17" s="237">
        <v>0</v>
      </c>
      <c r="R17" s="4"/>
      <c r="S17" s="4"/>
    </row>
    <row r="18" spans="1:19">
      <c r="C18" s="3"/>
      <c r="E18" s="59" t="s">
        <v>37</v>
      </c>
      <c r="F18" s="59" t="s">
        <v>37</v>
      </c>
      <c r="G18" s="59" t="s">
        <v>37</v>
      </c>
      <c r="H18" s="59" t="s">
        <v>37</v>
      </c>
      <c r="I18" s="59" t="s">
        <v>37</v>
      </c>
      <c r="J18" s="59" t="s">
        <v>37</v>
      </c>
      <c r="K18" s="59" t="s">
        <v>37</v>
      </c>
      <c r="L18" s="59" t="s">
        <v>37</v>
      </c>
      <c r="M18" s="59" t="s">
        <v>37</v>
      </c>
      <c r="N18" s="59" t="s">
        <v>37</v>
      </c>
      <c r="O18" s="59" t="s">
        <v>37</v>
      </c>
      <c r="P18" s="59" t="s">
        <v>37</v>
      </c>
      <c r="Q18" s="59" t="s">
        <v>37</v>
      </c>
      <c r="R18" s="4"/>
      <c r="S18" s="4"/>
    </row>
    <row r="19" spans="1:19">
      <c r="A19" s="6">
        <f>+A17+1</f>
        <v>8</v>
      </c>
      <c r="C19" s="3" t="s">
        <v>39</v>
      </c>
      <c r="E19" s="57">
        <f t="shared" ref="E19:Q19" si="1">SUM(E11:E18)</f>
        <v>2006580.9300000002</v>
      </c>
      <c r="F19" s="57">
        <f t="shared" si="1"/>
        <v>1773935.3499999999</v>
      </c>
      <c r="G19" s="57">
        <f t="shared" si="1"/>
        <v>1545720.01</v>
      </c>
      <c r="H19" s="57">
        <f t="shared" si="1"/>
        <v>1406808.56</v>
      </c>
      <c r="I19" s="57">
        <f t="shared" si="1"/>
        <v>1943804.6300000004</v>
      </c>
      <c r="J19" s="57">
        <f t="shared" si="1"/>
        <v>1741131.98</v>
      </c>
      <c r="K19" s="57">
        <f t="shared" si="1"/>
        <v>1615526.3800000001</v>
      </c>
      <c r="L19" s="57">
        <f t="shared" si="1"/>
        <v>1411195.6400000001</v>
      </c>
      <c r="M19" s="57">
        <f t="shared" si="1"/>
        <v>1133272.42</v>
      </c>
      <c r="N19" s="57">
        <f t="shared" si="1"/>
        <v>1975696.8500000003</v>
      </c>
      <c r="O19" s="57">
        <f t="shared" si="1"/>
        <v>3126195.92</v>
      </c>
      <c r="P19" s="57">
        <f t="shared" si="1"/>
        <v>2821281.95</v>
      </c>
      <c r="Q19" s="57">
        <f t="shared" si="1"/>
        <v>2504388.54</v>
      </c>
      <c r="R19" s="4"/>
      <c r="S19" s="4"/>
    </row>
    <row r="20" spans="1:19">
      <c r="C20" s="3"/>
      <c r="E20" s="124" t="s">
        <v>28</v>
      </c>
      <c r="F20" s="124" t="s">
        <v>28</v>
      </c>
      <c r="G20" s="124" t="s">
        <v>28</v>
      </c>
      <c r="H20" s="124" t="s">
        <v>28</v>
      </c>
      <c r="I20" s="124" t="s">
        <v>28</v>
      </c>
      <c r="J20" s="124" t="s">
        <v>28</v>
      </c>
      <c r="K20" s="124" t="s">
        <v>28</v>
      </c>
      <c r="L20" s="124" t="s">
        <v>28</v>
      </c>
      <c r="M20" s="124" t="s">
        <v>28</v>
      </c>
      <c r="N20" s="124" t="s">
        <v>28</v>
      </c>
      <c r="O20" s="124" t="s">
        <v>28</v>
      </c>
      <c r="P20" s="124" t="s">
        <v>28</v>
      </c>
      <c r="Q20" s="124" t="s">
        <v>28</v>
      </c>
      <c r="R20" s="4"/>
      <c r="S20" s="4"/>
    </row>
    <row r="21" spans="1:19">
      <c r="C21" s="3"/>
      <c r="E21" s="124"/>
      <c r="F21" s="124"/>
      <c r="G21" s="124"/>
      <c r="H21" s="124"/>
      <c r="I21" s="124"/>
      <c r="J21" s="124"/>
      <c r="K21" s="124"/>
      <c r="L21" s="124"/>
      <c r="M21" s="124"/>
      <c r="N21" s="124"/>
      <c r="O21" s="124"/>
      <c r="P21" s="124"/>
      <c r="Q21" s="124"/>
      <c r="R21" s="4"/>
      <c r="S21" s="4"/>
    </row>
    <row r="22" spans="1:19">
      <c r="C22" s="3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237"/>
      <c r="P22" s="237"/>
      <c r="Q22" s="237"/>
      <c r="R22" s="4"/>
      <c r="S22" s="4"/>
    </row>
    <row r="23" spans="1:19">
      <c r="A23" s="6">
        <f>+A19+1</f>
        <v>9</v>
      </c>
      <c r="C23" s="3" t="s">
        <v>40</v>
      </c>
      <c r="E23" s="57">
        <v>6637424.8499999996</v>
      </c>
      <c r="F23" s="57">
        <v>7895718.8099999996</v>
      </c>
      <c r="G23" s="57">
        <v>8319060.7599999998</v>
      </c>
      <c r="H23" s="57">
        <v>8320252.5199999996</v>
      </c>
      <c r="I23" s="57">
        <v>8146518.21</v>
      </c>
      <c r="J23" s="57">
        <v>8568882.3200000003</v>
      </c>
      <c r="K23" s="57">
        <v>8853035.8699999992</v>
      </c>
      <c r="L23" s="57">
        <v>9015053.9600000009</v>
      </c>
      <c r="M23" s="57">
        <v>9862801.6699999999</v>
      </c>
      <c r="N23" s="57">
        <v>8808045.8300000001</v>
      </c>
      <c r="O23" s="57">
        <v>9018333.6799999997</v>
      </c>
      <c r="P23" s="57">
        <v>9084830.5199999996</v>
      </c>
      <c r="Q23" s="57">
        <v>9135302.0099999998</v>
      </c>
      <c r="R23" s="4"/>
      <c r="S23" s="4"/>
    </row>
    <row r="24" spans="1:19">
      <c r="C24" s="3"/>
      <c r="E24" s="124" t="s">
        <v>28</v>
      </c>
      <c r="F24" s="124" t="s">
        <v>28</v>
      </c>
      <c r="G24" s="124" t="s">
        <v>28</v>
      </c>
      <c r="H24" s="124" t="s">
        <v>28</v>
      </c>
      <c r="I24" s="124" t="s">
        <v>28</v>
      </c>
      <c r="J24" s="124" t="s">
        <v>28</v>
      </c>
      <c r="K24" s="124" t="s">
        <v>28</v>
      </c>
      <c r="L24" s="124" t="s">
        <v>28</v>
      </c>
      <c r="M24" s="124" t="s">
        <v>28</v>
      </c>
      <c r="N24" s="124" t="s">
        <v>28</v>
      </c>
      <c r="O24" s="124" t="s">
        <v>28</v>
      </c>
      <c r="P24" s="124" t="s">
        <v>28</v>
      </c>
      <c r="Q24" s="124" t="s">
        <v>28</v>
      </c>
      <c r="R24" s="4"/>
      <c r="S24" s="4"/>
    </row>
    <row r="25" spans="1:19">
      <c r="C25" s="3"/>
      <c r="E25" s="124"/>
      <c r="F25" s="124"/>
      <c r="G25" s="124"/>
      <c r="H25" s="124"/>
      <c r="I25" s="124"/>
      <c r="J25" s="124"/>
      <c r="K25" s="124"/>
      <c r="L25" s="124"/>
      <c r="M25" s="124"/>
      <c r="N25" s="124"/>
      <c r="O25" s="124"/>
      <c r="P25" s="124"/>
      <c r="Q25" s="124"/>
      <c r="R25" s="4"/>
      <c r="S25" s="4"/>
    </row>
    <row r="26" spans="1:19">
      <c r="C26" s="3"/>
      <c r="E26" s="124"/>
      <c r="F26" s="124"/>
      <c r="G26" s="124"/>
      <c r="H26" s="124"/>
      <c r="I26" s="124"/>
      <c r="J26" s="124"/>
      <c r="K26" s="124"/>
      <c r="L26" s="124"/>
      <c r="M26" s="124"/>
      <c r="N26" s="124"/>
      <c r="O26" s="124"/>
      <c r="P26" s="124"/>
      <c r="Q26" s="124"/>
      <c r="R26" s="4"/>
      <c r="S26" s="4"/>
    </row>
    <row r="27" spans="1:19">
      <c r="C27" s="10" t="s">
        <v>41</v>
      </c>
      <c r="E27" s="237"/>
      <c r="F27" s="237"/>
      <c r="G27" s="237"/>
      <c r="H27" s="237"/>
      <c r="I27" s="237"/>
      <c r="J27" s="237"/>
      <c r="K27" s="237"/>
      <c r="L27" s="237"/>
      <c r="M27" s="237"/>
      <c r="N27" s="237"/>
      <c r="O27" s="237"/>
      <c r="P27" s="237"/>
      <c r="Q27" s="237"/>
      <c r="R27" s="4"/>
      <c r="S27" s="4"/>
    </row>
    <row r="28" spans="1:19">
      <c r="C28" s="10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7"/>
      <c r="P28" s="237"/>
      <c r="Q28" s="237"/>
      <c r="R28" s="4"/>
      <c r="S28" s="4"/>
    </row>
    <row r="29" spans="1:19">
      <c r="A29" s="6">
        <f>+A23+1</f>
        <v>10</v>
      </c>
      <c r="C29" s="3" t="s">
        <v>42</v>
      </c>
      <c r="E29" s="57">
        <v>51643385.560000002</v>
      </c>
      <c r="F29" s="57">
        <v>55560538.090000004</v>
      </c>
      <c r="G29" s="57">
        <v>61032022.280000001</v>
      </c>
      <c r="H29" s="57">
        <f>84452331.19+1612393.05</f>
        <v>86064724.239999995</v>
      </c>
      <c r="I29" s="57">
        <f>63310544.71+972003.14</f>
        <v>64282547.850000001</v>
      </c>
      <c r="J29" s="57">
        <f>47294361.69+791849.75</f>
        <v>48086211.439999998</v>
      </c>
      <c r="K29" s="57">
        <f>39370847.71+1486501.94</f>
        <v>40857349.649999999</v>
      </c>
      <c r="L29" s="57">
        <f>35079638.02+1229711.84</f>
        <v>36309349.860000007</v>
      </c>
      <c r="M29" s="57">
        <f>28968821.51+1324288.9</f>
        <v>30293110.41</v>
      </c>
      <c r="N29" s="57">
        <f>20360493.37+1350480.52</f>
        <v>21710973.890000001</v>
      </c>
      <c r="O29" s="57">
        <f>17528040.6+1932602.04</f>
        <v>19460642.640000001</v>
      </c>
      <c r="P29" s="57">
        <f>15953346.4+1460351.94</f>
        <v>17413698.34</v>
      </c>
      <c r="Q29" s="57">
        <f>28964475.71+3719752.32</f>
        <v>32684228.030000001</v>
      </c>
      <c r="R29" s="4"/>
      <c r="S29" s="4"/>
    </row>
    <row r="30" spans="1:19">
      <c r="A30" s="6">
        <f>+A29+1</f>
        <v>11</v>
      </c>
      <c r="C30" s="3" t="s">
        <v>43</v>
      </c>
      <c r="E30" s="237">
        <v>864253.93</v>
      </c>
      <c r="F30" s="237">
        <v>852138.12</v>
      </c>
      <c r="G30" s="237">
        <v>726815.21</v>
      </c>
      <c r="H30" s="237">
        <f>2575798.78</f>
        <v>2575798.7799999998</v>
      </c>
      <c r="I30" s="237">
        <v>2468793.59</v>
      </c>
      <c r="J30" s="237">
        <v>2299571.7599999998</v>
      </c>
      <c r="K30" s="237">
        <f>2600680.42</f>
        <v>2600680.42</v>
      </c>
      <c r="L30" s="237">
        <v>2427351.27</v>
      </c>
      <c r="M30" s="237">
        <v>2433534.9900000002</v>
      </c>
      <c r="N30" s="237">
        <v>2312918.9300000002</v>
      </c>
      <c r="O30" s="237">
        <v>2554831.63</v>
      </c>
      <c r="P30" s="237">
        <f>2448256.28</f>
        <v>2448256.2799999998</v>
      </c>
      <c r="Q30" s="237">
        <f>2426762</f>
        <v>2426762</v>
      </c>
      <c r="R30" s="4"/>
      <c r="S30" s="4"/>
    </row>
    <row r="31" spans="1:19">
      <c r="A31" s="6">
        <f>+A30+1</f>
        <v>12</v>
      </c>
      <c r="C31" s="3" t="s">
        <v>44</v>
      </c>
      <c r="E31" s="237">
        <v>1816225.71</v>
      </c>
      <c r="F31" s="237">
        <v>2163154.9900000002</v>
      </c>
      <c r="G31" s="237">
        <v>2406655.84</v>
      </c>
      <c r="H31" s="237">
        <v>3672773.97</v>
      </c>
      <c r="I31" s="237">
        <v>2930644.57</v>
      </c>
      <c r="J31" s="237">
        <v>2347616.1800000002</v>
      </c>
      <c r="K31" s="237">
        <v>1975232.94</v>
      </c>
      <c r="L31" s="237">
        <v>1560139.44</v>
      </c>
      <c r="M31" s="237">
        <v>1333782.6499999999</v>
      </c>
      <c r="N31" s="237">
        <v>876256</v>
      </c>
      <c r="O31" s="237">
        <v>634303.22</v>
      </c>
      <c r="P31" s="237">
        <v>479673.13</v>
      </c>
      <c r="Q31" s="237">
        <v>716688.84</v>
      </c>
      <c r="R31" s="4"/>
      <c r="S31" s="4"/>
    </row>
    <row r="32" spans="1:19">
      <c r="C32" s="3"/>
      <c r="E32" s="59" t="s">
        <v>37</v>
      </c>
      <c r="F32" s="59" t="s">
        <v>37</v>
      </c>
      <c r="G32" s="59" t="s">
        <v>37</v>
      </c>
      <c r="H32" s="59" t="s">
        <v>37</v>
      </c>
      <c r="I32" s="59" t="s">
        <v>37</v>
      </c>
      <c r="J32" s="59" t="s">
        <v>37</v>
      </c>
      <c r="K32" s="59" t="s">
        <v>37</v>
      </c>
      <c r="L32" s="59" t="s">
        <v>37</v>
      </c>
      <c r="M32" s="59" t="s">
        <v>37</v>
      </c>
      <c r="N32" s="59" t="s">
        <v>37</v>
      </c>
      <c r="O32" s="59" t="s">
        <v>37</v>
      </c>
      <c r="P32" s="59" t="s">
        <v>37</v>
      </c>
      <c r="Q32" s="59" t="s">
        <v>37</v>
      </c>
      <c r="R32" s="4"/>
      <c r="S32" s="4"/>
    </row>
    <row r="33" spans="1:19">
      <c r="A33" s="6">
        <f>+A31+1</f>
        <v>13</v>
      </c>
      <c r="C33" s="3" t="s">
        <v>45</v>
      </c>
      <c r="E33" s="237">
        <f>SUM(E29:E32)</f>
        <v>54323865.200000003</v>
      </c>
      <c r="F33" s="237">
        <f t="shared" ref="F33:Q33" si="2">SUM(F29:F32)</f>
        <v>58575831.200000003</v>
      </c>
      <c r="G33" s="237">
        <f t="shared" si="2"/>
        <v>64165493.329999998</v>
      </c>
      <c r="H33" s="237">
        <f t="shared" si="2"/>
        <v>92313296.989999995</v>
      </c>
      <c r="I33" s="237">
        <f t="shared" si="2"/>
        <v>69681986.00999999</v>
      </c>
      <c r="J33" s="237">
        <f t="shared" si="2"/>
        <v>52733399.379999995</v>
      </c>
      <c r="K33" s="237">
        <f t="shared" si="2"/>
        <v>45433263.009999998</v>
      </c>
      <c r="L33" s="237">
        <f t="shared" si="2"/>
        <v>40296840.570000008</v>
      </c>
      <c r="M33" s="237">
        <f t="shared" si="2"/>
        <v>34060428.049999997</v>
      </c>
      <c r="N33" s="237">
        <f t="shared" si="2"/>
        <v>24900148.82</v>
      </c>
      <c r="O33" s="237">
        <f t="shared" si="2"/>
        <v>22649777.489999998</v>
      </c>
      <c r="P33" s="237">
        <f t="shared" si="2"/>
        <v>20341627.75</v>
      </c>
      <c r="Q33" s="237">
        <f t="shared" si="2"/>
        <v>35827678.870000005</v>
      </c>
      <c r="R33" s="4"/>
      <c r="S33" s="4"/>
    </row>
    <row r="34" spans="1:19">
      <c r="C34" s="3"/>
      <c r="E34" s="237"/>
      <c r="F34" s="237"/>
      <c r="G34" s="237"/>
      <c r="H34" s="237"/>
      <c r="I34" s="237"/>
      <c r="J34" s="237"/>
      <c r="K34" s="237"/>
      <c r="L34" s="237"/>
      <c r="M34" s="237"/>
      <c r="N34" s="237"/>
      <c r="O34" s="237"/>
      <c r="P34" s="237"/>
      <c r="Q34" s="237"/>
      <c r="R34" s="4"/>
      <c r="S34" s="4"/>
    </row>
    <row r="35" spans="1:19">
      <c r="A35" s="6">
        <f>+A33+1</f>
        <v>14</v>
      </c>
      <c r="C35" s="3" t="s">
        <v>48</v>
      </c>
      <c r="E35" s="231">
        <v>12655181.380000001</v>
      </c>
      <c r="F35" s="237">
        <v>12844193.75</v>
      </c>
      <c r="G35" s="237">
        <v>12744586.630000001</v>
      </c>
      <c r="H35" s="237">
        <v>23174328.82</v>
      </c>
      <c r="I35" s="237">
        <v>19408241.07</v>
      </c>
      <c r="J35" s="237">
        <v>22945309.210000001</v>
      </c>
      <c r="K35" s="237">
        <v>22819522.960000001</v>
      </c>
      <c r="L35" s="237">
        <v>22008724.59</v>
      </c>
      <c r="M35" s="237">
        <v>22614046.57</v>
      </c>
      <c r="N35" s="237">
        <v>22681951.449999999</v>
      </c>
      <c r="O35" s="237">
        <v>22049499.34</v>
      </c>
      <c r="P35" s="237">
        <v>22439513.170000002</v>
      </c>
      <c r="Q35" s="237">
        <v>22229833.489999998</v>
      </c>
      <c r="R35" s="4"/>
      <c r="S35" s="4"/>
    </row>
    <row r="36" spans="1:19">
      <c r="A36" s="6">
        <f>+A35+1</f>
        <v>15</v>
      </c>
      <c r="C36" s="3" t="s">
        <v>50</v>
      </c>
      <c r="E36" s="231">
        <v>0</v>
      </c>
      <c r="F36" s="237">
        <v>0</v>
      </c>
      <c r="G36" s="237">
        <v>0</v>
      </c>
      <c r="H36" s="237">
        <v>0</v>
      </c>
      <c r="I36" s="237">
        <v>0</v>
      </c>
      <c r="J36" s="237">
        <v>0</v>
      </c>
      <c r="K36" s="237">
        <v>0</v>
      </c>
      <c r="L36" s="237">
        <v>0</v>
      </c>
      <c r="M36" s="237">
        <v>0</v>
      </c>
      <c r="N36" s="237">
        <v>0</v>
      </c>
      <c r="O36" s="237">
        <v>0</v>
      </c>
      <c r="P36" s="237">
        <v>0</v>
      </c>
      <c r="Q36" s="237">
        <v>0</v>
      </c>
      <c r="R36" s="4"/>
      <c r="S36" s="4"/>
    </row>
    <row r="37" spans="1:19">
      <c r="A37" s="6">
        <f>+A36+1</f>
        <v>16</v>
      </c>
      <c r="C37" s="3" t="s">
        <v>49</v>
      </c>
      <c r="E37" s="231">
        <v>7244341.8600000003</v>
      </c>
      <c r="F37" s="237">
        <v>7095297.9400000004</v>
      </c>
      <c r="G37" s="237">
        <v>6920575.3799999999</v>
      </c>
      <c r="H37" s="237">
        <v>20191549.289999999</v>
      </c>
      <c r="I37" s="237">
        <v>19348047</v>
      </c>
      <c r="J37" s="237">
        <v>18478682.27</v>
      </c>
      <c r="K37" s="237">
        <f>17794416.08</f>
        <v>17794416.079999998</v>
      </c>
      <c r="L37" s="237">
        <v>16854541.899999999</v>
      </c>
      <c r="M37" s="237">
        <v>16246977.01</v>
      </c>
      <c r="N37" s="237">
        <v>15376247.34</v>
      </c>
      <c r="O37" s="257">
        <v>14592231.689999999</v>
      </c>
      <c r="P37" s="257">
        <v>13718857.15</v>
      </c>
      <c r="Q37" s="257">
        <v>13191960.84</v>
      </c>
      <c r="R37" s="4"/>
      <c r="S37" s="4"/>
    </row>
    <row r="38" spans="1:19">
      <c r="A38" s="6">
        <f>+A37+1</f>
        <v>17</v>
      </c>
      <c r="C38" s="3" t="s">
        <v>260</v>
      </c>
      <c r="E38" s="231">
        <v>9826.4599999999991</v>
      </c>
      <c r="F38" s="237">
        <v>8855.2800000000007</v>
      </c>
      <c r="G38" s="237">
        <v>5866.26</v>
      </c>
      <c r="H38" s="237">
        <f>49897.01+174575.14</f>
        <v>224472.15000000002</v>
      </c>
      <c r="I38" s="237">
        <f>49892+153299</f>
        <v>203191</v>
      </c>
      <c r="J38" s="237">
        <f>49892+140337.62</f>
        <v>190229.62</v>
      </c>
      <c r="K38" s="237">
        <f>49892+126967.54</f>
        <v>176859.53999999998</v>
      </c>
      <c r="L38" s="237">
        <f>49892+115672.5</f>
        <v>165564.5</v>
      </c>
      <c r="M38" s="237">
        <f>44611.85+107664.42</f>
        <v>152276.26999999999</v>
      </c>
      <c r="N38" s="237">
        <f>37055.26+96183.32</f>
        <v>133238.58000000002</v>
      </c>
      <c r="O38" s="237">
        <f>29980.42+85419.78</f>
        <v>115400.2</v>
      </c>
      <c r="P38" s="237">
        <f>21923.21+73206.76</f>
        <v>95129.97</v>
      </c>
      <c r="Q38" s="237">
        <f>16047.97+64280.19</f>
        <v>80328.160000000003</v>
      </c>
      <c r="R38" s="4"/>
      <c r="S38" s="4"/>
    </row>
    <row r="39" spans="1:19">
      <c r="A39" s="6">
        <f>A38+1</f>
        <v>18</v>
      </c>
      <c r="C39" s="126" t="s">
        <v>382</v>
      </c>
      <c r="E39" s="231">
        <v>350000</v>
      </c>
      <c r="F39" s="237">
        <v>350000</v>
      </c>
      <c r="G39" s="237">
        <v>350000</v>
      </c>
      <c r="H39" s="237">
        <v>350000</v>
      </c>
      <c r="I39" s="237">
        <v>350000</v>
      </c>
      <c r="J39" s="237">
        <v>350000</v>
      </c>
      <c r="K39" s="237">
        <v>350000</v>
      </c>
      <c r="L39" s="237">
        <v>350000</v>
      </c>
      <c r="M39" s="237">
        <v>350000</v>
      </c>
      <c r="N39" s="237">
        <v>350000</v>
      </c>
      <c r="O39" s="257">
        <v>350000</v>
      </c>
      <c r="P39" s="257">
        <v>350000</v>
      </c>
      <c r="Q39" s="237">
        <v>350000</v>
      </c>
      <c r="R39" s="4"/>
      <c r="S39" s="4"/>
    </row>
    <row r="40" spans="1:19">
      <c r="C40" s="3"/>
      <c r="E40" s="8" t="s">
        <v>37</v>
      </c>
      <c r="F40" s="8" t="s">
        <v>37</v>
      </c>
      <c r="G40" s="8" t="s">
        <v>37</v>
      </c>
      <c r="H40" s="8" t="s">
        <v>37</v>
      </c>
      <c r="I40" s="59" t="s">
        <v>37</v>
      </c>
      <c r="J40" s="59" t="s">
        <v>37</v>
      </c>
      <c r="K40" s="59" t="s">
        <v>37</v>
      </c>
      <c r="L40" s="59" t="s">
        <v>37</v>
      </c>
      <c r="M40" s="59" t="s">
        <v>37</v>
      </c>
      <c r="N40" s="59" t="s">
        <v>37</v>
      </c>
      <c r="O40" s="59" t="s">
        <v>37</v>
      </c>
      <c r="P40" s="59" t="s">
        <v>37</v>
      </c>
      <c r="Q40" s="59" t="s">
        <v>37</v>
      </c>
      <c r="R40" s="4"/>
      <c r="S40" s="4"/>
    </row>
    <row r="41" spans="1:19">
      <c r="A41" s="6">
        <f>A39+1</f>
        <v>19</v>
      </c>
      <c r="C41" s="3" t="s">
        <v>240</v>
      </c>
      <c r="E41" s="7">
        <f>SUM(E33:E40)</f>
        <v>74583214.900000006</v>
      </c>
      <c r="F41" s="7">
        <f t="shared" ref="F41:Q41" si="3">SUM(F33:F40)</f>
        <v>78874178.170000002</v>
      </c>
      <c r="G41" s="7">
        <f t="shared" si="3"/>
        <v>84186521.599999994</v>
      </c>
      <c r="H41" s="7">
        <f t="shared" si="3"/>
        <v>136253647.25</v>
      </c>
      <c r="I41" s="57">
        <f t="shared" si="3"/>
        <v>108991465.07999998</v>
      </c>
      <c r="J41" s="57">
        <f t="shared" si="3"/>
        <v>94697620.480000004</v>
      </c>
      <c r="K41" s="57">
        <f t="shared" si="3"/>
        <v>86574061.590000004</v>
      </c>
      <c r="L41" s="57">
        <f t="shared" si="3"/>
        <v>79675671.560000002</v>
      </c>
      <c r="M41" s="57">
        <f t="shared" si="3"/>
        <v>73423727.899999991</v>
      </c>
      <c r="N41" s="57">
        <f t="shared" si="3"/>
        <v>63441586.189999998</v>
      </c>
      <c r="O41" s="259">
        <f t="shared" si="3"/>
        <v>59756908.719999999</v>
      </c>
      <c r="P41" s="259">
        <f t="shared" si="3"/>
        <v>56945128.039999999</v>
      </c>
      <c r="Q41" s="259">
        <f t="shared" si="3"/>
        <v>71679801.359999999</v>
      </c>
      <c r="R41" s="4"/>
      <c r="S41" s="4"/>
    </row>
    <row r="42" spans="1:19">
      <c r="C42" s="3"/>
      <c r="E42" s="11" t="s">
        <v>28</v>
      </c>
      <c r="F42" s="11" t="s">
        <v>28</v>
      </c>
      <c r="G42" s="11" t="s">
        <v>28</v>
      </c>
      <c r="H42" s="11" t="s">
        <v>28</v>
      </c>
      <c r="I42" s="124" t="s">
        <v>28</v>
      </c>
      <c r="J42" s="124" t="s">
        <v>28</v>
      </c>
      <c r="K42" s="124" t="s">
        <v>28</v>
      </c>
      <c r="L42" s="124" t="s">
        <v>28</v>
      </c>
      <c r="M42" s="124" t="s">
        <v>28</v>
      </c>
      <c r="N42" s="124" t="s">
        <v>28</v>
      </c>
      <c r="O42" s="124" t="s">
        <v>28</v>
      </c>
      <c r="P42" s="124" t="s">
        <v>28</v>
      </c>
      <c r="Q42" s="124" t="s">
        <v>28</v>
      </c>
      <c r="R42" s="4"/>
      <c r="S42" s="4"/>
    </row>
    <row r="43" spans="1:19">
      <c r="C43" s="3"/>
      <c r="E43" s="11"/>
      <c r="F43" s="11"/>
      <c r="G43" s="11"/>
      <c r="H43" s="11"/>
      <c r="I43" s="124"/>
      <c r="J43" s="124"/>
      <c r="K43" s="124"/>
      <c r="L43" s="124"/>
      <c r="M43" s="124"/>
      <c r="N43" s="124"/>
      <c r="O43" s="124"/>
      <c r="P43" s="124"/>
      <c r="Q43" s="124"/>
      <c r="R43" s="4"/>
      <c r="S43" s="4"/>
    </row>
    <row r="44" spans="1:19">
      <c r="C44" s="3"/>
      <c r="E44" s="11"/>
      <c r="F44" s="11"/>
      <c r="G44" s="11"/>
      <c r="H44" s="11"/>
      <c r="I44" s="124"/>
      <c r="J44" s="124"/>
      <c r="K44" s="124"/>
      <c r="L44" s="124"/>
      <c r="M44" s="124"/>
      <c r="N44" s="124"/>
      <c r="O44" s="124"/>
      <c r="P44" s="124"/>
      <c r="Q44" s="124"/>
      <c r="R44" s="4"/>
      <c r="S44" s="4"/>
    </row>
    <row r="45" spans="1:19">
      <c r="C45" s="3"/>
      <c r="E45" s="11"/>
      <c r="F45" s="11"/>
      <c r="G45" s="11"/>
      <c r="H45" s="11"/>
      <c r="I45" s="124"/>
      <c r="J45" s="124"/>
      <c r="K45" s="124"/>
      <c r="L45" s="124"/>
      <c r="M45" s="124"/>
      <c r="N45" s="124"/>
      <c r="O45" s="124"/>
      <c r="P45" s="124"/>
      <c r="Q45" s="124"/>
      <c r="R45" s="4"/>
      <c r="S45" s="4"/>
    </row>
    <row r="46" spans="1:19">
      <c r="C46" s="3"/>
      <c r="E46" s="11"/>
      <c r="F46" s="11"/>
      <c r="G46" s="11"/>
      <c r="H46" s="11"/>
      <c r="I46" s="124"/>
      <c r="J46" s="124"/>
      <c r="K46" s="124"/>
      <c r="L46" s="124"/>
      <c r="M46" s="124"/>
      <c r="N46" s="124"/>
      <c r="O46" s="124"/>
      <c r="P46" s="124"/>
      <c r="Q46" s="124"/>
      <c r="R46" s="4"/>
      <c r="S46" s="4"/>
    </row>
    <row r="47" spans="1:19">
      <c r="C47" s="3"/>
      <c r="E47" s="11"/>
      <c r="F47" s="11"/>
      <c r="G47" s="11"/>
      <c r="H47" s="11"/>
      <c r="I47" s="124"/>
      <c r="J47" s="124"/>
      <c r="K47" s="124"/>
      <c r="L47" s="124"/>
      <c r="M47" s="124"/>
      <c r="N47" s="124"/>
      <c r="O47" s="124"/>
      <c r="P47" s="124"/>
      <c r="Q47" s="124"/>
      <c r="R47" s="4"/>
      <c r="S47" s="4"/>
    </row>
    <row r="48" spans="1:19">
      <c r="C48" s="3"/>
      <c r="E48" s="11"/>
      <c r="F48" s="11"/>
      <c r="G48" s="11"/>
      <c r="H48" s="11"/>
      <c r="I48" s="124"/>
      <c r="J48" s="124"/>
      <c r="K48" s="124"/>
      <c r="L48" s="124"/>
      <c r="M48" s="124"/>
      <c r="N48" s="124"/>
      <c r="O48" s="124"/>
      <c r="P48" s="124"/>
      <c r="Q48" s="124"/>
      <c r="R48" s="4"/>
      <c r="S48" s="4"/>
    </row>
    <row r="49" spans="3:19">
      <c r="C49" s="3"/>
      <c r="E49" s="11"/>
      <c r="F49" s="11"/>
      <c r="G49" s="11"/>
      <c r="H49" s="11"/>
      <c r="I49" s="124"/>
      <c r="J49" s="124"/>
      <c r="K49" s="124"/>
      <c r="L49" s="124"/>
      <c r="M49" s="124"/>
      <c r="N49" s="124"/>
      <c r="O49" s="124"/>
      <c r="P49" s="124"/>
      <c r="Q49" s="124"/>
      <c r="R49" s="4"/>
      <c r="S49" s="4"/>
    </row>
    <row r="50" spans="3:19">
      <c r="C50" s="3"/>
      <c r="E50" s="11"/>
      <c r="F50" s="11"/>
      <c r="G50" s="11"/>
      <c r="H50" s="11"/>
      <c r="I50" s="124"/>
      <c r="J50" s="124"/>
      <c r="K50" s="124"/>
      <c r="L50" s="124"/>
      <c r="M50" s="124"/>
      <c r="N50" s="124"/>
      <c r="O50" s="124"/>
      <c r="P50" s="124"/>
      <c r="Q50" s="124"/>
      <c r="R50" s="4"/>
      <c r="S50" s="4"/>
    </row>
    <row r="51" spans="3:19">
      <c r="C51" s="3"/>
      <c r="E51" s="11"/>
      <c r="F51" s="11"/>
      <c r="G51" s="11"/>
      <c r="H51" s="11"/>
      <c r="I51" s="124"/>
      <c r="J51" s="124"/>
      <c r="K51" s="124"/>
      <c r="L51" s="124"/>
      <c r="M51" s="124"/>
      <c r="N51" s="124"/>
      <c r="O51" s="124"/>
      <c r="P51" s="124"/>
      <c r="Q51" s="124"/>
      <c r="R51" s="4"/>
      <c r="S51" s="4"/>
    </row>
    <row r="52" spans="3:19">
      <c r="C52" s="3"/>
      <c r="E52" s="11"/>
      <c r="F52" s="11"/>
      <c r="G52" s="11"/>
      <c r="H52" s="11"/>
      <c r="I52" s="124"/>
      <c r="J52" s="124"/>
      <c r="K52" s="124"/>
      <c r="L52" s="124"/>
      <c r="M52" s="124"/>
      <c r="N52" s="124"/>
      <c r="O52" s="124"/>
      <c r="P52" s="124"/>
      <c r="Q52" s="124"/>
      <c r="R52" s="4"/>
      <c r="S52" s="4"/>
    </row>
    <row r="53" spans="3:19" ht="86.25" customHeight="1">
      <c r="C53" s="3"/>
      <c r="E53" s="4"/>
      <c r="F53" s="4"/>
      <c r="G53" s="4"/>
      <c r="H53" s="4"/>
      <c r="I53" s="58"/>
      <c r="J53" s="58"/>
      <c r="K53" s="58"/>
      <c r="L53" s="58"/>
      <c r="M53" s="58"/>
      <c r="N53" s="58"/>
      <c r="O53" s="58"/>
      <c r="P53" s="58"/>
      <c r="Q53" s="175" t="s">
        <v>647</v>
      </c>
      <c r="R53" s="4"/>
      <c r="S53" s="4"/>
    </row>
    <row r="54" spans="3:19">
      <c r="C54" s="3"/>
      <c r="E54" s="4"/>
      <c r="F54" s="4"/>
      <c r="G54" s="4"/>
      <c r="H54" s="4"/>
      <c r="I54" s="58"/>
      <c r="J54" s="58"/>
      <c r="K54" s="58"/>
      <c r="L54" s="58"/>
      <c r="M54" s="58"/>
      <c r="N54" s="58"/>
      <c r="O54" s="58"/>
      <c r="P54" s="58"/>
      <c r="Q54" s="58"/>
      <c r="R54" s="4"/>
      <c r="S54" s="4"/>
    </row>
    <row r="55" spans="3:19">
      <c r="C55" s="3"/>
      <c r="E55" s="4"/>
      <c r="F55" s="4"/>
      <c r="G55" s="4"/>
      <c r="H55" s="4"/>
      <c r="I55" s="58"/>
      <c r="J55" s="58"/>
      <c r="K55" s="58"/>
      <c r="L55" s="58"/>
      <c r="M55" s="58"/>
      <c r="N55" s="58"/>
      <c r="O55" s="58"/>
      <c r="P55" s="58"/>
      <c r="Q55" s="58"/>
      <c r="R55" s="4"/>
      <c r="S55" s="4"/>
    </row>
    <row r="56" spans="3:19">
      <c r="C56" s="3"/>
      <c r="E56" s="4"/>
      <c r="F56" s="4"/>
      <c r="G56" s="4"/>
      <c r="H56" s="4"/>
      <c r="I56" s="58"/>
      <c r="J56" s="58"/>
      <c r="K56" s="58"/>
      <c r="L56" s="58"/>
      <c r="M56" s="58"/>
      <c r="N56" s="58"/>
      <c r="O56" s="58"/>
      <c r="P56" s="58"/>
      <c r="Q56" s="58"/>
      <c r="R56" s="4"/>
      <c r="S56" s="4"/>
    </row>
    <row r="57" spans="3:19" ht="78" customHeight="1">
      <c r="C57" s="3"/>
      <c r="E57" s="4"/>
      <c r="F57" s="4"/>
      <c r="G57" s="4"/>
      <c r="H57" s="4"/>
      <c r="I57" s="58"/>
      <c r="J57" s="58"/>
      <c r="K57" s="58"/>
      <c r="L57" s="58"/>
      <c r="M57" s="58"/>
      <c r="N57" s="58"/>
      <c r="O57" s="58"/>
      <c r="P57" s="58"/>
      <c r="R57" s="4"/>
      <c r="S57" s="4"/>
    </row>
    <row r="58" spans="3:19">
      <c r="C58" s="3"/>
      <c r="E58" s="4"/>
      <c r="F58" s="4"/>
      <c r="G58" s="4"/>
      <c r="H58" s="4"/>
      <c r="I58" s="58"/>
      <c r="J58" s="58"/>
      <c r="K58" s="58"/>
      <c r="L58" s="58"/>
      <c r="M58" s="58"/>
      <c r="N58" s="58"/>
      <c r="O58" s="58"/>
      <c r="P58" s="58"/>
      <c r="Q58" s="58"/>
      <c r="R58" s="4"/>
      <c r="S58" s="4"/>
    </row>
    <row r="59" spans="3:19">
      <c r="C59" s="3"/>
      <c r="E59" s="4"/>
      <c r="F59" s="4"/>
      <c r="G59" s="4"/>
      <c r="H59" s="4"/>
      <c r="I59" s="58"/>
      <c r="J59" s="58"/>
      <c r="K59" s="58"/>
      <c r="L59" s="58"/>
      <c r="M59" s="58"/>
      <c r="N59" s="58"/>
      <c r="O59" s="58"/>
      <c r="P59" s="58"/>
      <c r="Q59" s="58"/>
      <c r="R59" s="4"/>
      <c r="S59" s="4"/>
    </row>
    <row r="60" spans="3:19">
      <c r="C60" s="3"/>
      <c r="E60" s="4"/>
      <c r="F60" s="4"/>
      <c r="G60" s="4"/>
      <c r="H60" s="4"/>
      <c r="I60" s="58"/>
      <c r="J60" s="58"/>
      <c r="K60" s="58"/>
      <c r="L60" s="58"/>
      <c r="M60" s="58"/>
      <c r="N60" s="58"/>
      <c r="O60" s="58"/>
      <c r="P60" s="58"/>
      <c r="Q60" s="58"/>
      <c r="R60" s="4"/>
      <c r="S60" s="4"/>
    </row>
    <row r="61" spans="3:19">
      <c r="C61" s="3"/>
      <c r="E61" s="4"/>
      <c r="F61" s="4"/>
      <c r="G61" s="4"/>
      <c r="H61" s="4"/>
      <c r="I61" s="58"/>
      <c r="J61" s="58"/>
      <c r="K61" s="58"/>
      <c r="L61" s="58"/>
      <c r="M61" s="58"/>
      <c r="N61" s="58"/>
      <c r="O61" s="58"/>
      <c r="P61" s="58"/>
      <c r="Q61" s="58"/>
      <c r="R61" s="4"/>
      <c r="S61" s="4"/>
    </row>
    <row r="62" spans="3:19">
      <c r="C62" s="3"/>
    </row>
    <row r="63" spans="3:19">
      <c r="C63" s="3"/>
    </row>
    <row r="64" spans="3:19">
      <c r="C64" s="3"/>
    </row>
    <row r="65" spans="3:3">
      <c r="C65" s="3"/>
    </row>
    <row r="66" spans="3:3">
      <c r="C66" s="3"/>
    </row>
    <row r="67" spans="3:3">
      <c r="C67" s="3"/>
    </row>
    <row r="68" spans="3:3">
      <c r="C68" s="3"/>
    </row>
    <row r="69" spans="3:3">
      <c r="C69" s="3"/>
    </row>
    <row r="70" spans="3:3">
      <c r="C70" s="3"/>
    </row>
    <row r="71" spans="3:3">
      <c r="C71" s="3"/>
    </row>
  </sheetData>
  <mergeCells count="1">
    <mergeCell ref="C3:S3"/>
  </mergeCells>
  <phoneticPr fontId="0" type="noConversion"/>
  <printOptions horizontalCentered="1"/>
  <pageMargins left="0" right="0" top="1" bottom="0.5" header="0" footer="0"/>
  <pageSetup scale="67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92D050"/>
  </sheetPr>
  <dimension ref="A1:R72"/>
  <sheetViews>
    <sheetView workbookViewId="0">
      <pane xSplit="4" ySplit="8" topLeftCell="E9" activePane="bottomRight" state="frozen"/>
      <selection activeCell="H6" sqref="H6"/>
      <selection pane="topRight" activeCell="H6" sqref="H6"/>
      <selection pane="bottomLeft" activeCell="H6" sqref="H6"/>
      <selection pane="bottomRight" activeCell="F9" sqref="F9"/>
    </sheetView>
  </sheetViews>
  <sheetFormatPr defaultRowHeight="12.75"/>
  <cols>
    <col min="1" max="1" width="4.42578125" style="230" bestFit="1" customWidth="1"/>
    <col min="2" max="2" width="2.28515625" style="230" customWidth="1"/>
    <col min="3" max="3" width="38" style="230" bestFit="1" customWidth="1"/>
    <col min="4" max="4" width="2.28515625" style="230" customWidth="1"/>
    <col min="5" max="16" width="13.7109375" style="230" customWidth="1"/>
    <col min="17" max="17" width="2.28515625" style="230" customWidth="1"/>
    <col min="18" max="18" width="13.7109375" style="230" customWidth="1"/>
    <col min="19" max="19" width="2.28515625" style="230" customWidth="1"/>
    <col min="20" max="16384" width="9.140625" style="230"/>
  </cols>
  <sheetData>
    <row r="1" spans="1:18">
      <c r="C1" s="239"/>
      <c r="J1" s="235" t="s">
        <v>13</v>
      </c>
    </row>
    <row r="2" spans="1:18">
      <c r="C2" s="239"/>
      <c r="J2" s="235" t="s">
        <v>18</v>
      </c>
    </row>
    <row r="3" spans="1:18">
      <c r="C3" s="239"/>
      <c r="I3" s="240"/>
      <c r="J3" s="241" t="str">
        <f>'P 5'!D4</f>
        <v>FOR THE TWELVE MONTHS ENDED SEPTEMBER 30, 2014</v>
      </c>
      <c r="K3" s="240"/>
    </row>
    <row r="4" spans="1:18">
      <c r="C4" s="239"/>
      <c r="J4" s="235"/>
    </row>
    <row r="5" spans="1:18">
      <c r="C5" s="239"/>
      <c r="J5" s="235"/>
    </row>
    <row r="6" spans="1:18" ht="25.5">
      <c r="C6" s="239"/>
      <c r="D6" s="235"/>
      <c r="E6" s="242" t="str">
        <f>'P 17'!F6</f>
        <v>October</v>
      </c>
      <c r="F6" s="242" t="str">
        <f>'P 17'!G6</f>
        <v>November</v>
      </c>
      <c r="G6" s="242" t="str">
        <f>'P 17'!H6</f>
        <v>December</v>
      </c>
      <c r="H6" s="242" t="str">
        <f>'P 17'!I6</f>
        <v>January</v>
      </c>
      <c r="I6" s="242" t="str">
        <f>'P 17'!J6</f>
        <v>February</v>
      </c>
      <c r="J6" s="242" t="str">
        <f>'P 17'!K6</f>
        <v>March</v>
      </c>
      <c r="K6" s="242" t="str">
        <f>'P 17'!L6</f>
        <v>April</v>
      </c>
      <c r="L6" s="242" t="str">
        <f>'P 17'!M6</f>
        <v>May</v>
      </c>
      <c r="M6" s="242" t="str">
        <f>'P 17'!N6</f>
        <v>June</v>
      </c>
      <c r="N6" s="242" t="str">
        <f>'P 17'!O6</f>
        <v>July</v>
      </c>
      <c r="O6" s="242" t="str">
        <f>'P 17'!P6</f>
        <v>August</v>
      </c>
      <c r="P6" s="242" t="str">
        <f>'P 17'!Q6</f>
        <v>September</v>
      </c>
      <c r="Q6" s="235"/>
      <c r="R6" s="243" t="s">
        <v>17</v>
      </c>
    </row>
    <row r="7" spans="1:18" ht="25.5">
      <c r="A7" s="243" t="s">
        <v>0</v>
      </c>
      <c r="C7" s="239"/>
      <c r="E7" s="131">
        <f>'P 17'!F7</f>
        <v>2013</v>
      </c>
      <c r="F7" s="131">
        <f>'P 17'!G7</f>
        <v>2013</v>
      </c>
      <c r="G7" s="131">
        <f>'P 17'!H7</f>
        <v>2013</v>
      </c>
      <c r="H7" s="131">
        <f>'P 17'!I7</f>
        <v>2014</v>
      </c>
      <c r="I7" s="131">
        <f>'P 17'!J7</f>
        <v>2014</v>
      </c>
      <c r="J7" s="131">
        <f>'P 17'!K7</f>
        <v>2014</v>
      </c>
      <c r="K7" s="131">
        <f>'P 17'!L7</f>
        <v>2014</v>
      </c>
      <c r="L7" s="131">
        <f>'P 17'!M7</f>
        <v>2014</v>
      </c>
      <c r="M7" s="131">
        <f>'P 17'!N7</f>
        <v>2014</v>
      </c>
      <c r="N7" s="131">
        <f>'P 17'!O7</f>
        <v>2014</v>
      </c>
      <c r="O7" s="131">
        <f>'P 17'!P7</f>
        <v>2014</v>
      </c>
      <c r="P7" s="131">
        <f>'P 17'!Q7</f>
        <v>2014</v>
      </c>
      <c r="Q7" s="235"/>
      <c r="R7" s="244" t="s">
        <v>274</v>
      </c>
    </row>
    <row r="8" spans="1:18" s="232" customFormat="1">
      <c r="A8" s="245"/>
      <c r="C8" s="246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R8" s="238"/>
    </row>
    <row r="9" spans="1:18">
      <c r="A9" s="243" t="s">
        <v>19</v>
      </c>
      <c r="C9" s="247" t="s">
        <v>16</v>
      </c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37"/>
      <c r="R9" s="248"/>
    </row>
    <row r="10" spans="1:18">
      <c r="A10" s="239"/>
      <c r="C10" s="239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237"/>
      <c r="P10" s="121"/>
      <c r="Q10" s="237"/>
      <c r="R10" s="237"/>
    </row>
    <row r="11" spans="1:18">
      <c r="A11" s="248">
        <f>+A9+1</f>
        <v>2</v>
      </c>
      <c r="C11" s="230" t="s">
        <v>271</v>
      </c>
      <c r="E11" s="120">
        <f>E15-E12-E13</f>
        <v>46641788.579999998</v>
      </c>
      <c r="F11" s="120">
        <f t="shared" ref="F11:P11" si="0">F15-F12-F13</f>
        <v>50663254.57</v>
      </c>
      <c r="G11" s="120">
        <f t="shared" si="0"/>
        <v>58252928.200000003</v>
      </c>
      <c r="H11" s="120">
        <f t="shared" si="0"/>
        <v>88749879.809999987</v>
      </c>
      <c r="I11" s="120">
        <f t="shared" si="0"/>
        <v>78653635.00999999</v>
      </c>
      <c r="J11" s="120">
        <f t="shared" si="0"/>
        <v>72918228.399999991</v>
      </c>
      <c r="K11" s="120">
        <f t="shared" si="0"/>
        <v>68454354.580000013</v>
      </c>
      <c r="L11" s="120">
        <f t="shared" si="0"/>
        <v>67551053.469999999</v>
      </c>
      <c r="M11" s="120">
        <f t="shared" si="0"/>
        <v>77849603.309999987</v>
      </c>
      <c r="N11" s="120">
        <f t="shared" si="0"/>
        <v>72744878.439999998</v>
      </c>
      <c r="O11" s="120">
        <f t="shared" si="0"/>
        <v>75917242.560000002</v>
      </c>
      <c r="P11" s="120">
        <f t="shared" si="0"/>
        <v>57145705.469999999</v>
      </c>
      <c r="Q11" s="237"/>
      <c r="R11" s="57">
        <f>SUM(E11:P11)</f>
        <v>815542552.39999986</v>
      </c>
    </row>
    <row r="12" spans="1:18">
      <c r="A12" s="248">
        <f>+A11+1</f>
        <v>3</v>
      </c>
      <c r="C12" s="230" t="s">
        <v>270</v>
      </c>
      <c r="E12" s="237">
        <v>1148651.53</v>
      </c>
      <c r="F12" s="237">
        <v>967812.21</v>
      </c>
      <c r="G12" s="237">
        <v>6874530.5199999996</v>
      </c>
      <c r="H12" s="237">
        <v>5446623.4000000004</v>
      </c>
      <c r="I12" s="237">
        <v>23359.34</v>
      </c>
      <c r="J12" s="237">
        <v>-55010.96</v>
      </c>
      <c r="K12" s="237">
        <v>-137899.79</v>
      </c>
      <c r="L12" s="237">
        <v>-76060.5</v>
      </c>
      <c r="M12" s="237">
        <v>1489294.01</v>
      </c>
      <c r="N12" s="237">
        <v>146295.19</v>
      </c>
      <c r="O12" s="237">
        <v>129539.06</v>
      </c>
      <c r="P12" s="237">
        <v>127671.72</v>
      </c>
      <c r="Q12" s="237"/>
      <c r="R12" s="237">
        <f>SUM(E12:P12)</f>
        <v>16084805.73</v>
      </c>
    </row>
    <row r="13" spans="1:18">
      <c r="A13" s="248">
        <f>+A12+1</f>
        <v>4</v>
      </c>
      <c r="C13" s="239" t="s">
        <v>261</v>
      </c>
      <c r="E13" s="237">
        <v>0</v>
      </c>
      <c r="F13" s="237">
        <v>71157.539999999994</v>
      </c>
      <c r="G13" s="237"/>
      <c r="H13" s="237">
        <v>0</v>
      </c>
      <c r="I13" s="237">
        <v>0</v>
      </c>
      <c r="J13" s="237">
        <v>0</v>
      </c>
      <c r="K13" s="237">
        <v>0</v>
      </c>
      <c r="L13" s="237">
        <v>0</v>
      </c>
      <c r="M13" s="237">
        <v>0</v>
      </c>
      <c r="N13" s="237">
        <v>0</v>
      </c>
      <c r="O13" s="237">
        <v>0</v>
      </c>
      <c r="P13" s="249">
        <v>0</v>
      </c>
      <c r="Q13" s="237"/>
      <c r="R13" s="237">
        <f>SUM(E13:P13)</f>
        <v>71157.539999999994</v>
      </c>
    </row>
    <row r="14" spans="1:18">
      <c r="C14" s="239"/>
      <c r="E14" s="59" t="s">
        <v>11</v>
      </c>
      <c r="F14" s="59" t="s">
        <v>11</v>
      </c>
      <c r="G14" s="59" t="s">
        <v>11</v>
      </c>
      <c r="H14" s="59" t="s">
        <v>11</v>
      </c>
      <c r="I14" s="59" t="s">
        <v>11</v>
      </c>
      <c r="J14" s="59" t="s">
        <v>11</v>
      </c>
      <c r="K14" s="59" t="s">
        <v>11</v>
      </c>
      <c r="L14" s="59" t="s">
        <v>11</v>
      </c>
      <c r="M14" s="59" t="s">
        <v>11</v>
      </c>
      <c r="N14" s="59" t="s">
        <v>11</v>
      </c>
      <c r="O14" s="59" t="s">
        <v>11</v>
      </c>
      <c r="P14" s="250" t="s">
        <v>11</v>
      </c>
      <c r="Q14" s="237"/>
      <c r="R14" s="59" t="s">
        <v>11</v>
      </c>
    </row>
    <row r="15" spans="1:18">
      <c r="A15" s="248">
        <f>+A13+1</f>
        <v>5</v>
      </c>
      <c r="C15" s="239" t="s">
        <v>124</v>
      </c>
      <c r="E15" s="237">
        <v>47790440.109999999</v>
      </c>
      <c r="F15" s="237">
        <v>51702224.32</v>
      </c>
      <c r="G15" s="237">
        <v>65127458.719999999</v>
      </c>
      <c r="H15" s="237">
        <v>94196503.209999993</v>
      </c>
      <c r="I15" s="237">
        <v>78676994.349999994</v>
      </c>
      <c r="J15" s="237">
        <v>72863217.439999998</v>
      </c>
      <c r="K15" s="237">
        <v>68316454.790000007</v>
      </c>
      <c r="L15" s="237">
        <v>67474992.969999999</v>
      </c>
      <c r="M15" s="237">
        <v>79338897.319999993</v>
      </c>
      <c r="N15" s="237">
        <v>72891173.629999995</v>
      </c>
      <c r="O15" s="237">
        <v>76046781.620000005</v>
      </c>
      <c r="P15" s="237">
        <v>57273377.189999998</v>
      </c>
      <c r="Q15" s="237"/>
      <c r="R15" s="237">
        <f>SUM(R11:R14)</f>
        <v>831698515.66999984</v>
      </c>
    </row>
    <row r="16" spans="1:18">
      <c r="C16" s="239"/>
      <c r="E16" s="237"/>
      <c r="F16" s="237"/>
      <c r="G16" s="237"/>
      <c r="H16" s="237"/>
      <c r="I16" s="237"/>
      <c r="J16" s="237"/>
      <c r="K16" s="237"/>
      <c r="L16" s="237"/>
      <c r="M16" s="237"/>
      <c r="N16" s="237"/>
      <c r="O16" s="237"/>
      <c r="P16" s="237"/>
      <c r="Q16" s="237"/>
      <c r="R16" s="237"/>
    </row>
    <row r="17" spans="1:18">
      <c r="A17" s="248">
        <f>+A15+1</f>
        <v>6</v>
      </c>
      <c r="C17" s="247" t="s">
        <v>20</v>
      </c>
      <c r="E17" s="237"/>
      <c r="F17" s="237"/>
      <c r="G17" s="237"/>
      <c r="H17" s="237"/>
      <c r="I17" s="237"/>
      <c r="J17" s="237"/>
      <c r="K17" s="237"/>
      <c r="L17" s="237"/>
      <c r="M17" s="237"/>
      <c r="N17" s="237"/>
      <c r="O17" s="237"/>
      <c r="P17" s="237"/>
      <c r="Q17" s="237"/>
      <c r="R17" s="237"/>
    </row>
    <row r="18" spans="1:18">
      <c r="A18" s="248">
        <f>+A17+1</f>
        <v>7</v>
      </c>
      <c r="C18" s="239" t="s">
        <v>21</v>
      </c>
      <c r="E18" s="237">
        <v>31977568.850000001</v>
      </c>
      <c r="F18" s="237">
        <v>34131761.390000001</v>
      </c>
      <c r="G18" s="237">
        <v>47306225.799999997</v>
      </c>
      <c r="H18" s="237">
        <v>57511948.020000003</v>
      </c>
      <c r="I18" s="237">
        <v>42380831.219999999</v>
      </c>
      <c r="J18" s="237">
        <v>39164581.310000002</v>
      </c>
      <c r="K18" s="237">
        <v>44658102.859999999</v>
      </c>
      <c r="L18" s="237">
        <v>42047806.369999997</v>
      </c>
      <c r="M18" s="237">
        <v>50326759.32</v>
      </c>
      <c r="N18" s="237">
        <v>47623621.979999997</v>
      </c>
      <c r="O18" s="237">
        <v>46806680.57</v>
      </c>
      <c r="P18" s="237">
        <v>39175651.729999997</v>
      </c>
      <c r="Q18" s="237"/>
      <c r="R18" s="57">
        <f>SUM(E18:P18)</f>
        <v>523111539.42000002</v>
      </c>
    </row>
    <row r="19" spans="1:18">
      <c r="A19" s="248">
        <f>+A18+1</f>
        <v>8</v>
      </c>
      <c r="C19" s="239" t="s">
        <v>22</v>
      </c>
      <c r="E19" s="237">
        <v>2087362.54</v>
      </c>
      <c r="F19" s="237">
        <v>3935334.61</v>
      </c>
      <c r="G19" s="237">
        <v>4615511.1399999997</v>
      </c>
      <c r="H19" s="237">
        <v>4814940.38</v>
      </c>
      <c r="I19" s="237">
        <v>6732813.7999999998</v>
      </c>
      <c r="J19" s="237">
        <v>7094522.0099999998</v>
      </c>
      <c r="K19" s="237">
        <v>4968546.3</v>
      </c>
      <c r="L19" s="237">
        <v>5679980.7800000003</v>
      </c>
      <c r="M19" s="237">
        <v>7075233.4199999999</v>
      </c>
      <c r="N19" s="237">
        <v>5527038.0700000003</v>
      </c>
      <c r="O19" s="237">
        <v>5712634.5199999996</v>
      </c>
      <c r="P19" s="237">
        <v>4842389.07</v>
      </c>
      <c r="Q19" s="237"/>
      <c r="R19" s="237">
        <f>SUM(E19:P19)</f>
        <v>63086306.639999993</v>
      </c>
    </row>
    <row r="20" spans="1:18">
      <c r="C20" s="239"/>
      <c r="E20" s="59" t="s">
        <v>11</v>
      </c>
      <c r="F20" s="59" t="s">
        <v>11</v>
      </c>
      <c r="G20" s="59" t="s">
        <v>11</v>
      </c>
      <c r="H20" s="59" t="s">
        <v>11</v>
      </c>
      <c r="I20" s="59" t="s">
        <v>11</v>
      </c>
      <c r="J20" s="59" t="s">
        <v>11</v>
      </c>
      <c r="K20" s="59" t="s">
        <v>11</v>
      </c>
      <c r="L20" s="59" t="s">
        <v>11</v>
      </c>
      <c r="M20" s="59" t="s">
        <v>11</v>
      </c>
      <c r="N20" s="59" t="s">
        <v>11</v>
      </c>
      <c r="O20" s="59" t="s">
        <v>11</v>
      </c>
      <c r="P20" s="59" t="s">
        <v>11</v>
      </c>
      <c r="Q20" s="237"/>
      <c r="R20" s="59" t="s">
        <v>11</v>
      </c>
    </row>
    <row r="21" spans="1:18">
      <c r="A21" s="248">
        <f>+A19+1</f>
        <v>9</v>
      </c>
      <c r="C21" s="239" t="s">
        <v>23</v>
      </c>
      <c r="E21" s="237">
        <f>SUM(E18:E19)</f>
        <v>34064931.390000001</v>
      </c>
      <c r="F21" s="237">
        <f t="shared" ref="F21:P21" si="1">SUM(F18:F19)</f>
        <v>38067096</v>
      </c>
      <c r="G21" s="237">
        <f t="shared" si="1"/>
        <v>51921736.939999998</v>
      </c>
      <c r="H21" s="237">
        <f t="shared" si="1"/>
        <v>62326888.400000006</v>
      </c>
      <c r="I21" s="237">
        <f t="shared" si="1"/>
        <v>49113645.019999996</v>
      </c>
      <c r="J21" s="237">
        <f t="shared" si="1"/>
        <v>46259103.32</v>
      </c>
      <c r="K21" s="237">
        <f t="shared" si="1"/>
        <v>49626649.159999996</v>
      </c>
      <c r="L21" s="237">
        <f t="shared" si="1"/>
        <v>47727787.149999999</v>
      </c>
      <c r="M21" s="237">
        <f t="shared" si="1"/>
        <v>57401992.740000002</v>
      </c>
      <c r="N21" s="237">
        <f t="shared" si="1"/>
        <v>53150660.049999997</v>
      </c>
      <c r="O21" s="237">
        <f t="shared" si="1"/>
        <v>52519315.090000004</v>
      </c>
      <c r="P21" s="237">
        <f t="shared" si="1"/>
        <v>44018040.799999997</v>
      </c>
      <c r="Q21" s="237"/>
      <c r="R21" s="237">
        <f>+R18+R19</f>
        <v>586197846.06000006</v>
      </c>
    </row>
    <row r="22" spans="1:18">
      <c r="C22" s="239"/>
      <c r="E22" s="237"/>
      <c r="F22" s="237"/>
      <c r="G22" s="237"/>
      <c r="H22" s="237"/>
      <c r="I22" s="237"/>
      <c r="J22" s="237"/>
      <c r="K22" s="237"/>
      <c r="L22" s="237"/>
      <c r="M22" s="237"/>
      <c r="N22" s="237"/>
      <c r="O22" s="121"/>
      <c r="P22" s="121"/>
      <c r="Q22" s="237"/>
      <c r="R22" s="237"/>
    </row>
    <row r="23" spans="1:18">
      <c r="A23" s="248">
        <f>+A21+1</f>
        <v>10</v>
      </c>
      <c r="C23" s="239" t="s">
        <v>29</v>
      </c>
      <c r="E23" s="237">
        <v>4770557.47</v>
      </c>
      <c r="F23" s="237">
        <v>4819316.46</v>
      </c>
      <c r="G23" s="237">
        <v>4950166.67</v>
      </c>
      <c r="H23" s="237">
        <v>7794391.4100000001</v>
      </c>
      <c r="I23" s="237">
        <v>7817317.6100000003</v>
      </c>
      <c r="J23" s="237">
        <v>7910151.71</v>
      </c>
      <c r="K23" s="237">
        <v>7851162.75</v>
      </c>
      <c r="L23" s="237">
        <v>7390444.2800000003</v>
      </c>
      <c r="M23" s="237">
        <v>7791389.5800000001</v>
      </c>
      <c r="N23" s="237">
        <v>7996519.3899999997</v>
      </c>
      <c r="O23" s="121">
        <v>8048550.3200000003</v>
      </c>
      <c r="P23" s="122">
        <v>8122907.9000000004</v>
      </c>
      <c r="Q23" s="237"/>
      <c r="R23" s="237">
        <f>SUM(E23:P23)</f>
        <v>85262875.550000012</v>
      </c>
    </row>
    <row r="24" spans="1:18">
      <c r="C24" s="239"/>
      <c r="E24" s="237"/>
      <c r="F24" s="237"/>
      <c r="G24" s="237"/>
      <c r="H24" s="237"/>
      <c r="I24" s="237"/>
      <c r="J24" s="237"/>
      <c r="K24" s="237"/>
      <c r="L24" s="237"/>
      <c r="M24" s="237"/>
      <c r="N24" s="237"/>
      <c r="O24" s="121"/>
      <c r="P24" s="121"/>
      <c r="Q24" s="237"/>
      <c r="R24" s="237"/>
    </row>
    <row r="25" spans="1:18" ht="25.5">
      <c r="A25" s="248">
        <f>+A23+1</f>
        <v>11</v>
      </c>
      <c r="C25" s="251" t="s">
        <v>24</v>
      </c>
      <c r="E25" s="237"/>
      <c r="F25" s="237"/>
      <c r="G25" s="237"/>
      <c r="H25" s="237"/>
      <c r="I25" s="237"/>
      <c r="J25" s="237"/>
      <c r="K25" s="237"/>
      <c r="L25" s="237"/>
      <c r="M25" s="237"/>
      <c r="N25" s="237"/>
      <c r="O25" s="121"/>
      <c r="P25" s="121"/>
      <c r="Q25" s="237"/>
      <c r="R25" s="237"/>
    </row>
    <row r="26" spans="1:18">
      <c r="A26" s="248">
        <f t="shared" ref="A26:A32" si="2">+A25+1</f>
        <v>12</v>
      </c>
      <c r="C26" s="239" t="s">
        <v>25</v>
      </c>
      <c r="E26" s="237">
        <v>1041499.23</v>
      </c>
      <c r="F26" s="237">
        <v>982437.83</v>
      </c>
      <c r="G26" s="237">
        <v>1105020.53</v>
      </c>
      <c r="H26" s="237">
        <v>1865681.77</v>
      </c>
      <c r="I26" s="237">
        <v>1779888.49</v>
      </c>
      <c r="J26" s="237">
        <v>1643557.23</v>
      </c>
      <c r="K26" s="237">
        <v>1716086.4</v>
      </c>
      <c r="L26" s="237">
        <v>1820927.85</v>
      </c>
      <c r="M26" s="237">
        <v>1736402.3</v>
      </c>
      <c r="N26" s="237">
        <v>1735865.43</v>
      </c>
      <c r="O26" s="237">
        <v>1695205.93</v>
      </c>
      <c r="P26" s="237">
        <v>1680244.67</v>
      </c>
      <c r="Q26" s="237"/>
      <c r="R26" s="237">
        <f t="shared" ref="R26:R32" si="3">SUM(E26:P26)</f>
        <v>18802817.660000004</v>
      </c>
    </row>
    <row r="27" spans="1:18">
      <c r="A27" s="248">
        <f t="shared" si="2"/>
        <v>13</v>
      </c>
      <c r="C27" s="239" t="s">
        <v>26</v>
      </c>
      <c r="E27" s="237">
        <v>2033801.87</v>
      </c>
      <c r="F27" s="237">
        <v>212748.82</v>
      </c>
      <c r="G27" s="237">
        <v>-182763.16</v>
      </c>
      <c r="H27" s="237">
        <v>1147286.1499999999</v>
      </c>
      <c r="I27" s="237">
        <v>652031.80000000005</v>
      </c>
      <c r="J27" s="237">
        <v>552747.59</v>
      </c>
      <c r="K27" s="237">
        <v>409543.22000000003</v>
      </c>
      <c r="L27" s="237">
        <v>638882.87</v>
      </c>
      <c r="M27" s="237">
        <v>651108.75</v>
      </c>
      <c r="N27" s="237">
        <v>477852.18</v>
      </c>
      <c r="O27" s="237">
        <v>626273.74</v>
      </c>
      <c r="P27" s="237">
        <v>102185.49</v>
      </c>
      <c r="Q27" s="237"/>
      <c r="R27" s="237">
        <f t="shared" si="3"/>
        <v>7321699.3199999994</v>
      </c>
    </row>
    <row r="28" spans="1:18">
      <c r="A28" s="248">
        <f t="shared" si="2"/>
        <v>14</v>
      </c>
      <c r="C28" s="239" t="s">
        <v>30</v>
      </c>
      <c r="E28" s="237">
        <v>11901204.050000001</v>
      </c>
      <c r="F28" s="237">
        <v>-1221134.18</v>
      </c>
      <c r="G28" s="237">
        <v>-1290593.44</v>
      </c>
      <c r="H28" s="237">
        <v>6315611.2699999996</v>
      </c>
      <c r="I28" s="237">
        <v>4582742.2</v>
      </c>
      <c r="J28" s="237">
        <v>3723519.91</v>
      </c>
      <c r="K28" s="237">
        <v>2811521.87</v>
      </c>
      <c r="L28" s="237">
        <v>3846995.81</v>
      </c>
      <c r="M28" s="237">
        <v>4348791.83</v>
      </c>
      <c r="N28" s="237">
        <v>3071590.74</v>
      </c>
      <c r="O28" s="237">
        <v>3822184.15</v>
      </c>
      <c r="P28" s="237">
        <v>1052561.1200000001</v>
      </c>
      <c r="Q28" s="237"/>
      <c r="R28" s="237">
        <f t="shared" si="3"/>
        <v>42964995.329999998</v>
      </c>
    </row>
    <row r="29" spans="1:18">
      <c r="A29" s="248">
        <f t="shared" si="2"/>
        <v>15</v>
      </c>
      <c r="C29" s="251" t="s">
        <v>31</v>
      </c>
      <c r="E29" s="237">
        <v>797710.04</v>
      </c>
      <c r="F29" s="237">
        <v>5663698.75</v>
      </c>
      <c r="G29" s="237">
        <v>2997277.54</v>
      </c>
      <c r="H29" s="237">
        <v>-175264.66000000015</v>
      </c>
      <c r="I29" s="237">
        <v>1216463.04</v>
      </c>
      <c r="J29" s="237">
        <v>1096036.4700000007</v>
      </c>
      <c r="K29" s="237">
        <v>-760622.5700000003</v>
      </c>
      <c r="L29" s="237">
        <v>-1527702.8800000001</v>
      </c>
      <c r="M29" s="237">
        <v>-1381741.1099999994</v>
      </c>
      <c r="N29" s="237">
        <v>-872081.31</v>
      </c>
      <c r="O29" s="237">
        <v>-398347.74000000022</v>
      </c>
      <c r="P29" s="237">
        <v>-814675.81999999983</v>
      </c>
      <c r="Q29" s="237"/>
      <c r="R29" s="237">
        <f t="shared" si="3"/>
        <v>5840749.75</v>
      </c>
    </row>
    <row r="30" spans="1:18">
      <c r="A30" s="248">
        <f t="shared" si="2"/>
        <v>16</v>
      </c>
      <c r="C30" s="251" t="s">
        <v>32</v>
      </c>
      <c r="E30" s="237">
        <v>-19167.419999999998</v>
      </c>
      <c r="F30" s="237">
        <v>-19167.419999999998</v>
      </c>
      <c r="G30" s="237">
        <v>-19170</v>
      </c>
      <c r="H30" s="237">
        <v>-8003.25</v>
      </c>
      <c r="I30" s="237">
        <v>-8003.75</v>
      </c>
      <c r="J30" s="237">
        <v>-8003</v>
      </c>
      <c r="K30" s="237">
        <v>-8003</v>
      </c>
      <c r="L30" s="237">
        <v>-8003</v>
      </c>
      <c r="M30" s="237">
        <v>-8003</v>
      </c>
      <c r="N30" s="237">
        <v>-8003</v>
      </c>
      <c r="O30" s="237">
        <v>-8003</v>
      </c>
      <c r="P30" s="237">
        <v>-8003</v>
      </c>
      <c r="Q30" s="237"/>
      <c r="R30" s="237">
        <f t="shared" si="3"/>
        <v>-129532.84</v>
      </c>
    </row>
    <row r="31" spans="1:18">
      <c r="A31" s="248">
        <f t="shared" si="2"/>
        <v>17</v>
      </c>
      <c r="C31" s="251" t="s">
        <v>723</v>
      </c>
      <c r="E31" s="237">
        <v>-7766</v>
      </c>
      <c r="F31" s="237">
        <v>-25003.71</v>
      </c>
      <c r="G31" s="237">
        <v>-5611.11</v>
      </c>
      <c r="H31" s="237">
        <v>-8532.52</v>
      </c>
      <c r="I31" s="237">
        <v>0</v>
      </c>
      <c r="J31" s="237">
        <v>-383.33</v>
      </c>
      <c r="K31" s="237">
        <v>0</v>
      </c>
      <c r="L31" s="237">
        <v>0</v>
      </c>
      <c r="M31" s="237">
        <v>0</v>
      </c>
      <c r="N31" s="237">
        <v>0</v>
      </c>
      <c r="O31" s="237">
        <v>0</v>
      </c>
      <c r="P31" s="237">
        <v>0</v>
      </c>
      <c r="Q31" s="237"/>
      <c r="R31" s="237">
        <f t="shared" si="3"/>
        <v>-47296.67</v>
      </c>
    </row>
    <row r="32" spans="1:18">
      <c r="A32" s="248">
        <f t="shared" si="2"/>
        <v>18</v>
      </c>
      <c r="C32" s="251" t="s">
        <v>724</v>
      </c>
      <c r="E32" s="237">
        <v>0</v>
      </c>
      <c r="F32" s="237">
        <v>0</v>
      </c>
      <c r="G32" s="237">
        <v>0</v>
      </c>
      <c r="H32" s="237">
        <v>79484.41</v>
      </c>
      <c r="I32" s="237">
        <v>79887.679999999993</v>
      </c>
      <c r="J32" s="237">
        <v>80293.13</v>
      </c>
      <c r="K32" s="237">
        <v>80669.899999999994</v>
      </c>
      <c r="L32" s="237">
        <v>81079.47</v>
      </c>
      <c r="M32" s="237">
        <v>81217.679999999993</v>
      </c>
      <c r="N32" s="237">
        <v>81774.27</v>
      </c>
      <c r="O32" s="237">
        <v>82065.77</v>
      </c>
      <c r="P32" s="237">
        <v>82473.27</v>
      </c>
      <c r="Q32" s="237"/>
      <c r="R32" s="237">
        <f t="shared" si="3"/>
        <v>728945.58</v>
      </c>
    </row>
    <row r="33" spans="1:18">
      <c r="C33" s="239"/>
      <c r="E33" s="59" t="s">
        <v>11</v>
      </c>
      <c r="F33" s="59" t="s">
        <v>11</v>
      </c>
      <c r="G33" s="59" t="s">
        <v>11</v>
      </c>
      <c r="H33" s="59" t="s">
        <v>11</v>
      </c>
      <c r="I33" s="59" t="s">
        <v>11</v>
      </c>
      <c r="J33" s="59" t="s">
        <v>11</v>
      </c>
      <c r="K33" s="59" t="s">
        <v>11</v>
      </c>
      <c r="L33" s="59" t="s">
        <v>11</v>
      </c>
      <c r="M33" s="59" t="s">
        <v>11</v>
      </c>
      <c r="N33" s="59" t="s">
        <v>11</v>
      </c>
      <c r="O33" s="59" t="s">
        <v>11</v>
      </c>
      <c r="P33" s="59" t="s">
        <v>11</v>
      </c>
      <c r="Q33" s="237"/>
      <c r="R33" s="59" t="s">
        <v>11</v>
      </c>
    </row>
    <row r="34" spans="1:18" ht="25.5">
      <c r="A34" s="248">
        <f>+A32+1</f>
        <v>19</v>
      </c>
      <c r="C34" s="251" t="s">
        <v>27</v>
      </c>
      <c r="E34" s="237">
        <f t="shared" ref="E34:P34" si="4">SUM(E26:E33)</f>
        <v>15747281.770000001</v>
      </c>
      <c r="F34" s="237">
        <f t="shared" si="4"/>
        <v>5593580.0899999999</v>
      </c>
      <c r="G34" s="237">
        <f t="shared" si="4"/>
        <v>2604160.3600000003</v>
      </c>
      <c r="H34" s="237">
        <f t="shared" si="4"/>
        <v>9216263.1699999999</v>
      </c>
      <c r="I34" s="237">
        <f t="shared" si="4"/>
        <v>8303009.46</v>
      </c>
      <c r="J34" s="237">
        <f t="shared" si="4"/>
        <v>7087768.0000000009</v>
      </c>
      <c r="K34" s="237">
        <f t="shared" si="4"/>
        <v>4249195.82</v>
      </c>
      <c r="L34" s="237">
        <f t="shared" si="4"/>
        <v>4852180.12</v>
      </c>
      <c r="M34" s="237">
        <f t="shared" si="4"/>
        <v>5427776.4500000002</v>
      </c>
      <c r="N34" s="237">
        <f t="shared" si="4"/>
        <v>4486998.3099999987</v>
      </c>
      <c r="O34" s="237">
        <f t="shared" si="4"/>
        <v>5819378.8499999996</v>
      </c>
      <c r="P34" s="237">
        <f t="shared" si="4"/>
        <v>2094785.7300000004</v>
      </c>
      <c r="Q34" s="237"/>
      <c r="R34" s="237">
        <f>SUM(E34:P34)</f>
        <v>75482378.129999995</v>
      </c>
    </row>
    <row r="35" spans="1:18">
      <c r="C35" s="239"/>
      <c r="E35" s="59" t="s">
        <v>11</v>
      </c>
      <c r="F35" s="59" t="s">
        <v>11</v>
      </c>
      <c r="G35" s="59" t="s">
        <v>11</v>
      </c>
      <c r="H35" s="59" t="s">
        <v>11</v>
      </c>
      <c r="I35" s="59" t="s">
        <v>11</v>
      </c>
      <c r="J35" s="59" t="s">
        <v>11</v>
      </c>
      <c r="K35" s="59" t="s">
        <v>11</v>
      </c>
      <c r="L35" s="59" t="s">
        <v>11</v>
      </c>
      <c r="M35" s="59" t="s">
        <v>11</v>
      </c>
      <c r="N35" s="59" t="s">
        <v>11</v>
      </c>
      <c r="O35" s="59" t="s">
        <v>11</v>
      </c>
      <c r="P35" s="59" t="s">
        <v>11</v>
      </c>
      <c r="Q35" s="237"/>
      <c r="R35" s="59" t="s">
        <v>11</v>
      </c>
    </row>
    <row r="36" spans="1:18">
      <c r="A36" s="248">
        <f>+A34+1</f>
        <v>20</v>
      </c>
      <c r="C36" s="251" t="s">
        <v>34</v>
      </c>
      <c r="E36" s="237">
        <f>+E21+E23+E34</f>
        <v>54582770.630000003</v>
      </c>
      <c r="F36" s="237">
        <f>+F21+F23+F34</f>
        <v>48479992.549999997</v>
      </c>
      <c r="G36" s="237">
        <f t="shared" ref="G36:P36" si="5">+G21+G23+G34</f>
        <v>59476063.969999999</v>
      </c>
      <c r="H36" s="237">
        <f t="shared" si="5"/>
        <v>79337542.980000004</v>
      </c>
      <c r="I36" s="237">
        <f t="shared" si="5"/>
        <v>65233972.089999996</v>
      </c>
      <c r="J36" s="237">
        <f t="shared" si="5"/>
        <v>61257023.030000001</v>
      </c>
      <c r="K36" s="237">
        <f t="shared" si="5"/>
        <v>61727007.729999997</v>
      </c>
      <c r="L36" s="237">
        <f t="shared" si="5"/>
        <v>59970411.549999997</v>
      </c>
      <c r="M36" s="237">
        <f t="shared" si="5"/>
        <v>70621158.769999996</v>
      </c>
      <c r="N36" s="237">
        <f t="shared" si="5"/>
        <v>65634177.75</v>
      </c>
      <c r="O36" s="237">
        <f t="shared" si="5"/>
        <v>66387244.260000005</v>
      </c>
      <c r="P36" s="237">
        <f t="shared" si="5"/>
        <v>54235734.429999992</v>
      </c>
      <c r="Q36" s="237"/>
      <c r="R36" s="237">
        <f>+R21+R23+R34</f>
        <v>746943099.74000013</v>
      </c>
    </row>
    <row r="37" spans="1:18">
      <c r="C37" s="239"/>
      <c r="E37" s="59" t="s">
        <v>11</v>
      </c>
      <c r="F37" s="59" t="s">
        <v>11</v>
      </c>
      <c r="G37" s="59" t="s">
        <v>11</v>
      </c>
      <c r="H37" s="59" t="s">
        <v>11</v>
      </c>
      <c r="I37" s="59" t="s">
        <v>11</v>
      </c>
      <c r="J37" s="59" t="s">
        <v>11</v>
      </c>
      <c r="K37" s="59" t="s">
        <v>11</v>
      </c>
      <c r="L37" s="59" t="s">
        <v>11</v>
      </c>
      <c r="M37" s="59" t="s">
        <v>11</v>
      </c>
      <c r="N37" s="59" t="s">
        <v>11</v>
      </c>
      <c r="O37" s="59" t="s">
        <v>11</v>
      </c>
      <c r="P37" s="59" t="s">
        <v>11</v>
      </c>
      <c r="Q37" s="237"/>
      <c r="R37" s="59" t="s">
        <v>11</v>
      </c>
    </row>
    <row r="38" spans="1:18">
      <c r="A38" s="248">
        <f>+A36+1</f>
        <v>21</v>
      </c>
      <c r="C38" s="251" t="s">
        <v>33</v>
      </c>
      <c r="E38" s="57">
        <f>+E15-E36</f>
        <v>-6792330.5200000033</v>
      </c>
      <c r="F38" s="57">
        <f>+F15-F36</f>
        <v>3222231.7700000033</v>
      </c>
      <c r="G38" s="57">
        <f t="shared" ref="G38:P38" si="6">+G15-G36</f>
        <v>5651394.75</v>
      </c>
      <c r="H38" s="57">
        <f t="shared" si="6"/>
        <v>14858960.229999989</v>
      </c>
      <c r="I38" s="57">
        <f t="shared" si="6"/>
        <v>13443022.259999998</v>
      </c>
      <c r="J38" s="57">
        <f t="shared" si="6"/>
        <v>11606194.409999996</v>
      </c>
      <c r="K38" s="57">
        <f t="shared" si="6"/>
        <v>6589447.0600000098</v>
      </c>
      <c r="L38" s="57">
        <f t="shared" si="6"/>
        <v>7504581.4200000018</v>
      </c>
      <c r="M38" s="57">
        <f t="shared" si="6"/>
        <v>8717738.549999997</v>
      </c>
      <c r="N38" s="57">
        <f t="shared" si="6"/>
        <v>7256995.8799999952</v>
      </c>
      <c r="O38" s="57">
        <f t="shared" si="6"/>
        <v>9659537.3599999994</v>
      </c>
      <c r="P38" s="57">
        <f t="shared" si="6"/>
        <v>3037642.7600000054</v>
      </c>
      <c r="Q38" s="237"/>
      <c r="R38" s="57">
        <f>+R15-R36</f>
        <v>84755415.929999709</v>
      </c>
    </row>
    <row r="39" spans="1:18">
      <c r="C39" s="239"/>
      <c r="E39" s="124" t="s">
        <v>239</v>
      </c>
      <c r="F39" s="124" t="s">
        <v>28</v>
      </c>
      <c r="G39" s="124" t="s">
        <v>28</v>
      </c>
      <c r="H39" s="124" t="s">
        <v>28</v>
      </c>
      <c r="I39" s="124" t="s">
        <v>28</v>
      </c>
      <c r="J39" s="124" t="s">
        <v>28</v>
      </c>
      <c r="K39" s="124" t="s">
        <v>28</v>
      </c>
      <c r="L39" s="124" t="s">
        <v>28</v>
      </c>
      <c r="M39" s="124" t="s">
        <v>28</v>
      </c>
      <c r="N39" s="124" t="s">
        <v>28</v>
      </c>
      <c r="O39" s="124" t="s">
        <v>28</v>
      </c>
      <c r="P39" s="124" t="s">
        <v>28</v>
      </c>
      <c r="Q39" s="237"/>
      <c r="R39" s="124" t="s">
        <v>28</v>
      </c>
    </row>
    <row r="40" spans="1:18">
      <c r="C40" s="239"/>
      <c r="E40" s="237"/>
      <c r="F40" s="237"/>
      <c r="G40" s="237"/>
      <c r="H40" s="237"/>
      <c r="I40" s="237"/>
      <c r="J40" s="237"/>
      <c r="K40" s="237"/>
      <c r="L40" s="237"/>
      <c r="M40" s="237"/>
      <c r="N40" s="237"/>
      <c r="O40" s="237"/>
      <c r="P40" s="237"/>
      <c r="Q40" s="237"/>
      <c r="R40" s="237"/>
    </row>
    <row r="41" spans="1:18">
      <c r="C41" s="239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</row>
    <row r="42" spans="1:18">
      <c r="C42" s="239"/>
      <c r="E42" s="237"/>
      <c r="F42" s="237"/>
      <c r="G42" s="237"/>
      <c r="H42" s="237"/>
      <c r="I42" s="237"/>
      <c r="J42" s="237"/>
      <c r="K42" s="237"/>
      <c r="L42" s="237"/>
      <c r="M42" s="237"/>
      <c r="N42" s="237"/>
      <c r="O42" s="237"/>
      <c r="P42" s="237"/>
      <c r="Q42" s="237"/>
      <c r="R42" s="237"/>
    </row>
    <row r="43" spans="1:18">
      <c r="C43" s="239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7"/>
    </row>
    <row r="44" spans="1:18">
      <c r="C44" s="239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</row>
    <row r="45" spans="1:18">
      <c r="C45" s="239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</row>
    <row r="46" spans="1:18">
      <c r="C46" s="239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237"/>
      <c r="Q46" s="237"/>
      <c r="R46" s="237"/>
    </row>
    <row r="47" spans="1:18">
      <c r="C47" s="239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</row>
    <row r="48" spans="1:18">
      <c r="C48" s="239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237"/>
      <c r="P48" s="237"/>
      <c r="Q48" s="237"/>
      <c r="R48" s="237"/>
    </row>
    <row r="49" spans="3:18">
      <c r="C49" s="239"/>
      <c r="E49" s="237"/>
      <c r="F49" s="237"/>
      <c r="G49" s="237"/>
      <c r="H49" s="237"/>
      <c r="I49" s="237"/>
      <c r="J49" s="237"/>
      <c r="K49" s="237"/>
      <c r="L49" s="237"/>
      <c r="M49" s="237"/>
      <c r="N49" s="237"/>
      <c r="O49" s="237"/>
      <c r="P49" s="237"/>
      <c r="Q49" s="237"/>
      <c r="R49" s="237"/>
    </row>
    <row r="50" spans="3:18">
      <c r="C50" s="239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</row>
    <row r="51" spans="3:18">
      <c r="C51" s="239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</row>
    <row r="52" spans="3:18">
      <c r="C52" s="239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7"/>
      <c r="P52" s="237"/>
      <c r="Q52" s="237"/>
      <c r="R52" s="237"/>
    </row>
    <row r="53" spans="3:18">
      <c r="C53" s="239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</row>
    <row r="54" spans="3:18">
      <c r="C54" s="239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</row>
    <row r="55" spans="3:18">
      <c r="C55" s="239"/>
      <c r="E55" s="237"/>
      <c r="F55" s="237"/>
      <c r="G55" s="237"/>
      <c r="H55" s="237"/>
      <c r="I55" s="237"/>
      <c r="J55" s="237"/>
      <c r="K55" s="237"/>
      <c r="L55" s="237"/>
      <c r="M55" s="237"/>
      <c r="N55" s="237"/>
      <c r="O55" s="237"/>
      <c r="P55" s="237"/>
      <c r="Q55" s="237"/>
      <c r="R55" s="237"/>
    </row>
    <row r="56" spans="3:18">
      <c r="C56" s="239"/>
      <c r="E56" s="237"/>
      <c r="F56" s="237"/>
      <c r="G56" s="237"/>
      <c r="H56" s="237"/>
      <c r="I56" s="237"/>
      <c r="J56" s="237"/>
      <c r="K56" s="237"/>
      <c r="L56" s="237"/>
      <c r="M56" s="237"/>
      <c r="N56" s="237"/>
      <c r="O56" s="237"/>
      <c r="P56" s="237"/>
      <c r="Q56" s="237"/>
      <c r="R56" s="237"/>
    </row>
    <row r="57" spans="3:18" ht="0.75" customHeight="1">
      <c r="C57" s="239"/>
      <c r="E57" s="237"/>
      <c r="F57" s="237"/>
      <c r="G57" s="237"/>
      <c r="H57" s="237"/>
      <c r="I57" s="237"/>
      <c r="J57" s="237"/>
      <c r="K57" s="237"/>
      <c r="L57" s="237"/>
      <c r="M57" s="237"/>
      <c r="N57" s="237"/>
      <c r="O57" s="237"/>
      <c r="P57" s="237"/>
      <c r="Q57" s="237"/>
      <c r="R57" s="237"/>
    </row>
    <row r="58" spans="3:18" ht="106.5" customHeight="1">
      <c r="C58" s="239"/>
      <c r="E58" s="237"/>
      <c r="F58" s="237"/>
      <c r="G58" s="237"/>
      <c r="H58" s="237"/>
      <c r="I58" s="237"/>
      <c r="J58" s="237"/>
      <c r="K58" s="237"/>
      <c r="L58" s="237"/>
      <c r="M58" s="237"/>
      <c r="N58" s="237"/>
      <c r="O58" s="237"/>
      <c r="P58" s="237"/>
      <c r="Q58" s="237"/>
      <c r="R58" s="176" t="s">
        <v>638</v>
      </c>
    </row>
    <row r="59" spans="3:18">
      <c r="C59" s="239"/>
      <c r="E59" s="237"/>
      <c r="F59" s="237"/>
      <c r="G59" s="237"/>
      <c r="H59" s="237"/>
      <c r="I59" s="237"/>
      <c r="J59" s="237"/>
      <c r="K59" s="237"/>
      <c r="L59" s="237"/>
      <c r="M59" s="237"/>
      <c r="N59" s="237"/>
      <c r="O59" s="237"/>
      <c r="P59" s="237"/>
      <c r="Q59" s="237"/>
      <c r="R59" s="237"/>
    </row>
    <row r="60" spans="3:18" ht="12.75" customHeight="1">
      <c r="C60" s="239"/>
      <c r="E60" s="237"/>
      <c r="F60" s="237"/>
      <c r="G60" s="237"/>
      <c r="H60" s="237"/>
      <c r="I60" s="237"/>
      <c r="J60" s="237"/>
      <c r="K60" s="237"/>
      <c r="L60" s="237"/>
      <c r="M60" s="237"/>
      <c r="N60" s="237"/>
      <c r="O60" s="237"/>
      <c r="P60" s="237"/>
      <c r="Q60" s="237"/>
    </row>
    <row r="61" spans="3:18">
      <c r="C61" s="239"/>
      <c r="E61" s="237"/>
      <c r="F61" s="237"/>
      <c r="G61" s="237"/>
      <c r="H61" s="237"/>
      <c r="I61" s="237"/>
      <c r="J61" s="237"/>
      <c r="K61" s="237"/>
      <c r="L61" s="237"/>
      <c r="M61" s="237"/>
      <c r="N61" s="237"/>
      <c r="O61" s="237"/>
      <c r="P61" s="237"/>
      <c r="Q61" s="237"/>
      <c r="R61" s="237"/>
    </row>
    <row r="62" spans="3:18">
      <c r="C62" s="239"/>
      <c r="E62" s="237"/>
      <c r="F62" s="237"/>
      <c r="G62" s="237"/>
      <c r="H62" s="237"/>
      <c r="I62" s="237"/>
      <c r="J62" s="237"/>
      <c r="K62" s="237"/>
      <c r="L62" s="237"/>
      <c r="M62" s="237"/>
      <c r="N62" s="237"/>
      <c r="O62" s="237"/>
      <c r="P62" s="237"/>
      <c r="Q62" s="237"/>
      <c r="R62" s="237"/>
    </row>
    <row r="63" spans="3:18">
      <c r="C63" s="239"/>
      <c r="E63" s="237"/>
      <c r="F63" s="237"/>
      <c r="G63" s="237"/>
      <c r="H63" s="237"/>
      <c r="I63" s="237"/>
      <c r="J63" s="237"/>
      <c r="K63" s="237"/>
      <c r="L63" s="237"/>
      <c r="M63" s="237"/>
      <c r="N63" s="237"/>
      <c r="O63" s="237"/>
      <c r="P63" s="237"/>
      <c r="Q63" s="237"/>
      <c r="R63" s="237"/>
    </row>
    <row r="64" spans="3:18">
      <c r="C64" s="239"/>
      <c r="E64" s="237"/>
      <c r="F64" s="237"/>
      <c r="G64" s="237"/>
      <c r="H64" s="237"/>
      <c r="I64" s="237"/>
      <c r="J64" s="237"/>
      <c r="K64" s="237"/>
      <c r="L64" s="237"/>
      <c r="M64" s="237"/>
      <c r="N64" s="237"/>
      <c r="O64" s="237"/>
      <c r="P64" s="237"/>
      <c r="Q64" s="237"/>
      <c r="R64" s="237"/>
    </row>
    <row r="65" spans="5:18">
      <c r="E65" s="237"/>
      <c r="F65" s="237"/>
      <c r="G65" s="237"/>
      <c r="H65" s="237"/>
      <c r="I65" s="237"/>
      <c r="J65" s="237"/>
      <c r="K65" s="237"/>
      <c r="L65" s="237"/>
      <c r="M65" s="237"/>
      <c r="N65" s="237"/>
      <c r="O65" s="237"/>
      <c r="P65" s="237"/>
      <c r="Q65" s="237"/>
      <c r="R65" s="237"/>
    </row>
    <row r="66" spans="5:18">
      <c r="E66" s="237"/>
      <c r="F66" s="237"/>
      <c r="G66" s="237"/>
      <c r="H66" s="237"/>
      <c r="I66" s="237"/>
      <c r="J66" s="237"/>
      <c r="K66" s="237"/>
      <c r="L66" s="237"/>
      <c r="M66" s="237"/>
      <c r="N66" s="237"/>
      <c r="O66" s="237"/>
      <c r="P66" s="237"/>
      <c r="Q66" s="237"/>
      <c r="R66" s="237"/>
    </row>
    <row r="67" spans="5:18">
      <c r="E67" s="237"/>
      <c r="F67" s="237"/>
      <c r="G67" s="237"/>
      <c r="H67" s="237"/>
      <c r="I67" s="237"/>
      <c r="J67" s="237"/>
      <c r="K67" s="237"/>
      <c r="L67" s="237"/>
      <c r="M67" s="237"/>
      <c r="N67" s="237"/>
      <c r="O67" s="237"/>
      <c r="P67" s="237"/>
      <c r="Q67" s="237"/>
      <c r="R67" s="237"/>
    </row>
    <row r="68" spans="5:18">
      <c r="E68" s="237"/>
      <c r="F68" s="237"/>
      <c r="G68" s="237"/>
      <c r="H68" s="237"/>
      <c r="I68" s="237"/>
      <c r="J68" s="237"/>
      <c r="K68" s="237"/>
      <c r="L68" s="237"/>
      <c r="M68" s="237"/>
      <c r="N68" s="237"/>
      <c r="O68" s="237"/>
      <c r="P68" s="237"/>
      <c r="Q68" s="237"/>
      <c r="R68" s="237"/>
    </row>
    <row r="69" spans="5:18">
      <c r="E69" s="237"/>
      <c r="F69" s="237"/>
      <c r="G69" s="237"/>
      <c r="H69" s="237"/>
      <c r="I69" s="237"/>
      <c r="J69" s="237"/>
      <c r="K69" s="237"/>
      <c r="L69" s="237"/>
      <c r="M69" s="237"/>
      <c r="N69" s="237"/>
      <c r="O69" s="237"/>
      <c r="P69" s="237"/>
      <c r="Q69" s="237"/>
      <c r="R69" s="237"/>
    </row>
    <row r="70" spans="5:18">
      <c r="E70" s="237"/>
      <c r="F70" s="237"/>
      <c r="G70" s="237"/>
      <c r="H70" s="237"/>
      <c r="I70" s="237"/>
      <c r="J70" s="237"/>
      <c r="K70" s="237"/>
      <c r="L70" s="237"/>
      <c r="M70" s="237"/>
      <c r="N70" s="237"/>
      <c r="O70" s="237"/>
      <c r="P70" s="237"/>
      <c r="Q70" s="237"/>
      <c r="R70" s="237"/>
    </row>
    <row r="71" spans="5:18">
      <c r="E71" s="237"/>
      <c r="F71" s="237"/>
      <c r="G71" s="237"/>
      <c r="H71" s="237"/>
      <c r="I71" s="237"/>
      <c r="J71" s="237"/>
      <c r="K71" s="237"/>
      <c r="L71" s="237"/>
      <c r="M71" s="237"/>
      <c r="N71" s="237"/>
      <c r="O71" s="237"/>
      <c r="P71" s="237"/>
      <c r="Q71" s="237"/>
      <c r="R71" s="237"/>
    </row>
    <row r="72" spans="5:18">
      <c r="E72" s="237"/>
      <c r="F72" s="237"/>
      <c r="G72" s="237"/>
      <c r="H72" s="237"/>
      <c r="I72" s="237"/>
      <c r="J72" s="237"/>
      <c r="K72" s="237"/>
      <c r="L72" s="237"/>
      <c r="M72" s="237"/>
      <c r="N72" s="237"/>
      <c r="O72" s="237"/>
      <c r="P72" s="237"/>
      <c r="Q72" s="237"/>
      <c r="R72" s="237"/>
    </row>
  </sheetData>
  <phoneticPr fontId="0" type="noConversion"/>
  <printOptions horizontalCentered="1"/>
  <pageMargins left="0" right="0" top="1" bottom="0.5" header="0" footer="0"/>
  <pageSetup scale="59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37"/>
  <sheetViews>
    <sheetView zoomScale="85" zoomScaleNormal="85" workbookViewId="0">
      <selection activeCell="A18" sqref="A18"/>
    </sheetView>
  </sheetViews>
  <sheetFormatPr defaultRowHeight="12.75"/>
  <cols>
    <col min="1" max="1" width="6.85546875" style="64" customWidth="1"/>
    <col min="2" max="2" width="25.140625" style="63" customWidth="1"/>
    <col min="3" max="3" width="17.7109375" style="63" bestFit="1" customWidth="1"/>
    <col min="4" max="4" width="16" style="63" bestFit="1" customWidth="1"/>
    <col min="5" max="5" width="15.5703125" style="63" bestFit="1" customWidth="1"/>
    <col min="6" max="6" width="17" style="63" bestFit="1" customWidth="1"/>
    <col min="7" max="7" width="17.7109375" style="63" bestFit="1" customWidth="1"/>
    <col min="8" max="8" width="2.28515625" style="63" customWidth="1"/>
    <col min="9" max="9" width="18" style="63" bestFit="1" customWidth="1"/>
    <col min="10" max="10" width="13.85546875" style="63" customWidth="1"/>
    <col min="11" max="16384" width="9.140625" style="63"/>
  </cols>
  <sheetData>
    <row r="1" spans="1:10" ht="15">
      <c r="B1" s="293" t="s">
        <v>13</v>
      </c>
      <c r="C1" s="293"/>
      <c r="D1" s="293"/>
      <c r="E1" s="293"/>
      <c r="F1" s="293"/>
      <c r="G1" s="293"/>
      <c r="H1" s="293"/>
      <c r="I1" s="293"/>
      <c r="J1" s="293"/>
    </row>
    <row r="2" spans="1:10">
      <c r="B2" s="291" t="s">
        <v>255</v>
      </c>
      <c r="C2" s="291"/>
      <c r="D2" s="291"/>
      <c r="E2" s="291"/>
      <c r="F2" s="291"/>
      <c r="G2" s="291"/>
      <c r="H2" s="291"/>
      <c r="I2" s="291"/>
      <c r="J2" s="291"/>
    </row>
    <row r="3" spans="1:10">
      <c r="B3" s="291" t="s">
        <v>705</v>
      </c>
      <c r="C3" s="291"/>
      <c r="D3" s="291"/>
      <c r="E3" s="291"/>
      <c r="F3" s="291"/>
      <c r="G3" s="291"/>
      <c r="H3" s="291"/>
      <c r="I3" s="291"/>
      <c r="J3" s="291"/>
    </row>
    <row r="5" spans="1:10">
      <c r="A5" s="64" t="s">
        <v>248</v>
      </c>
      <c r="B5" s="96"/>
      <c r="C5" s="95" t="s">
        <v>706</v>
      </c>
      <c r="D5" s="94"/>
      <c r="E5" s="94"/>
      <c r="F5" s="94"/>
      <c r="G5" s="95" t="s">
        <v>707</v>
      </c>
      <c r="H5" s="95"/>
      <c r="I5" s="291" t="s">
        <v>15</v>
      </c>
      <c r="J5" s="291"/>
    </row>
    <row r="6" spans="1:10" ht="25.5">
      <c r="A6" s="64" t="s">
        <v>249</v>
      </c>
      <c r="B6" s="89" t="s">
        <v>351</v>
      </c>
      <c r="C6" s="94" t="s">
        <v>350</v>
      </c>
      <c r="D6" s="94" t="s">
        <v>7</v>
      </c>
      <c r="E6" s="94" t="s">
        <v>8</v>
      </c>
      <c r="F6" s="94" t="s">
        <v>9</v>
      </c>
      <c r="G6" s="94" t="s">
        <v>350</v>
      </c>
      <c r="H6" s="94"/>
      <c r="I6" s="297" t="s">
        <v>708</v>
      </c>
      <c r="J6" s="297"/>
    </row>
    <row r="7" spans="1:10">
      <c r="B7" s="65"/>
      <c r="C7" s="93"/>
      <c r="D7" s="93"/>
      <c r="E7" s="93"/>
      <c r="F7" s="93"/>
      <c r="G7" s="93"/>
      <c r="H7" s="93"/>
      <c r="I7" s="92" t="s">
        <v>10</v>
      </c>
      <c r="J7" s="92" t="s">
        <v>349</v>
      </c>
    </row>
    <row r="8" spans="1:10">
      <c r="A8" s="64">
        <v>1</v>
      </c>
      <c r="B8" s="65" t="s">
        <v>262</v>
      </c>
      <c r="C8" s="91">
        <v>3695617.7</v>
      </c>
      <c r="D8" s="91">
        <v>42577812.630000003</v>
      </c>
      <c r="E8" s="91">
        <v>0</v>
      </c>
      <c r="F8" s="91">
        <v>12794121.74</v>
      </c>
      <c r="G8" s="91">
        <f>SUM(C8:F8)</f>
        <v>59067552.070000008</v>
      </c>
      <c r="H8" s="91"/>
      <c r="I8" s="91">
        <f t="shared" ref="I8:I13" si="0">+G8-C8</f>
        <v>55371934.370000005</v>
      </c>
      <c r="J8" s="90">
        <f t="shared" ref="J8:J13" si="1">+I8/C8</f>
        <v>14.98313377219727</v>
      </c>
    </row>
    <row r="9" spans="1:10">
      <c r="A9" s="64">
        <v>2</v>
      </c>
      <c r="B9" s="65" t="s">
        <v>1</v>
      </c>
      <c r="C9" s="91">
        <v>19720739.169999998</v>
      </c>
      <c r="D9" s="91">
        <v>3793483.92</v>
      </c>
      <c r="E9" s="91">
        <v>-5357017.0199999996</v>
      </c>
      <c r="F9" s="91">
        <v>252892.71999999997</v>
      </c>
      <c r="G9" s="91">
        <f t="shared" ref="G9:G13" si="2">SUM(C9:F9)</f>
        <v>18410098.789999995</v>
      </c>
      <c r="H9" s="91"/>
      <c r="I9" s="91">
        <f t="shared" si="0"/>
        <v>-1310640.3800000027</v>
      </c>
      <c r="J9" s="90">
        <f t="shared" si="1"/>
        <v>-6.6460002776863605E-2</v>
      </c>
    </row>
    <row r="10" spans="1:10">
      <c r="A10" s="64">
        <v>3</v>
      </c>
      <c r="B10" s="65" t="s">
        <v>321</v>
      </c>
      <c r="C10" s="91">
        <v>549243586.12</v>
      </c>
      <c r="D10" s="91">
        <v>85054198.929999992</v>
      </c>
      <c r="E10" s="91">
        <v>-3656068.6600000006</v>
      </c>
      <c r="F10" s="91">
        <v>894509658.52999997</v>
      </c>
      <c r="G10" s="91">
        <f t="shared" si="2"/>
        <v>1525151374.9200001</v>
      </c>
      <c r="H10" s="91"/>
      <c r="I10" s="91">
        <f t="shared" si="0"/>
        <v>975907788.80000007</v>
      </c>
      <c r="J10" s="90">
        <f t="shared" si="1"/>
        <v>1.7768214567493947</v>
      </c>
    </row>
    <row r="11" spans="1:10">
      <c r="A11" s="64">
        <v>4</v>
      </c>
      <c r="B11" s="65" t="s">
        <v>2</v>
      </c>
      <c r="C11" s="91">
        <v>491308853.23000002</v>
      </c>
      <c r="D11" s="91">
        <v>25798074.5</v>
      </c>
      <c r="E11" s="91">
        <v>-3816369.23</v>
      </c>
      <c r="F11" s="91">
        <v>9585099.5800000019</v>
      </c>
      <c r="G11" s="91">
        <f t="shared" si="2"/>
        <v>522875658.07999998</v>
      </c>
      <c r="H11" s="91"/>
      <c r="I11" s="91">
        <f t="shared" si="0"/>
        <v>31566804.849999964</v>
      </c>
      <c r="J11" s="90">
        <f t="shared" si="1"/>
        <v>6.4250429526093569E-2</v>
      </c>
    </row>
    <row r="12" spans="1:10">
      <c r="A12" s="64">
        <v>5</v>
      </c>
      <c r="B12" s="65" t="s">
        <v>3</v>
      </c>
      <c r="C12" s="91">
        <v>677680664.34000003</v>
      </c>
      <c r="D12" s="91">
        <v>47110586.530000001</v>
      </c>
      <c r="E12" s="91">
        <v>-7537096.2499999991</v>
      </c>
      <c r="F12" s="91">
        <v>0</v>
      </c>
      <c r="G12" s="91">
        <f t="shared" si="2"/>
        <v>717254154.62</v>
      </c>
      <c r="H12" s="91"/>
      <c r="I12" s="91">
        <f t="shared" si="0"/>
        <v>39573490.279999971</v>
      </c>
      <c r="J12" s="90">
        <f t="shared" si="1"/>
        <v>5.8395483835356275E-2</v>
      </c>
    </row>
    <row r="13" spans="1:10">
      <c r="A13" s="64">
        <v>6</v>
      </c>
      <c r="B13" s="65" t="s">
        <v>4</v>
      </c>
      <c r="C13" s="91">
        <v>36907580.609999992</v>
      </c>
      <c r="D13" s="91">
        <v>1633101.8399999999</v>
      </c>
      <c r="E13" s="91">
        <v>-643865.93000000005</v>
      </c>
      <c r="F13" s="91">
        <v>0</v>
      </c>
      <c r="G13" s="91">
        <f t="shared" si="2"/>
        <v>37896816.519999988</v>
      </c>
      <c r="H13" s="91"/>
      <c r="I13" s="91">
        <f t="shared" si="0"/>
        <v>989235.90999999642</v>
      </c>
      <c r="J13" s="90">
        <f t="shared" si="1"/>
        <v>2.6803054918532538E-2</v>
      </c>
    </row>
    <row r="14" spans="1:10">
      <c r="B14" s="65"/>
      <c r="C14" s="91"/>
      <c r="D14" s="91"/>
      <c r="E14" s="91"/>
      <c r="F14" s="91"/>
      <c r="G14" s="91"/>
      <c r="H14" s="91"/>
      <c r="I14" s="91"/>
      <c r="J14" s="90"/>
    </row>
    <row r="15" spans="1:10" ht="25.5">
      <c r="A15" s="64">
        <v>7</v>
      </c>
      <c r="B15" s="89" t="s">
        <v>348</v>
      </c>
      <c r="C15" s="91">
        <f>SUM(C8:C13)</f>
        <v>1778557041.1699998</v>
      </c>
      <c r="D15" s="91">
        <f t="shared" ref="D15:G15" si="3">SUM(D8:D13)</f>
        <v>205967258.34999999</v>
      </c>
      <c r="E15" s="91">
        <f t="shared" si="3"/>
        <v>-21010417.09</v>
      </c>
      <c r="F15" s="91">
        <f t="shared" si="3"/>
        <v>917141772.57000005</v>
      </c>
      <c r="G15" s="91">
        <f t="shared" si="3"/>
        <v>2880655655</v>
      </c>
      <c r="H15" s="91"/>
      <c r="I15" s="91">
        <f>+G15-C15</f>
        <v>1102098613.8300002</v>
      </c>
      <c r="J15" s="90">
        <f>+I15/C15</f>
        <v>0.61965885170879842</v>
      </c>
    </row>
    <row r="17" spans="1:10">
      <c r="B17" s="65" t="s">
        <v>5</v>
      </c>
    </row>
    <row r="19" spans="1:10">
      <c r="B19" s="68" t="s">
        <v>347</v>
      </c>
    </row>
    <row r="20" spans="1:10">
      <c r="A20" s="64">
        <v>8</v>
      </c>
      <c r="B20" s="65" t="s">
        <v>346</v>
      </c>
      <c r="C20" s="91">
        <v>7405958.7300000004</v>
      </c>
      <c r="D20" s="91">
        <v>0</v>
      </c>
      <c r="E20" s="91">
        <v>0</v>
      </c>
      <c r="F20" s="91">
        <v>0</v>
      </c>
      <c r="G20" s="91">
        <f>SUM(C20:F20)</f>
        <v>7405958.7300000004</v>
      </c>
      <c r="I20" s="91">
        <f>+G20-C20</f>
        <v>0</v>
      </c>
      <c r="J20" s="90">
        <f>+I20/C20</f>
        <v>0</v>
      </c>
    </row>
    <row r="21" spans="1:10">
      <c r="A21" s="64">
        <v>9</v>
      </c>
      <c r="B21" s="65" t="s">
        <v>6</v>
      </c>
      <c r="C21" s="91">
        <v>57588482.210000001</v>
      </c>
      <c r="D21" s="91">
        <v>186011681.43000001</v>
      </c>
      <c r="E21" s="91">
        <v>0</v>
      </c>
      <c r="F21" s="91">
        <v>-163389445.72</v>
      </c>
      <c r="G21" s="91">
        <f>SUM(C21:F21)</f>
        <v>80210717.920000017</v>
      </c>
      <c r="I21" s="91">
        <f>+G21-C21</f>
        <v>22622235.710000016</v>
      </c>
      <c r="J21" s="90">
        <f>+I21/C21</f>
        <v>0.39282569781065974</v>
      </c>
    </row>
    <row r="23" spans="1:10" ht="26.25" thickBot="1">
      <c r="A23" s="64">
        <v>10</v>
      </c>
      <c r="B23" s="89" t="s">
        <v>345</v>
      </c>
      <c r="C23" s="88">
        <f>+C15+C20+C21</f>
        <v>1843551482.1099999</v>
      </c>
      <c r="D23" s="88">
        <f>+D15+D20+D21</f>
        <v>391978939.77999997</v>
      </c>
      <c r="E23" s="88">
        <f>+E15+E20+E21</f>
        <v>-21010417.09</v>
      </c>
      <c r="F23" s="88">
        <f>+F15+F20+F21</f>
        <v>753752326.85000002</v>
      </c>
      <c r="G23" s="88">
        <f>+G15+G20+G21</f>
        <v>2968272331.6500001</v>
      </c>
      <c r="I23" s="88">
        <f>+G23-C23</f>
        <v>1124720849.5400002</v>
      </c>
      <c r="J23" s="87">
        <f>+I23/C23</f>
        <v>0.61008377604552899</v>
      </c>
    </row>
    <row r="24" spans="1:10" ht="13.5" thickTop="1"/>
    <row r="37" spans="11:11" ht="115.5" customHeight="1">
      <c r="K37" s="177" t="s">
        <v>656</v>
      </c>
    </row>
  </sheetData>
  <mergeCells count="5">
    <mergeCell ref="I5:J5"/>
    <mergeCell ref="I6:J6"/>
    <mergeCell ref="B1:J1"/>
    <mergeCell ref="B2:J2"/>
    <mergeCell ref="B3:J3"/>
  </mergeCells>
  <printOptions horizontalCentered="1"/>
  <pageMargins left="0" right="0" top="0.75" bottom="0.75" header="0.3" footer="0.3"/>
  <pageSetup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96"/>
  <sheetViews>
    <sheetView zoomScaleNormal="100" workbookViewId="0">
      <pane xSplit="5" ySplit="11" topLeftCell="F12" activePane="bottomRight" state="frozen"/>
      <selection activeCell="H6" sqref="H6"/>
      <selection pane="topRight" activeCell="H6" sqref="H6"/>
      <selection pane="bottomLeft" activeCell="H6" sqref="H6"/>
      <selection pane="bottomRight" activeCell="H15" sqref="H15"/>
    </sheetView>
  </sheetViews>
  <sheetFormatPr defaultRowHeight="12.75"/>
  <cols>
    <col min="1" max="1" width="4.42578125" style="80" bestFit="1" customWidth="1"/>
    <col min="2" max="2" width="2.28515625" style="80" customWidth="1"/>
    <col min="3" max="3" width="3.7109375" style="63" customWidth="1"/>
    <col min="4" max="4" width="43.42578125" style="63" bestFit="1" customWidth="1"/>
    <col min="5" max="5" width="2.28515625" style="63" customWidth="1"/>
    <col min="6" max="6" width="20" style="116" customWidth="1"/>
    <col min="7" max="7" width="2.28515625" style="63" customWidth="1"/>
    <col min="8" max="8" width="16" style="63" bestFit="1" customWidth="1"/>
    <col min="9" max="9" width="2.28515625" style="63" customWidth="1"/>
    <col min="10" max="10" width="18.42578125" style="63" customWidth="1"/>
    <col min="11" max="11" width="2.28515625" style="63" customWidth="1"/>
    <col min="12" max="12" width="16" style="116" bestFit="1" customWidth="1"/>
    <col min="13" max="13" width="2.28515625" style="63" customWidth="1"/>
    <col min="14" max="256" width="9.140625" style="63"/>
    <col min="257" max="257" width="4.42578125" style="63" bestFit="1" customWidth="1"/>
    <col min="258" max="258" width="2.28515625" style="63" customWidth="1"/>
    <col min="259" max="259" width="3.7109375" style="63" customWidth="1"/>
    <col min="260" max="260" width="43.42578125" style="63" bestFit="1" customWidth="1"/>
    <col min="261" max="261" width="2.28515625" style="63" customWidth="1"/>
    <col min="262" max="262" width="14.85546875" style="63" bestFit="1" customWidth="1"/>
    <col min="263" max="263" width="2.28515625" style="63" customWidth="1"/>
    <col min="264" max="264" width="16" style="63" bestFit="1" customWidth="1"/>
    <col min="265" max="265" width="2.28515625" style="63" customWidth="1"/>
    <col min="266" max="266" width="13.140625" style="63" bestFit="1" customWidth="1"/>
    <col min="267" max="267" width="2.28515625" style="63" customWidth="1"/>
    <col min="268" max="268" width="16" style="63" bestFit="1" customWidth="1"/>
    <col min="269" max="269" width="2.28515625" style="63" customWidth="1"/>
    <col min="270" max="512" width="9.140625" style="63"/>
    <col min="513" max="513" width="4.42578125" style="63" bestFit="1" customWidth="1"/>
    <col min="514" max="514" width="2.28515625" style="63" customWidth="1"/>
    <col min="515" max="515" width="3.7109375" style="63" customWidth="1"/>
    <col min="516" max="516" width="43.42578125" style="63" bestFit="1" customWidth="1"/>
    <col min="517" max="517" width="2.28515625" style="63" customWidth="1"/>
    <col min="518" max="518" width="14.85546875" style="63" bestFit="1" customWidth="1"/>
    <col min="519" max="519" width="2.28515625" style="63" customWidth="1"/>
    <col min="520" max="520" width="16" style="63" bestFit="1" customWidth="1"/>
    <col min="521" max="521" width="2.28515625" style="63" customWidth="1"/>
    <col min="522" max="522" width="13.140625" style="63" bestFit="1" customWidth="1"/>
    <col min="523" max="523" width="2.28515625" style="63" customWidth="1"/>
    <col min="524" max="524" width="16" style="63" bestFit="1" customWidth="1"/>
    <col min="525" max="525" width="2.28515625" style="63" customWidth="1"/>
    <col min="526" max="768" width="9.140625" style="63"/>
    <col min="769" max="769" width="4.42578125" style="63" bestFit="1" customWidth="1"/>
    <col min="770" max="770" width="2.28515625" style="63" customWidth="1"/>
    <col min="771" max="771" width="3.7109375" style="63" customWidth="1"/>
    <col min="772" max="772" width="43.42578125" style="63" bestFit="1" customWidth="1"/>
    <col min="773" max="773" width="2.28515625" style="63" customWidth="1"/>
    <col min="774" max="774" width="14.85546875" style="63" bestFit="1" customWidth="1"/>
    <col min="775" max="775" width="2.28515625" style="63" customWidth="1"/>
    <col min="776" max="776" width="16" style="63" bestFit="1" customWidth="1"/>
    <col min="777" max="777" width="2.28515625" style="63" customWidth="1"/>
    <col min="778" max="778" width="13.140625" style="63" bestFit="1" customWidth="1"/>
    <col min="779" max="779" width="2.28515625" style="63" customWidth="1"/>
    <col min="780" max="780" width="16" style="63" bestFit="1" customWidth="1"/>
    <col min="781" max="781" width="2.28515625" style="63" customWidth="1"/>
    <col min="782" max="1024" width="9.140625" style="63"/>
    <col min="1025" max="1025" width="4.42578125" style="63" bestFit="1" customWidth="1"/>
    <col min="1026" max="1026" width="2.28515625" style="63" customWidth="1"/>
    <col min="1027" max="1027" width="3.7109375" style="63" customWidth="1"/>
    <col min="1028" max="1028" width="43.42578125" style="63" bestFit="1" customWidth="1"/>
    <col min="1029" max="1029" width="2.28515625" style="63" customWidth="1"/>
    <col min="1030" max="1030" width="14.85546875" style="63" bestFit="1" customWidth="1"/>
    <col min="1031" max="1031" width="2.28515625" style="63" customWidth="1"/>
    <col min="1032" max="1032" width="16" style="63" bestFit="1" customWidth="1"/>
    <col min="1033" max="1033" width="2.28515625" style="63" customWidth="1"/>
    <col min="1034" max="1034" width="13.140625" style="63" bestFit="1" customWidth="1"/>
    <col min="1035" max="1035" width="2.28515625" style="63" customWidth="1"/>
    <col min="1036" max="1036" width="16" style="63" bestFit="1" customWidth="1"/>
    <col min="1037" max="1037" width="2.28515625" style="63" customWidth="1"/>
    <col min="1038" max="1280" width="9.140625" style="63"/>
    <col min="1281" max="1281" width="4.42578125" style="63" bestFit="1" customWidth="1"/>
    <col min="1282" max="1282" width="2.28515625" style="63" customWidth="1"/>
    <col min="1283" max="1283" width="3.7109375" style="63" customWidth="1"/>
    <col min="1284" max="1284" width="43.42578125" style="63" bestFit="1" customWidth="1"/>
    <col min="1285" max="1285" width="2.28515625" style="63" customWidth="1"/>
    <col min="1286" max="1286" width="14.85546875" style="63" bestFit="1" customWidth="1"/>
    <col min="1287" max="1287" width="2.28515625" style="63" customWidth="1"/>
    <col min="1288" max="1288" width="16" style="63" bestFit="1" customWidth="1"/>
    <col min="1289" max="1289" width="2.28515625" style="63" customWidth="1"/>
    <col min="1290" max="1290" width="13.140625" style="63" bestFit="1" customWidth="1"/>
    <col min="1291" max="1291" width="2.28515625" style="63" customWidth="1"/>
    <col min="1292" max="1292" width="16" style="63" bestFit="1" customWidth="1"/>
    <col min="1293" max="1293" width="2.28515625" style="63" customWidth="1"/>
    <col min="1294" max="1536" width="9.140625" style="63"/>
    <col min="1537" max="1537" width="4.42578125" style="63" bestFit="1" customWidth="1"/>
    <col min="1538" max="1538" width="2.28515625" style="63" customWidth="1"/>
    <col min="1539" max="1539" width="3.7109375" style="63" customWidth="1"/>
    <col min="1540" max="1540" width="43.42578125" style="63" bestFit="1" customWidth="1"/>
    <col min="1541" max="1541" width="2.28515625" style="63" customWidth="1"/>
    <col min="1542" max="1542" width="14.85546875" style="63" bestFit="1" customWidth="1"/>
    <col min="1543" max="1543" width="2.28515625" style="63" customWidth="1"/>
    <col min="1544" max="1544" width="16" style="63" bestFit="1" customWidth="1"/>
    <col min="1545" max="1545" width="2.28515625" style="63" customWidth="1"/>
    <col min="1546" max="1546" width="13.140625" style="63" bestFit="1" customWidth="1"/>
    <col min="1547" max="1547" width="2.28515625" style="63" customWidth="1"/>
    <col min="1548" max="1548" width="16" style="63" bestFit="1" customWidth="1"/>
    <col min="1549" max="1549" width="2.28515625" style="63" customWidth="1"/>
    <col min="1550" max="1792" width="9.140625" style="63"/>
    <col min="1793" max="1793" width="4.42578125" style="63" bestFit="1" customWidth="1"/>
    <col min="1794" max="1794" width="2.28515625" style="63" customWidth="1"/>
    <col min="1795" max="1795" width="3.7109375" style="63" customWidth="1"/>
    <col min="1796" max="1796" width="43.42578125" style="63" bestFit="1" customWidth="1"/>
    <col min="1797" max="1797" width="2.28515625" style="63" customWidth="1"/>
    <col min="1798" max="1798" width="14.85546875" style="63" bestFit="1" customWidth="1"/>
    <col min="1799" max="1799" width="2.28515625" style="63" customWidth="1"/>
    <col min="1800" max="1800" width="16" style="63" bestFit="1" customWidth="1"/>
    <col min="1801" max="1801" width="2.28515625" style="63" customWidth="1"/>
    <col min="1802" max="1802" width="13.140625" style="63" bestFit="1" customWidth="1"/>
    <col min="1803" max="1803" width="2.28515625" style="63" customWidth="1"/>
    <col min="1804" max="1804" width="16" style="63" bestFit="1" customWidth="1"/>
    <col min="1805" max="1805" width="2.28515625" style="63" customWidth="1"/>
    <col min="1806" max="2048" width="9.140625" style="63"/>
    <col min="2049" max="2049" width="4.42578125" style="63" bestFit="1" customWidth="1"/>
    <col min="2050" max="2050" width="2.28515625" style="63" customWidth="1"/>
    <col min="2051" max="2051" width="3.7109375" style="63" customWidth="1"/>
    <col min="2052" max="2052" width="43.42578125" style="63" bestFit="1" customWidth="1"/>
    <col min="2053" max="2053" width="2.28515625" style="63" customWidth="1"/>
    <col min="2054" max="2054" width="14.85546875" style="63" bestFit="1" customWidth="1"/>
    <col min="2055" max="2055" width="2.28515625" style="63" customWidth="1"/>
    <col min="2056" max="2056" width="16" style="63" bestFit="1" customWidth="1"/>
    <col min="2057" max="2057" width="2.28515625" style="63" customWidth="1"/>
    <col min="2058" max="2058" width="13.140625" style="63" bestFit="1" customWidth="1"/>
    <col min="2059" max="2059" width="2.28515625" style="63" customWidth="1"/>
    <col min="2060" max="2060" width="16" style="63" bestFit="1" customWidth="1"/>
    <col min="2061" max="2061" width="2.28515625" style="63" customWidth="1"/>
    <col min="2062" max="2304" width="9.140625" style="63"/>
    <col min="2305" max="2305" width="4.42578125" style="63" bestFit="1" customWidth="1"/>
    <col min="2306" max="2306" width="2.28515625" style="63" customWidth="1"/>
    <col min="2307" max="2307" width="3.7109375" style="63" customWidth="1"/>
    <col min="2308" max="2308" width="43.42578125" style="63" bestFit="1" customWidth="1"/>
    <col min="2309" max="2309" width="2.28515625" style="63" customWidth="1"/>
    <col min="2310" max="2310" width="14.85546875" style="63" bestFit="1" customWidth="1"/>
    <col min="2311" max="2311" width="2.28515625" style="63" customWidth="1"/>
    <col min="2312" max="2312" width="16" style="63" bestFit="1" customWidth="1"/>
    <col min="2313" max="2313" width="2.28515625" style="63" customWidth="1"/>
    <col min="2314" max="2314" width="13.140625" style="63" bestFit="1" customWidth="1"/>
    <col min="2315" max="2315" width="2.28515625" style="63" customWidth="1"/>
    <col min="2316" max="2316" width="16" style="63" bestFit="1" customWidth="1"/>
    <col min="2317" max="2317" width="2.28515625" style="63" customWidth="1"/>
    <col min="2318" max="2560" width="9.140625" style="63"/>
    <col min="2561" max="2561" width="4.42578125" style="63" bestFit="1" customWidth="1"/>
    <col min="2562" max="2562" width="2.28515625" style="63" customWidth="1"/>
    <col min="2563" max="2563" width="3.7109375" style="63" customWidth="1"/>
    <col min="2564" max="2564" width="43.42578125" style="63" bestFit="1" customWidth="1"/>
    <col min="2565" max="2565" width="2.28515625" style="63" customWidth="1"/>
    <col min="2566" max="2566" width="14.85546875" style="63" bestFit="1" customWidth="1"/>
    <col min="2567" max="2567" width="2.28515625" style="63" customWidth="1"/>
    <col min="2568" max="2568" width="16" style="63" bestFit="1" customWidth="1"/>
    <col min="2569" max="2569" width="2.28515625" style="63" customWidth="1"/>
    <col min="2570" max="2570" width="13.140625" style="63" bestFit="1" customWidth="1"/>
    <col min="2571" max="2571" width="2.28515625" style="63" customWidth="1"/>
    <col min="2572" max="2572" width="16" style="63" bestFit="1" customWidth="1"/>
    <col min="2573" max="2573" width="2.28515625" style="63" customWidth="1"/>
    <col min="2574" max="2816" width="9.140625" style="63"/>
    <col min="2817" max="2817" width="4.42578125" style="63" bestFit="1" customWidth="1"/>
    <col min="2818" max="2818" width="2.28515625" style="63" customWidth="1"/>
    <col min="2819" max="2819" width="3.7109375" style="63" customWidth="1"/>
    <col min="2820" max="2820" width="43.42578125" style="63" bestFit="1" customWidth="1"/>
    <col min="2821" max="2821" width="2.28515625" style="63" customWidth="1"/>
    <col min="2822" max="2822" width="14.85546875" style="63" bestFit="1" customWidth="1"/>
    <col min="2823" max="2823" width="2.28515625" style="63" customWidth="1"/>
    <col min="2824" max="2824" width="16" style="63" bestFit="1" customWidth="1"/>
    <col min="2825" max="2825" width="2.28515625" style="63" customWidth="1"/>
    <col min="2826" max="2826" width="13.140625" style="63" bestFit="1" customWidth="1"/>
    <col min="2827" max="2827" width="2.28515625" style="63" customWidth="1"/>
    <col min="2828" max="2828" width="16" style="63" bestFit="1" customWidth="1"/>
    <col min="2829" max="2829" width="2.28515625" style="63" customWidth="1"/>
    <col min="2830" max="3072" width="9.140625" style="63"/>
    <col min="3073" max="3073" width="4.42578125" style="63" bestFit="1" customWidth="1"/>
    <col min="3074" max="3074" width="2.28515625" style="63" customWidth="1"/>
    <col min="3075" max="3075" width="3.7109375" style="63" customWidth="1"/>
    <col min="3076" max="3076" width="43.42578125" style="63" bestFit="1" customWidth="1"/>
    <col min="3077" max="3077" width="2.28515625" style="63" customWidth="1"/>
    <col min="3078" max="3078" width="14.85546875" style="63" bestFit="1" customWidth="1"/>
    <col min="3079" max="3079" width="2.28515625" style="63" customWidth="1"/>
    <col min="3080" max="3080" width="16" style="63" bestFit="1" customWidth="1"/>
    <col min="3081" max="3081" width="2.28515625" style="63" customWidth="1"/>
    <col min="3082" max="3082" width="13.140625" style="63" bestFit="1" customWidth="1"/>
    <col min="3083" max="3083" width="2.28515625" style="63" customWidth="1"/>
    <col min="3084" max="3084" width="16" style="63" bestFit="1" customWidth="1"/>
    <col min="3085" max="3085" width="2.28515625" style="63" customWidth="1"/>
    <col min="3086" max="3328" width="9.140625" style="63"/>
    <col min="3329" max="3329" width="4.42578125" style="63" bestFit="1" customWidth="1"/>
    <col min="3330" max="3330" width="2.28515625" style="63" customWidth="1"/>
    <col min="3331" max="3331" width="3.7109375" style="63" customWidth="1"/>
    <col min="3332" max="3332" width="43.42578125" style="63" bestFit="1" customWidth="1"/>
    <col min="3333" max="3333" width="2.28515625" style="63" customWidth="1"/>
    <col min="3334" max="3334" width="14.85546875" style="63" bestFit="1" customWidth="1"/>
    <col min="3335" max="3335" width="2.28515625" style="63" customWidth="1"/>
    <col min="3336" max="3336" width="16" style="63" bestFit="1" customWidth="1"/>
    <col min="3337" max="3337" width="2.28515625" style="63" customWidth="1"/>
    <col min="3338" max="3338" width="13.140625" style="63" bestFit="1" customWidth="1"/>
    <col min="3339" max="3339" width="2.28515625" style="63" customWidth="1"/>
    <col min="3340" max="3340" width="16" style="63" bestFit="1" customWidth="1"/>
    <col min="3341" max="3341" width="2.28515625" style="63" customWidth="1"/>
    <col min="3342" max="3584" width="9.140625" style="63"/>
    <col min="3585" max="3585" width="4.42578125" style="63" bestFit="1" customWidth="1"/>
    <col min="3586" max="3586" width="2.28515625" style="63" customWidth="1"/>
    <col min="3587" max="3587" width="3.7109375" style="63" customWidth="1"/>
    <col min="3588" max="3588" width="43.42578125" style="63" bestFit="1" customWidth="1"/>
    <col min="3589" max="3589" width="2.28515625" style="63" customWidth="1"/>
    <col min="3590" max="3590" width="14.85546875" style="63" bestFit="1" customWidth="1"/>
    <col min="3591" max="3591" width="2.28515625" style="63" customWidth="1"/>
    <col min="3592" max="3592" width="16" style="63" bestFit="1" customWidth="1"/>
    <col min="3593" max="3593" width="2.28515625" style="63" customWidth="1"/>
    <col min="3594" max="3594" width="13.140625" style="63" bestFit="1" customWidth="1"/>
    <col min="3595" max="3595" width="2.28515625" style="63" customWidth="1"/>
    <col min="3596" max="3596" width="16" style="63" bestFit="1" customWidth="1"/>
    <col min="3597" max="3597" width="2.28515625" style="63" customWidth="1"/>
    <col min="3598" max="3840" width="9.140625" style="63"/>
    <col min="3841" max="3841" width="4.42578125" style="63" bestFit="1" customWidth="1"/>
    <col min="3842" max="3842" width="2.28515625" style="63" customWidth="1"/>
    <col min="3843" max="3843" width="3.7109375" style="63" customWidth="1"/>
    <col min="3844" max="3844" width="43.42578125" style="63" bestFit="1" customWidth="1"/>
    <col min="3845" max="3845" width="2.28515625" style="63" customWidth="1"/>
    <col min="3846" max="3846" width="14.85546875" style="63" bestFit="1" customWidth="1"/>
    <col min="3847" max="3847" width="2.28515625" style="63" customWidth="1"/>
    <col min="3848" max="3848" width="16" style="63" bestFit="1" customWidth="1"/>
    <col min="3849" max="3849" width="2.28515625" style="63" customWidth="1"/>
    <col min="3850" max="3850" width="13.140625" style="63" bestFit="1" customWidth="1"/>
    <col min="3851" max="3851" width="2.28515625" style="63" customWidth="1"/>
    <col min="3852" max="3852" width="16" style="63" bestFit="1" customWidth="1"/>
    <col min="3853" max="3853" width="2.28515625" style="63" customWidth="1"/>
    <col min="3854" max="4096" width="9.140625" style="63"/>
    <col min="4097" max="4097" width="4.42578125" style="63" bestFit="1" customWidth="1"/>
    <col min="4098" max="4098" width="2.28515625" style="63" customWidth="1"/>
    <col min="4099" max="4099" width="3.7109375" style="63" customWidth="1"/>
    <col min="4100" max="4100" width="43.42578125" style="63" bestFit="1" customWidth="1"/>
    <col min="4101" max="4101" width="2.28515625" style="63" customWidth="1"/>
    <col min="4102" max="4102" width="14.85546875" style="63" bestFit="1" customWidth="1"/>
    <col min="4103" max="4103" width="2.28515625" style="63" customWidth="1"/>
    <col min="4104" max="4104" width="16" style="63" bestFit="1" customWidth="1"/>
    <col min="4105" max="4105" width="2.28515625" style="63" customWidth="1"/>
    <col min="4106" max="4106" width="13.140625" style="63" bestFit="1" customWidth="1"/>
    <col min="4107" max="4107" width="2.28515625" style="63" customWidth="1"/>
    <col min="4108" max="4108" width="16" style="63" bestFit="1" customWidth="1"/>
    <col min="4109" max="4109" width="2.28515625" style="63" customWidth="1"/>
    <col min="4110" max="4352" width="9.140625" style="63"/>
    <col min="4353" max="4353" width="4.42578125" style="63" bestFit="1" customWidth="1"/>
    <col min="4354" max="4354" width="2.28515625" style="63" customWidth="1"/>
    <col min="4355" max="4355" width="3.7109375" style="63" customWidth="1"/>
    <col min="4356" max="4356" width="43.42578125" style="63" bestFit="1" customWidth="1"/>
    <col min="4357" max="4357" width="2.28515625" style="63" customWidth="1"/>
    <col min="4358" max="4358" width="14.85546875" style="63" bestFit="1" customWidth="1"/>
    <col min="4359" max="4359" width="2.28515625" style="63" customWidth="1"/>
    <col min="4360" max="4360" width="16" style="63" bestFit="1" customWidth="1"/>
    <col min="4361" max="4361" width="2.28515625" style="63" customWidth="1"/>
    <col min="4362" max="4362" width="13.140625" style="63" bestFit="1" customWidth="1"/>
    <col min="4363" max="4363" width="2.28515625" style="63" customWidth="1"/>
    <col min="4364" max="4364" width="16" style="63" bestFit="1" customWidth="1"/>
    <col min="4365" max="4365" width="2.28515625" style="63" customWidth="1"/>
    <col min="4366" max="4608" width="9.140625" style="63"/>
    <col min="4609" max="4609" width="4.42578125" style="63" bestFit="1" customWidth="1"/>
    <col min="4610" max="4610" width="2.28515625" style="63" customWidth="1"/>
    <col min="4611" max="4611" width="3.7109375" style="63" customWidth="1"/>
    <col min="4612" max="4612" width="43.42578125" style="63" bestFit="1" customWidth="1"/>
    <col min="4613" max="4613" width="2.28515625" style="63" customWidth="1"/>
    <col min="4614" max="4614" width="14.85546875" style="63" bestFit="1" customWidth="1"/>
    <col min="4615" max="4615" width="2.28515625" style="63" customWidth="1"/>
    <col min="4616" max="4616" width="16" style="63" bestFit="1" customWidth="1"/>
    <col min="4617" max="4617" width="2.28515625" style="63" customWidth="1"/>
    <col min="4618" max="4618" width="13.140625" style="63" bestFit="1" customWidth="1"/>
    <col min="4619" max="4619" width="2.28515625" style="63" customWidth="1"/>
    <col min="4620" max="4620" width="16" style="63" bestFit="1" customWidth="1"/>
    <col min="4621" max="4621" width="2.28515625" style="63" customWidth="1"/>
    <col min="4622" max="4864" width="9.140625" style="63"/>
    <col min="4865" max="4865" width="4.42578125" style="63" bestFit="1" customWidth="1"/>
    <col min="4866" max="4866" width="2.28515625" style="63" customWidth="1"/>
    <col min="4867" max="4867" width="3.7109375" style="63" customWidth="1"/>
    <col min="4868" max="4868" width="43.42578125" style="63" bestFit="1" customWidth="1"/>
    <col min="4869" max="4869" width="2.28515625" style="63" customWidth="1"/>
    <col min="4870" max="4870" width="14.85546875" style="63" bestFit="1" customWidth="1"/>
    <col min="4871" max="4871" width="2.28515625" style="63" customWidth="1"/>
    <col min="4872" max="4872" width="16" style="63" bestFit="1" customWidth="1"/>
    <col min="4873" max="4873" width="2.28515625" style="63" customWidth="1"/>
    <col min="4874" max="4874" width="13.140625" style="63" bestFit="1" customWidth="1"/>
    <col min="4875" max="4875" width="2.28515625" style="63" customWidth="1"/>
    <col min="4876" max="4876" width="16" style="63" bestFit="1" customWidth="1"/>
    <col min="4877" max="4877" width="2.28515625" style="63" customWidth="1"/>
    <col min="4878" max="5120" width="9.140625" style="63"/>
    <col min="5121" max="5121" width="4.42578125" style="63" bestFit="1" customWidth="1"/>
    <col min="5122" max="5122" width="2.28515625" style="63" customWidth="1"/>
    <col min="5123" max="5123" width="3.7109375" style="63" customWidth="1"/>
    <col min="5124" max="5124" width="43.42578125" style="63" bestFit="1" customWidth="1"/>
    <col min="5125" max="5125" width="2.28515625" style="63" customWidth="1"/>
    <col min="5126" max="5126" width="14.85546875" style="63" bestFit="1" customWidth="1"/>
    <col min="5127" max="5127" width="2.28515625" style="63" customWidth="1"/>
    <col min="5128" max="5128" width="16" style="63" bestFit="1" customWidth="1"/>
    <col min="5129" max="5129" width="2.28515625" style="63" customWidth="1"/>
    <col min="5130" max="5130" width="13.140625" style="63" bestFit="1" customWidth="1"/>
    <col min="5131" max="5131" width="2.28515625" style="63" customWidth="1"/>
    <col min="5132" max="5132" width="16" style="63" bestFit="1" customWidth="1"/>
    <col min="5133" max="5133" width="2.28515625" style="63" customWidth="1"/>
    <col min="5134" max="5376" width="9.140625" style="63"/>
    <col min="5377" max="5377" width="4.42578125" style="63" bestFit="1" customWidth="1"/>
    <col min="5378" max="5378" width="2.28515625" style="63" customWidth="1"/>
    <col min="5379" max="5379" width="3.7109375" style="63" customWidth="1"/>
    <col min="5380" max="5380" width="43.42578125" style="63" bestFit="1" customWidth="1"/>
    <col min="5381" max="5381" width="2.28515625" style="63" customWidth="1"/>
    <col min="5382" max="5382" width="14.85546875" style="63" bestFit="1" customWidth="1"/>
    <col min="5383" max="5383" width="2.28515625" style="63" customWidth="1"/>
    <col min="5384" max="5384" width="16" style="63" bestFit="1" customWidth="1"/>
    <col min="5385" max="5385" width="2.28515625" style="63" customWidth="1"/>
    <col min="5386" max="5386" width="13.140625" style="63" bestFit="1" customWidth="1"/>
    <col min="5387" max="5387" width="2.28515625" style="63" customWidth="1"/>
    <col min="5388" max="5388" width="16" style="63" bestFit="1" customWidth="1"/>
    <col min="5389" max="5389" width="2.28515625" style="63" customWidth="1"/>
    <col min="5390" max="5632" width="9.140625" style="63"/>
    <col min="5633" max="5633" width="4.42578125" style="63" bestFit="1" customWidth="1"/>
    <col min="5634" max="5634" width="2.28515625" style="63" customWidth="1"/>
    <col min="5635" max="5635" width="3.7109375" style="63" customWidth="1"/>
    <col min="5636" max="5636" width="43.42578125" style="63" bestFit="1" customWidth="1"/>
    <col min="5637" max="5637" width="2.28515625" style="63" customWidth="1"/>
    <col min="5638" max="5638" width="14.85546875" style="63" bestFit="1" customWidth="1"/>
    <col min="5639" max="5639" width="2.28515625" style="63" customWidth="1"/>
    <col min="5640" max="5640" width="16" style="63" bestFit="1" customWidth="1"/>
    <col min="5641" max="5641" width="2.28515625" style="63" customWidth="1"/>
    <col min="5642" max="5642" width="13.140625" style="63" bestFit="1" customWidth="1"/>
    <col min="5643" max="5643" width="2.28515625" style="63" customWidth="1"/>
    <col min="5644" max="5644" width="16" style="63" bestFit="1" customWidth="1"/>
    <col min="5645" max="5645" width="2.28515625" style="63" customWidth="1"/>
    <col min="5646" max="5888" width="9.140625" style="63"/>
    <col min="5889" max="5889" width="4.42578125" style="63" bestFit="1" customWidth="1"/>
    <col min="5890" max="5890" width="2.28515625" style="63" customWidth="1"/>
    <col min="5891" max="5891" width="3.7109375" style="63" customWidth="1"/>
    <col min="5892" max="5892" width="43.42578125" style="63" bestFit="1" customWidth="1"/>
    <col min="5893" max="5893" width="2.28515625" style="63" customWidth="1"/>
    <col min="5894" max="5894" width="14.85546875" style="63" bestFit="1" customWidth="1"/>
    <col min="5895" max="5895" width="2.28515625" style="63" customWidth="1"/>
    <col min="5896" max="5896" width="16" style="63" bestFit="1" customWidth="1"/>
    <col min="5897" max="5897" width="2.28515625" style="63" customWidth="1"/>
    <col min="5898" max="5898" width="13.140625" style="63" bestFit="1" customWidth="1"/>
    <col min="5899" max="5899" width="2.28515625" style="63" customWidth="1"/>
    <col min="5900" max="5900" width="16" style="63" bestFit="1" customWidth="1"/>
    <col min="5901" max="5901" width="2.28515625" style="63" customWidth="1"/>
    <col min="5902" max="6144" width="9.140625" style="63"/>
    <col min="6145" max="6145" width="4.42578125" style="63" bestFit="1" customWidth="1"/>
    <col min="6146" max="6146" width="2.28515625" style="63" customWidth="1"/>
    <col min="6147" max="6147" width="3.7109375" style="63" customWidth="1"/>
    <col min="6148" max="6148" width="43.42578125" style="63" bestFit="1" customWidth="1"/>
    <col min="6149" max="6149" width="2.28515625" style="63" customWidth="1"/>
    <col min="6150" max="6150" width="14.85546875" style="63" bestFit="1" customWidth="1"/>
    <col min="6151" max="6151" width="2.28515625" style="63" customWidth="1"/>
    <col min="6152" max="6152" width="16" style="63" bestFit="1" customWidth="1"/>
    <col min="6153" max="6153" width="2.28515625" style="63" customWidth="1"/>
    <col min="6154" max="6154" width="13.140625" style="63" bestFit="1" customWidth="1"/>
    <col min="6155" max="6155" width="2.28515625" style="63" customWidth="1"/>
    <col min="6156" max="6156" width="16" style="63" bestFit="1" customWidth="1"/>
    <col min="6157" max="6157" width="2.28515625" style="63" customWidth="1"/>
    <col min="6158" max="6400" width="9.140625" style="63"/>
    <col min="6401" max="6401" width="4.42578125" style="63" bestFit="1" customWidth="1"/>
    <col min="6402" max="6402" width="2.28515625" style="63" customWidth="1"/>
    <col min="6403" max="6403" width="3.7109375" style="63" customWidth="1"/>
    <col min="6404" max="6404" width="43.42578125" style="63" bestFit="1" customWidth="1"/>
    <col min="6405" max="6405" width="2.28515625" style="63" customWidth="1"/>
    <col min="6406" max="6406" width="14.85546875" style="63" bestFit="1" customWidth="1"/>
    <col min="6407" max="6407" width="2.28515625" style="63" customWidth="1"/>
    <col min="6408" max="6408" width="16" style="63" bestFit="1" customWidth="1"/>
    <col min="6409" max="6409" width="2.28515625" style="63" customWidth="1"/>
    <col min="6410" max="6410" width="13.140625" style="63" bestFit="1" customWidth="1"/>
    <col min="6411" max="6411" width="2.28515625" style="63" customWidth="1"/>
    <col min="6412" max="6412" width="16" style="63" bestFit="1" customWidth="1"/>
    <col min="6413" max="6413" width="2.28515625" style="63" customWidth="1"/>
    <col min="6414" max="6656" width="9.140625" style="63"/>
    <col min="6657" max="6657" width="4.42578125" style="63" bestFit="1" customWidth="1"/>
    <col min="6658" max="6658" width="2.28515625" style="63" customWidth="1"/>
    <col min="6659" max="6659" width="3.7109375" style="63" customWidth="1"/>
    <col min="6660" max="6660" width="43.42578125" style="63" bestFit="1" customWidth="1"/>
    <col min="6661" max="6661" width="2.28515625" style="63" customWidth="1"/>
    <col min="6662" max="6662" width="14.85546875" style="63" bestFit="1" customWidth="1"/>
    <col min="6663" max="6663" width="2.28515625" style="63" customWidth="1"/>
    <col min="6664" max="6664" width="16" style="63" bestFit="1" customWidth="1"/>
    <col min="6665" max="6665" width="2.28515625" style="63" customWidth="1"/>
    <col min="6666" max="6666" width="13.140625" style="63" bestFit="1" customWidth="1"/>
    <col min="6667" max="6667" width="2.28515625" style="63" customWidth="1"/>
    <col min="6668" max="6668" width="16" style="63" bestFit="1" customWidth="1"/>
    <col min="6669" max="6669" width="2.28515625" style="63" customWidth="1"/>
    <col min="6670" max="6912" width="9.140625" style="63"/>
    <col min="6913" max="6913" width="4.42578125" style="63" bestFit="1" customWidth="1"/>
    <col min="6914" max="6914" width="2.28515625" style="63" customWidth="1"/>
    <col min="6915" max="6915" width="3.7109375" style="63" customWidth="1"/>
    <col min="6916" max="6916" width="43.42578125" style="63" bestFit="1" customWidth="1"/>
    <col min="6917" max="6917" width="2.28515625" style="63" customWidth="1"/>
    <col min="6918" max="6918" width="14.85546875" style="63" bestFit="1" customWidth="1"/>
    <col min="6919" max="6919" width="2.28515625" style="63" customWidth="1"/>
    <col min="6920" max="6920" width="16" style="63" bestFit="1" customWidth="1"/>
    <col min="6921" max="6921" width="2.28515625" style="63" customWidth="1"/>
    <col min="6922" max="6922" width="13.140625" style="63" bestFit="1" customWidth="1"/>
    <col min="6923" max="6923" width="2.28515625" style="63" customWidth="1"/>
    <col min="6924" max="6924" width="16" style="63" bestFit="1" customWidth="1"/>
    <col min="6925" max="6925" width="2.28515625" style="63" customWidth="1"/>
    <col min="6926" max="7168" width="9.140625" style="63"/>
    <col min="7169" max="7169" width="4.42578125" style="63" bestFit="1" customWidth="1"/>
    <col min="7170" max="7170" width="2.28515625" style="63" customWidth="1"/>
    <col min="7171" max="7171" width="3.7109375" style="63" customWidth="1"/>
    <col min="7172" max="7172" width="43.42578125" style="63" bestFit="1" customWidth="1"/>
    <col min="7173" max="7173" width="2.28515625" style="63" customWidth="1"/>
    <col min="7174" max="7174" width="14.85546875" style="63" bestFit="1" customWidth="1"/>
    <col min="7175" max="7175" width="2.28515625" style="63" customWidth="1"/>
    <col min="7176" max="7176" width="16" style="63" bestFit="1" customWidth="1"/>
    <col min="7177" max="7177" width="2.28515625" style="63" customWidth="1"/>
    <col min="7178" max="7178" width="13.140625" style="63" bestFit="1" customWidth="1"/>
    <col min="7179" max="7179" width="2.28515625" style="63" customWidth="1"/>
    <col min="7180" max="7180" width="16" style="63" bestFit="1" customWidth="1"/>
    <col min="7181" max="7181" width="2.28515625" style="63" customWidth="1"/>
    <col min="7182" max="7424" width="9.140625" style="63"/>
    <col min="7425" max="7425" width="4.42578125" style="63" bestFit="1" customWidth="1"/>
    <col min="7426" max="7426" width="2.28515625" style="63" customWidth="1"/>
    <col min="7427" max="7427" width="3.7109375" style="63" customWidth="1"/>
    <col min="7428" max="7428" width="43.42578125" style="63" bestFit="1" customWidth="1"/>
    <col min="7429" max="7429" width="2.28515625" style="63" customWidth="1"/>
    <col min="7430" max="7430" width="14.85546875" style="63" bestFit="1" customWidth="1"/>
    <col min="7431" max="7431" width="2.28515625" style="63" customWidth="1"/>
    <col min="7432" max="7432" width="16" style="63" bestFit="1" customWidth="1"/>
    <col min="7433" max="7433" width="2.28515625" style="63" customWidth="1"/>
    <col min="7434" max="7434" width="13.140625" style="63" bestFit="1" customWidth="1"/>
    <col min="7435" max="7435" width="2.28515625" style="63" customWidth="1"/>
    <col min="7436" max="7436" width="16" style="63" bestFit="1" customWidth="1"/>
    <col min="7437" max="7437" width="2.28515625" style="63" customWidth="1"/>
    <col min="7438" max="7680" width="9.140625" style="63"/>
    <col min="7681" max="7681" width="4.42578125" style="63" bestFit="1" customWidth="1"/>
    <col min="7682" max="7682" width="2.28515625" style="63" customWidth="1"/>
    <col min="7683" max="7683" width="3.7109375" style="63" customWidth="1"/>
    <col min="7684" max="7684" width="43.42578125" style="63" bestFit="1" customWidth="1"/>
    <col min="7685" max="7685" width="2.28515625" style="63" customWidth="1"/>
    <col min="7686" max="7686" width="14.85546875" style="63" bestFit="1" customWidth="1"/>
    <col min="7687" max="7687" width="2.28515625" style="63" customWidth="1"/>
    <col min="7688" max="7688" width="16" style="63" bestFit="1" customWidth="1"/>
    <col min="7689" max="7689" width="2.28515625" style="63" customWidth="1"/>
    <col min="7690" max="7690" width="13.140625" style="63" bestFit="1" customWidth="1"/>
    <col min="7691" max="7691" width="2.28515625" style="63" customWidth="1"/>
    <col min="7692" max="7692" width="16" style="63" bestFit="1" customWidth="1"/>
    <col min="7693" max="7693" width="2.28515625" style="63" customWidth="1"/>
    <col min="7694" max="7936" width="9.140625" style="63"/>
    <col min="7937" max="7937" width="4.42578125" style="63" bestFit="1" customWidth="1"/>
    <col min="7938" max="7938" width="2.28515625" style="63" customWidth="1"/>
    <col min="7939" max="7939" width="3.7109375" style="63" customWidth="1"/>
    <col min="7940" max="7940" width="43.42578125" style="63" bestFit="1" customWidth="1"/>
    <col min="7941" max="7941" width="2.28515625" style="63" customWidth="1"/>
    <col min="7942" max="7942" width="14.85546875" style="63" bestFit="1" customWidth="1"/>
    <col min="7943" max="7943" width="2.28515625" style="63" customWidth="1"/>
    <col min="7944" max="7944" width="16" style="63" bestFit="1" customWidth="1"/>
    <col min="7945" max="7945" width="2.28515625" style="63" customWidth="1"/>
    <col min="7946" max="7946" width="13.140625" style="63" bestFit="1" customWidth="1"/>
    <col min="7947" max="7947" width="2.28515625" style="63" customWidth="1"/>
    <col min="7948" max="7948" width="16" style="63" bestFit="1" customWidth="1"/>
    <col min="7949" max="7949" width="2.28515625" style="63" customWidth="1"/>
    <col min="7950" max="8192" width="9.140625" style="63"/>
    <col min="8193" max="8193" width="4.42578125" style="63" bestFit="1" customWidth="1"/>
    <col min="8194" max="8194" width="2.28515625" style="63" customWidth="1"/>
    <col min="8195" max="8195" width="3.7109375" style="63" customWidth="1"/>
    <col min="8196" max="8196" width="43.42578125" style="63" bestFit="1" customWidth="1"/>
    <col min="8197" max="8197" width="2.28515625" style="63" customWidth="1"/>
    <col min="8198" max="8198" width="14.85546875" style="63" bestFit="1" customWidth="1"/>
    <col min="8199" max="8199" width="2.28515625" style="63" customWidth="1"/>
    <col min="8200" max="8200" width="16" style="63" bestFit="1" customWidth="1"/>
    <col min="8201" max="8201" width="2.28515625" style="63" customWidth="1"/>
    <col min="8202" max="8202" width="13.140625" style="63" bestFit="1" customWidth="1"/>
    <col min="8203" max="8203" width="2.28515625" style="63" customWidth="1"/>
    <col min="8204" max="8204" width="16" style="63" bestFit="1" customWidth="1"/>
    <col min="8205" max="8205" width="2.28515625" style="63" customWidth="1"/>
    <col min="8206" max="8448" width="9.140625" style="63"/>
    <col min="8449" max="8449" width="4.42578125" style="63" bestFit="1" customWidth="1"/>
    <col min="8450" max="8450" width="2.28515625" style="63" customWidth="1"/>
    <col min="8451" max="8451" width="3.7109375" style="63" customWidth="1"/>
    <col min="8452" max="8452" width="43.42578125" style="63" bestFit="1" customWidth="1"/>
    <col min="8453" max="8453" width="2.28515625" style="63" customWidth="1"/>
    <col min="8454" max="8454" width="14.85546875" style="63" bestFit="1" customWidth="1"/>
    <col min="8455" max="8455" width="2.28515625" style="63" customWidth="1"/>
    <col min="8456" max="8456" width="16" style="63" bestFit="1" customWidth="1"/>
    <col min="8457" max="8457" width="2.28515625" style="63" customWidth="1"/>
    <col min="8458" max="8458" width="13.140625" style="63" bestFit="1" customWidth="1"/>
    <col min="8459" max="8459" width="2.28515625" style="63" customWidth="1"/>
    <col min="8460" max="8460" width="16" style="63" bestFit="1" customWidth="1"/>
    <col min="8461" max="8461" width="2.28515625" style="63" customWidth="1"/>
    <col min="8462" max="8704" width="9.140625" style="63"/>
    <col min="8705" max="8705" width="4.42578125" style="63" bestFit="1" customWidth="1"/>
    <col min="8706" max="8706" width="2.28515625" style="63" customWidth="1"/>
    <col min="8707" max="8707" width="3.7109375" style="63" customWidth="1"/>
    <col min="8708" max="8708" width="43.42578125" style="63" bestFit="1" customWidth="1"/>
    <col min="8709" max="8709" width="2.28515625" style="63" customWidth="1"/>
    <col min="8710" max="8710" width="14.85546875" style="63" bestFit="1" customWidth="1"/>
    <col min="8711" max="8711" width="2.28515625" style="63" customWidth="1"/>
    <col min="8712" max="8712" width="16" style="63" bestFit="1" customWidth="1"/>
    <col min="8713" max="8713" width="2.28515625" style="63" customWidth="1"/>
    <col min="8714" max="8714" width="13.140625" style="63" bestFit="1" customWidth="1"/>
    <col min="8715" max="8715" width="2.28515625" style="63" customWidth="1"/>
    <col min="8716" max="8716" width="16" style="63" bestFit="1" customWidth="1"/>
    <col min="8717" max="8717" width="2.28515625" style="63" customWidth="1"/>
    <col min="8718" max="8960" width="9.140625" style="63"/>
    <col min="8961" max="8961" width="4.42578125" style="63" bestFit="1" customWidth="1"/>
    <col min="8962" max="8962" width="2.28515625" style="63" customWidth="1"/>
    <col min="8963" max="8963" width="3.7109375" style="63" customWidth="1"/>
    <col min="8964" max="8964" width="43.42578125" style="63" bestFit="1" customWidth="1"/>
    <col min="8965" max="8965" width="2.28515625" style="63" customWidth="1"/>
    <col min="8966" max="8966" width="14.85546875" style="63" bestFit="1" customWidth="1"/>
    <col min="8967" max="8967" width="2.28515625" style="63" customWidth="1"/>
    <col min="8968" max="8968" width="16" style="63" bestFit="1" customWidth="1"/>
    <col min="8969" max="8969" width="2.28515625" style="63" customWidth="1"/>
    <col min="8970" max="8970" width="13.140625" style="63" bestFit="1" customWidth="1"/>
    <col min="8971" max="8971" width="2.28515625" style="63" customWidth="1"/>
    <col min="8972" max="8972" width="16" style="63" bestFit="1" customWidth="1"/>
    <col min="8973" max="8973" width="2.28515625" style="63" customWidth="1"/>
    <col min="8974" max="9216" width="9.140625" style="63"/>
    <col min="9217" max="9217" width="4.42578125" style="63" bestFit="1" customWidth="1"/>
    <col min="9218" max="9218" width="2.28515625" style="63" customWidth="1"/>
    <col min="9219" max="9219" width="3.7109375" style="63" customWidth="1"/>
    <col min="9220" max="9220" width="43.42578125" style="63" bestFit="1" customWidth="1"/>
    <col min="9221" max="9221" width="2.28515625" style="63" customWidth="1"/>
    <col min="9222" max="9222" width="14.85546875" style="63" bestFit="1" customWidth="1"/>
    <col min="9223" max="9223" width="2.28515625" style="63" customWidth="1"/>
    <col min="9224" max="9224" width="16" style="63" bestFit="1" customWidth="1"/>
    <col min="9225" max="9225" width="2.28515625" style="63" customWidth="1"/>
    <col min="9226" max="9226" width="13.140625" style="63" bestFit="1" customWidth="1"/>
    <col min="9227" max="9227" width="2.28515625" style="63" customWidth="1"/>
    <col min="9228" max="9228" width="16" style="63" bestFit="1" customWidth="1"/>
    <col min="9229" max="9229" width="2.28515625" style="63" customWidth="1"/>
    <col min="9230" max="9472" width="9.140625" style="63"/>
    <col min="9473" max="9473" width="4.42578125" style="63" bestFit="1" customWidth="1"/>
    <col min="9474" max="9474" width="2.28515625" style="63" customWidth="1"/>
    <col min="9475" max="9475" width="3.7109375" style="63" customWidth="1"/>
    <col min="9476" max="9476" width="43.42578125" style="63" bestFit="1" customWidth="1"/>
    <col min="9477" max="9477" width="2.28515625" style="63" customWidth="1"/>
    <col min="9478" max="9478" width="14.85546875" style="63" bestFit="1" customWidth="1"/>
    <col min="9479" max="9479" width="2.28515625" style="63" customWidth="1"/>
    <col min="9480" max="9480" width="16" style="63" bestFit="1" customWidth="1"/>
    <col min="9481" max="9481" width="2.28515625" style="63" customWidth="1"/>
    <col min="9482" max="9482" width="13.140625" style="63" bestFit="1" customWidth="1"/>
    <col min="9483" max="9483" width="2.28515625" style="63" customWidth="1"/>
    <col min="9484" max="9484" width="16" style="63" bestFit="1" customWidth="1"/>
    <col min="9485" max="9485" width="2.28515625" style="63" customWidth="1"/>
    <col min="9486" max="9728" width="9.140625" style="63"/>
    <col min="9729" max="9729" width="4.42578125" style="63" bestFit="1" customWidth="1"/>
    <col min="9730" max="9730" width="2.28515625" style="63" customWidth="1"/>
    <col min="9731" max="9731" width="3.7109375" style="63" customWidth="1"/>
    <col min="9732" max="9732" width="43.42578125" style="63" bestFit="1" customWidth="1"/>
    <col min="9733" max="9733" width="2.28515625" style="63" customWidth="1"/>
    <col min="9734" max="9734" width="14.85546875" style="63" bestFit="1" customWidth="1"/>
    <col min="9735" max="9735" width="2.28515625" style="63" customWidth="1"/>
    <col min="9736" max="9736" width="16" style="63" bestFit="1" customWidth="1"/>
    <col min="9737" max="9737" width="2.28515625" style="63" customWidth="1"/>
    <col min="9738" max="9738" width="13.140625" style="63" bestFit="1" customWidth="1"/>
    <col min="9739" max="9739" width="2.28515625" style="63" customWidth="1"/>
    <col min="9740" max="9740" width="16" style="63" bestFit="1" customWidth="1"/>
    <col min="9741" max="9741" width="2.28515625" style="63" customWidth="1"/>
    <col min="9742" max="9984" width="9.140625" style="63"/>
    <col min="9985" max="9985" width="4.42578125" style="63" bestFit="1" customWidth="1"/>
    <col min="9986" max="9986" width="2.28515625" style="63" customWidth="1"/>
    <col min="9987" max="9987" width="3.7109375" style="63" customWidth="1"/>
    <col min="9988" max="9988" width="43.42578125" style="63" bestFit="1" customWidth="1"/>
    <col min="9989" max="9989" width="2.28515625" style="63" customWidth="1"/>
    <col min="9990" max="9990" width="14.85546875" style="63" bestFit="1" customWidth="1"/>
    <col min="9991" max="9991" width="2.28515625" style="63" customWidth="1"/>
    <col min="9992" max="9992" width="16" style="63" bestFit="1" customWidth="1"/>
    <col min="9993" max="9993" width="2.28515625" style="63" customWidth="1"/>
    <col min="9994" max="9994" width="13.140625" style="63" bestFit="1" customWidth="1"/>
    <col min="9995" max="9995" width="2.28515625" style="63" customWidth="1"/>
    <col min="9996" max="9996" width="16" style="63" bestFit="1" customWidth="1"/>
    <col min="9997" max="9997" width="2.28515625" style="63" customWidth="1"/>
    <col min="9998" max="10240" width="9.140625" style="63"/>
    <col min="10241" max="10241" width="4.42578125" style="63" bestFit="1" customWidth="1"/>
    <col min="10242" max="10242" width="2.28515625" style="63" customWidth="1"/>
    <col min="10243" max="10243" width="3.7109375" style="63" customWidth="1"/>
    <col min="10244" max="10244" width="43.42578125" style="63" bestFit="1" customWidth="1"/>
    <col min="10245" max="10245" width="2.28515625" style="63" customWidth="1"/>
    <col min="10246" max="10246" width="14.85546875" style="63" bestFit="1" customWidth="1"/>
    <col min="10247" max="10247" width="2.28515625" style="63" customWidth="1"/>
    <col min="10248" max="10248" width="16" style="63" bestFit="1" customWidth="1"/>
    <col min="10249" max="10249" width="2.28515625" style="63" customWidth="1"/>
    <col min="10250" max="10250" width="13.140625" style="63" bestFit="1" customWidth="1"/>
    <col min="10251" max="10251" width="2.28515625" style="63" customWidth="1"/>
    <col min="10252" max="10252" width="16" style="63" bestFit="1" customWidth="1"/>
    <col min="10253" max="10253" width="2.28515625" style="63" customWidth="1"/>
    <col min="10254" max="10496" width="9.140625" style="63"/>
    <col min="10497" max="10497" width="4.42578125" style="63" bestFit="1" customWidth="1"/>
    <col min="10498" max="10498" width="2.28515625" style="63" customWidth="1"/>
    <col min="10499" max="10499" width="3.7109375" style="63" customWidth="1"/>
    <col min="10500" max="10500" width="43.42578125" style="63" bestFit="1" customWidth="1"/>
    <col min="10501" max="10501" width="2.28515625" style="63" customWidth="1"/>
    <col min="10502" max="10502" width="14.85546875" style="63" bestFit="1" customWidth="1"/>
    <col min="10503" max="10503" width="2.28515625" style="63" customWidth="1"/>
    <col min="10504" max="10504" width="16" style="63" bestFit="1" customWidth="1"/>
    <col min="10505" max="10505" width="2.28515625" style="63" customWidth="1"/>
    <col min="10506" max="10506" width="13.140625" style="63" bestFit="1" customWidth="1"/>
    <col min="10507" max="10507" width="2.28515625" style="63" customWidth="1"/>
    <col min="10508" max="10508" width="16" style="63" bestFit="1" customWidth="1"/>
    <col min="10509" max="10509" width="2.28515625" style="63" customWidth="1"/>
    <col min="10510" max="10752" width="9.140625" style="63"/>
    <col min="10753" max="10753" width="4.42578125" style="63" bestFit="1" customWidth="1"/>
    <col min="10754" max="10754" width="2.28515625" style="63" customWidth="1"/>
    <col min="10755" max="10755" width="3.7109375" style="63" customWidth="1"/>
    <col min="10756" max="10756" width="43.42578125" style="63" bestFit="1" customWidth="1"/>
    <col min="10757" max="10757" width="2.28515625" style="63" customWidth="1"/>
    <col min="10758" max="10758" width="14.85546875" style="63" bestFit="1" customWidth="1"/>
    <col min="10759" max="10759" width="2.28515625" style="63" customWidth="1"/>
    <col min="10760" max="10760" width="16" style="63" bestFit="1" customWidth="1"/>
    <col min="10761" max="10761" width="2.28515625" style="63" customWidth="1"/>
    <col min="10762" max="10762" width="13.140625" style="63" bestFit="1" customWidth="1"/>
    <col min="10763" max="10763" width="2.28515625" style="63" customWidth="1"/>
    <col min="10764" max="10764" width="16" style="63" bestFit="1" customWidth="1"/>
    <col min="10765" max="10765" width="2.28515625" style="63" customWidth="1"/>
    <col min="10766" max="11008" width="9.140625" style="63"/>
    <col min="11009" max="11009" width="4.42578125" style="63" bestFit="1" customWidth="1"/>
    <col min="11010" max="11010" width="2.28515625" style="63" customWidth="1"/>
    <col min="11011" max="11011" width="3.7109375" style="63" customWidth="1"/>
    <col min="11012" max="11012" width="43.42578125" style="63" bestFit="1" customWidth="1"/>
    <col min="11013" max="11013" width="2.28515625" style="63" customWidth="1"/>
    <col min="11014" max="11014" width="14.85546875" style="63" bestFit="1" customWidth="1"/>
    <col min="11015" max="11015" width="2.28515625" style="63" customWidth="1"/>
    <col min="11016" max="11016" width="16" style="63" bestFit="1" customWidth="1"/>
    <col min="11017" max="11017" width="2.28515625" style="63" customWidth="1"/>
    <col min="11018" max="11018" width="13.140625" style="63" bestFit="1" customWidth="1"/>
    <col min="11019" max="11019" width="2.28515625" style="63" customWidth="1"/>
    <col min="11020" max="11020" width="16" style="63" bestFit="1" customWidth="1"/>
    <col min="11021" max="11021" width="2.28515625" style="63" customWidth="1"/>
    <col min="11022" max="11264" width="9.140625" style="63"/>
    <col min="11265" max="11265" width="4.42578125" style="63" bestFit="1" customWidth="1"/>
    <col min="11266" max="11266" width="2.28515625" style="63" customWidth="1"/>
    <col min="11267" max="11267" width="3.7109375" style="63" customWidth="1"/>
    <col min="11268" max="11268" width="43.42578125" style="63" bestFit="1" customWidth="1"/>
    <col min="11269" max="11269" width="2.28515625" style="63" customWidth="1"/>
    <col min="11270" max="11270" width="14.85546875" style="63" bestFit="1" customWidth="1"/>
    <col min="11271" max="11271" width="2.28515625" style="63" customWidth="1"/>
    <col min="11272" max="11272" width="16" style="63" bestFit="1" customWidth="1"/>
    <col min="11273" max="11273" width="2.28515625" style="63" customWidth="1"/>
    <col min="11274" max="11274" width="13.140625" style="63" bestFit="1" customWidth="1"/>
    <col min="11275" max="11275" width="2.28515625" style="63" customWidth="1"/>
    <col min="11276" max="11276" width="16" style="63" bestFit="1" customWidth="1"/>
    <col min="11277" max="11277" width="2.28515625" style="63" customWidth="1"/>
    <col min="11278" max="11520" width="9.140625" style="63"/>
    <col min="11521" max="11521" width="4.42578125" style="63" bestFit="1" customWidth="1"/>
    <col min="11522" max="11522" width="2.28515625" style="63" customWidth="1"/>
    <col min="11523" max="11523" width="3.7109375" style="63" customWidth="1"/>
    <col min="11524" max="11524" width="43.42578125" style="63" bestFit="1" customWidth="1"/>
    <col min="11525" max="11525" width="2.28515625" style="63" customWidth="1"/>
    <col min="11526" max="11526" width="14.85546875" style="63" bestFit="1" customWidth="1"/>
    <col min="11527" max="11527" width="2.28515625" style="63" customWidth="1"/>
    <col min="11528" max="11528" width="16" style="63" bestFit="1" customWidth="1"/>
    <col min="11529" max="11529" width="2.28515625" style="63" customWidth="1"/>
    <col min="11530" max="11530" width="13.140625" style="63" bestFit="1" customWidth="1"/>
    <col min="11531" max="11531" width="2.28515625" style="63" customWidth="1"/>
    <col min="11532" max="11532" width="16" style="63" bestFit="1" customWidth="1"/>
    <col min="11533" max="11533" width="2.28515625" style="63" customWidth="1"/>
    <col min="11534" max="11776" width="9.140625" style="63"/>
    <col min="11777" max="11777" width="4.42578125" style="63" bestFit="1" customWidth="1"/>
    <col min="11778" max="11778" width="2.28515625" style="63" customWidth="1"/>
    <col min="11779" max="11779" width="3.7109375" style="63" customWidth="1"/>
    <col min="11780" max="11780" width="43.42578125" style="63" bestFit="1" customWidth="1"/>
    <col min="11781" max="11781" width="2.28515625" style="63" customWidth="1"/>
    <col min="11782" max="11782" width="14.85546875" style="63" bestFit="1" customWidth="1"/>
    <col min="11783" max="11783" width="2.28515625" style="63" customWidth="1"/>
    <col min="11784" max="11784" width="16" style="63" bestFit="1" customWidth="1"/>
    <col min="11785" max="11785" width="2.28515625" style="63" customWidth="1"/>
    <col min="11786" max="11786" width="13.140625" style="63" bestFit="1" customWidth="1"/>
    <col min="11787" max="11787" width="2.28515625" style="63" customWidth="1"/>
    <col min="11788" max="11788" width="16" style="63" bestFit="1" customWidth="1"/>
    <col min="11789" max="11789" width="2.28515625" style="63" customWidth="1"/>
    <col min="11790" max="12032" width="9.140625" style="63"/>
    <col min="12033" max="12033" width="4.42578125" style="63" bestFit="1" customWidth="1"/>
    <col min="12034" max="12034" width="2.28515625" style="63" customWidth="1"/>
    <col min="12035" max="12035" width="3.7109375" style="63" customWidth="1"/>
    <col min="12036" max="12036" width="43.42578125" style="63" bestFit="1" customWidth="1"/>
    <col min="12037" max="12037" width="2.28515625" style="63" customWidth="1"/>
    <col min="12038" max="12038" width="14.85546875" style="63" bestFit="1" customWidth="1"/>
    <col min="12039" max="12039" width="2.28515625" style="63" customWidth="1"/>
    <col min="12040" max="12040" width="16" style="63" bestFit="1" customWidth="1"/>
    <col min="12041" max="12041" width="2.28515625" style="63" customWidth="1"/>
    <col min="12042" max="12042" width="13.140625" style="63" bestFit="1" customWidth="1"/>
    <col min="12043" max="12043" width="2.28515625" style="63" customWidth="1"/>
    <col min="12044" max="12044" width="16" style="63" bestFit="1" customWidth="1"/>
    <col min="12045" max="12045" width="2.28515625" style="63" customWidth="1"/>
    <col min="12046" max="12288" width="9.140625" style="63"/>
    <col min="12289" max="12289" width="4.42578125" style="63" bestFit="1" customWidth="1"/>
    <col min="12290" max="12290" width="2.28515625" style="63" customWidth="1"/>
    <col min="12291" max="12291" width="3.7109375" style="63" customWidth="1"/>
    <col min="12292" max="12292" width="43.42578125" style="63" bestFit="1" customWidth="1"/>
    <col min="12293" max="12293" width="2.28515625" style="63" customWidth="1"/>
    <col min="12294" max="12294" width="14.85546875" style="63" bestFit="1" customWidth="1"/>
    <col min="12295" max="12295" width="2.28515625" style="63" customWidth="1"/>
    <col min="12296" max="12296" width="16" style="63" bestFit="1" customWidth="1"/>
    <col min="12297" max="12297" width="2.28515625" style="63" customWidth="1"/>
    <col min="12298" max="12298" width="13.140625" style="63" bestFit="1" customWidth="1"/>
    <col min="12299" max="12299" width="2.28515625" style="63" customWidth="1"/>
    <col min="12300" max="12300" width="16" style="63" bestFit="1" customWidth="1"/>
    <col min="12301" max="12301" width="2.28515625" style="63" customWidth="1"/>
    <col min="12302" max="12544" width="9.140625" style="63"/>
    <col min="12545" max="12545" width="4.42578125" style="63" bestFit="1" customWidth="1"/>
    <col min="12546" max="12546" width="2.28515625" style="63" customWidth="1"/>
    <col min="12547" max="12547" width="3.7109375" style="63" customWidth="1"/>
    <col min="12548" max="12548" width="43.42578125" style="63" bestFit="1" customWidth="1"/>
    <col min="12549" max="12549" width="2.28515625" style="63" customWidth="1"/>
    <col min="12550" max="12550" width="14.85546875" style="63" bestFit="1" customWidth="1"/>
    <col min="12551" max="12551" width="2.28515625" style="63" customWidth="1"/>
    <col min="12552" max="12552" width="16" style="63" bestFit="1" customWidth="1"/>
    <col min="12553" max="12553" width="2.28515625" style="63" customWidth="1"/>
    <col min="12554" max="12554" width="13.140625" style="63" bestFit="1" customWidth="1"/>
    <col min="12555" max="12555" width="2.28515625" style="63" customWidth="1"/>
    <col min="12556" max="12556" width="16" style="63" bestFit="1" customWidth="1"/>
    <col min="12557" max="12557" width="2.28515625" style="63" customWidth="1"/>
    <col min="12558" max="12800" width="9.140625" style="63"/>
    <col min="12801" max="12801" width="4.42578125" style="63" bestFit="1" customWidth="1"/>
    <col min="12802" max="12802" width="2.28515625" style="63" customWidth="1"/>
    <col min="12803" max="12803" width="3.7109375" style="63" customWidth="1"/>
    <col min="12804" max="12804" width="43.42578125" style="63" bestFit="1" customWidth="1"/>
    <col min="12805" max="12805" width="2.28515625" style="63" customWidth="1"/>
    <col min="12806" max="12806" width="14.85546875" style="63" bestFit="1" customWidth="1"/>
    <col min="12807" max="12807" width="2.28515625" style="63" customWidth="1"/>
    <col min="12808" max="12808" width="16" style="63" bestFit="1" customWidth="1"/>
    <col min="12809" max="12809" width="2.28515625" style="63" customWidth="1"/>
    <col min="12810" max="12810" width="13.140625" style="63" bestFit="1" customWidth="1"/>
    <col min="12811" max="12811" width="2.28515625" style="63" customWidth="1"/>
    <col min="12812" max="12812" width="16" style="63" bestFit="1" customWidth="1"/>
    <col min="12813" max="12813" width="2.28515625" style="63" customWidth="1"/>
    <col min="12814" max="13056" width="9.140625" style="63"/>
    <col min="13057" max="13057" width="4.42578125" style="63" bestFit="1" customWidth="1"/>
    <col min="13058" max="13058" width="2.28515625" style="63" customWidth="1"/>
    <col min="13059" max="13059" width="3.7109375" style="63" customWidth="1"/>
    <col min="13060" max="13060" width="43.42578125" style="63" bestFit="1" customWidth="1"/>
    <col min="13061" max="13061" width="2.28515625" style="63" customWidth="1"/>
    <col min="13062" max="13062" width="14.85546875" style="63" bestFit="1" customWidth="1"/>
    <col min="13063" max="13063" width="2.28515625" style="63" customWidth="1"/>
    <col min="13064" max="13064" width="16" style="63" bestFit="1" customWidth="1"/>
    <col min="13065" max="13065" width="2.28515625" style="63" customWidth="1"/>
    <col min="13066" max="13066" width="13.140625" style="63" bestFit="1" customWidth="1"/>
    <col min="13067" max="13067" width="2.28515625" style="63" customWidth="1"/>
    <col min="13068" max="13068" width="16" style="63" bestFit="1" customWidth="1"/>
    <col min="13069" max="13069" width="2.28515625" style="63" customWidth="1"/>
    <col min="13070" max="13312" width="9.140625" style="63"/>
    <col min="13313" max="13313" width="4.42578125" style="63" bestFit="1" customWidth="1"/>
    <col min="13314" max="13314" width="2.28515625" style="63" customWidth="1"/>
    <col min="13315" max="13315" width="3.7109375" style="63" customWidth="1"/>
    <col min="13316" max="13316" width="43.42578125" style="63" bestFit="1" customWidth="1"/>
    <col min="13317" max="13317" width="2.28515625" style="63" customWidth="1"/>
    <col min="13318" max="13318" width="14.85546875" style="63" bestFit="1" customWidth="1"/>
    <col min="13319" max="13319" width="2.28515625" style="63" customWidth="1"/>
    <col min="13320" max="13320" width="16" style="63" bestFit="1" customWidth="1"/>
    <col min="13321" max="13321" width="2.28515625" style="63" customWidth="1"/>
    <col min="13322" max="13322" width="13.140625" style="63" bestFit="1" customWidth="1"/>
    <col min="13323" max="13323" width="2.28515625" style="63" customWidth="1"/>
    <col min="13324" max="13324" width="16" style="63" bestFit="1" customWidth="1"/>
    <col min="13325" max="13325" width="2.28515625" style="63" customWidth="1"/>
    <col min="13326" max="13568" width="9.140625" style="63"/>
    <col min="13569" max="13569" width="4.42578125" style="63" bestFit="1" customWidth="1"/>
    <col min="13570" max="13570" width="2.28515625" style="63" customWidth="1"/>
    <col min="13571" max="13571" width="3.7109375" style="63" customWidth="1"/>
    <col min="13572" max="13572" width="43.42578125" style="63" bestFit="1" customWidth="1"/>
    <col min="13573" max="13573" width="2.28515625" style="63" customWidth="1"/>
    <col min="13574" max="13574" width="14.85546875" style="63" bestFit="1" customWidth="1"/>
    <col min="13575" max="13575" width="2.28515625" style="63" customWidth="1"/>
    <col min="13576" max="13576" width="16" style="63" bestFit="1" customWidth="1"/>
    <col min="13577" max="13577" width="2.28515625" style="63" customWidth="1"/>
    <col min="13578" max="13578" width="13.140625" style="63" bestFit="1" customWidth="1"/>
    <col min="13579" max="13579" width="2.28515625" style="63" customWidth="1"/>
    <col min="13580" max="13580" width="16" style="63" bestFit="1" customWidth="1"/>
    <col min="13581" max="13581" width="2.28515625" style="63" customWidth="1"/>
    <col min="13582" max="13824" width="9.140625" style="63"/>
    <col min="13825" max="13825" width="4.42578125" style="63" bestFit="1" customWidth="1"/>
    <col min="13826" max="13826" width="2.28515625" style="63" customWidth="1"/>
    <col min="13827" max="13827" width="3.7109375" style="63" customWidth="1"/>
    <col min="13828" max="13828" width="43.42578125" style="63" bestFit="1" customWidth="1"/>
    <col min="13829" max="13829" width="2.28515625" style="63" customWidth="1"/>
    <col min="13830" max="13830" width="14.85546875" style="63" bestFit="1" customWidth="1"/>
    <col min="13831" max="13831" width="2.28515625" style="63" customWidth="1"/>
    <col min="13832" max="13832" width="16" style="63" bestFit="1" customWidth="1"/>
    <col min="13833" max="13833" width="2.28515625" style="63" customWidth="1"/>
    <col min="13834" max="13834" width="13.140625" style="63" bestFit="1" customWidth="1"/>
    <col min="13835" max="13835" width="2.28515625" style="63" customWidth="1"/>
    <col min="13836" max="13836" width="16" style="63" bestFit="1" customWidth="1"/>
    <col min="13837" max="13837" width="2.28515625" style="63" customWidth="1"/>
    <col min="13838" max="14080" width="9.140625" style="63"/>
    <col min="14081" max="14081" width="4.42578125" style="63" bestFit="1" customWidth="1"/>
    <col min="14082" max="14082" width="2.28515625" style="63" customWidth="1"/>
    <col min="14083" max="14083" width="3.7109375" style="63" customWidth="1"/>
    <col min="14084" max="14084" width="43.42578125" style="63" bestFit="1" customWidth="1"/>
    <col min="14085" max="14085" width="2.28515625" style="63" customWidth="1"/>
    <col min="14086" max="14086" width="14.85546875" style="63" bestFit="1" customWidth="1"/>
    <col min="14087" max="14087" width="2.28515625" style="63" customWidth="1"/>
    <col min="14088" max="14088" width="16" style="63" bestFit="1" customWidth="1"/>
    <col min="14089" max="14089" width="2.28515625" style="63" customWidth="1"/>
    <col min="14090" max="14090" width="13.140625" style="63" bestFit="1" customWidth="1"/>
    <col min="14091" max="14091" width="2.28515625" style="63" customWidth="1"/>
    <col min="14092" max="14092" width="16" style="63" bestFit="1" customWidth="1"/>
    <col min="14093" max="14093" width="2.28515625" style="63" customWidth="1"/>
    <col min="14094" max="14336" width="9.140625" style="63"/>
    <col min="14337" max="14337" width="4.42578125" style="63" bestFit="1" customWidth="1"/>
    <col min="14338" max="14338" width="2.28515625" style="63" customWidth="1"/>
    <col min="14339" max="14339" width="3.7109375" style="63" customWidth="1"/>
    <col min="14340" max="14340" width="43.42578125" style="63" bestFit="1" customWidth="1"/>
    <col min="14341" max="14341" width="2.28515625" style="63" customWidth="1"/>
    <col min="14342" max="14342" width="14.85546875" style="63" bestFit="1" customWidth="1"/>
    <col min="14343" max="14343" width="2.28515625" style="63" customWidth="1"/>
    <col min="14344" max="14344" width="16" style="63" bestFit="1" customWidth="1"/>
    <col min="14345" max="14345" width="2.28515625" style="63" customWidth="1"/>
    <col min="14346" max="14346" width="13.140625" style="63" bestFit="1" customWidth="1"/>
    <col min="14347" max="14347" width="2.28515625" style="63" customWidth="1"/>
    <col min="14348" max="14348" width="16" style="63" bestFit="1" customWidth="1"/>
    <col min="14349" max="14349" width="2.28515625" style="63" customWidth="1"/>
    <col min="14350" max="14592" width="9.140625" style="63"/>
    <col min="14593" max="14593" width="4.42578125" style="63" bestFit="1" customWidth="1"/>
    <col min="14594" max="14594" width="2.28515625" style="63" customWidth="1"/>
    <col min="14595" max="14595" width="3.7109375" style="63" customWidth="1"/>
    <col min="14596" max="14596" width="43.42578125" style="63" bestFit="1" customWidth="1"/>
    <col min="14597" max="14597" width="2.28515625" style="63" customWidth="1"/>
    <col min="14598" max="14598" width="14.85546875" style="63" bestFit="1" customWidth="1"/>
    <col min="14599" max="14599" width="2.28515625" style="63" customWidth="1"/>
    <col min="14600" max="14600" width="16" style="63" bestFit="1" customWidth="1"/>
    <col min="14601" max="14601" width="2.28515625" style="63" customWidth="1"/>
    <col min="14602" max="14602" width="13.140625" style="63" bestFit="1" customWidth="1"/>
    <col min="14603" max="14603" width="2.28515625" style="63" customWidth="1"/>
    <col min="14604" max="14604" width="16" style="63" bestFit="1" customWidth="1"/>
    <col min="14605" max="14605" width="2.28515625" style="63" customWidth="1"/>
    <col min="14606" max="14848" width="9.140625" style="63"/>
    <col min="14849" max="14849" width="4.42578125" style="63" bestFit="1" customWidth="1"/>
    <col min="14850" max="14850" width="2.28515625" style="63" customWidth="1"/>
    <col min="14851" max="14851" width="3.7109375" style="63" customWidth="1"/>
    <col min="14852" max="14852" width="43.42578125" style="63" bestFit="1" customWidth="1"/>
    <col min="14853" max="14853" width="2.28515625" style="63" customWidth="1"/>
    <col min="14854" max="14854" width="14.85546875" style="63" bestFit="1" customWidth="1"/>
    <col min="14855" max="14855" width="2.28515625" style="63" customWidth="1"/>
    <col min="14856" max="14856" width="16" style="63" bestFit="1" customWidth="1"/>
    <col min="14857" max="14857" width="2.28515625" style="63" customWidth="1"/>
    <col min="14858" max="14858" width="13.140625" style="63" bestFit="1" customWidth="1"/>
    <col min="14859" max="14859" width="2.28515625" style="63" customWidth="1"/>
    <col min="14860" max="14860" width="16" style="63" bestFit="1" customWidth="1"/>
    <col min="14861" max="14861" width="2.28515625" style="63" customWidth="1"/>
    <col min="14862" max="15104" width="9.140625" style="63"/>
    <col min="15105" max="15105" width="4.42578125" style="63" bestFit="1" customWidth="1"/>
    <col min="15106" max="15106" width="2.28515625" style="63" customWidth="1"/>
    <col min="15107" max="15107" width="3.7109375" style="63" customWidth="1"/>
    <col min="15108" max="15108" width="43.42578125" style="63" bestFit="1" customWidth="1"/>
    <col min="15109" max="15109" width="2.28515625" style="63" customWidth="1"/>
    <col min="15110" max="15110" width="14.85546875" style="63" bestFit="1" customWidth="1"/>
    <col min="15111" max="15111" width="2.28515625" style="63" customWidth="1"/>
    <col min="15112" max="15112" width="16" style="63" bestFit="1" customWidth="1"/>
    <col min="15113" max="15113" width="2.28515625" style="63" customWidth="1"/>
    <col min="15114" max="15114" width="13.140625" style="63" bestFit="1" customWidth="1"/>
    <col min="15115" max="15115" width="2.28515625" style="63" customWidth="1"/>
    <col min="15116" max="15116" width="16" style="63" bestFit="1" customWidth="1"/>
    <col min="15117" max="15117" width="2.28515625" style="63" customWidth="1"/>
    <col min="15118" max="15360" width="9.140625" style="63"/>
    <col min="15361" max="15361" width="4.42578125" style="63" bestFit="1" customWidth="1"/>
    <col min="15362" max="15362" width="2.28515625" style="63" customWidth="1"/>
    <col min="15363" max="15363" width="3.7109375" style="63" customWidth="1"/>
    <col min="15364" max="15364" width="43.42578125" style="63" bestFit="1" customWidth="1"/>
    <col min="15365" max="15365" width="2.28515625" style="63" customWidth="1"/>
    <col min="15366" max="15366" width="14.85546875" style="63" bestFit="1" customWidth="1"/>
    <col min="15367" max="15367" width="2.28515625" style="63" customWidth="1"/>
    <col min="15368" max="15368" width="16" style="63" bestFit="1" customWidth="1"/>
    <col min="15369" max="15369" width="2.28515625" style="63" customWidth="1"/>
    <col min="15370" max="15370" width="13.140625" style="63" bestFit="1" customWidth="1"/>
    <col min="15371" max="15371" width="2.28515625" style="63" customWidth="1"/>
    <col min="15372" max="15372" width="16" style="63" bestFit="1" customWidth="1"/>
    <col min="15373" max="15373" width="2.28515625" style="63" customWidth="1"/>
    <col min="15374" max="15616" width="9.140625" style="63"/>
    <col min="15617" max="15617" width="4.42578125" style="63" bestFit="1" customWidth="1"/>
    <col min="15618" max="15618" width="2.28515625" style="63" customWidth="1"/>
    <col min="15619" max="15619" width="3.7109375" style="63" customWidth="1"/>
    <col min="15620" max="15620" width="43.42578125" style="63" bestFit="1" customWidth="1"/>
    <col min="15621" max="15621" width="2.28515625" style="63" customWidth="1"/>
    <col min="15622" max="15622" width="14.85546875" style="63" bestFit="1" customWidth="1"/>
    <col min="15623" max="15623" width="2.28515625" style="63" customWidth="1"/>
    <col min="15624" max="15624" width="16" style="63" bestFit="1" customWidth="1"/>
    <col min="15625" max="15625" width="2.28515625" style="63" customWidth="1"/>
    <col min="15626" max="15626" width="13.140625" style="63" bestFit="1" customWidth="1"/>
    <col min="15627" max="15627" width="2.28515625" style="63" customWidth="1"/>
    <col min="15628" max="15628" width="16" style="63" bestFit="1" customWidth="1"/>
    <col min="15629" max="15629" width="2.28515625" style="63" customWidth="1"/>
    <col min="15630" max="15872" width="9.140625" style="63"/>
    <col min="15873" max="15873" width="4.42578125" style="63" bestFit="1" customWidth="1"/>
    <col min="15874" max="15874" width="2.28515625" style="63" customWidth="1"/>
    <col min="15875" max="15875" width="3.7109375" style="63" customWidth="1"/>
    <col min="15876" max="15876" width="43.42578125" style="63" bestFit="1" customWidth="1"/>
    <col min="15877" max="15877" width="2.28515625" style="63" customWidth="1"/>
    <col min="15878" max="15878" width="14.85546875" style="63" bestFit="1" customWidth="1"/>
    <col min="15879" max="15879" width="2.28515625" style="63" customWidth="1"/>
    <col min="15880" max="15880" width="16" style="63" bestFit="1" customWidth="1"/>
    <col min="15881" max="15881" width="2.28515625" style="63" customWidth="1"/>
    <col min="15882" max="15882" width="13.140625" style="63" bestFit="1" customWidth="1"/>
    <col min="15883" max="15883" width="2.28515625" style="63" customWidth="1"/>
    <col min="15884" max="15884" width="16" style="63" bestFit="1" customWidth="1"/>
    <col min="15885" max="15885" width="2.28515625" style="63" customWidth="1"/>
    <col min="15886" max="16128" width="9.140625" style="63"/>
    <col min="16129" max="16129" width="4.42578125" style="63" bestFit="1" customWidth="1"/>
    <col min="16130" max="16130" width="2.28515625" style="63" customWidth="1"/>
    <col min="16131" max="16131" width="3.7109375" style="63" customWidth="1"/>
    <col min="16132" max="16132" width="43.42578125" style="63" bestFit="1" customWidth="1"/>
    <col min="16133" max="16133" width="2.28515625" style="63" customWidth="1"/>
    <col min="16134" max="16134" width="14.85546875" style="63" bestFit="1" customWidth="1"/>
    <col min="16135" max="16135" width="2.28515625" style="63" customWidth="1"/>
    <col min="16136" max="16136" width="16" style="63" bestFit="1" customWidth="1"/>
    <col min="16137" max="16137" width="2.28515625" style="63" customWidth="1"/>
    <col min="16138" max="16138" width="13.140625" style="63" bestFit="1" customWidth="1"/>
    <col min="16139" max="16139" width="2.28515625" style="63" customWidth="1"/>
    <col min="16140" max="16140" width="16" style="63" bestFit="1" customWidth="1"/>
    <col min="16141" max="16141" width="2.28515625" style="63" customWidth="1"/>
    <col min="16142" max="16384" width="9.140625" style="63"/>
  </cols>
  <sheetData>
    <row r="1" spans="1:12">
      <c r="A1" s="289" t="s">
        <v>274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2" spans="1:12">
      <c r="A2" s="97"/>
      <c r="B2" s="97"/>
      <c r="C2" s="97"/>
      <c r="D2" s="97"/>
      <c r="E2" s="97"/>
      <c r="F2" s="111" t="s">
        <v>274</v>
      </c>
      <c r="G2" s="97"/>
      <c r="H2" s="97"/>
      <c r="I2" s="97"/>
      <c r="J2" s="97"/>
      <c r="K2" s="97"/>
      <c r="L2" s="111"/>
    </row>
    <row r="3" spans="1:12" ht="15">
      <c r="B3" s="98"/>
      <c r="C3" s="98"/>
      <c r="D3" s="97" t="s">
        <v>13</v>
      </c>
      <c r="E3" s="98"/>
      <c r="F3" s="113"/>
      <c r="G3" s="98"/>
      <c r="H3" s="98"/>
      <c r="I3" s="98"/>
      <c r="J3" s="98"/>
      <c r="K3" s="98"/>
      <c r="L3" s="172" t="s">
        <v>12</v>
      </c>
    </row>
    <row r="4" spans="1:12" ht="15">
      <c r="B4" s="98"/>
      <c r="C4" s="98"/>
      <c r="D4" s="97" t="s">
        <v>368</v>
      </c>
      <c r="E4" s="98"/>
      <c r="F4" s="113"/>
      <c r="G4" s="98"/>
      <c r="H4" s="98"/>
      <c r="I4" s="98"/>
      <c r="J4" s="98"/>
      <c r="K4" s="98"/>
      <c r="L4" s="172" t="s">
        <v>641</v>
      </c>
    </row>
    <row r="5" spans="1:12">
      <c r="B5" s="98"/>
      <c r="C5" s="98"/>
      <c r="D5" s="97" t="s">
        <v>352</v>
      </c>
      <c r="E5" s="98"/>
      <c r="F5" s="113"/>
      <c r="G5" s="98"/>
      <c r="H5" s="98"/>
      <c r="I5" s="98"/>
      <c r="J5" s="99"/>
      <c r="K5" s="99"/>
      <c r="L5" s="112"/>
    </row>
    <row r="6" spans="1:12">
      <c r="B6" s="98"/>
      <c r="C6" s="98"/>
      <c r="D6" s="97" t="s">
        <v>733</v>
      </c>
      <c r="E6" s="98"/>
      <c r="F6" s="113"/>
      <c r="G6" s="98"/>
      <c r="H6" s="98"/>
      <c r="I6" s="98"/>
      <c r="J6" s="98"/>
      <c r="K6" s="98"/>
      <c r="L6" s="113"/>
    </row>
    <row r="8" spans="1:12" ht="45">
      <c r="A8" s="100" t="s">
        <v>0</v>
      </c>
      <c r="B8" s="100"/>
      <c r="D8" s="80" t="s">
        <v>353</v>
      </c>
      <c r="F8" s="114" t="s">
        <v>732</v>
      </c>
      <c r="H8" s="101" t="s">
        <v>354</v>
      </c>
      <c r="J8" s="101" t="s">
        <v>355</v>
      </c>
      <c r="L8" s="114" t="s">
        <v>734</v>
      </c>
    </row>
    <row r="9" spans="1:12">
      <c r="A9" s="102">
        <v>-1</v>
      </c>
      <c r="B9" s="100"/>
      <c r="D9" s="103">
        <f>+A9-1</f>
        <v>-2</v>
      </c>
      <c r="F9" s="115">
        <f>+D9-1</f>
        <v>-3</v>
      </c>
      <c r="H9" s="103">
        <f>+F9-1</f>
        <v>-4</v>
      </c>
      <c r="J9" s="104">
        <f>+H9-1</f>
        <v>-5</v>
      </c>
      <c r="L9" s="115">
        <f>+H9-1</f>
        <v>-5</v>
      </c>
    </row>
    <row r="10" spans="1:12">
      <c r="A10" s="102"/>
      <c r="B10" s="100"/>
      <c r="D10" s="103"/>
      <c r="F10" s="115"/>
      <c r="H10" s="103"/>
      <c r="J10" s="104"/>
      <c r="L10" s="115" t="s">
        <v>356</v>
      </c>
    </row>
    <row r="11" spans="1:12">
      <c r="A11" s="100"/>
      <c r="B11" s="100"/>
    </row>
    <row r="12" spans="1:12">
      <c r="A12" s="103"/>
      <c r="B12" s="103"/>
      <c r="C12" s="63" t="s">
        <v>52</v>
      </c>
    </row>
    <row r="13" spans="1:12">
      <c r="A13" s="103">
        <v>1</v>
      </c>
      <c r="B13" s="103"/>
      <c r="D13" s="63" t="s">
        <v>57</v>
      </c>
      <c r="F13" s="117">
        <v>2731720184</v>
      </c>
      <c r="G13" s="106"/>
      <c r="H13" s="117">
        <v>-86928673</v>
      </c>
      <c r="I13" s="116"/>
      <c r="J13" s="117">
        <v>-776202944</v>
      </c>
      <c r="K13" s="116"/>
      <c r="L13" s="117">
        <f t="shared" ref="L13:L18" si="0">+F13+H13+J13</f>
        <v>1868588567</v>
      </c>
    </row>
    <row r="14" spans="1:12">
      <c r="A14" s="103">
        <f>+A13+1</f>
        <v>2</v>
      </c>
      <c r="B14" s="103"/>
      <c r="D14" s="63" t="s">
        <v>58</v>
      </c>
      <c r="F14" s="118">
        <v>6651762</v>
      </c>
      <c r="G14" s="106"/>
      <c r="H14" s="118">
        <v>-6651762</v>
      </c>
      <c r="I14" s="116"/>
      <c r="J14" s="118">
        <v>0</v>
      </c>
      <c r="K14" s="116"/>
      <c r="L14" s="118">
        <f t="shared" si="0"/>
        <v>0</v>
      </c>
    </row>
    <row r="15" spans="1:12">
      <c r="A15" s="103">
        <f>+A14+1</f>
        <v>3</v>
      </c>
      <c r="B15" s="103"/>
      <c r="D15" s="63" t="s">
        <v>59</v>
      </c>
      <c r="F15" s="118">
        <f>6778355+627604</f>
        <v>7405959</v>
      </c>
      <c r="G15" s="106"/>
      <c r="H15" s="118">
        <v>-6778983</v>
      </c>
      <c r="I15" s="116"/>
      <c r="J15" s="118">
        <v>0</v>
      </c>
      <c r="K15" s="116"/>
      <c r="L15" s="118">
        <f t="shared" si="0"/>
        <v>626976</v>
      </c>
    </row>
    <row r="16" spans="1:12">
      <c r="A16" s="103">
        <f>+A15+1</f>
        <v>4</v>
      </c>
      <c r="B16" s="103"/>
      <c r="D16" s="63" t="s">
        <v>60</v>
      </c>
      <c r="F16" s="118">
        <v>148935471</v>
      </c>
      <c r="G16" s="106"/>
      <c r="H16" s="118">
        <v>-1692945</v>
      </c>
      <c r="I16" s="116"/>
      <c r="J16" s="118">
        <v>0</v>
      </c>
      <c r="K16" s="116"/>
      <c r="L16" s="118">
        <f t="shared" si="0"/>
        <v>147242526</v>
      </c>
    </row>
    <row r="17" spans="1:12">
      <c r="A17" s="103">
        <f>+A16+1</f>
        <v>5</v>
      </c>
      <c r="B17" s="103"/>
      <c r="D17" s="63" t="s">
        <v>268</v>
      </c>
      <c r="F17" s="118">
        <v>0</v>
      </c>
      <c r="G17" s="106"/>
      <c r="H17" s="118">
        <v>0</v>
      </c>
      <c r="I17" s="116"/>
      <c r="J17" s="118">
        <v>0</v>
      </c>
      <c r="K17" s="116"/>
      <c r="L17" s="118">
        <f t="shared" si="0"/>
        <v>0</v>
      </c>
    </row>
    <row r="18" spans="1:12">
      <c r="A18" s="103">
        <f>+A17+1</f>
        <v>6</v>
      </c>
      <c r="B18" s="103"/>
      <c r="D18" s="63" t="s">
        <v>61</v>
      </c>
      <c r="F18" s="118">
        <v>80210718</v>
      </c>
      <c r="G18" s="106"/>
      <c r="H18" s="118">
        <v>-1026167</v>
      </c>
      <c r="I18" s="116"/>
      <c r="J18" s="118">
        <v>-1584601</v>
      </c>
      <c r="K18" s="116"/>
      <c r="L18" s="118">
        <f t="shared" si="0"/>
        <v>77599950</v>
      </c>
    </row>
    <row r="19" spans="1:12">
      <c r="A19" s="103"/>
      <c r="B19" s="103"/>
      <c r="F19" s="59" t="s">
        <v>53</v>
      </c>
      <c r="G19" s="106"/>
      <c r="H19" s="8" t="s">
        <v>53</v>
      </c>
      <c r="J19" s="8" t="s">
        <v>357</v>
      </c>
      <c r="L19" s="59" t="s">
        <v>53</v>
      </c>
    </row>
    <row r="20" spans="1:12">
      <c r="A20" s="103">
        <f>+A18+1</f>
        <v>7</v>
      </c>
      <c r="B20" s="103"/>
      <c r="D20" s="63" t="s">
        <v>358</v>
      </c>
      <c r="F20" s="118">
        <f>SUM(F13:F19)</f>
        <v>2974924094</v>
      </c>
      <c r="G20" s="106"/>
      <c r="H20" s="106">
        <f>SUM(H13:H19)</f>
        <v>-103078530</v>
      </c>
      <c r="J20" s="106">
        <f>SUM(J13:J19)</f>
        <v>-777787545</v>
      </c>
      <c r="L20" s="118">
        <f>SUM(L13:L19)</f>
        <v>2094058019</v>
      </c>
    </row>
    <row r="21" spans="1:12">
      <c r="A21" s="103"/>
      <c r="B21" s="103"/>
      <c r="F21" s="117"/>
      <c r="G21" s="106"/>
      <c r="H21" s="106"/>
      <c r="J21" s="106"/>
      <c r="L21" s="118"/>
    </row>
    <row r="22" spans="1:12">
      <c r="A22" s="103">
        <f>+A20+1</f>
        <v>8</v>
      </c>
      <c r="B22" s="103"/>
      <c r="D22" s="63" t="s">
        <v>54</v>
      </c>
      <c r="F22" s="117"/>
      <c r="G22" s="106"/>
      <c r="H22" s="106"/>
      <c r="J22" s="106"/>
      <c r="L22" s="118"/>
    </row>
    <row r="23" spans="1:12">
      <c r="A23" s="103"/>
      <c r="B23" s="103"/>
      <c r="D23" s="63" t="s">
        <v>55</v>
      </c>
      <c r="F23" s="259">
        <v>-996414450</v>
      </c>
      <c r="G23" s="106"/>
      <c r="H23" s="118">
        <v>6412375</v>
      </c>
      <c r="I23" s="116"/>
      <c r="J23" s="118">
        <v>319573451</v>
      </c>
      <c r="K23" s="116"/>
      <c r="L23" s="118">
        <f>+F23+H23+J23</f>
        <v>-670428624</v>
      </c>
    </row>
    <row r="24" spans="1:12">
      <c r="A24" s="103">
        <f>+A22+1</f>
        <v>9</v>
      </c>
      <c r="B24" s="103"/>
      <c r="D24" s="63" t="s">
        <v>56</v>
      </c>
      <c r="F24" s="257"/>
      <c r="G24" s="106"/>
      <c r="H24" s="118"/>
      <c r="I24" s="116"/>
      <c r="J24" s="118"/>
      <c r="K24" s="116"/>
      <c r="L24" s="118"/>
    </row>
    <row r="25" spans="1:12">
      <c r="A25" s="103"/>
      <c r="B25" s="103"/>
      <c r="D25" s="63" t="s">
        <v>55</v>
      </c>
      <c r="F25" s="257">
        <v>-24096635</v>
      </c>
      <c r="G25" s="106"/>
      <c r="H25" s="118">
        <v>5105976</v>
      </c>
      <c r="I25" s="116"/>
      <c r="J25" s="118">
        <v>0</v>
      </c>
      <c r="K25" s="116"/>
      <c r="L25" s="118">
        <f>+F25+H25+J25</f>
        <v>-18990659</v>
      </c>
    </row>
    <row r="26" spans="1:12">
      <c r="A26" s="103"/>
      <c r="B26" s="103"/>
      <c r="F26" s="59" t="s">
        <v>53</v>
      </c>
      <c r="G26" s="106"/>
      <c r="H26" s="8" t="s">
        <v>53</v>
      </c>
      <c r="J26" s="8" t="s">
        <v>357</v>
      </c>
      <c r="L26" s="59" t="s">
        <v>53</v>
      </c>
    </row>
    <row r="27" spans="1:12">
      <c r="A27" s="103">
        <f>+A24+1</f>
        <v>10</v>
      </c>
      <c r="B27" s="103"/>
      <c r="D27" s="63" t="s">
        <v>62</v>
      </c>
      <c r="F27" s="60">
        <f>+F20+F23+F25</f>
        <v>1954413009</v>
      </c>
      <c r="G27" s="106"/>
      <c r="H27" s="13">
        <f>+H20+H23+H25</f>
        <v>-91560179</v>
      </c>
      <c r="J27" s="13">
        <f>+J20+J23+J25</f>
        <v>-458214094</v>
      </c>
      <c r="L27" s="60">
        <f>+L20+L23+L25</f>
        <v>1404638736</v>
      </c>
    </row>
    <row r="28" spans="1:12">
      <c r="A28" s="103"/>
      <c r="B28" s="103"/>
      <c r="F28" s="59" t="s">
        <v>53</v>
      </c>
      <c r="G28" s="106"/>
      <c r="H28" s="8" t="s">
        <v>53</v>
      </c>
      <c r="J28" s="8" t="s">
        <v>357</v>
      </c>
      <c r="L28" s="59" t="s">
        <v>53</v>
      </c>
    </row>
    <row r="29" spans="1:12">
      <c r="A29" s="103"/>
      <c r="B29" s="103"/>
      <c r="F29" s="118"/>
      <c r="G29" s="106"/>
      <c r="H29" s="106"/>
      <c r="J29" s="106"/>
      <c r="L29" s="118"/>
    </row>
    <row r="30" spans="1:12">
      <c r="A30" s="103"/>
      <c r="B30" s="103"/>
      <c r="C30" s="63" t="s">
        <v>71</v>
      </c>
      <c r="F30" s="118"/>
      <c r="G30" s="106"/>
      <c r="H30" s="106"/>
      <c r="J30" s="106"/>
      <c r="L30" s="118"/>
    </row>
    <row r="31" spans="1:12">
      <c r="A31" s="103">
        <f>+A27+1</f>
        <v>11</v>
      </c>
      <c r="B31" s="103"/>
      <c r="D31" s="63" t="s">
        <v>64</v>
      </c>
      <c r="F31" s="257">
        <v>5529436</v>
      </c>
      <c r="G31" s="106"/>
      <c r="H31" s="118">
        <v>-5529436</v>
      </c>
      <c r="I31" s="116"/>
      <c r="J31" s="118">
        <v>0</v>
      </c>
      <c r="K31" s="116"/>
      <c r="L31" s="118">
        <f>+F31+H31+J31</f>
        <v>0</v>
      </c>
    </row>
    <row r="32" spans="1:12">
      <c r="A32" s="103">
        <f>+A31+1</f>
        <v>12</v>
      </c>
      <c r="B32" s="103"/>
      <c r="D32" s="63" t="s">
        <v>65</v>
      </c>
      <c r="F32" s="257"/>
      <c r="G32" s="106"/>
      <c r="H32" s="118"/>
      <c r="I32" s="116"/>
      <c r="J32" s="118"/>
      <c r="K32" s="116"/>
      <c r="L32" s="118"/>
    </row>
    <row r="33" spans="1:12">
      <c r="A33" s="103"/>
      <c r="B33" s="103"/>
      <c r="D33" s="63" t="s">
        <v>66</v>
      </c>
      <c r="F33" s="257">
        <v>-219958</v>
      </c>
      <c r="G33" s="106"/>
      <c r="H33" s="118">
        <v>219958</v>
      </c>
      <c r="I33" s="116"/>
      <c r="J33" s="118">
        <v>0</v>
      </c>
      <c r="K33" s="116"/>
      <c r="L33" s="118">
        <f>+F33+H33+J33</f>
        <v>0</v>
      </c>
    </row>
    <row r="34" spans="1:12">
      <c r="A34" s="103">
        <f>+A32+1</f>
        <v>13</v>
      </c>
      <c r="B34" s="103"/>
      <c r="D34" s="63" t="s">
        <v>67</v>
      </c>
      <c r="F34" s="257">
        <v>3795</v>
      </c>
      <c r="G34" s="106"/>
      <c r="H34" s="118">
        <v>-3795</v>
      </c>
      <c r="I34" s="116"/>
      <c r="J34" s="118">
        <v>0</v>
      </c>
      <c r="K34" s="116"/>
      <c r="L34" s="118">
        <f>+F34+H34+J34</f>
        <v>0</v>
      </c>
    </row>
    <row r="35" spans="1:12">
      <c r="A35" s="103">
        <f>+A34+1</f>
        <v>14</v>
      </c>
      <c r="B35" s="103"/>
      <c r="D35" s="63" t="s">
        <v>68</v>
      </c>
      <c r="F35" s="257">
        <v>234871</v>
      </c>
      <c r="G35" s="106"/>
      <c r="H35" s="118">
        <v>-234871</v>
      </c>
      <c r="I35" s="116"/>
      <c r="J35" s="118">
        <v>0</v>
      </c>
      <c r="K35" s="116"/>
      <c r="L35" s="118">
        <f>+F35+H35+J35</f>
        <v>0</v>
      </c>
    </row>
    <row r="36" spans="1:12">
      <c r="A36" s="103">
        <f t="shared" ref="A36:A37" si="1">+A35+1</f>
        <v>15</v>
      </c>
      <c r="B36" s="103"/>
      <c r="D36" s="63" t="s">
        <v>731</v>
      </c>
      <c r="F36" s="257">
        <v>16074609</v>
      </c>
      <c r="G36" s="106"/>
      <c r="H36" s="118">
        <v>-16074609</v>
      </c>
      <c r="I36" s="116"/>
      <c r="J36" s="118"/>
      <c r="K36" s="116"/>
      <c r="L36" s="118"/>
    </row>
    <row r="37" spans="1:12">
      <c r="A37" s="103">
        <f t="shared" si="1"/>
        <v>16</v>
      </c>
      <c r="B37" s="103"/>
      <c r="D37" s="63" t="s">
        <v>269</v>
      </c>
      <c r="F37" s="257">
        <v>0</v>
      </c>
      <c r="G37" s="106"/>
      <c r="H37" s="118">
        <v>0</v>
      </c>
      <c r="I37" s="116"/>
      <c r="J37" s="118">
        <v>0</v>
      </c>
      <c r="K37" s="116"/>
      <c r="L37" s="118">
        <f>+F37+H37+J37</f>
        <v>0</v>
      </c>
    </row>
    <row r="38" spans="1:12">
      <c r="A38" s="103">
        <f>+A37+1</f>
        <v>17</v>
      </c>
      <c r="B38" s="103"/>
      <c r="D38" s="63" t="s">
        <v>63</v>
      </c>
      <c r="F38" s="257">
        <v>1336252</v>
      </c>
      <c r="G38" s="106"/>
      <c r="H38" s="118">
        <v>-1336252</v>
      </c>
      <c r="I38" s="116"/>
      <c r="J38" s="118">
        <v>0</v>
      </c>
      <c r="K38" s="116"/>
      <c r="L38" s="118">
        <f>+F38+H38+J38</f>
        <v>0</v>
      </c>
    </row>
    <row r="39" spans="1:12">
      <c r="A39" s="103"/>
      <c r="B39" s="103"/>
      <c r="F39" s="59" t="s">
        <v>53</v>
      </c>
      <c r="G39" s="106"/>
      <c r="H39" s="8" t="s">
        <v>53</v>
      </c>
      <c r="J39" s="8" t="s">
        <v>357</v>
      </c>
      <c r="L39" s="59" t="s">
        <v>53</v>
      </c>
    </row>
    <row r="40" spans="1:12">
      <c r="A40" s="103">
        <f>+A38+1</f>
        <v>18</v>
      </c>
      <c r="B40" s="103"/>
      <c r="D40" s="63" t="s">
        <v>69</v>
      </c>
      <c r="F40" s="118">
        <f>SUM(F31:F39)</f>
        <v>22959005</v>
      </c>
      <c r="G40" s="106"/>
      <c r="H40" s="106">
        <f>SUM(H31:H39)</f>
        <v>-22959005</v>
      </c>
      <c r="J40" s="106">
        <f>SUM(J31:J39)</f>
        <v>0</v>
      </c>
      <c r="L40" s="118">
        <f>SUM(L31:L39)</f>
        <v>0</v>
      </c>
    </row>
    <row r="41" spans="1:12">
      <c r="A41" s="103"/>
      <c r="B41" s="103"/>
      <c r="F41" s="59" t="s">
        <v>53</v>
      </c>
      <c r="G41" s="106"/>
      <c r="H41" s="8" t="s">
        <v>53</v>
      </c>
      <c r="J41" s="8" t="s">
        <v>357</v>
      </c>
      <c r="L41" s="59" t="s">
        <v>53</v>
      </c>
    </row>
    <row r="42" spans="1:12">
      <c r="A42" s="103"/>
      <c r="B42" s="103"/>
      <c r="C42" s="63" t="s">
        <v>70</v>
      </c>
      <c r="F42" s="118"/>
      <c r="G42" s="106"/>
      <c r="H42" s="106"/>
      <c r="J42" s="106"/>
      <c r="L42" s="118"/>
    </row>
    <row r="43" spans="1:12">
      <c r="A43" s="103">
        <f>+A40+1</f>
        <v>19</v>
      </c>
      <c r="B43" s="103"/>
      <c r="D43" s="63" t="s">
        <v>72</v>
      </c>
      <c r="F43" s="118">
        <v>1749762</v>
      </c>
      <c r="G43" s="106"/>
      <c r="H43" s="118">
        <v>-1749762</v>
      </c>
      <c r="I43" s="116"/>
      <c r="J43" s="118">
        <v>0</v>
      </c>
      <c r="K43" s="116"/>
      <c r="L43" s="118">
        <f>+F43+H43+J43</f>
        <v>0</v>
      </c>
    </row>
    <row r="44" spans="1:12" ht="25.5">
      <c r="A44" s="103">
        <f>+A43+1</f>
        <v>20</v>
      </c>
      <c r="B44" s="103"/>
      <c r="D44" s="107" t="s">
        <v>73</v>
      </c>
      <c r="F44" s="118">
        <v>9577118</v>
      </c>
      <c r="G44" s="106"/>
      <c r="H44" s="118">
        <v>-9577118</v>
      </c>
      <c r="I44" s="116"/>
      <c r="J44" s="118">
        <v>0</v>
      </c>
      <c r="K44" s="116"/>
      <c r="L44" s="118">
        <f>+F44+H44+J44</f>
        <v>0</v>
      </c>
    </row>
    <row r="45" spans="1:12">
      <c r="A45" s="103"/>
      <c r="B45" s="103"/>
      <c r="D45" s="63" t="s">
        <v>75</v>
      </c>
      <c r="F45" s="118"/>
      <c r="G45" s="106"/>
      <c r="H45" s="118"/>
      <c r="I45" s="116"/>
      <c r="J45" s="118"/>
      <c r="K45" s="116"/>
      <c r="L45" s="118"/>
    </row>
    <row r="46" spans="1:12">
      <c r="A46" s="103">
        <f>+A44+1</f>
        <v>21</v>
      </c>
      <c r="B46" s="103"/>
      <c r="D46" s="63" t="s">
        <v>74</v>
      </c>
      <c r="F46" s="118">
        <v>1337570</v>
      </c>
      <c r="G46" s="106"/>
      <c r="H46" s="118">
        <v>-1337570</v>
      </c>
      <c r="I46" s="116"/>
      <c r="J46" s="118">
        <v>0</v>
      </c>
      <c r="K46" s="116"/>
      <c r="L46" s="118">
        <f>+F46+H46+J46</f>
        <v>0</v>
      </c>
    </row>
    <row r="47" spans="1:12">
      <c r="A47" s="103">
        <f>+A46+1</f>
        <v>22</v>
      </c>
      <c r="B47" s="103"/>
      <c r="D47" s="63" t="s">
        <v>83</v>
      </c>
      <c r="F47" s="118">
        <v>2279848</v>
      </c>
      <c r="G47" s="106"/>
      <c r="H47" s="118">
        <v>-2279848</v>
      </c>
      <c r="I47" s="116"/>
      <c r="J47" s="118">
        <v>0</v>
      </c>
      <c r="K47" s="116"/>
      <c r="L47" s="118">
        <f>+F47+H47+J47</f>
        <v>0</v>
      </c>
    </row>
    <row r="48" spans="1:12">
      <c r="A48" s="103">
        <f>+A47+1</f>
        <v>23</v>
      </c>
      <c r="B48" s="103"/>
      <c r="D48" s="63" t="s">
        <v>84</v>
      </c>
      <c r="F48" s="118">
        <v>-23817</v>
      </c>
      <c r="G48" s="106"/>
      <c r="H48" s="118">
        <v>23817</v>
      </c>
      <c r="I48" s="116"/>
      <c r="J48" s="118">
        <v>0</v>
      </c>
      <c r="K48" s="116"/>
      <c r="L48" s="118">
        <f>+F48+H48+J48</f>
        <v>0</v>
      </c>
    </row>
    <row r="49" spans="1:12">
      <c r="A49" s="103">
        <f>+A48+1</f>
        <v>24</v>
      </c>
      <c r="B49" s="103"/>
      <c r="D49" s="63" t="s">
        <v>85</v>
      </c>
      <c r="F49" s="118">
        <v>33896532</v>
      </c>
      <c r="G49" s="106"/>
      <c r="H49" s="118">
        <v>-33896532</v>
      </c>
      <c r="I49" s="116"/>
      <c r="J49" s="118">
        <v>0</v>
      </c>
      <c r="K49" s="116"/>
      <c r="L49" s="118">
        <f>+F49+H49+J49</f>
        <v>0</v>
      </c>
    </row>
    <row r="50" spans="1:12">
      <c r="A50" s="103"/>
      <c r="B50" s="103"/>
      <c r="F50" s="59" t="s">
        <v>53</v>
      </c>
      <c r="G50" s="106"/>
      <c r="H50" s="8" t="s">
        <v>53</v>
      </c>
      <c r="J50" s="8" t="s">
        <v>357</v>
      </c>
      <c r="L50" s="59" t="s">
        <v>53</v>
      </c>
    </row>
    <row r="51" spans="1:12">
      <c r="A51" s="103">
        <f>+A49+1</f>
        <v>25</v>
      </c>
      <c r="B51" s="103"/>
      <c r="D51" s="63" t="s">
        <v>76</v>
      </c>
      <c r="F51" s="60">
        <f>SUM(F46:F50)</f>
        <v>37490133</v>
      </c>
      <c r="G51" s="106"/>
      <c r="H51" s="13">
        <f>SUM(H46:H50)</f>
        <v>-37490133</v>
      </c>
      <c r="J51" s="13">
        <f>SUM(J46:J50)</f>
        <v>0</v>
      </c>
      <c r="L51" s="60">
        <f>SUM(L46:L50)</f>
        <v>0</v>
      </c>
    </row>
    <row r="52" spans="1:12">
      <c r="A52" s="103"/>
      <c r="B52" s="103"/>
      <c r="F52" s="59" t="s">
        <v>53</v>
      </c>
      <c r="G52" s="106"/>
      <c r="H52" s="8" t="s">
        <v>53</v>
      </c>
      <c r="J52" s="8" t="s">
        <v>357</v>
      </c>
      <c r="L52" s="59" t="s">
        <v>53</v>
      </c>
    </row>
    <row r="53" spans="1:12">
      <c r="A53" s="103"/>
      <c r="B53" s="103"/>
      <c r="D53" s="63" t="s">
        <v>77</v>
      </c>
      <c r="F53" s="118"/>
      <c r="G53" s="106"/>
      <c r="H53" s="106"/>
      <c r="J53" s="106"/>
      <c r="L53" s="118"/>
    </row>
    <row r="54" spans="1:12">
      <c r="A54" s="103">
        <f>+A51+1</f>
        <v>26</v>
      </c>
      <c r="B54" s="103"/>
      <c r="D54" s="63" t="s">
        <v>78</v>
      </c>
      <c r="F54" s="118">
        <v>35827679</v>
      </c>
      <c r="G54" s="106"/>
      <c r="H54" s="118">
        <v>-660057.82999999996</v>
      </c>
      <c r="I54" s="116"/>
      <c r="J54" s="118">
        <v>-18045194</v>
      </c>
      <c r="K54" s="116"/>
      <c r="L54" s="118">
        <f>+F54+H54+J54</f>
        <v>17122427.170000002</v>
      </c>
    </row>
    <row r="55" spans="1:12">
      <c r="A55" s="103">
        <f>+A54+1</f>
        <v>27</v>
      </c>
      <c r="B55" s="103"/>
      <c r="D55" s="63" t="s">
        <v>80</v>
      </c>
      <c r="F55" s="118">
        <v>13541961</v>
      </c>
      <c r="G55" s="106"/>
      <c r="H55" s="118">
        <v>-249485.25</v>
      </c>
      <c r="I55" s="116"/>
      <c r="J55" s="118">
        <v>0</v>
      </c>
      <c r="K55" s="116"/>
      <c r="L55" s="118">
        <f>+F55+H55+J55</f>
        <v>13292475.75</v>
      </c>
    </row>
    <row r="56" spans="1:12">
      <c r="A56" s="103">
        <f>+A55+1</f>
        <v>28</v>
      </c>
      <c r="B56" s="103"/>
      <c r="D56" s="63" t="s">
        <v>81</v>
      </c>
      <c r="F56" s="118">
        <v>0</v>
      </c>
      <c r="G56" s="106"/>
      <c r="H56" s="118">
        <v>0</v>
      </c>
      <c r="I56" s="116"/>
      <c r="J56" s="118">
        <v>0</v>
      </c>
      <c r="K56" s="116"/>
      <c r="L56" s="118">
        <f>+F56+H56+J56</f>
        <v>0</v>
      </c>
    </row>
    <row r="57" spans="1:12">
      <c r="A57" s="103">
        <f>+A56+1</f>
        <v>29</v>
      </c>
      <c r="B57" s="103"/>
      <c r="D57" s="63" t="s">
        <v>82</v>
      </c>
      <c r="F57" s="118">
        <v>1540316</v>
      </c>
      <c r="G57" s="106"/>
      <c r="H57" s="118">
        <v>-28377.439999999999</v>
      </c>
      <c r="I57" s="116"/>
      <c r="J57" s="118">
        <v>0</v>
      </c>
      <c r="K57" s="116"/>
      <c r="L57" s="118">
        <f>+F57+H57+J57</f>
        <v>1511938.56</v>
      </c>
    </row>
    <row r="58" spans="1:12">
      <c r="A58" s="103">
        <f>+A57+1</f>
        <v>30</v>
      </c>
      <c r="B58" s="103"/>
      <c r="D58" s="63" t="s">
        <v>79</v>
      </c>
      <c r="F58" s="118">
        <v>20769846</v>
      </c>
      <c r="G58" s="106"/>
      <c r="H58" s="118">
        <v>-382645.48</v>
      </c>
      <c r="I58" s="116"/>
      <c r="J58" s="118">
        <v>-6268345</v>
      </c>
      <c r="K58" s="116"/>
      <c r="L58" s="118">
        <f>+F58+H58+J58</f>
        <v>14118855.52</v>
      </c>
    </row>
    <row r="59" spans="1:12">
      <c r="A59" s="103"/>
      <c r="B59" s="103"/>
      <c r="F59" s="59" t="s">
        <v>53</v>
      </c>
      <c r="G59" s="106"/>
      <c r="H59" s="8" t="s">
        <v>53</v>
      </c>
      <c r="J59" s="8" t="s">
        <v>357</v>
      </c>
      <c r="L59" s="59" t="s">
        <v>53</v>
      </c>
    </row>
    <row r="60" spans="1:12">
      <c r="A60" s="103">
        <f>+A58+1</f>
        <v>31</v>
      </c>
      <c r="B60" s="103"/>
      <c r="D60" s="63" t="s">
        <v>86</v>
      </c>
      <c r="F60" s="118">
        <f>SUM(F54:F59)</f>
        <v>71679802</v>
      </c>
      <c r="G60" s="106"/>
      <c r="H60" s="106">
        <f>SUM(H54:H59)</f>
        <v>-1320566</v>
      </c>
      <c r="J60" s="13">
        <f>SUM(J54:J59)</f>
        <v>-24313539</v>
      </c>
      <c r="L60" s="118">
        <f>SUM(L54:L59)</f>
        <v>46045697</v>
      </c>
    </row>
    <row r="61" spans="1:12">
      <c r="A61" s="103"/>
      <c r="B61" s="103"/>
      <c r="F61" s="59"/>
      <c r="G61" s="106"/>
      <c r="H61" s="106"/>
      <c r="J61" s="8"/>
      <c r="L61" s="118"/>
    </row>
    <row r="62" spans="1:12">
      <c r="A62" s="103">
        <f>+A60+1</f>
        <v>32</v>
      </c>
      <c r="B62" s="103"/>
      <c r="D62" s="63" t="s">
        <v>87</v>
      </c>
      <c r="F62" s="257">
        <v>0</v>
      </c>
      <c r="G62" s="106"/>
      <c r="H62" s="118">
        <v>0</v>
      </c>
      <c r="I62" s="116"/>
      <c r="J62" s="118">
        <v>0</v>
      </c>
      <c r="K62" s="116"/>
      <c r="L62" s="118">
        <f>+F62+H62+J62</f>
        <v>0</v>
      </c>
    </row>
    <row r="63" spans="1:12">
      <c r="A63" s="103">
        <f>+A62+1</f>
        <v>33</v>
      </c>
      <c r="B63" s="103"/>
      <c r="D63" s="63" t="s">
        <v>90</v>
      </c>
      <c r="F63" s="257">
        <v>4345901</v>
      </c>
      <c r="G63" s="106"/>
      <c r="H63" s="118">
        <v>-4345901</v>
      </c>
      <c r="I63" s="116"/>
      <c r="J63" s="118">
        <v>0</v>
      </c>
      <c r="K63" s="116"/>
      <c r="L63" s="118">
        <f>+F63+H63+J63</f>
        <v>0</v>
      </c>
    </row>
    <row r="64" spans="1:12">
      <c r="A64" s="103">
        <f>+A63+1</f>
        <v>34</v>
      </c>
      <c r="B64" s="103"/>
      <c r="D64" s="63" t="s">
        <v>88</v>
      </c>
      <c r="F64" s="257">
        <v>2565826</v>
      </c>
      <c r="G64" s="106"/>
      <c r="H64" s="118">
        <v>-88986</v>
      </c>
      <c r="I64" s="116"/>
      <c r="J64" s="118">
        <v>0</v>
      </c>
      <c r="K64" s="116"/>
      <c r="L64" s="118">
        <f>+F64+H64+J64</f>
        <v>2476840</v>
      </c>
    </row>
    <row r="65" spans="1:12">
      <c r="A65" s="103"/>
      <c r="B65" s="103"/>
      <c r="F65" s="59" t="s">
        <v>53</v>
      </c>
      <c r="G65" s="106"/>
      <c r="H65" s="8" t="s">
        <v>53</v>
      </c>
      <c r="J65" s="8" t="s">
        <v>357</v>
      </c>
      <c r="L65" s="59" t="s">
        <v>53</v>
      </c>
    </row>
    <row r="66" spans="1:12">
      <c r="A66" s="103">
        <f>+A64+1</f>
        <v>35</v>
      </c>
      <c r="B66" s="103"/>
      <c r="D66" s="63" t="s">
        <v>89</v>
      </c>
      <c r="F66" s="118">
        <f>+F43+F44+F51+F60+F62+F63+F64</f>
        <v>127408542</v>
      </c>
      <c r="G66" s="106"/>
      <c r="H66" s="106">
        <f>+H43+H44+H51+H60+H62+H63+H64</f>
        <v>-54572466</v>
      </c>
      <c r="J66" s="106">
        <f>+J43+J44+J51+J60+J62+J63+J64</f>
        <v>-24313539</v>
      </c>
      <c r="L66" s="118">
        <f>+L43+L44+L51+L60+L62+L63+L64</f>
        <v>48522537</v>
      </c>
    </row>
    <row r="67" spans="1:12">
      <c r="A67" s="103"/>
      <c r="B67" s="103"/>
      <c r="F67" s="59" t="s">
        <v>53</v>
      </c>
      <c r="G67" s="106"/>
      <c r="H67" s="8" t="s">
        <v>53</v>
      </c>
      <c r="J67" s="8" t="s">
        <v>357</v>
      </c>
      <c r="L67" s="59" t="s">
        <v>53</v>
      </c>
    </row>
    <row r="68" spans="1:12">
      <c r="A68" s="103"/>
      <c r="B68" s="103"/>
      <c r="F68" s="59"/>
      <c r="G68" s="106"/>
      <c r="H68" s="106"/>
      <c r="J68" s="106"/>
      <c r="L68" s="118"/>
    </row>
    <row r="69" spans="1:12">
      <c r="A69" s="103">
        <f>+A66+1</f>
        <v>36</v>
      </c>
      <c r="B69" s="103"/>
      <c r="D69" s="63" t="s">
        <v>91</v>
      </c>
      <c r="F69" s="257">
        <v>228607234</v>
      </c>
      <c r="G69" s="106"/>
      <c r="H69" s="118">
        <v>-228607234</v>
      </c>
      <c r="I69" s="116"/>
      <c r="J69" s="118">
        <v>0</v>
      </c>
      <c r="L69" s="118">
        <f>+F69+H69+J69</f>
        <v>0</v>
      </c>
    </row>
    <row r="70" spans="1:12">
      <c r="A70" s="103"/>
      <c r="B70" s="103"/>
      <c r="D70" s="63" t="s">
        <v>92</v>
      </c>
      <c r="F70" s="257"/>
      <c r="G70" s="106"/>
      <c r="H70" s="118"/>
      <c r="I70" s="116"/>
      <c r="J70" s="118"/>
      <c r="L70" s="118"/>
    </row>
    <row r="71" spans="1:12">
      <c r="A71" s="103">
        <f>+A69+1</f>
        <v>37</v>
      </c>
      <c r="B71" s="103"/>
      <c r="D71" s="63" t="s">
        <v>93</v>
      </c>
      <c r="F71" s="257">
        <v>54469742</v>
      </c>
      <c r="G71" s="106"/>
      <c r="H71" s="118">
        <v>-54469742</v>
      </c>
      <c r="I71" s="116"/>
      <c r="J71" s="118">
        <v>0</v>
      </c>
      <c r="L71" s="118">
        <f>+F71+H71+J71</f>
        <v>0</v>
      </c>
    </row>
    <row r="72" spans="1:12">
      <c r="A72" s="103"/>
      <c r="B72" s="103"/>
      <c r="F72" s="59" t="s">
        <v>53</v>
      </c>
      <c r="G72" s="106"/>
      <c r="H72" s="8" t="s">
        <v>53</v>
      </c>
      <c r="J72" s="8" t="s">
        <v>357</v>
      </c>
      <c r="L72" s="59" t="s">
        <v>53</v>
      </c>
    </row>
    <row r="73" spans="1:12" ht="25.5">
      <c r="A73" s="103">
        <f>+A71+1</f>
        <v>38</v>
      </c>
      <c r="B73" s="103"/>
      <c r="D73" s="107" t="s">
        <v>94</v>
      </c>
      <c r="F73" s="118">
        <f>SUM(F69:F72)</f>
        <v>283076976</v>
      </c>
      <c r="G73" s="106"/>
      <c r="H73" s="106">
        <f>SUM(H69:H72)</f>
        <v>-283076976</v>
      </c>
      <c r="J73" s="106">
        <f>SUM(J69:J72)</f>
        <v>0</v>
      </c>
      <c r="L73" s="118">
        <f>SUM(L69:L72)</f>
        <v>0</v>
      </c>
    </row>
    <row r="74" spans="1:12">
      <c r="A74" s="103"/>
      <c r="B74" s="103"/>
      <c r="F74" s="59" t="s">
        <v>53</v>
      </c>
      <c r="G74" s="106"/>
      <c r="H74" s="8" t="s">
        <v>53</v>
      </c>
      <c r="J74" s="8" t="s">
        <v>357</v>
      </c>
      <c r="L74" s="59" t="s">
        <v>53</v>
      </c>
    </row>
    <row r="75" spans="1:12">
      <c r="A75" s="103"/>
      <c r="B75" s="103"/>
      <c r="F75" s="118"/>
      <c r="G75" s="106"/>
      <c r="H75" s="106"/>
      <c r="J75" s="106"/>
      <c r="L75" s="118"/>
    </row>
    <row r="76" spans="1:12">
      <c r="A76" s="103">
        <f>+A73+1</f>
        <v>39</v>
      </c>
      <c r="B76" s="103"/>
      <c r="D76" s="63" t="s">
        <v>95</v>
      </c>
      <c r="F76" s="119">
        <f>+F27+F40+F66+F73</f>
        <v>2387857532</v>
      </c>
      <c r="G76" s="106"/>
      <c r="H76" s="108">
        <f>+H27+H40+H66+H73</f>
        <v>-452168626</v>
      </c>
      <c r="J76" s="108">
        <f>+J27+J40+J66+J73</f>
        <v>-482527633</v>
      </c>
      <c r="L76" s="119">
        <f>+L27+L40+L66+L73</f>
        <v>1453161273</v>
      </c>
    </row>
    <row r="77" spans="1:12">
      <c r="A77" s="103"/>
      <c r="B77" s="103"/>
      <c r="F77" s="112" t="s">
        <v>238</v>
      </c>
      <c r="G77" s="106"/>
      <c r="H77" s="99" t="s">
        <v>238</v>
      </c>
      <c r="J77" s="99" t="s">
        <v>28</v>
      </c>
      <c r="L77" s="112" t="s">
        <v>238</v>
      </c>
    </row>
    <row r="78" spans="1:12">
      <c r="A78" s="103"/>
      <c r="B78" s="103"/>
      <c r="F78" s="118"/>
      <c r="G78" s="106"/>
      <c r="H78" s="106"/>
      <c r="J78" s="106"/>
    </row>
    <row r="79" spans="1:12">
      <c r="A79" s="103"/>
      <c r="B79" s="103"/>
      <c r="D79" s="63" t="s">
        <v>359</v>
      </c>
      <c r="F79" s="118"/>
      <c r="G79" s="106"/>
      <c r="H79" s="106"/>
    </row>
    <row r="80" spans="1:12">
      <c r="A80" s="103"/>
      <c r="B80" s="103"/>
      <c r="F80" s="118"/>
      <c r="G80" s="106"/>
      <c r="H80" s="106"/>
    </row>
    <row r="81" spans="1:12">
      <c r="A81" s="103">
        <f>+A76+1</f>
        <v>40</v>
      </c>
      <c r="B81" s="103"/>
      <c r="D81" s="63" t="s">
        <v>737</v>
      </c>
      <c r="F81" s="118"/>
      <c r="G81" s="106"/>
      <c r="H81" s="106"/>
      <c r="L81" s="117">
        <f>+L76</f>
        <v>1453161273</v>
      </c>
    </row>
    <row r="82" spans="1:12">
      <c r="A82" s="103"/>
      <c r="B82" s="103"/>
      <c r="D82" s="63" t="s">
        <v>360</v>
      </c>
      <c r="F82" s="118"/>
      <c r="G82" s="106"/>
      <c r="H82" s="106"/>
    </row>
    <row r="83" spans="1:12">
      <c r="A83" s="103">
        <f>+A81+1</f>
        <v>41</v>
      </c>
      <c r="B83" s="103"/>
      <c r="D83" s="63" t="s">
        <v>736</v>
      </c>
      <c r="F83" s="118"/>
      <c r="G83" s="106"/>
      <c r="H83" s="106"/>
      <c r="L83" s="118">
        <v>43570708</v>
      </c>
    </row>
    <row r="84" spans="1:12">
      <c r="A84" s="103"/>
      <c r="B84" s="103"/>
      <c r="D84" s="63" t="s">
        <v>340</v>
      </c>
      <c r="F84" s="118"/>
      <c r="G84" s="106"/>
      <c r="H84" s="106"/>
      <c r="L84" s="118"/>
    </row>
    <row r="85" spans="1:12">
      <c r="A85" s="103">
        <f>+A83+1</f>
        <v>42</v>
      </c>
      <c r="B85" s="103"/>
      <c r="D85" s="63" t="s">
        <v>738</v>
      </c>
      <c r="F85" s="118"/>
      <c r="G85" s="106"/>
      <c r="H85" s="106"/>
      <c r="L85" s="118">
        <v>25377961</v>
      </c>
    </row>
    <row r="86" spans="1:12">
      <c r="A86" s="103">
        <f>+A85+1</f>
        <v>43</v>
      </c>
      <c r="B86" s="103"/>
      <c r="D86" s="63" t="s">
        <v>739</v>
      </c>
      <c r="F86" s="118"/>
      <c r="G86" s="106"/>
      <c r="H86" s="106"/>
      <c r="L86" s="118">
        <v>313167506</v>
      </c>
    </row>
    <row r="87" spans="1:12">
      <c r="A87" s="103">
        <f>+A86+1</f>
        <v>44</v>
      </c>
      <c r="B87" s="103"/>
      <c r="D87" t="s">
        <v>625</v>
      </c>
      <c r="F87" s="118"/>
      <c r="G87" s="106"/>
      <c r="H87" s="106"/>
      <c r="L87" s="118">
        <f>L71</f>
        <v>0</v>
      </c>
    </row>
    <row r="88" spans="1:12">
      <c r="A88" s="103"/>
      <c r="B88" s="103"/>
      <c r="F88" s="118"/>
      <c r="G88" s="106"/>
      <c r="H88" s="106"/>
      <c r="L88" s="59" t="s">
        <v>53</v>
      </c>
    </row>
    <row r="89" spans="1:12">
      <c r="A89" s="103">
        <f>+A87+1</f>
        <v>45</v>
      </c>
      <c r="B89" s="103"/>
      <c r="D89" s="63" t="s">
        <v>740</v>
      </c>
      <c r="F89" s="118"/>
      <c r="G89" s="106"/>
      <c r="H89" s="106"/>
      <c r="L89" s="117">
        <f>+L81+L83-L85-L86-L87</f>
        <v>1158186514</v>
      </c>
    </row>
    <row r="90" spans="1:12">
      <c r="A90" s="103"/>
      <c r="B90" s="103"/>
      <c r="F90" s="118"/>
      <c r="G90" s="106"/>
      <c r="H90" s="106"/>
      <c r="L90" s="112" t="s">
        <v>238</v>
      </c>
    </row>
    <row r="91" spans="1:12">
      <c r="A91" s="103"/>
      <c r="B91" s="103"/>
      <c r="F91" s="118"/>
      <c r="G91" s="106"/>
      <c r="H91" s="106"/>
    </row>
    <row r="92" spans="1:12">
      <c r="A92" s="103"/>
      <c r="B92" s="103"/>
      <c r="F92" s="118"/>
      <c r="G92" s="106"/>
      <c r="H92" s="106"/>
    </row>
    <row r="93" spans="1:12">
      <c r="A93" s="103"/>
      <c r="B93" s="103"/>
      <c r="F93" s="118"/>
      <c r="G93" s="106"/>
      <c r="H93" s="106"/>
    </row>
    <row r="94" spans="1:12">
      <c r="A94" s="103"/>
      <c r="B94" s="103"/>
      <c r="F94" s="118"/>
      <c r="G94" s="106"/>
      <c r="H94" s="106"/>
    </row>
    <row r="95" spans="1:12">
      <c r="A95" s="103"/>
      <c r="B95" s="103"/>
      <c r="F95" s="118"/>
      <c r="G95" s="106"/>
      <c r="H95" s="106"/>
    </row>
    <row r="96" spans="1:12">
      <c r="A96" s="103"/>
      <c r="B96" s="103"/>
    </row>
  </sheetData>
  <mergeCells count="1">
    <mergeCell ref="A1:L1"/>
  </mergeCells>
  <printOptions horizontalCentered="1"/>
  <pageMargins left="0.5" right="0" top="0.5" bottom="0" header="0" footer="0"/>
  <pageSetup scale="6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M108"/>
  <sheetViews>
    <sheetView zoomScaleNormal="100" workbookViewId="0">
      <pane ySplit="11" topLeftCell="A12" activePane="bottomLeft" state="frozen"/>
      <selection activeCell="H6" sqref="H6"/>
      <selection pane="bottomLeft" activeCell="L9" sqref="L9:L10"/>
    </sheetView>
  </sheetViews>
  <sheetFormatPr defaultRowHeight="12.75"/>
  <cols>
    <col min="1" max="1" width="4.42578125" style="80" bestFit="1" customWidth="1"/>
    <col min="2" max="2" width="2.28515625" style="80" customWidth="1"/>
    <col min="3" max="3" width="3.7109375" style="63" customWidth="1"/>
    <col min="4" max="4" width="58" style="63" bestFit="1" customWidth="1"/>
    <col min="5" max="5" width="2.28515625" style="63" customWidth="1"/>
    <col min="6" max="6" width="15" style="116" bestFit="1" customWidth="1"/>
    <col min="7" max="7" width="2.28515625" style="63" customWidth="1"/>
    <col min="8" max="8" width="13.42578125" style="63" bestFit="1" customWidth="1"/>
    <col min="9" max="9" width="2.5703125" style="63" bestFit="1" customWidth="1"/>
    <col min="10" max="10" width="13.5703125" style="63" bestFit="1" customWidth="1"/>
    <col min="11" max="11" width="2.5703125" style="63" customWidth="1"/>
    <col min="12" max="12" width="15" style="63" bestFit="1" customWidth="1"/>
    <col min="13" max="13" width="2.28515625" style="63" customWidth="1"/>
    <col min="14" max="256" width="9.140625" style="63"/>
    <col min="257" max="257" width="4.42578125" style="63" bestFit="1" customWidth="1"/>
    <col min="258" max="258" width="2.28515625" style="63" customWidth="1"/>
    <col min="259" max="259" width="3.7109375" style="63" customWidth="1"/>
    <col min="260" max="260" width="58" style="63" bestFit="1" customWidth="1"/>
    <col min="261" max="261" width="2.28515625" style="63" customWidth="1"/>
    <col min="262" max="262" width="15" style="63" bestFit="1" customWidth="1"/>
    <col min="263" max="263" width="2.28515625" style="63" customWidth="1"/>
    <col min="264" max="264" width="13.42578125" style="63" bestFit="1" customWidth="1"/>
    <col min="265" max="265" width="2.5703125" style="63" bestFit="1" customWidth="1"/>
    <col min="266" max="266" width="13.5703125" style="63" bestFit="1" customWidth="1"/>
    <col min="267" max="267" width="2.5703125" style="63" customWidth="1"/>
    <col min="268" max="268" width="15" style="63" bestFit="1" customWidth="1"/>
    <col min="269" max="269" width="2.28515625" style="63" customWidth="1"/>
    <col min="270" max="512" width="9.140625" style="63"/>
    <col min="513" max="513" width="4.42578125" style="63" bestFit="1" customWidth="1"/>
    <col min="514" max="514" width="2.28515625" style="63" customWidth="1"/>
    <col min="515" max="515" width="3.7109375" style="63" customWidth="1"/>
    <col min="516" max="516" width="58" style="63" bestFit="1" customWidth="1"/>
    <col min="517" max="517" width="2.28515625" style="63" customWidth="1"/>
    <col min="518" max="518" width="15" style="63" bestFit="1" customWidth="1"/>
    <col min="519" max="519" width="2.28515625" style="63" customWidth="1"/>
    <col min="520" max="520" width="13.42578125" style="63" bestFit="1" customWidth="1"/>
    <col min="521" max="521" width="2.5703125" style="63" bestFit="1" customWidth="1"/>
    <col min="522" max="522" width="13.5703125" style="63" bestFit="1" customWidth="1"/>
    <col min="523" max="523" width="2.5703125" style="63" customWidth="1"/>
    <col min="524" max="524" width="15" style="63" bestFit="1" customWidth="1"/>
    <col min="525" max="525" width="2.28515625" style="63" customWidth="1"/>
    <col min="526" max="768" width="9.140625" style="63"/>
    <col min="769" max="769" width="4.42578125" style="63" bestFit="1" customWidth="1"/>
    <col min="770" max="770" width="2.28515625" style="63" customWidth="1"/>
    <col min="771" max="771" width="3.7109375" style="63" customWidth="1"/>
    <col min="772" max="772" width="58" style="63" bestFit="1" customWidth="1"/>
    <col min="773" max="773" width="2.28515625" style="63" customWidth="1"/>
    <col min="774" max="774" width="15" style="63" bestFit="1" customWidth="1"/>
    <col min="775" max="775" width="2.28515625" style="63" customWidth="1"/>
    <col min="776" max="776" width="13.42578125" style="63" bestFit="1" customWidth="1"/>
    <col min="777" max="777" width="2.5703125" style="63" bestFit="1" customWidth="1"/>
    <col min="778" max="778" width="13.5703125" style="63" bestFit="1" customWidth="1"/>
    <col min="779" max="779" width="2.5703125" style="63" customWidth="1"/>
    <col min="780" max="780" width="15" style="63" bestFit="1" customWidth="1"/>
    <col min="781" max="781" width="2.28515625" style="63" customWidth="1"/>
    <col min="782" max="1024" width="9.140625" style="63"/>
    <col min="1025" max="1025" width="4.42578125" style="63" bestFit="1" customWidth="1"/>
    <col min="1026" max="1026" width="2.28515625" style="63" customWidth="1"/>
    <col min="1027" max="1027" width="3.7109375" style="63" customWidth="1"/>
    <col min="1028" max="1028" width="58" style="63" bestFit="1" customWidth="1"/>
    <col min="1029" max="1029" width="2.28515625" style="63" customWidth="1"/>
    <col min="1030" max="1030" width="15" style="63" bestFit="1" customWidth="1"/>
    <col min="1031" max="1031" width="2.28515625" style="63" customWidth="1"/>
    <col min="1032" max="1032" width="13.42578125" style="63" bestFit="1" customWidth="1"/>
    <col min="1033" max="1033" width="2.5703125" style="63" bestFit="1" customWidth="1"/>
    <col min="1034" max="1034" width="13.5703125" style="63" bestFit="1" customWidth="1"/>
    <col min="1035" max="1035" width="2.5703125" style="63" customWidth="1"/>
    <col min="1036" max="1036" width="15" style="63" bestFit="1" customWidth="1"/>
    <col min="1037" max="1037" width="2.28515625" style="63" customWidth="1"/>
    <col min="1038" max="1280" width="9.140625" style="63"/>
    <col min="1281" max="1281" width="4.42578125" style="63" bestFit="1" customWidth="1"/>
    <col min="1282" max="1282" width="2.28515625" style="63" customWidth="1"/>
    <col min="1283" max="1283" width="3.7109375" style="63" customWidth="1"/>
    <col min="1284" max="1284" width="58" style="63" bestFit="1" customWidth="1"/>
    <col min="1285" max="1285" width="2.28515625" style="63" customWidth="1"/>
    <col min="1286" max="1286" width="15" style="63" bestFit="1" customWidth="1"/>
    <col min="1287" max="1287" width="2.28515625" style="63" customWidth="1"/>
    <col min="1288" max="1288" width="13.42578125" style="63" bestFit="1" customWidth="1"/>
    <col min="1289" max="1289" width="2.5703125" style="63" bestFit="1" customWidth="1"/>
    <col min="1290" max="1290" width="13.5703125" style="63" bestFit="1" customWidth="1"/>
    <col min="1291" max="1291" width="2.5703125" style="63" customWidth="1"/>
    <col min="1292" max="1292" width="15" style="63" bestFit="1" customWidth="1"/>
    <col min="1293" max="1293" width="2.28515625" style="63" customWidth="1"/>
    <col min="1294" max="1536" width="9.140625" style="63"/>
    <col min="1537" max="1537" width="4.42578125" style="63" bestFit="1" customWidth="1"/>
    <col min="1538" max="1538" width="2.28515625" style="63" customWidth="1"/>
    <col min="1539" max="1539" width="3.7109375" style="63" customWidth="1"/>
    <col min="1540" max="1540" width="58" style="63" bestFit="1" customWidth="1"/>
    <col min="1541" max="1541" width="2.28515625" style="63" customWidth="1"/>
    <col min="1542" max="1542" width="15" style="63" bestFit="1" customWidth="1"/>
    <col min="1543" max="1543" width="2.28515625" style="63" customWidth="1"/>
    <col min="1544" max="1544" width="13.42578125" style="63" bestFit="1" customWidth="1"/>
    <col min="1545" max="1545" width="2.5703125" style="63" bestFit="1" customWidth="1"/>
    <col min="1546" max="1546" width="13.5703125" style="63" bestFit="1" customWidth="1"/>
    <col min="1547" max="1547" width="2.5703125" style="63" customWidth="1"/>
    <col min="1548" max="1548" width="15" style="63" bestFit="1" customWidth="1"/>
    <col min="1549" max="1549" width="2.28515625" style="63" customWidth="1"/>
    <col min="1550" max="1792" width="9.140625" style="63"/>
    <col min="1793" max="1793" width="4.42578125" style="63" bestFit="1" customWidth="1"/>
    <col min="1794" max="1794" width="2.28515625" style="63" customWidth="1"/>
    <col min="1795" max="1795" width="3.7109375" style="63" customWidth="1"/>
    <col min="1796" max="1796" width="58" style="63" bestFit="1" customWidth="1"/>
    <col min="1797" max="1797" width="2.28515625" style="63" customWidth="1"/>
    <col min="1798" max="1798" width="15" style="63" bestFit="1" customWidth="1"/>
    <col min="1799" max="1799" width="2.28515625" style="63" customWidth="1"/>
    <col min="1800" max="1800" width="13.42578125" style="63" bestFit="1" customWidth="1"/>
    <col min="1801" max="1801" width="2.5703125" style="63" bestFit="1" customWidth="1"/>
    <col min="1802" max="1802" width="13.5703125" style="63" bestFit="1" customWidth="1"/>
    <col min="1803" max="1803" width="2.5703125" style="63" customWidth="1"/>
    <col min="1804" max="1804" width="15" style="63" bestFit="1" customWidth="1"/>
    <col min="1805" max="1805" width="2.28515625" style="63" customWidth="1"/>
    <col min="1806" max="2048" width="9.140625" style="63"/>
    <col min="2049" max="2049" width="4.42578125" style="63" bestFit="1" customWidth="1"/>
    <col min="2050" max="2050" width="2.28515625" style="63" customWidth="1"/>
    <col min="2051" max="2051" width="3.7109375" style="63" customWidth="1"/>
    <col min="2052" max="2052" width="58" style="63" bestFit="1" customWidth="1"/>
    <col min="2053" max="2053" width="2.28515625" style="63" customWidth="1"/>
    <col min="2054" max="2054" width="15" style="63" bestFit="1" customWidth="1"/>
    <col min="2055" max="2055" width="2.28515625" style="63" customWidth="1"/>
    <col min="2056" max="2056" width="13.42578125" style="63" bestFit="1" customWidth="1"/>
    <col min="2057" max="2057" width="2.5703125" style="63" bestFit="1" customWidth="1"/>
    <col min="2058" max="2058" width="13.5703125" style="63" bestFit="1" customWidth="1"/>
    <col min="2059" max="2059" width="2.5703125" style="63" customWidth="1"/>
    <col min="2060" max="2060" width="15" style="63" bestFit="1" customWidth="1"/>
    <col min="2061" max="2061" width="2.28515625" style="63" customWidth="1"/>
    <col min="2062" max="2304" width="9.140625" style="63"/>
    <col min="2305" max="2305" width="4.42578125" style="63" bestFit="1" customWidth="1"/>
    <col min="2306" max="2306" width="2.28515625" style="63" customWidth="1"/>
    <col min="2307" max="2307" width="3.7109375" style="63" customWidth="1"/>
    <col min="2308" max="2308" width="58" style="63" bestFit="1" customWidth="1"/>
    <col min="2309" max="2309" width="2.28515625" style="63" customWidth="1"/>
    <col min="2310" max="2310" width="15" style="63" bestFit="1" customWidth="1"/>
    <col min="2311" max="2311" width="2.28515625" style="63" customWidth="1"/>
    <col min="2312" max="2312" width="13.42578125" style="63" bestFit="1" customWidth="1"/>
    <col min="2313" max="2313" width="2.5703125" style="63" bestFit="1" customWidth="1"/>
    <col min="2314" max="2314" width="13.5703125" style="63" bestFit="1" customWidth="1"/>
    <col min="2315" max="2315" width="2.5703125" style="63" customWidth="1"/>
    <col min="2316" max="2316" width="15" style="63" bestFit="1" customWidth="1"/>
    <col min="2317" max="2317" width="2.28515625" style="63" customWidth="1"/>
    <col min="2318" max="2560" width="9.140625" style="63"/>
    <col min="2561" max="2561" width="4.42578125" style="63" bestFit="1" customWidth="1"/>
    <col min="2562" max="2562" width="2.28515625" style="63" customWidth="1"/>
    <col min="2563" max="2563" width="3.7109375" style="63" customWidth="1"/>
    <col min="2564" max="2564" width="58" style="63" bestFit="1" customWidth="1"/>
    <col min="2565" max="2565" width="2.28515625" style="63" customWidth="1"/>
    <col min="2566" max="2566" width="15" style="63" bestFit="1" customWidth="1"/>
    <col min="2567" max="2567" width="2.28515625" style="63" customWidth="1"/>
    <col min="2568" max="2568" width="13.42578125" style="63" bestFit="1" customWidth="1"/>
    <col min="2569" max="2569" width="2.5703125" style="63" bestFit="1" customWidth="1"/>
    <col min="2570" max="2570" width="13.5703125" style="63" bestFit="1" customWidth="1"/>
    <col min="2571" max="2571" width="2.5703125" style="63" customWidth="1"/>
    <col min="2572" max="2572" width="15" style="63" bestFit="1" customWidth="1"/>
    <col min="2573" max="2573" width="2.28515625" style="63" customWidth="1"/>
    <col min="2574" max="2816" width="9.140625" style="63"/>
    <col min="2817" max="2817" width="4.42578125" style="63" bestFit="1" customWidth="1"/>
    <col min="2818" max="2818" width="2.28515625" style="63" customWidth="1"/>
    <col min="2819" max="2819" width="3.7109375" style="63" customWidth="1"/>
    <col min="2820" max="2820" width="58" style="63" bestFit="1" customWidth="1"/>
    <col min="2821" max="2821" width="2.28515625" style="63" customWidth="1"/>
    <col min="2822" max="2822" width="15" style="63" bestFit="1" customWidth="1"/>
    <col min="2823" max="2823" width="2.28515625" style="63" customWidth="1"/>
    <col min="2824" max="2824" width="13.42578125" style="63" bestFit="1" customWidth="1"/>
    <col min="2825" max="2825" width="2.5703125" style="63" bestFit="1" customWidth="1"/>
    <col min="2826" max="2826" width="13.5703125" style="63" bestFit="1" customWidth="1"/>
    <col min="2827" max="2827" width="2.5703125" style="63" customWidth="1"/>
    <col min="2828" max="2828" width="15" style="63" bestFit="1" customWidth="1"/>
    <col min="2829" max="2829" width="2.28515625" style="63" customWidth="1"/>
    <col min="2830" max="3072" width="9.140625" style="63"/>
    <col min="3073" max="3073" width="4.42578125" style="63" bestFit="1" customWidth="1"/>
    <col min="3074" max="3074" width="2.28515625" style="63" customWidth="1"/>
    <col min="3075" max="3075" width="3.7109375" style="63" customWidth="1"/>
    <col min="3076" max="3076" width="58" style="63" bestFit="1" customWidth="1"/>
    <col min="3077" max="3077" width="2.28515625" style="63" customWidth="1"/>
    <col min="3078" max="3078" width="15" style="63" bestFit="1" customWidth="1"/>
    <col min="3079" max="3079" width="2.28515625" style="63" customWidth="1"/>
    <col min="3080" max="3080" width="13.42578125" style="63" bestFit="1" customWidth="1"/>
    <col min="3081" max="3081" width="2.5703125" style="63" bestFit="1" customWidth="1"/>
    <col min="3082" max="3082" width="13.5703125" style="63" bestFit="1" customWidth="1"/>
    <col min="3083" max="3083" width="2.5703125" style="63" customWidth="1"/>
    <col min="3084" max="3084" width="15" style="63" bestFit="1" customWidth="1"/>
    <col min="3085" max="3085" width="2.28515625" style="63" customWidth="1"/>
    <col min="3086" max="3328" width="9.140625" style="63"/>
    <col min="3329" max="3329" width="4.42578125" style="63" bestFit="1" customWidth="1"/>
    <col min="3330" max="3330" width="2.28515625" style="63" customWidth="1"/>
    <col min="3331" max="3331" width="3.7109375" style="63" customWidth="1"/>
    <col min="3332" max="3332" width="58" style="63" bestFit="1" customWidth="1"/>
    <col min="3333" max="3333" width="2.28515625" style="63" customWidth="1"/>
    <col min="3334" max="3334" width="15" style="63" bestFit="1" customWidth="1"/>
    <col min="3335" max="3335" width="2.28515625" style="63" customWidth="1"/>
    <col min="3336" max="3336" width="13.42578125" style="63" bestFit="1" customWidth="1"/>
    <col min="3337" max="3337" width="2.5703125" style="63" bestFit="1" customWidth="1"/>
    <col min="3338" max="3338" width="13.5703125" style="63" bestFit="1" customWidth="1"/>
    <col min="3339" max="3339" width="2.5703125" style="63" customWidth="1"/>
    <col min="3340" max="3340" width="15" style="63" bestFit="1" customWidth="1"/>
    <col min="3341" max="3341" width="2.28515625" style="63" customWidth="1"/>
    <col min="3342" max="3584" width="9.140625" style="63"/>
    <col min="3585" max="3585" width="4.42578125" style="63" bestFit="1" customWidth="1"/>
    <col min="3586" max="3586" width="2.28515625" style="63" customWidth="1"/>
    <col min="3587" max="3587" width="3.7109375" style="63" customWidth="1"/>
    <col min="3588" max="3588" width="58" style="63" bestFit="1" customWidth="1"/>
    <col min="3589" max="3589" width="2.28515625" style="63" customWidth="1"/>
    <col min="3590" max="3590" width="15" style="63" bestFit="1" customWidth="1"/>
    <col min="3591" max="3591" width="2.28515625" style="63" customWidth="1"/>
    <col min="3592" max="3592" width="13.42578125" style="63" bestFit="1" customWidth="1"/>
    <col min="3593" max="3593" width="2.5703125" style="63" bestFit="1" customWidth="1"/>
    <col min="3594" max="3594" width="13.5703125" style="63" bestFit="1" customWidth="1"/>
    <col min="3595" max="3595" width="2.5703125" style="63" customWidth="1"/>
    <col min="3596" max="3596" width="15" style="63" bestFit="1" customWidth="1"/>
    <col min="3597" max="3597" width="2.28515625" style="63" customWidth="1"/>
    <col min="3598" max="3840" width="9.140625" style="63"/>
    <col min="3841" max="3841" width="4.42578125" style="63" bestFit="1" customWidth="1"/>
    <col min="3842" max="3842" width="2.28515625" style="63" customWidth="1"/>
    <col min="3843" max="3843" width="3.7109375" style="63" customWidth="1"/>
    <col min="3844" max="3844" width="58" style="63" bestFit="1" customWidth="1"/>
    <col min="3845" max="3845" width="2.28515625" style="63" customWidth="1"/>
    <col min="3846" max="3846" width="15" style="63" bestFit="1" customWidth="1"/>
    <col min="3847" max="3847" width="2.28515625" style="63" customWidth="1"/>
    <col min="3848" max="3848" width="13.42578125" style="63" bestFit="1" customWidth="1"/>
    <col min="3849" max="3849" width="2.5703125" style="63" bestFit="1" customWidth="1"/>
    <col min="3850" max="3850" width="13.5703125" style="63" bestFit="1" customWidth="1"/>
    <col min="3851" max="3851" width="2.5703125" style="63" customWidth="1"/>
    <col min="3852" max="3852" width="15" style="63" bestFit="1" customWidth="1"/>
    <col min="3853" max="3853" width="2.28515625" style="63" customWidth="1"/>
    <col min="3854" max="4096" width="9.140625" style="63"/>
    <col min="4097" max="4097" width="4.42578125" style="63" bestFit="1" customWidth="1"/>
    <col min="4098" max="4098" width="2.28515625" style="63" customWidth="1"/>
    <col min="4099" max="4099" width="3.7109375" style="63" customWidth="1"/>
    <col min="4100" max="4100" width="58" style="63" bestFit="1" customWidth="1"/>
    <col min="4101" max="4101" width="2.28515625" style="63" customWidth="1"/>
    <col min="4102" max="4102" width="15" style="63" bestFit="1" customWidth="1"/>
    <col min="4103" max="4103" width="2.28515625" style="63" customWidth="1"/>
    <col min="4104" max="4104" width="13.42578125" style="63" bestFit="1" customWidth="1"/>
    <col min="4105" max="4105" width="2.5703125" style="63" bestFit="1" customWidth="1"/>
    <col min="4106" max="4106" width="13.5703125" style="63" bestFit="1" customWidth="1"/>
    <col min="4107" max="4107" width="2.5703125" style="63" customWidth="1"/>
    <col min="4108" max="4108" width="15" style="63" bestFit="1" customWidth="1"/>
    <col min="4109" max="4109" width="2.28515625" style="63" customWidth="1"/>
    <col min="4110" max="4352" width="9.140625" style="63"/>
    <col min="4353" max="4353" width="4.42578125" style="63" bestFit="1" customWidth="1"/>
    <col min="4354" max="4354" width="2.28515625" style="63" customWidth="1"/>
    <col min="4355" max="4355" width="3.7109375" style="63" customWidth="1"/>
    <col min="4356" max="4356" width="58" style="63" bestFit="1" customWidth="1"/>
    <col min="4357" max="4357" width="2.28515625" style="63" customWidth="1"/>
    <col min="4358" max="4358" width="15" style="63" bestFit="1" customWidth="1"/>
    <col min="4359" max="4359" width="2.28515625" style="63" customWidth="1"/>
    <col min="4360" max="4360" width="13.42578125" style="63" bestFit="1" customWidth="1"/>
    <col min="4361" max="4361" width="2.5703125" style="63" bestFit="1" customWidth="1"/>
    <col min="4362" max="4362" width="13.5703125" style="63" bestFit="1" customWidth="1"/>
    <col min="4363" max="4363" width="2.5703125" style="63" customWidth="1"/>
    <col min="4364" max="4364" width="15" style="63" bestFit="1" customWidth="1"/>
    <col min="4365" max="4365" width="2.28515625" style="63" customWidth="1"/>
    <col min="4366" max="4608" width="9.140625" style="63"/>
    <col min="4609" max="4609" width="4.42578125" style="63" bestFit="1" customWidth="1"/>
    <col min="4610" max="4610" width="2.28515625" style="63" customWidth="1"/>
    <col min="4611" max="4611" width="3.7109375" style="63" customWidth="1"/>
    <col min="4612" max="4612" width="58" style="63" bestFit="1" customWidth="1"/>
    <col min="4613" max="4613" width="2.28515625" style="63" customWidth="1"/>
    <col min="4614" max="4614" width="15" style="63" bestFit="1" customWidth="1"/>
    <col min="4615" max="4615" width="2.28515625" style="63" customWidth="1"/>
    <col min="4616" max="4616" width="13.42578125" style="63" bestFit="1" customWidth="1"/>
    <col min="4617" max="4617" width="2.5703125" style="63" bestFit="1" customWidth="1"/>
    <col min="4618" max="4618" width="13.5703125" style="63" bestFit="1" customWidth="1"/>
    <col min="4619" max="4619" width="2.5703125" style="63" customWidth="1"/>
    <col min="4620" max="4620" width="15" style="63" bestFit="1" customWidth="1"/>
    <col min="4621" max="4621" width="2.28515625" style="63" customWidth="1"/>
    <col min="4622" max="4864" width="9.140625" style="63"/>
    <col min="4865" max="4865" width="4.42578125" style="63" bestFit="1" customWidth="1"/>
    <col min="4866" max="4866" width="2.28515625" style="63" customWidth="1"/>
    <col min="4867" max="4867" width="3.7109375" style="63" customWidth="1"/>
    <col min="4868" max="4868" width="58" style="63" bestFit="1" customWidth="1"/>
    <col min="4869" max="4869" width="2.28515625" style="63" customWidth="1"/>
    <col min="4870" max="4870" width="15" style="63" bestFit="1" customWidth="1"/>
    <col min="4871" max="4871" width="2.28515625" style="63" customWidth="1"/>
    <col min="4872" max="4872" width="13.42578125" style="63" bestFit="1" customWidth="1"/>
    <col min="4873" max="4873" width="2.5703125" style="63" bestFit="1" customWidth="1"/>
    <col min="4874" max="4874" width="13.5703125" style="63" bestFit="1" customWidth="1"/>
    <col min="4875" max="4875" width="2.5703125" style="63" customWidth="1"/>
    <col min="4876" max="4876" width="15" style="63" bestFit="1" customWidth="1"/>
    <col min="4877" max="4877" width="2.28515625" style="63" customWidth="1"/>
    <col min="4878" max="5120" width="9.140625" style="63"/>
    <col min="5121" max="5121" width="4.42578125" style="63" bestFit="1" customWidth="1"/>
    <col min="5122" max="5122" width="2.28515625" style="63" customWidth="1"/>
    <col min="5123" max="5123" width="3.7109375" style="63" customWidth="1"/>
    <col min="5124" max="5124" width="58" style="63" bestFit="1" customWidth="1"/>
    <col min="5125" max="5125" width="2.28515625" style="63" customWidth="1"/>
    <col min="5126" max="5126" width="15" style="63" bestFit="1" customWidth="1"/>
    <col min="5127" max="5127" width="2.28515625" style="63" customWidth="1"/>
    <col min="5128" max="5128" width="13.42578125" style="63" bestFit="1" customWidth="1"/>
    <col min="5129" max="5129" width="2.5703125" style="63" bestFit="1" customWidth="1"/>
    <col min="5130" max="5130" width="13.5703125" style="63" bestFit="1" customWidth="1"/>
    <col min="5131" max="5131" width="2.5703125" style="63" customWidth="1"/>
    <col min="5132" max="5132" width="15" style="63" bestFit="1" customWidth="1"/>
    <col min="5133" max="5133" width="2.28515625" style="63" customWidth="1"/>
    <col min="5134" max="5376" width="9.140625" style="63"/>
    <col min="5377" max="5377" width="4.42578125" style="63" bestFit="1" customWidth="1"/>
    <col min="5378" max="5378" width="2.28515625" style="63" customWidth="1"/>
    <col min="5379" max="5379" width="3.7109375" style="63" customWidth="1"/>
    <col min="5380" max="5380" width="58" style="63" bestFit="1" customWidth="1"/>
    <col min="5381" max="5381" width="2.28515625" style="63" customWidth="1"/>
    <col min="5382" max="5382" width="15" style="63" bestFit="1" customWidth="1"/>
    <col min="5383" max="5383" width="2.28515625" style="63" customWidth="1"/>
    <col min="5384" max="5384" width="13.42578125" style="63" bestFit="1" customWidth="1"/>
    <col min="5385" max="5385" width="2.5703125" style="63" bestFit="1" customWidth="1"/>
    <col min="5386" max="5386" width="13.5703125" style="63" bestFit="1" customWidth="1"/>
    <col min="5387" max="5387" width="2.5703125" style="63" customWidth="1"/>
    <col min="5388" max="5388" width="15" style="63" bestFit="1" customWidth="1"/>
    <col min="5389" max="5389" width="2.28515625" style="63" customWidth="1"/>
    <col min="5390" max="5632" width="9.140625" style="63"/>
    <col min="5633" max="5633" width="4.42578125" style="63" bestFit="1" customWidth="1"/>
    <col min="5634" max="5634" width="2.28515625" style="63" customWidth="1"/>
    <col min="5635" max="5635" width="3.7109375" style="63" customWidth="1"/>
    <col min="5636" max="5636" width="58" style="63" bestFit="1" customWidth="1"/>
    <col min="5637" max="5637" width="2.28515625" style="63" customWidth="1"/>
    <col min="5638" max="5638" width="15" style="63" bestFit="1" customWidth="1"/>
    <col min="5639" max="5639" width="2.28515625" style="63" customWidth="1"/>
    <col min="5640" max="5640" width="13.42578125" style="63" bestFit="1" customWidth="1"/>
    <col min="5641" max="5641" width="2.5703125" style="63" bestFit="1" customWidth="1"/>
    <col min="5642" max="5642" width="13.5703125" style="63" bestFit="1" customWidth="1"/>
    <col min="5643" max="5643" width="2.5703125" style="63" customWidth="1"/>
    <col min="5644" max="5644" width="15" style="63" bestFit="1" customWidth="1"/>
    <col min="5645" max="5645" width="2.28515625" style="63" customWidth="1"/>
    <col min="5646" max="5888" width="9.140625" style="63"/>
    <col min="5889" max="5889" width="4.42578125" style="63" bestFit="1" customWidth="1"/>
    <col min="5890" max="5890" width="2.28515625" style="63" customWidth="1"/>
    <col min="5891" max="5891" width="3.7109375" style="63" customWidth="1"/>
    <col min="5892" max="5892" width="58" style="63" bestFit="1" customWidth="1"/>
    <col min="5893" max="5893" width="2.28515625" style="63" customWidth="1"/>
    <col min="5894" max="5894" width="15" style="63" bestFit="1" customWidth="1"/>
    <col min="5895" max="5895" width="2.28515625" style="63" customWidth="1"/>
    <col min="5896" max="5896" width="13.42578125" style="63" bestFit="1" customWidth="1"/>
    <col min="5897" max="5897" width="2.5703125" style="63" bestFit="1" customWidth="1"/>
    <col min="5898" max="5898" width="13.5703125" style="63" bestFit="1" customWidth="1"/>
    <col min="5899" max="5899" width="2.5703125" style="63" customWidth="1"/>
    <col min="5900" max="5900" width="15" style="63" bestFit="1" customWidth="1"/>
    <col min="5901" max="5901" width="2.28515625" style="63" customWidth="1"/>
    <col min="5902" max="6144" width="9.140625" style="63"/>
    <col min="6145" max="6145" width="4.42578125" style="63" bestFit="1" customWidth="1"/>
    <col min="6146" max="6146" width="2.28515625" style="63" customWidth="1"/>
    <col min="6147" max="6147" width="3.7109375" style="63" customWidth="1"/>
    <col min="6148" max="6148" width="58" style="63" bestFit="1" customWidth="1"/>
    <col min="6149" max="6149" width="2.28515625" style="63" customWidth="1"/>
    <col min="6150" max="6150" width="15" style="63" bestFit="1" customWidth="1"/>
    <col min="6151" max="6151" width="2.28515625" style="63" customWidth="1"/>
    <col min="6152" max="6152" width="13.42578125" style="63" bestFit="1" customWidth="1"/>
    <col min="6153" max="6153" width="2.5703125" style="63" bestFit="1" customWidth="1"/>
    <col min="6154" max="6154" width="13.5703125" style="63" bestFit="1" customWidth="1"/>
    <col min="6155" max="6155" width="2.5703125" style="63" customWidth="1"/>
    <col min="6156" max="6156" width="15" style="63" bestFit="1" customWidth="1"/>
    <col min="6157" max="6157" width="2.28515625" style="63" customWidth="1"/>
    <col min="6158" max="6400" width="9.140625" style="63"/>
    <col min="6401" max="6401" width="4.42578125" style="63" bestFit="1" customWidth="1"/>
    <col min="6402" max="6402" width="2.28515625" style="63" customWidth="1"/>
    <col min="6403" max="6403" width="3.7109375" style="63" customWidth="1"/>
    <col min="6404" max="6404" width="58" style="63" bestFit="1" customWidth="1"/>
    <col min="6405" max="6405" width="2.28515625" style="63" customWidth="1"/>
    <col min="6406" max="6406" width="15" style="63" bestFit="1" customWidth="1"/>
    <col min="6407" max="6407" width="2.28515625" style="63" customWidth="1"/>
    <col min="6408" max="6408" width="13.42578125" style="63" bestFit="1" customWidth="1"/>
    <col min="6409" max="6409" width="2.5703125" style="63" bestFit="1" customWidth="1"/>
    <col min="6410" max="6410" width="13.5703125" style="63" bestFit="1" customWidth="1"/>
    <col min="6411" max="6411" width="2.5703125" style="63" customWidth="1"/>
    <col min="6412" max="6412" width="15" style="63" bestFit="1" customWidth="1"/>
    <col min="6413" max="6413" width="2.28515625" style="63" customWidth="1"/>
    <col min="6414" max="6656" width="9.140625" style="63"/>
    <col min="6657" max="6657" width="4.42578125" style="63" bestFit="1" customWidth="1"/>
    <col min="6658" max="6658" width="2.28515625" style="63" customWidth="1"/>
    <col min="6659" max="6659" width="3.7109375" style="63" customWidth="1"/>
    <col min="6660" max="6660" width="58" style="63" bestFit="1" customWidth="1"/>
    <col min="6661" max="6661" width="2.28515625" style="63" customWidth="1"/>
    <col min="6662" max="6662" width="15" style="63" bestFit="1" customWidth="1"/>
    <col min="6663" max="6663" width="2.28515625" style="63" customWidth="1"/>
    <col min="6664" max="6664" width="13.42578125" style="63" bestFit="1" customWidth="1"/>
    <col min="6665" max="6665" width="2.5703125" style="63" bestFit="1" customWidth="1"/>
    <col min="6666" max="6666" width="13.5703125" style="63" bestFit="1" customWidth="1"/>
    <col min="6667" max="6667" width="2.5703125" style="63" customWidth="1"/>
    <col min="6668" max="6668" width="15" style="63" bestFit="1" customWidth="1"/>
    <col min="6669" max="6669" width="2.28515625" style="63" customWidth="1"/>
    <col min="6670" max="6912" width="9.140625" style="63"/>
    <col min="6913" max="6913" width="4.42578125" style="63" bestFit="1" customWidth="1"/>
    <col min="6914" max="6914" width="2.28515625" style="63" customWidth="1"/>
    <col min="6915" max="6915" width="3.7109375" style="63" customWidth="1"/>
    <col min="6916" max="6916" width="58" style="63" bestFit="1" customWidth="1"/>
    <col min="6917" max="6917" width="2.28515625" style="63" customWidth="1"/>
    <col min="6918" max="6918" width="15" style="63" bestFit="1" customWidth="1"/>
    <col min="6919" max="6919" width="2.28515625" style="63" customWidth="1"/>
    <col min="6920" max="6920" width="13.42578125" style="63" bestFit="1" customWidth="1"/>
    <col min="6921" max="6921" width="2.5703125" style="63" bestFit="1" customWidth="1"/>
    <col min="6922" max="6922" width="13.5703125" style="63" bestFit="1" customWidth="1"/>
    <col min="6923" max="6923" width="2.5703125" style="63" customWidth="1"/>
    <col min="6924" max="6924" width="15" style="63" bestFit="1" customWidth="1"/>
    <col min="6925" max="6925" width="2.28515625" style="63" customWidth="1"/>
    <col min="6926" max="7168" width="9.140625" style="63"/>
    <col min="7169" max="7169" width="4.42578125" style="63" bestFit="1" customWidth="1"/>
    <col min="7170" max="7170" width="2.28515625" style="63" customWidth="1"/>
    <col min="7171" max="7171" width="3.7109375" style="63" customWidth="1"/>
    <col min="7172" max="7172" width="58" style="63" bestFit="1" customWidth="1"/>
    <col min="7173" max="7173" width="2.28515625" style="63" customWidth="1"/>
    <col min="7174" max="7174" width="15" style="63" bestFit="1" customWidth="1"/>
    <col min="7175" max="7175" width="2.28515625" style="63" customWidth="1"/>
    <col min="7176" max="7176" width="13.42578125" style="63" bestFit="1" customWidth="1"/>
    <col min="7177" max="7177" width="2.5703125" style="63" bestFit="1" customWidth="1"/>
    <col min="7178" max="7178" width="13.5703125" style="63" bestFit="1" customWidth="1"/>
    <col min="7179" max="7179" width="2.5703125" style="63" customWidth="1"/>
    <col min="7180" max="7180" width="15" style="63" bestFit="1" customWidth="1"/>
    <col min="7181" max="7181" width="2.28515625" style="63" customWidth="1"/>
    <col min="7182" max="7424" width="9.140625" style="63"/>
    <col min="7425" max="7425" width="4.42578125" style="63" bestFit="1" customWidth="1"/>
    <col min="7426" max="7426" width="2.28515625" style="63" customWidth="1"/>
    <col min="7427" max="7427" width="3.7109375" style="63" customWidth="1"/>
    <col min="7428" max="7428" width="58" style="63" bestFit="1" customWidth="1"/>
    <col min="7429" max="7429" width="2.28515625" style="63" customWidth="1"/>
    <col min="7430" max="7430" width="15" style="63" bestFit="1" customWidth="1"/>
    <col min="7431" max="7431" width="2.28515625" style="63" customWidth="1"/>
    <col min="7432" max="7432" width="13.42578125" style="63" bestFit="1" customWidth="1"/>
    <col min="7433" max="7433" width="2.5703125" style="63" bestFit="1" customWidth="1"/>
    <col min="7434" max="7434" width="13.5703125" style="63" bestFit="1" customWidth="1"/>
    <col min="7435" max="7435" width="2.5703125" style="63" customWidth="1"/>
    <col min="7436" max="7436" width="15" style="63" bestFit="1" customWidth="1"/>
    <col min="7437" max="7437" width="2.28515625" style="63" customWidth="1"/>
    <col min="7438" max="7680" width="9.140625" style="63"/>
    <col min="7681" max="7681" width="4.42578125" style="63" bestFit="1" customWidth="1"/>
    <col min="7682" max="7682" width="2.28515625" style="63" customWidth="1"/>
    <col min="7683" max="7683" width="3.7109375" style="63" customWidth="1"/>
    <col min="7684" max="7684" width="58" style="63" bestFit="1" customWidth="1"/>
    <col min="7685" max="7685" width="2.28515625" style="63" customWidth="1"/>
    <col min="7686" max="7686" width="15" style="63" bestFit="1" customWidth="1"/>
    <col min="7687" max="7687" width="2.28515625" style="63" customWidth="1"/>
    <col min="7688" max="7688" width="13.42578125" style="63" bestFit="1" customWidth="1"/>
    <col min="7689" max="7689" width="2.5703125" style="63" bestFit="1" customWidth="1"/>
    <col min="7690" max="7690" width="13.5703125" style="63" bestFit="1" customWidth="1"/>
    <col min="7691" max="7691" width="2.5703125" style="63" customWidth="1"/>
    <col min="7692" max="7692" width="15" style="63" bestFit="1" customWidth="1"/>
    <col min="7693" max="7693" width="2.28515625" style="63" customWidth="1"/>
    <col min="7694" max="7936" width="9.140625" style="63"/>
    <col min="7937" max="7937" width="4.42578125" style="63" bestFit="1" customWidth="1"/>
    <col min="7938" max="7938" width="2.28515625" style="63" customWidth="1"/>
    <col min="7939" max="7939" width="3.7109375" style="63" customWidth="1"/>
    <col min="7940" max="7940" width="58" style="63" bestFit="1" customWidth="1"/>
    <col min="7941" max="7941" width="2.28515625" style="63" customWidth="1"/>
    <col min="7942" max="7942" width="15" style="63" bestFit="1" customWidth="1"/>
    <col min="7943" max="7943" width="2.28515625" style="63" customWidth="1"/>
    <col min="7944" max="7944" width="13.42578125" style="63" bestFit="1" customWidth="1"/>
    <col min="7945" max="7945" width="2.5703125" style="63" bestFit="1" customWidth="1"/>
    <col min="7946" max="7946" width="13.5703125" style="63" bestFit="1" customWidth="1"/>
    <col min="7947" max="7947" width="2.5703125" style="63" customWidth="1"/>
    <col min="7948" max="7948" width="15" style="63" bestFit="1" customWidth="1"/>
    <col min="7949" max="7949" width="2.28515625" style="63" customWidth="1"/>
    <col min="7950" max="8192" width="9.140625" style="63"/>
    <col min="8193" max="8193" width="4.42578125" style="63" bestFit="1" customWidth="1"/>
    <col min="8194" max="8194" width="2.28515625" style="63" customWidth="1"/>
    <col min="8195" max="8195" width="3.7109375" style="63" customWidth="1"/>
    <col min="8196" max="8196" width="58" style="63" bestFit="1" customWidth="1"/>
    <col min="8197" max="8197" width="2.28515625" style="63" customWidth="1"/>
    <col min="8198" max="8198" width="15" style="63" bestFit="1" customWidth="1"/>
    <col min="8199" max="8199" width="2.28515625" style="63" customWidth="1"/>
    <col min="8200" max="8200" width="13.42578125" style="63" bestFit="1" customWidth="1"/>
    <col min="8201" max="8201" width="2.5703125" style="63" bestFit="1" customWidth="1"/>
    <col min="8202" max="8202" width="13.5703125" style="63" bestFit="1" customWidth="1"/>
    <col min="8203" max="8203" width="2.5703125" style="63" customWidth="1"/>
    <col min="8204" max="8204" width="15" style="63" bestFit="1" customWidth="1"/>
    <col min="8205" max="8205" width="2.28515625" style="63" customWidth="1"/>
    <col min="8206" max="8448" width="9.140625" style="63"/>
    <col min="8449" max="8449" width="4.42578125" style="63" bestFit="1" customWidth="1"/>
    <col min="8450" max="8450" width="2.28515625" style="63" customWidth="1"/>
    <col min="8451" max="8451" width="3.7109375" style="63" customWidth="1"/>
    <col min="8452" max="8452" width="58" style="63" bestFit="1" customWidth="1"/>
    <col min="8453" max="8453" width="2.28515625" style="63" customWidth="1"/>
    <col min="8454" max="8454" width="15" style="63" bestFit="1" customWidth="1"/>
    <col min="8455" max="8455" width="2.28515625" style="63" customWidth="1"/>
    <col min="8456" max="8456" width="13.42578125" style="63" bestFit="1" customWidth="1"/>
    <col min="8457" max="8457" width="2.5703125" style="63" bestFit="1" customWidth="1"/>
    <col min="8458" max="8458" width="13.5703125" style="63" bestFit="1" customWidth="1"/>
    <col min="8459" max="8459" width="2.5703125" style="63" customWidth="1"/>
    <col min="8460" max="8460" width="15" style="63" bestFit="1" customWidth="1"/>
    <col min="8461" max="8461" width="2.28515625" style="63" customWidth="1"/>
    <col min="8462" max="8704" width="9.140625" style="63"/>
    <col min="8705" max="8705" width="4.42578125" style="63" bestFit="1" customWidth="1"/>
    <col min="8706" max="8706" width="2.28515625" style="63" customWidth="1"/>
    <col min="8707" max="8707" width="3.7109375" style="63" customWidth="1"/>
    <col min="8708" max="8708" width="58" style="63" bestFit="1" customWidth="1"/>
    <col min="8709" max="8709" width="2.28515625" style="63" customWidth="1"/>
    <col min="8710" max="8710" width="15" style="63" bestFit="1" customWidth="1"/>
    <col min="8711" max="8711" width="2.28515625" style="63" customWidth="1"/>
    <col min="8712" max="8712" width="13.42578125" style="63" bestFit="1" customWidth="1"/>
    <col min="8713" max="8713" width="2.5703125" style="63" bestFit="1" customWidth="1"/>
    <col min="8714" max="8714" width="13.5703125" style="63" bestFit="1" customWidth="1"/>
    <col min="8715" max="8715" width="2.5703125" style="63" customWidth="1"/>
    <col min="8716" max="8716" width="15" style="63" bestFit="1" customWidth="1"/>
    <col min="8717" max="8717" width="2.28515625" style="63" customWidth="1"/>
    <col min="8718" max="8960" width="9.140625" style="63"/>
    <col min="8961" max="8961" width="4.42578125" style="63" bestFit="1" customWidth="1"/>
    <col min="8962" max="8962" width="2.28515625" style="63" customWidth="1"/>
    <col min="8963" max="8963" width="3.7109375" style="63" customWidth="1"/>
    <col min="8964" max="8964" width="58" style="63" bestFit="1" customWidth="1"/>
    <col min="8965" max="8965" width="2.28515625" style="63" customWidth="1"/>
    <col min="8966" max="8966" width="15" style="63" bestFit="1" customWidth="1"/>
    <col min="8967" max="8967" width="2.28515625" style="63" customWidth="1"/>
    <col min="8968" max="8968" width="13.42578125" style="63" bestFit="1" customWidth="1"/>
    <col min="8969" max="8969" width="2.5703125" style="63" bestFit="1" customWidth="1"/>
    <col min="8970" max="8970" width="13.5703125" style="63" bestFit="1" customWidth="1"/>
    <col min="8971" max="8971" width="2.5703125" style="63" customWidth="1"/>
    <col min="8972" max="8972" width="15" style="63" bestFit="1" customWidth="1"/>
    <col min="8973" max="8973" width="2.28515625" style="63" customWidth="1"/>
    <col min="8974" max="9216" width="9.140625" style="63"/>
    <col min="9217" max="9217" width="4.42578125" style="63" bestFit="1" customWidth="1"/>
    <col min="9218" max="9218" width="2.28515625" style="63" customWidth="1"/>
    <col min="9219" max="9219" width="3.7109375" style="63" customWidth="1"/>
    <col min="9220" max="9220" width="58" style="63" bestFit="1" customWidth="1"/>
    <col min="9221" max="9221" width="2.28515625" style="63" customWidth="1"/>
    <col min="9222" max="9222" width="15" style="63" bestFit="1" customWidth="1"/>
    <col min="9223" max="9223" width="2.28515625" style="63" customWidth="1"/>
    <col min="9224" max="9224" width="13.42578125" style="63" bestFit="1" customWidth="1"/>
    <col min="9225" max="9225" width="2.5703125" style="63" bestFit="1" customWidth="1"/>
    <col min="9226" max="9226" width="13.5703125" style="63" bestFit="1" customWidth="1"/>
    <col min="9227" max="9227" width="2.5703125" style="63" customWidth="1"/>
    <col min="9228" max="9228" width="15" style="63" bestFit="1" customWidth="1"/>
    <col min="9229" max="9229" width="2.28515625" style="63" customWidth="1"/>
    <col min="9230" max="9472" width="9.140625" style="63"/>
    <col min="9473" max="9473" width="4.42578125" style="63" bestFit="1" customWidth="1"/>
    <col min="9474" max="9474" width="2.28515625" style="63" customWidth="1"/>
    <col min="9475" max="9475" width="3.7109375" style="63" customWidth="1"/>
    <col min="9476" max="9476" width="58" style="63" bestFit="1" customWidth="1"/>
    <col min="9477" max="9477" width="2.28515625" style="63" customWidth="1"/>
    <col min="9478" max="9478" width="15" style="63" bestFit="1" customWidth="1"/>
    <col min="9479" max="9479" width="2.28515625" style="63" customWidth="1"/>
    <col min="9480" max="9480" width="13.42578125" style="63" bestFit="1" customWidth="1"/>
    <col min="9481" max="9481" width="2.5703125" style="63" bestFit="1" customWidth="1"/>
    <col min="9482" max="9482" width="13.5703125" style="63" bestFit="1" customWidth="1"/>
    <col min="9483" max="9483" width="2.5703125" style="63" customWidth="1"/>
    <col min="9484" max="9484" width="15" style="63" bestFit="1" customWidth="1"/>
    <col min="9485" max="9485" width="2.28515625" style="63" customWidth="1"/>
    <col min="9486" max="9728" width="9.140625" style="63"/>
    <col min="9729" max="9729" width="4.42578125" style="63" bestFit="1" customWidth="1"/>
    <col min="9730" max="9730" width="2.28515625" style="63" customWidth="1"/>
    <col min="9731" max="9731" width="3.7109375" style="63" customWidth="1"/>
    <col min="9732" max="9732" width="58" style="63" bestFit="1" customWidth="1"/>
    <col min="9733" max="9733" width="2.28515625" style="63" customWidth="1"/>
    <col min="9734" max="9734" width="15" style="63" bestFit="1" customWidth="1"/>
    <col min="9735" max="9735" width="2.28515625" style="63" customWidth="1"/>
    <col min="9736" max="9736" width="13.42578125" style="63" bestFit="1" customWidth="1"/>
    <col min="9737" max="9737" width="2.5703125" style="63" bestFit="1" customWidth="1"/>
    <col min="9738" max="9738" width="13.5703125" style="63" bestFit="1" customWidth="1"/>
    <col min="9739" max="9739" width="2.5703125" style="63" customWidth="1"/>
    <col min="9740" max="9740" width="15" style="63" bestFit="1" customWidth="1"/>
    <col min="9741" max="9741" width="2.28515625" style="63" customWidth="1"/>
    <col min="9742" max="9984" width="9.140625" style="63"/>
    <col min="9985" max="9985" width="4.42578125" style="63" bestFit="1" customWidth="1"/>
    <col min="9986" max="9986" width="2.28515625" style="63" customWidth="1"/>
    <col min="9987" max="9987" width="3.7109375" style="63" customWidth="1"/>
    <col min="9988" max="9988" width="58" style="63" bestFit="1" customWidth="1"/>
    <col min="9989" max="9989" width="2.28515625" style="63" customWidth="1"/>
    <col min="9990" max="9990" width="15" style="63" bestFit="1" customWidth="1"/>
    <col min="9991" max="9991" width="2.28515625" style="63" customWidth="1"/>
    <col min="9992" max="9992" width="13.42578125" style="63" bestFit="1" customWidth="1"/>
    <col min="9993" max="9993" width="2.5703125" style="63" bestFit="1" customWidth="1"/>
    <col min="9994" max="9994" width="13.5703125" style="63" bestFit="1" customWidth="1"/>
    <col min="9995" max="9995" width="2.5703125" style="63" customWidth="1"/>
    <col min="9996" max="9996" width="15" style="63" bestFit="1" customWidth="1"/>
    <col min="9997" max="9997" width="2.28515625" style="63" customWidth="1"/>
    <col min="9998" max="10240" width="9.140625" style="63"/>
    <col min="10241" max="10241" width="4.42578125" style="63" bestFit="1" customWidth="1"/>
    <col min="10242" max="10242" width="2.28515625" style="63" customWidth="1"/>
    <col min="10243" max="10243" width="3.7109375" style="63" customWidth="1"/>
    <col min="10244" max="10244" width="58" style="63" bestFit="1" customWidth="1"/>
    <col min="10245" max="10245" width="2.28515625" style="63" customWidth="1"/>
    <col min="10246" max="10246" width="15" style="63" bestFit="1" customWidth="1"/>
    <col min="10247" max="10247" width="2.28515625" style="63" customWidth="1"/>
    <col min="10248" max="10248" width="13.42578125" style="63" bestFit="1" customWidth="1"/>
    <col min="10249" max="10249" width="2.5703125" style="63" bestFit="1" customWidth="1"/>
    <col min="10250" max="10250" width="13.5703125" style="63" bestFit="1" customWidth="1"/>
    <col min="10251" max="10251" width="2.5703125" style="63" customWidth="1"/>
    <col min="10252" max="10252" width="15" style="63" bestFit="1" customWidth="1"/>
    <col min="10253" max="10253" width="2.28515625" style="63" customWidth="1"/>
    <col min="10254" max="10496" width="9.140625" style="63"/>
    <col min="10497" max="10497" width="4.42578125" style="63" bestFit="1" customWidth="1"/>
    <col min="10498" max="10498" width="2.28515625" style="63" customWidth="1"/>
    <col min="10499" max="10499" width="3.7109375" style="63" customWidth="1"/>
    <col min="10500" max="10500" width="58" style="63" bestFit="1" customWidth="1"/>
    <col min="10501" max="10501" width="2.28515625" style="63" customWidth="1"/>
    <col min="10502" max="10502" width="15" style="63" bestFit="1" customWidth="1"/>
    <col min="10503" max="10503" width="2.28515625" style="63" customWidth="1"/>
    <col min="10504" max="10504" width="13.42578125" style="63" bestFit="1" customWidth="1"/>
    <col min="10505" max="10505" width="2.5703125" style="63" bestFit="1" customWidth="1"/>
    <col min="10506" max="10506" width="13.5703125" style="63" bestFit="1" customWidth="1"/>
    <col min="10507" max="10507" width="2.5703125" style="63" customWidth="1"/>
    <col min="10508" max="10508" width="15" style="63" bestFit="1" customWidth="1"/>
    <col min="10509" max="10509" width="2.28515625" style="63" customWidth="1"/>
    <col min="10510" max="10752" width="9.140625" style="63"/>
    <col min="10753" max="10753" width="4.42578125" style="63" bestFit="1" customWidth="1"/>
    <col min="10754" max="10754" width="2.28515625" style="63" customWidth="1"/>
    <col min="10755" max="10755" width="3.7109375" style="63" customWidth="1"/>
    <col min="10756" max="10756" width="58" style="63" bestFit="1" customWidth="1"/>
    <col min="10757" max="10757" width="2.28515625" style="63" customWidth="1"/>
    <col min="10758" max="10758" width="15" style="63" bestFit="1" customWidth="1"/>
    <col min="10759" max="10759" width="2.28515625" style="63" customWidth="1"/>
    <col min="10760" max="10760" width="13.42578125" style="63" bestFit="1" customWidth="1"/>
    <col min="10761" max="10761" width="2.5703125" style="63" bestFit="1" customWidth="1"/>
    <col min="10762" max="10762" width="13.5703125" style="63" bestFit="1" customWidth="1"/>
    <col min="10763" max="10763" width="2.5703125" style="63" customWidth="1"/>
    <col min="10764" max="10764" width="15" style="63" bestFit="1" customWidth="1"/>
    <col min="10765" max="10765" width="2.28515625" style="63" customWidth="1"/>
    <col min="10766" max="11008" width="9.140625" style="63"/>
    <col min="11009" max="11009" width="4.42578125" style="63" bestFit="1" customWidth="1"/>
    <col min="11010" max="11010" width="2.28515625" style="63" customWidth="1"/>
    <col min="11011" max="11011" width="3.7109375" style="63" customWidth="1"/>
    <col min="11012" max="11012" width="58" style="63" bestFit="1" customWidth="1"/>
    <col min="11013" max="11013" width="2.28515625" style="63" customWidth="1"/>
    <col min="11014" max="11014" width="15" style="63" bestFit="1" customWidth="1"/>
    <col min="11015" max="11015" width="2.28515625" style="63" customWidth="1"/>
    <col min="11016" max="11016" width="13.42578125" style="63" bestFit="1" customWidth="1"/>
    <col min="11017" max="11017" width="2.5703125" style="63" bestFit="1" customWidth="1"/>
    <col min="11018" max="11018" width="13.5703125" style="63" bestFit="1" customWidth="1"/>
    <col min="11019" max="11019" width="2.5703125" style="63" customWidth="1"/>
    <col min="11020" max="11020" width="15" style="63" bestFit="1" customWidth="1"/>
    <col min="11021" max="11021" width="2.28515625" style="63" customWidth="1"/>
    <col min="11022" max="11264" width="9.140625" style="63"/>
    <col min="11265" max="11265" width="4.42578125" style="63" bestFit="1" customWidth="1"/>
    <col min="11266" max="11266" width="2.28515625" style="63" customWidth="1"/>
    <col min="11267" max="11267" width="3.7109375" style="63" customWidth="1"/>
    <col min="11268" max="11268" width="58" style="63" bestFit="1" customWidth="1"/>
    <col min="11269" max="11269" width="2.28515625" style="63" customWidth="1"/>
    <col min="11270" max="11270" width="15" style="63" bestFit="1" customWidth="1"/>
    <col min="11271" max="11271" width="2.28515625" style="63" customWidth="1"/>
    <col min="11272" max="11272" width="13.42578125" style="63" bestFit="1" customWidth="1"/>
    <col min="11273" max="11273" width="2.5703125" style="63" bestFit="1" customWidth="1"/>
    <col min="11274" max="11274" width="13.5703125" style="63" bestFit="1" customWidth="1"/>
    <col min="11275" max="11275" width="2.5703125" style="63" customWidth="1"/>
    <col min="11276" max="11276" width="15" style="63" bestFit="1" customWidth="1"/>
    <col min="11277" max="11277" width="2.28515625" style="63" customWidth="1"/>
    <col min="11278" max="11520" width="9.140625" style="63"/>
    <col min="11521" max="11521" width="4.42578125" style="63" bestFit="1" customWidth="1"/>
    <col min="11522" max="11522" width="2.28515625" style="63" customWidth="1"/>
    <col min="11523" max="11523" width="3.7109375" style="63" customWidth="1"/>
    <col min="11524" max="11524" width="58" style="63" bestFit="1" customWidth="1"/>
    <col min="11525" max="11525" width="2.28515625" style="63" customWidth="1"/>
    <col min="11526" max="11526" width="15" style="63" bestFit="1" customWidth="1"/>
    <col min="11527" max="11527" width="2.28515625" style="63" customWidth="1"/>
    <col min="11528" max="11528" width="13.42578125" style="63" bestFit="1" customWidth="1"/>
    <col min="11529" max="11529" width="2.5703125" style="63" bestFit="1" customWidth="1"/>
    <col min="11530" max="11530" width="13.5703125" style="63" bestFit="1" customWidth="1"/>
    <col min="11531" max="11531" width="2.5703125" style="63" customWidth="1"/>
    <col min="11532" max="11532" width="15" style="63" bestFit="1" customWidth="1"/>
    <col min="11533" max="11533" width="2.28515625" style="63" customWidth="1"/>
    <col min="11534" max="11776" width="9.140625" style="63"/>
    <col min="11777" max="11777" width="4.42578125" style="63" bestFit="1" customWidth="1"/>
    <col min="11778" max="11778" width="2.28515625" style="63" customWidth="1"/>
    <col min="11779" max="11779" width="3.7109375" style="63" customWidth="1"/>
    <col min="11780" max="11780" width="58" style="63" bestFit="1" customWidth="1"/>
    <col min="11781" max="11781" width="2.28515625" style="63" customWidth="1"/>
    <col min="11782" max="11782" width="15" style="63" bestFit="1" customWidth="1"/>
    <col min="11783" max="11783" width="2.28515625" style="63" customWidth="1"/>
    <col min="11784" max="11784" width="13.42578125" style="63" bestFit="1" customWidth="1"/>
    <col min="11785" max="11785" width="2.5703125" style="63" bestFit="1" customWidth="1"/>
    <col min="11786" max="11786" width="13.5703125" style="63" bestFit="1" customWidth="1"/>
    <col min="11787" max="11787" width="2.5703125" style="63" customWidth="1"/>
    <col min="11788" max="11788" width="15" style="63" bestFit="1" customWidth="1"/>
    <col min="11789" max="11789" width="2.28515625" style="63" customWidth="1"/>
    <col min="11790" max="12032" width="9.140625" style="63"/>
    <col min="12033" max="12033" width="4.42578125" style="63" bestFit="1" customWidth="1"/>
    <col min="12034" max="12034" width="2.28515625" style="63" customWidth="1"/>
    <col min="12035" max="12035" width="3.7109375" style="63" customWidth="1"/>
    <col min="12036" max="12036" width="58" style="63" bestFit="1" customWidth="1"/>
    <col min="12037" max="12037" width="2.28515625" style="63" customWidth="1"/>
    <col min="12038" max="12038" width="15" style="63" bestFit="1" customWidth="1"/>
    <col min="12039" max="12039" width="2.28515625" style="63" customWidth="1"/>
    <col min="12040" max="12040" width="13.42578125" style="63" bestFit="1" customWidth="1"/>
    <col min="12041" max="12041" width="2.5703125" style="63" bestFit="1" customWidth="1"/>
    <col min="12042" max="12042" width="13.5703125" style="63" bestFit="1" customWidth="1"/>
    <col min="12043" max="12043" width="2.5703125" style="63" customWidth="1"/>
    <col min="12044" max="12044" width="15" style="63" bestFit="1" customWidth="1"/>
    <col min="12045" max="12045" width="2.28515625" style="63" customWidth="1"/>
    <col min="12046" max="12288" width="9.140625" style="63"/>
    <col min="12289" max="12289" width="4.42578125" style="63" bestFit="1" customWidth="1"/>
    <col min="12290" max="12290" width="2.28515625" style="63" customWidth="1"/>
    <col min="12291" max="12291" width="3.7109375" style="63" customWidth="1"/>
    <col min="12292" max="12292" width="58" style="63" bestFit="1" customWidth="1"/>
    <col min="12293" max="12293" width="2.28515625" style="63" customWidth="1"/>
    <col min="12294" max="12294" width="15" style="63" bestFit="1" customWidth="1"/>
    <col min="12295" max="12295" width="2.28515625" style="63" customWidth="1"/>
    <col min="12296" max="12296" width="13.42578125" style="63" bestFit="1" customWidth="1"/>
    <col min="12297" max="12297" width="2.5703125" style="63" bestFit="1" customWidth="1"/>
    <col min="12298" max="12298" width="13.5703125" style="63" bestFit="1" customWidth="1"/>
    <col min="12299" max="12299" width="2.5703125" style="63" customWidth="1"/>
    <col min="12300" max="12300" width="15" style="63" bestFit="1" customWidth="1"/>
    <col min="12301" max="12301" width="2.28515625" style="63" customWidth="1"/>
    <col min="12302" max="12544" width="9.140625" style="63"/>
    <col min="12545" max="12545" width="4.42578125" style="63" bestFit="1" customWidth="1"/>
    <col min="12546" max="12546" width="2.28515625" style="63" customWidth="1"/>
    <col min="12547" max="12547" width="3.7109375" style="63" customWidth="1"/>
    <col min="12548" max="12548" width="58" style="63" bestFit="1" customWidth="1"/>
    <col min="12549" max="12549" width="2.28515625" style="63" customWidth="1"/>
    <col min="12550" max="12550" width="15" style="63" bestFit="1" customWidth="1"/>
    <col min="12551" max="12551" width="2.28515625" style="63" customWidth="1"/>
    <col min="12552" max="12552" width="13.42578125" style="63" bestFit="1" customWidth="1"/>
    <col min="12553" max="12553" width="2.5703125" style="63" bestFit="1" customWidth="1"/>
    <col min="12554" max="12554" width="13.5703125" style="63" bestFit="1" customWidth="1"/>
    <col min="12555" max="12555" width="2.5703125" style="63" customWidth="1"/>
    <col min="12556" max="12556" width="15" style="63" bestFit="1" customWidth="1"/>
    <col min="12557" max="12557" width="2.28515625" style="63" customWidth="1"/>
    <col min="12558" max="12800" width="9.140625" style="63"/>
    <col min="12801" max="12801" width="4.42578125" style="63" bestFit="1" customWidth="1"/>
    <col min="12802" max="12802" width="2.28515625" style="63" customWidth="1"/>
    <col min="12803" max="12803" width="3.7109375" style="63" customWidth="1"/>
    <col min="12804" max="12804" width="58" style="63" bestFit="1" customWidth="1"/>
    <col min="12805" max="12805" width="2.28515625" style="63" customWidth="1"/>
    <col min="12806" max="12806" width="15" style="63" bestFit="1" customWidth="1"/>
    <col min="12807" max="12807" width="2.28515625" style="63" customWidth="1"/>
    <col min="12808" max="12808" width="13.42578125" style="63" bestFit="1" customWidth="1"/>
    <col min="12809" max="12809" width="2.5703125" style="63" bestFit="1" customWidth="1"/>
    <col min="12810" max="12810" width="13.5703125" style="63" bestFit="1" customWidth="1"/>
    <col min="12811" max="12811" width="2.5703125" style="63" customWidth="1"/>
    <col min="12812" max="12812" width="15" style="63" bestFit="1" customWidth="1"/>
    <col min="12813" max="12813" width="2.28515625" style="63" customWidth="1"/>
    <col min="12814" max="13056" width="9.140625" style="63"/>
    <col min="13057" max="13057" width="4.42578125" style="63" bestFit="1" customWidth="1"/>
    <col min="13058" max="13058" width="2.28515625" style="63" customWidth="1"/>
    <col min="13059" max="13059" width="3.7109375" style="63" customWidth="1"/>
    <col min="13060" max="13060" width="58" style="63" bestFit="1" customWidth="1"/>
    <col min="13061" max="13061" width="2.28515625" style="63" customWidth="1"/>
    <col min="13062" max="13062" width="15" style="63" bestFit="1" customWidth="1"/>
    <col min="13063" max="13063" width="2.28515625" style="63" customWidth="1"/>
    <col min="13064" max="13064" width="13.42578125" style="63" bestFit="1" customWidth="1"/>
    <col min="13065" max="13065" width="2.5703125" style="63" bestFit="1" customWidth="1"/>
    <col min="13066" max="13066" width="13.5703125" style="63" bestFit="1" customWidth="1"/>
    <col min="13067" max="13067" width="2.5703125" style="63" customWidth="1"/>
    <col min="13068" max="13068" width="15" style="63" bestFit="1" customWidth="1"/>
    <col min="13069" max="13069" width="2.28515625" style="63" customWidth="1"/>
    <col min="13070" max="13312" width="9.140625" style="63"/>
    <col min="13313" max="13313" width="4.42578125" style="63" bestFit="1" customWidth="1"/>
    <col min="13314" max="13314" width="2.28515625" style="63" customWidth="1"/>
    <col min="13315" max="13315" width="3.7109375" style="63" customWidth="1"/>
    <col min="13316" max="13316" width="58" style="63" bestFit="1" customWidth="1"/>
    <col min="13317" max="13317" width="2.28515625" style="63" customWidth="1"/>
    <col min="13318" max="13318" width="15" style="63" bestFit="1" customWidth="1"/>
    <col min="13319" max="13319" width="2.28515625" style="63" customWidth="1"/>
    <col min="13320" max="13320" width="13.42578125" style="63" bestFit="1" customWidth="1"/>
    <col min="13321" max="13321" width="2.5703125" style="63" bestFit="1" customWidth="1"/>
    <col min="13322" max="13322" width="13.5703125" style="63" bestFit="1" customWidth="1"/>
    <col min="13323" max="13323" width="2.5703125" style="63" customWidth="1"/>
    <col min="13324" max="13324" width="15" style="63" bestFit="1" customWidth="1"/>
    <col min="13325" max="13325" width="2.28515625" style="63" customWidth="1"/>
    <col min="13326" max="13568" width="9.140625" style="63"/>
    <col min="13569" max="13569" width="4.42578125" style="63" bestFit="1" customWidth="1"/>
    <col min="13570" max="13570" width="2.28515625" style="63" customWidth="1"/>
    <col min="13571" max="13571" width="3.7109375" style="63" customWidth="1"/>
    <col min="13572" max="13572" width="58" style="63" bestFit="1" customWidth="1"/>
    <col min="13573" max="13573" width="2.28515625" style="63" customWidth="1"/>
    <col min="13574" max="13574" width="15" style="63" bestFit="1" customWidth="1"/>
    <col min="13575" max="13575" width="2.28515625" style="63" customWidth="1"/>
    <col min="13576" max="13576" width="13.42578125" style="63" bestFit="1" customWidth="1"/>
    <col min="13577" max="13577" width="2.5703125" style="63" bestFit="1" customWidth="1"/>
    <col min="13578" max="13578" width="13.5703125" style="63" bestFit="1" customWidth="1"/>
    <col min="13579" max="13579" width="2.5703125" style="63" customWidth="1"/>
    <col min="13580" max="13580" width="15" style="63" bestFit="1" customWidth="1"/>
    <col min="13581" max="13581" width="2.28515625" style="63" customWidth="1"/>
    <col min="13582" max="13824" width="9.140625" style="63"/>
    <col min="13825" max="13825" width="4.42578125" style="63" bestFit="1" customWidth="1"/>
    <col min="13826" max="13826" width="2.28515625" style="63" customWidth="1"/>
    <col min="13827" max="13827" width="3.7109375" style="63" customWidth="1"/>
    <col min="13828" max="13828" width="58" style="63" bestFit="1" customWidth="1"/>
    <col min="13829" max="13829" width="2.28515625" style="63" customWidth="1"/>
    <col min="13830" max="13830" width="15" style="63" bestFit="1" customWidth="1"/>
    <col min="13831" max="13831" width="2.28515625" style="63" customWidth="1"/>
    <col min="13832" max="13832" width="13.42578125" style="63" bestFit="1" customWidth="1"/>
    <col min="13833" max="13833" width="2.5703125" style="63" bestFit="1" customWidth="1"/>
    <col min="13834" max="13834" width="13.5703125" style="63" bestFit="1" customWidth="1"/>
    <col min="13835" max="13835" width="2.5703125" style="63" customWidth="1"/>
    <col min="13836" max="13836" width="15" style="63" bestFit="1" customWidth="1"/>
    <col min="13837" max="13837" width="2.28515625" style="63" customWidth="1"/>
    <col min="13838" max="14080" width="9.140625" style="63"/>
    <col min="14081" max="14081" width="4.42578125" style="63" bestFit="1" customWidth="1"/>
    <col min="14082" max="14082" width="2.28515625" style="63" customWidth="1"/>
    <col min="14083" max="14083" width="3.7109375" style="63" customWidth="1"/>
    <col min="14084" max="14084" width="58" style="63" bestFit="1" customWidth="1"/>
    <col min="14085" max="14085" width="2.28515625" style="63" customWidth="1"/>
    <col min="14086" max="14086" width="15" style="63" bestFit="1" customWidth="1"/>
    <col min="14087" max="14087" width="2.28515625" style="63" customWidth="1"/>
    <col min="14088" max="14088" width="13.42578125" style="63" bestFit="1" customWidth="1"/>
    <col min="14089" max="14089" width="2.5703125" style="63" bestFit="1" customWidth="1"/>
    <col min="14090" max="14090" width="13.5703125" style="63" bestFit="1" customWidth="1"/>
    <col min="14091" max="14091" width="2.5703125" style="63" customWidth="1"/>
    <col min="14092" max="14092" width="15" style="63" bestFit="1" customWidth="1"/>
    <col min="14093" max="14093" width="2.28515625" style="63" customWidth="1"/>
    <col min="14094" max="14336" width="9.140625" style="63"/>
    <col min="14337" max="14337" width="4.42578125" style="63" bestFit="1" customWidth="1"/>
    <col min="14338" max="14338" width="2.28515625" style="63" customWidth="1"/>
    <col min="14339" max="14339" width="3.7109375" style="63" customWidth="1"/>
    <col min="14340" max="14340" width="58" style="63" bestFit="1" customWidth="1"/>
    <col min="14341" max="14341" width="2.28515625" style="63" customWidth="1"/>
    <col min="14342" max="14342" width="15" style="63" bestFit="1" customWidth="1"/>
    <col min="14343" max="14343" width="2.28515625" style="63" customWidth="1"/>
    <col min="14344" max="14344" width="13.42578125" style="63" bestFit="1" customWidth="1"/>
    <col min="14345" max="14345" width="2.5703125" style="63" bestFit="1" customWidth="1"/>
    <col min="14346" max="14346" width="13.5703125" style="63" bestFit="1" customWidth="1"/>
    <col min="14347" max="14347" width="2.5703125" style="63" customWidth="1"/>
    <col min="14348" max="14348" width="15" style="63" bestFit="1" customWidth="1"/>
    <col min="14349" max="14349" width="2.28515625" style="63" customWidth="1"/>
    <col min="14350" max="14592" width="9.140625" style="63"/>
    <col min="14593" max="14593" width="4.42578125" style="63" bestFit="1" customWidth="1"/>
    <col min="14594" max="14594" width="2.28515625" style="63" customWidth="1"/>
    <col min="14595" max="14595" width="3.7109375" style="63" customWidth="1"/>
    <col min="14596" max="14596" width="58" style="63" bestFit="1" customWidth="1"/>
    <col min="14597" max="14597" width="2.28515625" style="63" customWidth="1"/>
    <col min="14598" max="14598" width="15" style="63" bestFit="1" customWidth="1"/>
    <col min="14599" max="14599" width="2.28515625" style="63" customWidth="1"/>
    <col min="14600" max="14600" width="13.42578125" style="63" bestFit="1" customWidth="1"/>
    <col min="14601" max="14601" width="2.5703125" style="63" bestFit="1" customWidth="1"/>
    <col min="14602" max="14602" width="13.5703125" style="63" bestFit="1" customWidth="1"/>
    <col min="14603" max="14603" width="2.5703125" style="63" customWidth="1"/>
    <col min="14604" max="14604" width="15" style="63" bestFit="1" customWidth="1"/>
    <col min="14605" max="14605" width="2.28515625" style="63" customWidth="1"/>
    <col min="14606" max="14848" width="9.140625" style="63"/>
    <col min="14849" max="14849" width="4.42578125" style="63" bestFit="1" customWidth="1"/>
    <col min="14850" max="14850" width="2.28515625" style="63" customWidth="1"/>
    <col min="14851" max="14851" width="3.7109375" style="63" customWidth="1"/>
    <col min="14852" max="14852" width="58" style="63" bestFit="1" customWidth="1"/>
    <col min="14853" max="14853" width="2.28515625" style="63" customWidth="1"/>
    <col min="14854" max="14854" width="15" style="63" bestFit="1" customWidth="1"/>
    <col min="14855" max="14855" width="2.28515625" style="63" customWidth="1"/>
    <col min="14856" max="14856" width="13.42578125" style="63" bestFit="1" customWidth="1"/>
    <col min="14857" max="14857" width="2.5703125" style="63" bestFit="1" customWidth="1"/>
    <col min="14858" max="14858" width="13.5703125" style="63" bestFit="1" customWidth="1"/>
    <col min="14859" max="14859" width="2.5703125" style="63" customWidth="1"/>
    <col min="14860" max="14860" width="15" style="63" bestFit="1" customWidth="1"/>
    <col min="14861" max="14861" width="2.28515625" style="63" customWidth="1"/>
    <col min="14862" max="15104" width="9.140625" style="63"/>
    <col min="15105" max="15105" width="4.42578125" style="63" bestFit="1" customWidth="1"/>
    <col min="15106" max="15106" width="2.28515625" style="63" customWidth="1"/>
    <col min="15107" max="15107" width="3.7109375" style="63" customWidth="1"/>
    <col min="15108" max="15108" width="58" style="63" bestFit="1" customWidth="1"/>
    <col min="15109" max="15109" width="2.28515625" style="63" customWidth="1"/>
    <col min="15110" max="15110" width="15" style="63" bestFit="1" customWidth="1"/>
    <col min="15111" max="15111" width="2.28515625" style="63" customWidth="1"/>
    <col min="15112" max="15112" width="13.42578125" style="63" bestFit="1" customWidth="1"/>
    <col min="15113" max="15113" width="2.5703125" style="63" bestFit="1" customWidth="1"/>
    <col min="15114" max="15114" width="13.5703125" style="63" bestFit="1" customWidth="1"/>
    <col min="15115" max="15115" width="2.5703125" style="63" customWidth="1"/>
    <col min="15116" max="15116" width="15" style="63" bestFit="1" customWidth="1"/>
    <col min="15117" max="15117" width="2.28515625" style="63" customWidth="1"/>
    <col min="15118" max="15360" width="9.140625" style="63"/>
    <col min="15361" max="15361" width="4.42578125" style="63" bestFit="1" customWidth="1"/>
    <col min="15362" max="15362" width="2.28515625" style="63" customWidth="1"/>
    <col min="15363" max="15363" width="3.7109375" style="63" customWidth="1"/>
    <col min="15364" max="15364" width="58" style="63" bestFit="1" customWidth="1"/>
    <col min="15365" max="15365" width="2.28515625" style="63" customWidth="1"/>
    <col min="15366" max="15366" width="15" style="63" bestFit="1" customWidth="1"/>
    <col min="15367" max="15367" width="2.28515625" style="63" customWidth="1"/>
    <col min="15368" max="15368" width="13.42578125" style="63" bestFit="1" customWidth="1"/>
    <col min="15369" max="15369" width="2.5703125" style="63" bestFit="1" customWidth="1"/>
    <col min="15370" max="15370" width="13.5703125" style="63" bestFit="1" customWidth="1"/>
    <col min="15371" max="15371" width="2.5703125" style="63" customWidth="1"/>
    <col min="15372" max="15372" width="15" style="63" bestFit="1" customWidth="1"/>
    <col min="15373" max="15373" width="2.28515625" style="63" customWidth="1"/>
    <col min="15374" max="15616" width="9.140625" style="63"/>
    <col min="15617" max="15617" width="4.42578125" style="63" bestFit="1" customWidth="1"/>
    <col min="15618" max="15618" width="2.28515625" style="63" customWidth="1"/>
    <col min="15619" max="15619" width="3.7109375" style="63" customWidth="1"/>
    <col min="15620" max="15620" width="58" style="63" bestFit="1" customWidth="1"/>
    <col min="15621" max="15621" width="2.28515625" style="63" customWidth="1"/>
    <col min="15622" max="15622" width="15" style="63" bestFit="1" customWidth="1"/>
    <col min="15623" max="15623" width="2.28515625" style="63" customWidth="1"/>
    <col min="15624" max="15624" width="13.42578125" style="63" bestFit="1" customWidth="1"/>
    <col min="15625" max="15625" width="2.5703125" style="63" bestFit="1" customWidth="1"/>
    <col min="15626" max="15626" width="13.5703125" style="63" bestFit="1" customWidth="1"/>
    <col min="15627" max="15627" width="2.5703125" style="63" customWidth="1"/>
    <col min="15628" max="15628" width="15" style="63" bestFit="1" customWidth="1"/>
    <col min="15629" max="15629" width="2.28515625" style="63" customWidth="1"/>
    <col min="15630" max="15872" width="9.140625" style="63"/>
    <col min="15873" max="15873" width="4.42578125" style="63" bestFit="1" customWidth="1"/>
    <col min="15874" max="15874" width="2.28515625" style="63" customWidth="1"/>
    <col min="15875" max="15875" width="3.7109375" style="63" customWidth="1"/>
    <col min="15876" max="15876" width="58" style="63" bestFit="1" customWidth="1"/>
    <col min="15877" max="15877" width="2.28515625" style="63" customWidth="1"/>
    <col min="15878" max="15878" width="15" style="63" bestFit="1" customWidth="1"/>
    <col min="15879" max="15879" width="2.28515625" style="63" customWidth="1"/>
    <col min="15880" max="15880" width="13.42578125" style="63" bestFit="1" customWidth="1"/>
    <col min="15881" max="15881" width="2.5703125" style="63" bestFit="1" customWidth="1"/>
    <col min="15882" max="15882" width="13.5703125" style="63" bestFit="1" customWidth="1"/>
    <col min="15883" max="15883" width="2.5703125" style="63" customWidth="1"/>
    <col min="15884" max="15884" width="15" style="63" bestFit="1" customWidth="1"/>
    <col min="15885" max="15885" width="2.28515625" style="63" customWidth="1"/>
    <col min="15886" max="16128" width="9.140625" style="63"/>
    <col min="16129" max="16129" width="4.42578125" style="63" bestFit="1" customWidth="1"/>
    <col min="16130" max="16130" width="2.28515625" style="63" customWidth="1"/>
    <col min="16131" max="16131" width="3.7109375" style="63" customWidth="1"/>
    <col min="16132" max="16132" width="58" style="63" bestFit="1" customWidth="1"/>
    <col min="16133" max="16133" width="2.28515625" style="63" customWidth="1"/>
    <col min="16134" max="16134" width="15" style="63" bestFit="1" customWidth="1"/>
    <col min="16135" max="16135" width="2.28515625" style="63" customWidth="1"/>
    <col min="16136" max="16136" width="13.42578125" style="63" bestFit="1" customWidth="1"/>
    <col min="16137" max="16137" width="2.5703125" style="63" bestFit="1" customWidth="1"/>
    <col min="16138" max="16138" width="13.5703125" style="63" bestFit="1" customWidth="1"/>
    <col min="16139" max="16139" width="2.5703125" style="63" customWidth="1"/>
    <col min="16140" max="16140" width="15" style="63" bestFit="1" customWidth="1"/>
    <col min="16141" max="16141" width="2.28515625" style="63" customWidth="1"/>
    <col min="16142" max="16384" width="9.140625" style="63"/>
  </cols>
  <sheetData>
    <row r="1" spans="1:12">
      <c r="A1" s="289" t="s">
        <v>274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</row>
    <row r="3" spans="1:12" ht="15">
      <c r="B3" s="98"/>
      <c r="C3" s="98"/>
      <c r="D3" s="97" t="s">
        <v>13</v>
      </c>
      <c r="E3" s="98"/>
      <c r="F3" s="113"/>
      <c r="G3" s="98"/>
      <c r="H3" s="98"/>
      <c r="I3" s="98"/>
      <c r="J3" s="98"/>
      <c r="K3" s="98"/>
      <c r="L3" s="173" t="s">
        <v>12</v>
      </c>
    </row>
    <row r="4" spans="1:12" ht="15">
      <c r="B4" s="98"/>
      <c r="C4" s="98"/>
      <c r="D4" s="97" t="s">
        <v>367</v>
      </c>
      <c r="E4" s="98"/>
      <c r="F4" s="113"/>
      <c r="G4" s="98"/>
      <c r="H4" s="98"/>
      <c r="I4" s="98"/>
      <c r="J4" s="98"/>
      <c r="K4" s="98"/>
      <c r="L4" s="173" t="s">
        <v>642</v>
      </c>
    </row>
    <row r="5" spans="1:12">
      <c r="B5" s="98"/>
      <c r="C5" s="98"/>
      <c r="D5" s="97" t="s">
        <v>361</v>
      </c>
      <c r="E5" s="98"/>
      <c r="F5" s="113"/>
      <c r="G5" s="98"/>
      <c r="H5" s="98"/>
      <c r="I5" s="98"/>
      <c r="J5" s="99"/>
      <c r="K5" s="99"/>
      <c r="L5" s="99"/>
    </row>
    <row r="6" spans="1:12">
      <c r="B6" s="98"/>
      <c r="C6" s="98"/>
      <c r="D6" s="97" t="s">
        <v>733</v>
      </c>
      <c r="E6" s="98"/>
      <c r="F6" s="113"/>
      <c r="G6" s="98"/>
      <c r="H6" s="98"/>
      <c r="I6" s="98"/>
      <c r="J6" s="98"/>
      <c r="K6" s="98"/>
      <c r="L6" s="98"/>
    </row>
    <row r="8" spans="1:12" ht="33.75">
      <c r="A8" s="100" t="s">
        <v>0</v>
      </c>
      <c r="B8" s="100"/>
      <c r="D8" s="80" t="s">
        <v>353</v>
      </c>
      <c r="F8" s="114" t="s">
        <v>732</v>
      </c>
      <c r="G8" s="101"/>
      <c r="H8" s="101" t="s">
        <v>362</v>
      </c>
      <c r="I8" s="101"/>
      <c r="J8" s="101" t="s">
        <v>363</v>
      </c>
      <c r="K8" s="101"/>
      <c r="L8" s="101" t="s">
        <v>735</v>
      </c>
    </row>
    <row r="9" spans="1:12">
      <c r="A9" s="102">
        <v>-1</v>
      </c>
      <c r="B9" s="100"/>
      <c r="D9" s="103">
        <f>+A9-1</f>
        <v>-2</v>
      </c>
      <c r="F9" s="115">
        <f>+D9-1</f>
        <v>-3</v>
      </c>
      <c r="G9" s="103"/>
      <c r="H9" s="103">
        <f>+F9-1</f>
        <v>-4</v>
      </c>
      <c r="I9" s="103"/>
      <c r="J9" s="103">
        <f>+H9-1</f>
        <v>-5</v>
      </c>
      <c r="K9" s="103"/>
      <c r="L9" s="103">
        <f>+J9-1</f>
        <v>-6</v>
      </c>
    </row>
    <row r="10" spans="1:12">
      <c r="A10" s="100"/>
      <c r="B10" s="100"/>
      <c r="L10" s="80" t="s">
        <v>356</v>
      </c>
    </row>
    <row r="11" spans="1:12">
      <c r="A11" s="100"/>
      <c r="B11" s="100"/>
      <c r="L11" s="80"/>
    </row>
    <row r="12" spans="1:12">
      <c r="A12" s="103"/>
      <c r="B12" s="103"/>
      <c r="C12" s="63" t="s">
        <v>97</v>
      </c>
    </row>
    <row r="13" spans="1:12">
      <c r="A13" s="103">
        <v>1</v>
      </c>
      <c r="B13" s="103"/>
      <c r="D13" s="63" t="s">
        <v>98</v>
      </c>
      <c r="F13" s="117"/>
      <c r="G13" s="105"/>
      <c r="H13" s="105"/>
      <c r="I13" s="105"/>
      <c r="J13" s="105"/>
      <c r="K13" s="105"/>
      <c r="L13" s="105"/>
    </row>
    <row r="14" spans="1:12">
      <c r="A14" s="103">
        <f>+A13+1</f>
        <v>2</v>
      </c>
      <c r="B14" s="103"/>
      <c r="D14" s="63" t="s">
        <v>267</v>
      </c>
      <c r="F14" s="118"/>
      <c r="G14" s="106"/>
      <c r="H14" s="106"/>
      <c r="I14" s="106"/>
      <c r="J14" s="106"/>
      <c r="K14" s="106"/>
      <c r="L14" s="106"/>
    </row>
    <row r="15" spans="1:12">
      <c r="A15" s="103">
        <f>+A14+1</f>
        <v>3</v>
      </c>
      <c r="B15" s="103"/>
      <c r="D15" s="63" t="s">
        <v>99</v>
      </c>
      <c r="F15" s="259">
        <v>50450000</v>
      </c>
      <c r="G15" s="105"/>
      <c r="H15" s="117">
        <v>-554950</v>
      </c>
      <c r="I15" s="117"/>
      <c r="J15" s="117">
        <v>-16042440</v>
      </c>
      <c r="K15" s="105"/>
      <c r="L15" s="105">
        <f>+F15+H15+J15</f>
        <v>33852610</v>
      </c>
    </row>
    <row r="16" spans="1:12">
      <c r="A16" s="103">
        <f>+A15+1</f>
        <v>4</v>
      </c>
      <c r="B16" s="103"/>
      <c r="D16" s="63" t="s">
        <v>100</v>
      </c>
      <c r="F16" s="257">
        <v>511105415</v>
      </c>
      <c r="G16" s="106"/>
      <c r="H16" s="118">
        <v>-5622159.5649999976</v>
      </c>
      <c r="I16" s="118"/>
      <c r="J16" s="118">
        <v>-162524839</v>
      </c>
      <c r="K16" s="106"/>
      <c r="L16" s="106">
        <f>+F16+H16+J16</f>
        <v>342958416.435</v>
      </c>
    </row>
    <row r="17" spans="1:12">
      <c r="A17" s="103">
        <f>+A16+1</f>
        <v>5</v>
      </c>
      <c r="B17" s="103"/>
      <c r="D17" s="63" t="s">
        <v>101</v>
      </c>
      <c r="F17" s="257">
        <v>139298329</v>
      </c>
      <c r="G17" s="106"/>
      <c r="H17" s="118">
        <v>-1532281.6299999952</v>
      </c>
      <c r="I17" s="118"/>
      <c r="J17" s="118">
        <v>-44295047</v>
      </c>
      <c r="K17" s="106"/>
      <c r="L17" s="106">
        <f>+F17+H17+J17</f>
        <v>93471000.370000005</v>
      </c>
    </row>
    <row r="18" spans="1:12">
      <c r="A18" s="103"/>
      <c r="B18" s="103"/>
      <c r="F18" s="59" t="s">
        <v>364</v>
      </c>
      <c r="G18" s="8"/>
      <c r="H18" s="59" t="s">
        <v>364</v>
      </c>
      <c r="I18" s="59"/>
      <c r="J18" s="59" t="s">
        <v>364</v>
      </c>
      <c r="K18" s="8"/>
      <c r="L18" s="8" t="s">
        <v>364</v>
      </c>
    </row>
    <row r="19" spans="1:12">
      <c r="A19" s="103">
        <f>+A17+1</f>
        <v>6</v>
      </c>
      <c r="B19" s="103"/>
      <c r="D19" s="63" t="s">
        <v>102</v>
      </c>
      <c r="F19" s="118">
        <f>SUM(F13:F18)</f>
        <v>700853744</v>
      </c>
      <c r="G19" s="106"/>
      <c r="H19" s="118">
        <f>SUM(H13:H18)</f>
        <v>-7709391.1949999928</v>
      </c>
      <c r="I19" s="118"/>
      <c r="J19" s="118">
        <f>SUM(J15:J18)</f>
        <v>-222862326</v>
      </c>
      <c r="K19" s="106"/>
      <c r="L19" s="106">
        <f>SUM(L13:L18)</f>
        <v>470282026.80500001</v>
      </c>
    </row>
    <row r="20" spans="1:12">
      <c r="A20" s="103"/>
      <c r="B20" s="103"/>
      <c r="F20" s="59" t="s">
        <v>364</v>
      </c>
      <c r="G20" s="8"/>
      <c r="H20" s="59" t="s">
        <v>364</v>
      </c>
      <c r="I20" s="59"/>
      <c r="J20" s="59" t="s">
        <v>364</v>
      </c>
      <c r="K20" s="8"/>
      <c r="L20" s="8" t="s">
        <v>364</v>
      </c>
    </row>
    <row r="21" spans="1:12">
      <c r="A21" s="103"/>
      <c r="B21" s="103"/>
      <c r="F21" s="118"/>
      <c r="G21" s="106"/>
      <c r="H21" s="118"/>
      <c r="I21" s="118"/>
      <c r="J21" s="118"/>
      <c r="K21" s="106"/>
      <c r="L21" s="106"/>
    </row>
    <row r="22" spans="1:12">
      <c r="A22" s="103">
        <f>+A19+1</f>
        <v>7</v>
      </c>
      <c r="B22" s="103"/>
      <c r="D22" s="63" t="s">
        <v>103</v>
      </c>
      <c r="F22" s="257">
        <v>80000000</v>
      </c>
      <c r="G22" s="106"/>
      <c r="H22" s="118">
        <v>0</v>
      </c>
      <c r="I22" s="118"/>
      <c r="J22" s="118">
        <v>-25721895</v>
      </c>
      <c r="K22" s="106"/>
      <c r="L22" s="106">
        <f>+F22+H22+J22</f>
        <v>54278105</v>
      </c>
    </row>
    <row r="23" spans="1:12">
      <c r="A23" s="103">
        <f>+A22+1</f>
        <v>8</v>
      </c>
      <c r="B23" s="103"/>
      <c r="D23" s="63" t="s">
        <v>104</v>
      </c>
      <c r="F23" s="257">
        <v>650000000</v>
      </c>
      <c r="G23" s="106"/>
      <c r="H23" s="118">
        <v>-8030000</v>
      </c>
      <c r="I23" s="118"/>
      <c r="J23" s="118">
        <v>-206408559</v>
      </c>
      <c r="K23" s="106"/>
      <c r="L23" s="106">
        <f>+F23+H23+J23</f>
        <v>435561441</v>
      </c>
    </row>
    <row r="24" spans="1:12">
      <c r="A24" s="103">
        <f>+A23+1</f>
        <v>9</v>
      </c>
      <c r="B24" s="103"/>
      <c r="D24" s="63" t="s">
        <v>105</v>
      </c>
      <c r="F24" s="257">
        <v>-486281</v>
      </c>
      <c r="G24" s="106"/>
      <c r="H24" s="118">
        <v>5349.0910000000149</v>
      </c>
      <c r="I24" s="118"/>
      <c r="J24" s="118">
        <v>154631</v>
      </c>
      <c r="K24" s="106"/>
      <c r="L24" s="106">
        <f>+F24+H24+J24</f>
        <v>-326300.90899999999</v>
      </c>
    </row>
    <row r="25" spans="1:12">
      <c r="A25" s="103"/>
      <c r="B25" s="103"/>
      <c r="F25" s="59" t="s">
        <v>364</v>
      </c>
      <c r="G25" s="8"/>
      <c r="H25" s="59" t="s">
        <v>364</v>
      </c>
      <c r="I25" s="59"/>
      <c r="J25" s="59" t="s">
        <v>364</v>
      </c>
      <c r="K25" s="8"/>
      <c r="L25" s="8" t="s">
        <v>364</v>
      </c>
    </row>
    <row r="26" spans="1:12">
      <c r="A26" s="103">
        <f>+A24+1</f>
        <v>10</v>
      </c>
      <c r="B26" s="103"/>
      <c r="D26" s="63" t="s">
        <v>106</v>
      </c>
      <c r="F26" s="60">
        <f>SUM(F22:F25)</f>
        <v>729513719</v>
      </c>
      <c r="G26" s="13"/>
      <c r="H26" s="60">
        <f>SUM(H22:H25)</f>
        <v>-8024650.909</v>
      </c>
      <c r="I26" s="60"/>
      <c r="J26" s="60">
        <f>SUM(J22:J25)</f>
        <v>-231975823</v>
      </c>
      <c r="K26" s="13"/>
      <c r="L26" s="13">
        <f>SUM(L22:L25)</f>
        <v>489513245.09100002</v>
      </c>
    </row>
    <row r="27" spans="1:12">
      <c r="A27" s="103"/>
      <c r="B27" s="103"/>
      <c r="F27" s="59" t="s">
        <v>364</v>
      </c>
      <c r="G27" s="8"/>
      <c r="H27" s="59" t="s">
        <v>364</v>
      </c>
      <c r="I27" s="59"/>
      <c r="J27" s="59" t="s">
        <v>364</v>
      </c>
      <c r="K27" s="8"/>
      <c r="L27" s="8" t="s">
        <v>364</v>
      </c>
    </row>
    <row r="28" spans="1:12">
      <c r="A28" s="103"/>
      <c r="B28" s="103"/>
      <c r="F28" s="59"/>
      <c r="G28" s="8"/>
      <c r="H28" s="59"/>
      <c r="I28" s="59"/>
      <c r="J28" s="59"/>
      <c r="K28" s="8"/>
      <c r="L28" s="8"/>
    </row>
    <row r="29" spans="1:12">
      <c r="A29" s="103">
        <f>+A26+1</f>
        <v>11</v>
      </c>
      <c r="B29" s="103"/>
      <c r="D29" s="80" t="s">
        <v>107</v>
      </c>
      <c r="F29" s="60">
        <f>+F19+F26</f>
        <v>1430367463</v>
      </c>
      <c r="G29" s="13"/>
      <c r="H29" s="60">
        <f>+H19+H26</f>
        <v>-15734042.103999993</v>
      </c>
      <c r="I29" s="60"/>
      <c r="J29" s="60">
        <f>+J19+J26</f>
        <v>-454838149</v>
      </c>
      <c r="K29" s="13"/>
      <c r="L29" s="13">
        <f>+L19+L26</f>
        <v>959795271.89600003</v>
      </c>
    </row>
    <row r="30" spans="1:12">
      <c r="A30" s="103"/>
      <c r="B30" s="103"/>
      <c r="F30" s="59" t="s">
        <v>364</v>
      </c>
      <c r="G30" s="8"/>
      <c r="H30" s="59" t="s">
        <v>364</v>
      </c>
      <c r="I30" s="59"/>
      <c r="J30" s="59" t="s">
        <v>364</v>
      </c>
      <c r="K30" s="8"/>
      <c r="L30" s="8" t="s">
        <v>364</v>
      </c>
    </row>
    <row r="31" spans="1:12">
      <c r="A31" s="103"/>
      <c r="B31" s="103"/>
      <c r="F31" s="118"/>
      <c r="G31" s="106"/>
      <c r="H31" s="118"/>
      <c r="I31" s="118"/>
      <c r="J31" s="118"/>
      <c r="K31" s="106"/>
      <c r="L31" s="106"/>
    </row>
    <row r="32" spans="1:12">
      <c r="A32" s="103"/>
      <c r="B32" s="103"/>
      <c r="C32" s="63" t="s">
        <v>108</v>
      </c>
      <c r="F32" s="118"/>
      <c r="G32" s="106"/>
      <c r="H32" s="118"/>
      <c r="I32" s="118"/>
      <c r="J32" s="118"/>
      <c r="K32" s="106"/>
      <c r="L32" s="106"/>
    </row>
    <row r="33" spans="1:13">
      <c r="A33" s="103">
        <f>A29+1</f>
        <v>12</v>
      </c>
      <c r="B33" s="103"/>
      <c r="D33" t="s">
        <v>193</v>
      </c>
      <c r="E33"/>
      <c r="F33" s="257">
        <v>3370535</v>
      </c>
      <c r="G33" s="4"/>
      <c r="H33" s="118">
        <v>-3370535</v>
      </c>
      <c r="I33" s="118"/>
      <c r="J33" s="118">
        <v>0</v>
      </c>
      <c r="K33" s="106"/>
      <c r="L33" s="4">
        <f>+F33+H33+J33</f>
        <v>0</v>
      </c>
    </row>
    <row r="34" spans="1:13">
      <c r="A34" s="103">
        <f>+A33+1</f>
        <v>13</v>
      </c>
      <c r="B34" s="103"/>
      <c r="D34" s="24" t="s">
        <v>275</v>
      </c>
      <c r="E34"/>
      <c r="F34" s="257">
        <v>0</v>
      </c>
      <c r="G34" s="4"/>
      <c r="H34" s="118">
        <v>0</v>
      </c>
      <c r="I34" s="118"/>
      <c r="J34" s="118"/>
      <c r="K34" s="106"/>
      <c r="L34" s="4">
        <f>+F34+H34+J34</f>
        <v>0</v>
      </c>
    </row>
    <row r="35" spans="1:13">
      <c r="A35" s="103"/>
      <c r="B35" s="103"/>
      <c r="D35" t="s">
        <v>109</v>
      </c>
      <c r="E35"/>
      <c r="F35" s="257">
        <v>70656153</v>
      </c>
      <c r="G35" s="4"/>
      <c r="H35" s="118">
        <v>-70656153</v>
      </c>
      <c r="I35" s="60"/>
      <c r="J35" s="118">
        <v>0</v>
      </c>
      <c r="K35" s="106"/>
      <c r="L35" s="4">
        <f>+F35+H35+J35</f>
        <v>0</v>
      </c>
      <c r="M35" s="63" t="s">
        <v>274</v>
      </c>
    </row>
    <row r="36" spans="1:13">
      <c r="A36" s="103"/>
      <c r="B36" s="103"/>
      <c r="D36"/>
      <c r="E36"/>
      <c r="F36" s="59" t="s">
        <v>364</v>
      </c>
      <c r="G36" s="8"/>
      <c r="H36" s="59" t="s">
        <v>364</v>
      </c>
      <c r="I36" s="59"/>
      <c r="J36" s="59" t="s">
        <v>364</v>
      </c>
      <c r="K36" s="8"/>
      <c r="L36" s="8" t="s">
        <v>364</v>
      </c>
    </row>
    <row r="37" spans="1:13">
      <c r="A37" s="103">
        <f>+A34+1</f>
        <v>14</v>
      </c>
      <c r="B37" s="103"/>
      <c r="D37" s="63" t="s">
        <v>211</v>
      </c>
      <c r="F37" s="118">
        <f>SUM(F33:F35)</f>
        <v>74026688</v>
      </c>
      <c r="G37" s="106"/>
      <c r="H37" s="118">
        <f>SUM(H33:H35)</f>
        <v>-74026688</v>
      </c>
      <c r="I37" s="118"/>
      <c r="J37" s="118">
        <f>SUM(J33:J35)</f>
        <v>0</v>
      </c>
      <c r="K37" s="106"/>
      <c r="L37" s="118">
        <f>SUM(L33:L35)</f>
        <v>0</v>
      </c>
    </row>
    <row r="38" spans="1:13">
      <c r="A38" s="103"/>
      <c r="B38" s="103"/>
      <c r="F38" s="59" t="s">
        <v>364</v>
      </c>
      <c r="G38" s="8"/>
      <c r="H38" s="59" t="s">
        <v>364</v>
      </c>
      <c r="I38" s="59"/>
      <c r="J38" s="59" t="s">
        <v>364</v>
      </c>
      <c r="K38" s="8"/>
      <c r="L38" s="8" t="s">
        <v>364</v>
      </c>
    </row>
    <row r="39" spans="1:13">
      <c r="A39" s="103"/>
      <c r="B39" s="103"/>
      <c r="C39" s="63" t="s">
        <v>210</v>
      </c>
      <c r="F39" s="118"/>
      <c r="G39" s="106"/>
      <c r="H39" s="118"/>
      <c r="I39" s="118"/>
      <c r="J39" s="118"/>
      <c r="K39" s="106"/>
      <c r="L39" s="106"/>
    </row>
    <row r="40" spans="1:13">
      <c r="A40" s="103">
        <f>+A37+1</f>
        <v>15</v>
      </c>
      <c r="B40" s="103"/>
      <c r="D40" s="63" t="s">
        <v>194</v>
      </c>
      <c r="F40" s="60">
        <v>85000000</v>
      </c>
      <c r="G40" s="13"/>
      <c r="H40" s="60">
        <v>0</v>
      </c>
      <c r="I40" s="60"/>
      <c r="J40" s="118">
        <v>0</v>
      </c>
      <c r="K40" s="13"/>
      <c r="L40" s="106">
        <f t="shared" ref="L40:L50" si="0">+F40+H40+J40</f>
        <v>85000000</v>
      </c>
    </row>
    <row r="41" spans="1:13">
      <c r="A41" s="103">
        <f>+A40+1</f>
        <v>16</v>
      </c>
      <c r="B41" s="103"/>
      <c r="D41" s="63" t="s">
        <v>365</v>
      </c>
      <c r="F41" s="60">
        <v>0</v>
      </c>
      <c r="G41" s="13"/>
      <c r="H41" s="60">
        <v>-30904414</v>
      </c>
      <c r="I41" s="60"/>
      <c r="J41" s="118">
        <v>-16666432</v>
      </c>
      <c r="K41" s="13"/>
      <c r="L41" s="106">
        <f t="shared" si="0"/>
        <v>-47570846</v>
      </c>
    </row>
    <row r="42" spans="1:13">
      <c r="A42" s="103">
        <f>+A41+1</f>
        <v>17</v>
      </c>
      <c r="B42" s="103"/>
      <c r="D42" s="63" t="s">
        <v>195</v>
      </c>
      <c r="F42" s="257">
        <v>66426190</v>
      </c>
      <c r="G42" s="106"/>
      <c r="H42" s="118">
        <v>-66426190</v>
      </c>
      <c r="I42" s="118"/>
      <c r="J42" s="118">
        <v>0</v>
      </c>
      <c r="K42" s="106"/>
      <c r="L42" s="106">
        <f t="shared" si="0"/>
        <v>0</v>
      </c>
    </row>
    <row r="43" spans="1:13">
      <c r="A43" s="103">
        <f t="shared" ref="A43:A50" si="1">+A42+1</f>
        <v>18</v>
      </c>
      <c r="B43" s="103"/>
      <c r="D43" s="63" t="s">
        <v>196</v>
      </c>
      <c r="F43" s="60">
        <v>25290287</v>
      </c>
      <c r="G43" s="13"/>
      <c r="H43" s="60">
        <v>-25290287</v>
      </c>
      <c r="I43" s="60"/>
      <c r="J43" s="118">
        <v>0</v>
      </c>
      <c r="K43" s="13"/>
      <c r="L43" s="106">
        <f t="shared" si="0"/>
        <v>0</v>
      </c>
    </row>
    <row r="44" spans="1:13">
      <c r="A44" s="103">
        <f t="shared" si="1"/>
        <v>19</v>
      </c>
      <c r="B44" s="103"/>
      <c r="D44" s="63" t="s">
        <v>197</v>
      </c>
      <c r="F44" s="257">
        <v>25567542</v>
      </c>
      <c r="G44" s="106"/>
      <c r="H44" s="118">
        <v>-307092</v>
      </c>
      <c r="I44" s="118"/>
      <c r="J44" s="118">
        <v>0</v>
      </c>
      <c r="K44" s="106"/>
      <c r="L44" s="106">
        <f t="shared" si="0"/>
        <v>25260450</v>
      </c>
    </row>
    <row r="45" spans="1:13">
      <c r="A45" s="103">
        <f t="shared" si="1"/>
        <v>20</v>
      </c>
      <c r="B45" s="103"/>
      <c r="D45" s="63" t="s">
        <v>198</v>
      </c>
      <c r="F45" s="257">
        <v>39297426</v>
      </c>
      <c r="G45" s="106"/>
      <c r="H45" s="118">
        <v>-39297426</v>
      </c>
      <c r="I45" s="118"/>
      <c r="J45" s="118">
        <v>0</v>
      </c>
      <c r="K45" s="106"/>
      <c r="L45" s="106">
        <f t="shared" si="0"/>
        <v>0</v>
      </c>
    </row>
    <row r="46" spans="1:13">
      <c r="A46" s="103">
        <f t="shared" si="1"/>
        <v>21</v>
      </c>
      <c r="B46" s="103"/>
      <c r="D46" s="107" t="s">
        <v>199</v>
      </c>
      <c r="F46" s="257">
        <v>5298052</v>
      </c>
      <c r="G46" s="106"/>
      <c r="H46" s="118">
        <v>-5298052</v>
      </c>
      <c r="I46" s="118"/>
      <c r="J46" s="118">
        <v>0</v>
      </c>
      <c r="K46" s="106"/>
      <c r="L46" s="106">
        <f t="shared" si="0"/>
        <v>0</v>
      </c>
    </row>
    <row r="47" spans="1:13">
      <c r="A47" s="103">
        <f t="shared" si="1"/>
        <v>22</v>
      </c>
      <c r="B47" s="103"/>
      <c r="D47" s="63" t="s">
        <v>366</v>
      </c>
      <c r="F47" s="257">
        <v>0</v>
      </c>
      <c r="G47" s="106"/>
      <c r="H47" s="118">
        <v>0</v>
      </c>
      <c r="I47" s="118"/>
      <c r="J47" s="118">
        <v>0</v>
      </c>
      <c r="K47" s="106"/>
      <c r="L47" s="106">
        <f t="shared" si="0"/>
        <v>0</v>
      </c>
    </row>
    <row r="48" spans="1:13">
      <c r="A48" s="103">
        <f t="shared" si="1"/>
        <v>23</v>
      </c>
      <c r="B48" s="103"/>
      <c r="D48" s="63" t="s">
        <v>193</v>
      </c>
      <c r="F48" s="257">
        <v>1135747</v>
      </c>
      <c r="G48" s="106"/>
      <c r="H48" s="118">
        <v>-1135747</v>
      </c>
      <c r="I48" s="118"/>
      <c r="J48" s="118">
        <v>0</v>
      </c>
      <c r="K48" s="106"/>
      <c r="L48" s="106">
        <f t="shared" si="0"/>
        <v>0</v>
      </c>
    </row>
    <row r="49" spans="1:12">
      <c r="A49" s="103">
        <f t="shared" si="1"/>
        <v>24</v>
      </c>
      <c r="B49" s="103"/>
      <c r="D49" s="63" t="s">
        <v>201</v>
      </c>
      <c r="F49" s="257">
        <v>2083963</v>
      </c>
      <c r="G49" s="106"/>
      <c r="H49" s="118">
        <v>-2083963</v>
      </c>
      <c r="I49" s="118"/>
      <c r="J49" s="118">
        <v>0</v>
      </c>
      <c r="K49" s="106"/>
      <c r="L49" s="106">
        <f t="shared" si="0"/>
        <v>0</v>
      </c>
    </row>
    <row r="50" spans="1:12">
      <c r="A50" s="103">
        <f t="shared" si="1"/>
        <v>25</v>
      </c>
      <c r="B50" s="103"/>
      <c r="D50" s="63" t="s">
        <v>200</v>
      </c>
      <c r="F50" s="257">
        <v>22533586</v>
      </c>
      <c r="G50" s="106"/>
      <c r="H50" s="118">
        <v>-22533586</v>
      </c>
      <c r="I50" s="118"/>
      <c r="J50" s="118">
        <v>0</v>
      </c>
      <c r="K50" s="106"/>
      <c r="L50" s="106">
        <f t="shared" si="0"/>
        <v>0</v>
      </c>
    </row>
    <row r="51" spans="1:12">
      <c r="A51" s="103"/>
      <c r="B51" s="103"/>
      <c r="F51" s="59" t="s">
        <v>364</v>
      </c>
      <c r="G51" s="8"/>
      <c r="H51" s="59" t="s">
        <v>364</v>
      </c>
      <c r="I51" s="59"/>
      <c r="J51" s="59" t="s">
        <v>364</v>
      </c>
      <c r="K51" s="8"/>
      <c r="L51" s="8" t="s">
        <v>364</v>
      </c>
    </row>
    <row r="52" spans="1:12">
      <c r="A52" s="103">
        <f>+A50+1</f>
        <v>26</v>
      </c>
      <c r="B52" s="103"/>
      <c r="D52" s="109" t="s">
        <v>212</v>
      </c>
      <c r="F52" s="60">
        <f>SUM(F40:F51)</f>
        <v>272632793</v>
      </c>
      <c r="G52" s="13"/>
      <c r="H52" s="60">
        <f>SUM(H40:H51)</f>
        <v>-193276757</v>
      </c>
      <c r="I52" s="60"/>
      <c r="J52" s="60">
        <f>SUM(J40:J51)</f>
        <v>-16666432</v>
      </c>
      <c r="K52" s="13"/>
      <c r="L52" s="13">
        <f>SUM(L40:L51)</f>
        <v>62689604</v>
      </c>
    </row>
    <row r="53" spans="1:12">
      <c r="A53" s="103"/>
      <c r="B53" s="103"/>
      <c r="F53" s="59" t="s">
        <v>364</v>
      </c>
      <c r="G53" s="8"/>
      <c r="H53" s="59" t="s">
        <v>364</v>
      </c>
      <c r="I53" s="59"/>
      <c r="J53" s="59" t="s">
        <v>364</v>
      </c>
      <c r="K53" s="8"/>
      <c r="L53" s="8" t="s">
        <v>364</v>
      </c>
    </row>
    <row r="54" spans="1:12">
      <c r="A54" s="103"/>
      <c r="B54" s="103"/>
      <c r="C54" s="63" t="s">
        <v>208</v>
      </c>
      <c r="F54" s="60"/>
      <c r="G54" s="13"/>
      <c r="H54" s="60"/>
      <c r="I54" s="60"/>
      <c r="J54" s="60"/>
      <c r="K54" s="13"/>
      <c r="L54" s="13"/>
    </row>
    <row r="55" spans="1:12">
      <c r="A55" s="103">
        <f>+A52+1</f>
        <v>27</v>
      </c>
      <c r="B55" s="103"/>
      <c r="D55" s="63" t="s">
        <v>207</v>
      </c>
      <c r="F55" s="118">
        <v>598654060</v>
      </c>
      <c r="G55" s="106"/>
      <c r="H55" s="118">
        <v>-163515432</v>
      </c>
      <c r="I55" s="118"/>
      <c r="J55" s="118">
        <v>-4579742</v>
      </c>
      <c r="K55" s="106"/>
      <c r="L55" s="106">
        <f t="shared" ref="L55:L60" si="2">+F55+H55+J55</f>
        <v>430558886</v>
      </c>
    </row>
    <row r="56" spans="1:12">
      <c r="A56" s="103">
        <f>+A55+1</f>
        <v>28</v>
      </c>
      <c r="B56" s="103"/>
      <c r="D56" s="63" t="s">
        <v>206</v>
      </c>
      <c r="F56" s="118">
        <v>53719</v>
      </c>
      <c r="G56" s="106"/>
      <c r="H56" s="118">
        <v>-53719</v>
      </c>
      <c r="I56" s="111"/>
      <c r="J56" s="118">
        <v>0</v>
      </c>
      <c r="K56" s="97"/>
      <c r="L56" s="106">
        <f t="shared" si="2"/>
        <v>0</v>
      </c>
    </row>
    <row r="57" spans="1:12">
      <c r="A57" s="103">
        <f>+A56+1</f>
        <v>29</v>
      </c>
      <c r="B57" s="103"/>
      <c r="D57" s="63" t="s">
        <v>202</v>
      </c>
      <c r="F57" s="118">
        <v>5755097</v>
      </c>
      <c r="G57" s="106"/>
      <c r="H57" s="118">
        <v>-5755097</v>
      </c>
      <c r="I57" s="118"/>
      <c r="J57" s="118">
        <v>0</v>
      </c>
      <c r="K57" s="106"/>
      <c r="L57" s="106">
        <f t="shared" si="2"/>
        <v>0</v>
      </c>
    </row>
    <row r="58" spans="1:12">
      <c r="A58" s="103">
        <f>+A57+1</f>
        <v>30</v>
      </c>
      <c r="B58" s="103"/>
      <c r="D58" s="63" t="s">
        <v>203</v>
      </c>
      <c r="F58" s="118">
        <v>615426</v>
      </c>
      <c r="G58" s="106"/>
      <c r="H58" s="118">
        <v>-615426</v>
      </c>
      <c r="I58" s="118"/>
      <c r="J58" s="118">
        <v>0</v>
      </c>
      <c r="K58" s="106"/>
      <c r="L58" s="106">
        <f t="shared" si="2"/>
        <v>0</v>
      </c>
    </row>
    <row r="59" spans="1:12">
      <c r="A59" s="103">
        <f>+A58+1</f>
        <v>31</v>
      </c>
      <c r="B59" s="103"/>
      <c r="D59" s="63" t="s">
        <v>204</v>
      </c>
      <c r="F59" s="118">
        <v>117511</v>
      </c>
      <c r="G59" s="106"/>
      <c r="H59" s="118">
        <v>0</v>
      </c>
      <c r="I59" s="118"/>
      <c r="J59" s="118">
        <v>0</v>
      </c>
      <c r="K59" s="106"/>
      <c r="L59" s="106">
        <f t="shared" si="2"/>
        <v>117511</v>
      </c>
    </row>
    <row r="60" spans="1:12">
      <c r="A60" s="103">
        <f>+A59+1</f>
        <v>32</v>
      </c>
      <c r="B60" s="103"/>
      <c r="D60" s="63" t="s">
        <v>205</v>
      </c>
      <c r="F60" s="118">
        <v>5634775</v>
      </c>
      <c r="G60" s="106"/>
      <c r="H60" s="118">
        <v>-5634775</v>
      </c>
      <c r="I60" s="118"/>
      <c r="J60" s="118">
        <v>0</v>
      </c>
      <c r="K60" s="106"/>
      <c r="L60" s="106">
        <f t="shared" si="2"/>
        <v>0</v>
      </c>
    </row>
    <row r="61" spans="1:12">
      <c r="A61" s="103"/>
      <c r="B61" s="103"/>
      <c r="F61" s="59" t="s">
        <v>364</v>
      </c>
      <c r="G61" s="8"/>
      <c r="H61" s="59" t="s">
        <v>364</v>
      </c>
      <c r="I61" s="59"/>
      <c r="J61" s="59" t="s">
        <v>364</v>
      </c>
      <c r="K61" s="8"/>
      <c r="L61" s="8" t="s">
        <v>364</v>
      </c>
    </row>
    <row r="62" spans="1:12">
      <c r="A62" s="103">
        <f>+A60+1</f>
        <v>33</v>
      </c>
      <c r="B62" s="103"/>
      <c r="D62" s="109" t="s">
        <v>213</v>
      </c>
      <c r="F62" s="60">
        <f>SUM(F55:F61)</f>
        <v>610830588</v>
      </c>
      <c r="G62" s="13"/>
      <c r="H62" s="60">
        <f>SUM(H55:H61)</f>
        <v>-175574449</v>
      </c>
      <c r="I62" s="60"/>
      <c r="J62" s="60">
        <f>SUM(J55:J61)</f>
        <v>-4579742</v>
      </c>
      <c r="K62" s="13"/>
      <c r="L62" s="13">
        <f>SUM(L55:L61)</f>
        <v>430676397</v>
      </c>
    </row>
    <row r="63" spans="1:12">
      <c r="A63" s="103"/>
      <c r="B63" s="103"/>
      <c r="F63" s="59" t="s">
        <v>364</v>
      </c>
      <c r="G63" s="8"/>
      <c r="H63" s="8" t="s">
        <v>364</v>
      </c>
      <c r="I63" s="8"/>
      <c r="J63" s="8" t="s">
        <v>364</v>
      </c>
      <c r="K63" s="8"/>
      <c r="L63" s="8" t="s">
        <v>364</v>
      </c>
    </row>
    <row r="64" spans="1:12">
      <c r="A64" s="103"/>
      <c r="B64" s="103"/>
      <c r="F64" s="60"/>
      <c r="G64" s="13"/>
      <c r="H64" s="13"/>
      <c r="I64" s="13"/>
      <c r="J64" s="13"/>
      <c r="K64" s="13"/>
      <c r="L64" s="13"/>
    </row>
    <row r="65" spans="1:12">
      <c r="A65" s="103">
        <f>+A62+1</f>
        <v>34</v>
      </c>
      <c r="B65" s="103"/>
      <c r="D65" s="80" t="s">
        <v>209</v>
      </c>
      <c r="F65" s="117">
        <f>+F29+F37+F52+F62</f>
        <v>2387857532</v>
      </c>
      <c r="G65" s="105"/>
      <c r="H65" s="105">
        <f>+H29+H37+H52+H62</f>
        <v>-458611936.10399997</v>
      </c>
      <c r="I65" s="105"/>
      <c r="J65" s="105">
        <f>+J29+J37+J52+J62</f>
        <v>-476084323</v>
      </c>
      <c r="K65" s="105"/>
      <c r="L65" s="105">
        <f>+L29+L37+L52+L62</f>
        <v>1453161272.8959999</v>
      </c>
    </row>
    <row r="66" spans="1:12">
      <c r="A66" s="103"/>
      <c r="B66" s="103"/>
      <c r="F66" s="112" t="s">
        <v>96</v>
      </c>
      <c r="G66" s="99"/>
      <c r="H66" s="99" t="s">
        <v>28</v>
      </c>
      <c r="I66" s="99"/>
      <c r="J66" s="99" t="s">
        <v>28</v>
      </c>
      <c r="K66" s="99"/>
      <c r="L66" s="99" t="s">
        <v>96</v>
      </c>
    </row>
    <row r="67" spans="1:12">
      <c r="A67" s="103"/>
      <c r="B67" s="103"/>
      <c r="F67" s="112"/>
      <c r="G67" s="99"/>
      <c r="H67" s="99"/>
      <c r="I67" s="99"/>
      <c r="J67" s="99"/>
      <c r="K67" s="99"/>
      <c r="L67" s="99"/>
    </row>
    <row r="68" spans="1:12">
      <c r="A68" s="103"/>
      <c r="B68" s="103"/>
      <c r="F68" s="112"/>
      <c r="G68" s="99"/>
      <c r="H68" s="99"/>
      <c r="I68" s="99"/>
      <c r="J68" s="99"/>
      <c r="K68" s="99"/>
      <c r="L68" s="99"/>
    </row>
    <row r="69" spans="1:12">
      <c r="A69" s="103"/>
      <c r="B69" s="103"/>
      <c r="F69" s="60"/>
      <c r="G69" s="13"/>
      <c r="H69" s="13"/>
      <c r="I69" s="13"/>
      <c r="J69" s="13"/>
      <c r="K69" s="13"/>
      <c r="L69" s="13"/>
    </row>
    <row r="70" spans="1:12">
      <c r="A70" s="103"/>
      <c r="B70" s="103"/>
      <c r="C70" s="97"/>
      <c r="F70" s="118"/>
      <c r="G70" s="106"/>
      <c r="H70" s="106"/>
      <c r="I70" s="106"/>
      <c r="J70" s="106"/>
      <c r="K70" s="106"/>
      <c r="L70" s="106"/>
    </row>
    <row r="71" spans="1:12">
      <c r="A71" s="103"/>
      <c r="B71" s="103"/>
      <c r="F71" s="60"/>
      <c r="G71" s="13"/>
      <c r="H71" s="13"/>
      <c r="I71" s="13"/>
      <c r="J71" s="13"/>
      <c r="K71" s="13"/>
      <c r="L71" s="13"/>
    </row>
    <row r="72" spans="1:12">
      <c r="A72" s="103"/>
      <c r="B72" s="103"/>
      <c r="C72" s="97"/>
      <c r="F72" s="60"/>
      <c r="G72" s="13"/>
      <c r="H72" s="13"/>
      <c r="I72" s="13"/>
      <c r="J72" s="13"/>
      <c r="K72" s="13"/>
      <c r="L72" s="13"/>
    </row>
    <row r="73" spans="1:12">
      <c r="A73" s="103"/>
      <c r="B73" s="103"/>
      <c r="F73" s="118"/>
      <c r="G73" s="106"/>
      <c r="H73" s="106"/>
      <c r="I73" s="106"/>
      <c r="J73" s="106"/>
      <c r="K73" s="106"/>
      <c r="L73" s="106"/>
    </row>
    <row r="74" spans="1:12">
      <c r="A74" s="103"/>
      <c r="B74" s="103"/>
      <c r="C74" s="97"/>
      <c r="F74" s="118"/>
      <c r="G74" s="106"/>
      <c r="H74" s="106"/>
      <c r="I74" s="106"/>
      <c r="J74" s="106"/>
      <c r="K74" s="106"/>
      <c r="L74" s="106"/>
    </row>
    <row r="75" spans="1:12">
      <c r="A75" s="103"/>
      <c r="B75" s="103"/>
      <c r="F75" s="118"/>
      <c r="G75" s="106"/>
      <c r="H75" s="106"/>
      <c r="I75" s="106"/>
      <c r="J75" s="106"/>
      <c r="K75" s="106"/>
      <c r="L75" s="106"/>
    </row>
    <row r="76" spans="1:12">
      <c r="A76" s="103"/>
      <c r="B76" s="103"/>
      <c r="F76" s="118"/>
      <c r="G76" s="106"/>
      <c r="H76" s="106"/>
      <c r="I76" s="106"/>
      <c r="J76" s="106"/>
      <c r="K76" s="106"/>
      <c r="L76" s="106"/>
    </row>
    <row r="77" spans="1:12">
      <c r="A77" s="103"/>
      <c r="B77" s="103"/>
      <c r="F77" s="118"/>
      <c r="G77" s="106"/>
      <c r="H77" s="106"/>
      <c r="I77" s="106"/>
      <c r="J77" s="106"/>
      <c r="K77" s="106"/>
      <c r="L77" s="106"/>
    </row>
    <row r="78" spans="1:12">
      <c r="A78" s="103"/>
      <c r="B78" s="103"/>
      <c r="F78" s="60"/>
      <c r="G78" s="13"/>
      <c r="H78" s="13"/>
      <c r="I78" s="13"/>
      <c r="J78" s="13"/>
      <c r="K78" s="13"/>
      <c r="L78" s="13"/>
    </row>
    <row r="79" spans="1:12">
      <c r="A79" s="103"/>
      <c r="B79" s="103"/>
      <c r="D79" s="107"/>
      <c r="F79" s="118"/>
      <c r="G79" s="106"/>
      <c r="H79" s="106"/>
      <c r="I79" s="106"/>
      <c r="J79" s="106"/>
      <c r="K79" s="106"/>
      <c r="L79" s="106"/>
    </row>
    <row r="80" spans="1:12">
      <c r="A80" s="103"/>
      <c r="B80" s="103"/>
      <c r="F80" s="60"/>
      <c r="G80" s="13"/>
      <c r="H80" s="13"/>
      <c r="I80" s="13"/>
      <c r="J80" s="13"/>
      <c r="K80" s="13"/>
      <c r="L80" s="13"/>
    </row>
    <row r="81" spans="1:12">
      <c r="A81" s="103"/>
      <c r="B81" s="103"/>
      <c r="F81" s="118"/>
      <c r="G81" s="106"/>
      <c r="H81" s="106"/>
      <c r="I81" s="106"/>
      <c r="J81" s="106"/>
      <c r="K81" s="106"/>
      <c r="L81" s="106"/>
    </row>
    <row r="82" spans="1:12">
      <c r="A82" s="103"/>
      <c r="B82" s="103"/>
      <c r="F82" s="261"/>
      <c r="G82" s="110"/>
      <c r="H82" s="110"/>
      <c r="I82" s="110"/>
      <c r="J82" s="110"/>
      <c r="K82" s="110"/>
      <c r="L82" s="110"/>
    </row>
    <row r="83" spans="1:12">
      <c r="A83" s="103"/>
      <c r="B83" s="103"/>
      <c r="F83" s="261"/>
      <c r="G83" s="110"/>
      <c r="H83" s="110"/>
      <c r="I83" s="110"/>
      <c r="J83" s="110"/>
      <c r="K83" s="110"/>
      <c r="L83" s="110"/>
    </row>
    <row r="84" spans="1:12">
      <c r="A84" s="103"/>
      <c r="B84" s="103"/>
      <c r="F84" s="118"/>
      <c r="G84" s="106"/>
      <c r="H84" s="106"/>
      <c r="I84" s="106"/>
      <c r="J84" s="106"/>
      <c r="K84" s="106"/>
      <c r="L84" s="106"/>
    </row>
    <row r="85" spans="1:12">
      <c r="A85" s="103"/>
      <c r="B85" s="103"/>
      <c r="F85" s="118"/>
      <c r="G85" s="106"/>
      <c r="H85" s="106"/>
      <c r="I85" s="106"/>
      <c r="J85" s="106"/>
      <c r="K85" s="106"/>
      <c r="L85" s="106"/>
    </row>
    <row r="86" spans="1:12">
      <c r="A86" s="103"/>
      <c r="B86" s="103"/>
      <c r="F86" s="118"/>
      <c r="G86" s="106"/>
      <c r="H86" s="106"/>
      <c r="I86" s="106"/>
      <c r="J86" s="106"/>
      <c r="K86" s="106"/>
      <c r="L86" s="106"/>
    </row>
    <row r="87" spans="1:12">
      <c r="A87" s="103"/>
      <c r="B87" s="103"/>
      <c r="F87" s="118"/>
      <c r="G87" s="106"/>
      <c r="H87" s="106"/>
      <c r="I87" s="106"/>
      <c r="J87" s="106"/>
      <c r="K87" s="106"/>
      <c r="L87" s="106"/>
    </row>
    <row r="88" spans="1:12">
      <c r="A88" s="103"/>
      <c r="B88" s="103"/>
      <c r="F88" s="118"/>
      <c r="G88" s="106"/>
      <c r="H88" s="106"/>
      <c r="I88" s="106"/>
      <c r="J88" s="106"/>
      <c r="K88" s="106"/>
      <c r="L88" s="106"/>
    </row>
    <row r="89" spans="1:12">
      <c r="A89" s="103"/>
      <c r="B89" s="103"/>
      <c r="F89" s="118"/>
      <c r="G89" s="106"/>
      <c r="H89" s="106"/>
      <c r="I89" s="106"/>
      <c r="J89" s="106"/>
      <c r="K89" s="106"/>
      <c r="L89" s="106"/>
    </row>
    <row r="90" spans="1:12">
      <c r="A90" s="103"/>
      <c r="B90" s="103"/>
      <c r="F90" s="118"/>
      <c r="G90" s="106"/>
      <c r="H90" s="106"/>
      <c r="I90" s="106"/>
      <c r="J90" s="106"/>
      <c r="K90" s="106"/>
      <c r="L90" s="106"/>
    </row>
    <row r="91" spans="1:12">
      <c r="A91" s="103"/>
      <c r="B91" s="103"/>
      <c r="F91" s="118"/>
      <c r="G91" s="106"/>
      <c r="H91" s="106"/>
      <c r="I91" s="106"/>
      <c r="J91" s="106"/>
      <c r="K91" s="106"/>
      <c r="L91" s="106"/>
    </row>
    <row r="92" spans="1:12">
      <c r="A92" s="103"/>
      <c r="B92" s="103"/>
      <c r="F92" s="118"/>
      <c r="G92" s="106"/>
      <c r="H92" s="106"/>
      <c r="I92" s="106"/>
      <c r="J92" s="106"/>
      <c r="K92" s="106"/>
      <c r="L92" s="106"/>
    </row>
    <row r="93" spans="1:12">
      <c r="A93" s="103"/>
      <c r="B93" s="103"/>
      <c r="F93" s="118"/>
      <c r="G93" s="106"/>
      <c r="H93" s="106"/>
      <c r="I93" s="106"/>
      <c r="J93" s="106"/>
      <c r="K93" s="106"/>
      <c r="L93" s="106"/>
    </row>
    <row r="94" spans="1:12">
      <c r="A94" s="103"/>
      <c r="B94" s="103"/>
      <c r="F94" s="118"/>
      <c r="G94" s="106"/>
      <c r="H94" s="106"/>
      <c r="I94" s="106"/>
      <c r="J94" s="106"/>
      <c r="K94" s="106"/>
      <c r="L94" s="106"/>
    </row>
    <row r="95" spans="1:12">
      <c r="A95" s="103"/>
      <c r="B95" s="103"/>
      <c r="F95" s="118"/>
      <c r="G95" s="106"/>
      <c r="H95" s="106"/>
      <c r="I95" s="106"/>
      <c r="J95" s="106"/>
      <c r="K95" s="106"/>
      <c r="L95" s="106"/>
    </row>
    <row r="96" spans="1:12">
      <c r="A96" s="103"/>
      <c r="B96" s="103"/>
      <c r="F96" s="118"/>
      <c r="G96" s="106"/>
      <c r="H96" s="106"/>
      <c r="I96" s="106"/>
      <c r="J96" s="106"/>
      <c r="K96" s="106"/>
      <c r="L96" s="106"/>
    </row>
    <row r="97" spans="1:12">
      <c r="A97" s="103"/>
      <c r="B97" s="103"/>
      <c r="F97" s="118"/>
      <c r="G97" s="106"/>
      <c r="H97" s="106"/>
      <c r="I97" s="106"/>
      <c r="J97" s="106"/>
      <c r="K97" s="106"/>
      <c r="L97" s="106"/>
    </row>
    <row r="98" spans="1:12">
      <c r="A98" s="103"/>
      <c r="B98" s="103"/>
      <c r="F98" s="118"/>
      <c r="G98" s="106"/>
      <c r="H98" s="106"/>
      <c r="I98" s="106"/>
      <c r="J98" s="106"/>
      <c r="K98" s="106"/>
      <c r="L98" s="106"/>
    </row>
    <row r="99" spans="1:12">
      <c r="A99" s="103"/>
      <c r="B99" s="103"/>
      <c r="F99" s="118"/>
      <c r="G99" s="106"/>
      <c r="H99" s="106"/>
      <c r="I99" s="106"/>
      <c r="J99" s="106"/>
      <c r="K99" s="106"/>
      <c r="L99" s="106"/>
    </row>
    <row r="100" spans="1:12">
      <c r="A100" s="103"/>
      <c r="B100" s="103"/>
      <c r="F100" s="118"/>
      <c r="G100" s="106"/>
      <c r="H100" s="106"/>
      <c r="I100" s="106"/>
      <c r="J100" s="106"/>
      <c r="K100" s="106"/>
      <c r="L100" s="106"/>
    </row>
    <row r="101" spans="1:12">
      <c r="A101" s="103"/>
      <c r="B101" s="103"/>
      <c r="F101" s="118"/>
      <c r="G101" s="106"/>
      <c r="H101" s="106"/>
      <c r="I101" s="106"/>
      <c r="J101" s="106"/>
      <c r="K101" s="106"/>
      <c r="L101" s="106"/>
    </row>
    <row r="102" spans="1:12">
      <c r="F102" s="118"/>
      <c r="G102" s="106"/>
      <c r="H102" s="106"/>
      <c r="I102" s="106"/>
      <c r="J102" s="106"/>
      <c r="K102" s="106"/>
      <c r="L102" s="106"/>
    </row>
    <row r="103" spans="1:12">
      <c r="F103" s="118"/>
      <c r="G103" s="106"/>
      <c r="H103" s="106"/>
      <c r="I103" s="106"/>
      <c r="J103" s="106"/>
      <c r="K103" s="106"/>
      <c r="L103" s="106"/>
    </row>
    <row r="104" spans="1:12">
      <c r="F104" s="118"/>
      <c r="G104" s="106"/>
      <c r="H104" s="106"/>
      <c r="I104" s="106"/>
      <c r="J104" s="106"/>
      <c r="K104" s="106"/>
      <c r="L104" s="106"/>
    </row>
    <row r="105" spans="1:12">
      <c r="F105" s="118"/>
      <c r="G105" s="106"/>
      <c r="H105" s="106"/>
      <c r="I105" s="106"/>
      <c r="J105" s="106"/>
      <c r="K105" s="106"/>
      <c r="L105" s="106"/>
    </row>
    <row r="106" spans="1:12">
      <c r="F106" s="118"/>
      <c r="G106" s="106"/>
      <c r="H106" s="106"/>
      <c r="I106" s="106"/>
      <c r="J106" s="106"/>
      <c r="K106" s="106"/>
      <c r="L106" s="106"/>
    </row>
    <row r="107" spans="1:12">
      <c r="F107" s="118"/>
      <c r="G107" s="106"/>
      <c r="H107" s="106"/>
      <c r="I107" s="106"/>
      <c r="J107" s="106"/>
      <c r="K107" s="106"/>
      <c r="L107" s="106"/>
    </row>
    <row r="108" spans="1:12">
      <c r="F108" s="118"/>
      <c r="G108" s="106"/>
      <c r="H108" s="106"/>
      <c r="I108" s="106"/>
      <c r="J108" s="106"/>
      <c r="K108" s="106"/>
      <c r="L108" s="106"/>
    </row>
  </sheetData>
  <mergeCells count="1">
    <mergeCell ref="A1:L1"/>
  </mergeCells>
  <printOptions horizontalCentered="1"/>
  <pageMargins left="0.5" right="0" top="0.5" bottom="0" header="0" footer="0"/>
  <pageSetup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92D050"/>
  </sheetPr>
  <dimension ref="A1:H96"/>
  <sheetViews>
    <sheetView workbookViewId="0">
      <pane ySplit="6" topLeftCell="A7" activePane="bottomLeft" state="frozen"/>
      <selection activeCell="H6" sqref="H6"/>
      <selection pane="bottomLeft" activeCell="M7" sqref="M7"/>
    </sheetView>
  </sheetViews>
  <sheetFormatPr defaultRowHeight="12.75"/>
  <cols>
    <col min="1" max="1" width="4.42578125" style="6" bestFit="1" customWidth="1"/>
    <col min="2" max="2" width="2.28515625" style="6" customWidth="1"/>
    <col min="3" max="3" width="3.7109375" customWidth="1"/>
    <col min="4" max="4" width="47.7109375" bestFit="1" customWidth="1"/>
    <col min="5" max="5" width="2.28515625" customWidth="1"/>
    <col min="6" max="6" width="8.7109375" style="16" customWidth="1"/>
    <col min="7" max="7" width="2.28515625" customWidth="1"/>
    <col min="8" max="8" width="15.7109375" customWidth="1"/>
    <col min="9" max="9" width="2.28515625" customWidth="1"/>
  </cols>
  <sheetData>
    <row r="1" spans="1:8">
      <c r="D1" s="6" t="s">
        <v>13</v>
      </c>
      <c r="H1" s="15" t="s">
        <v>12</v>
      </c>
    </row>
    <row r="2" spans="1:8">
      <c r="D2" s="6" t="s">
        <v>116</v>
      </c>
      <c r="H2" s="171" t="s">
        <v>643</v>
      </c>
    </row>
    <row r="3" spans="1:8">
      <c r="D3" s="6" t="s">
        <v>117</v>
      </c>
    </row>
    <row r="4" spans="1:8">
      <c r="D4" s="30" t="s">
        <v>701</v>
      </c>
    </row>
    <row r="5" spans="1:8">
      <c r="D5" s="6"/>
    </row>
    <row r="6" spans="1:8" ht="25.5">
      <c r="A6" s="2" t="s">
        <v>0</v>
      </c>
      <c r="B6" s="2"/>
    </row>
    <row r="7" spans="1:8">
      <c r="A7" s="2"/>
      <c r="B7" s="2"/>
    </row>
    <row r="8" spans="1:8">
      <c r="A8" s="5"/>
      <c r="B8" s="5"/>
      <c r="C8" t="s">
        <v>113</v>
      </c>
    </row>
    <row r="9" spans="1:8">
      <c r="A9" s="5">
        <v>1</v>
      </c>
      <c r="B9" s="5"/>
      <c r="D9" s="31" t="s">
        <v>699</v>
      </c>
      <c r="G9" s="4"/>
      <c r="H9" s="57">
        <v>179460940.03999999</v>
      </c>
    </row>
    <row r="10" spans="1:8">
      <c r="A10" s="5">
        <f>+A9+1</f>
        <v>2</v>
      </c>
      <c r="B10" s="5"/>
      <c r="D10" t="s">
        <v>114</v>
      </c>
      <c r="G10" s="4"/>
      <c r="H10" s="133">
        <v>66087390</v>
      </c>
    </row>
    <row r="11" spans="1:8">
      <c r="A11" s="5"/>
      <c r="B11" s="5"/>
      <c r="G11" s="4"/>
      <c r="H11" s="8"/>
    </row>
    <row r="12" spans="1:8">
      <c r="A12" s="5">
        <f>+A10+1</f>
        <v>3</v>
      </c>
      <c r="B12" s="5"/>
      <c r="D12" t="s">
        <v>115</v>
      </c>
      <c r="G12" s="4"/>
      <c r="H12" s="4">
        <f>SUM(H9:H11)</f>
        <v>245548330.03999999</v>
      </c>
    </row>
    <row r="13" spans="1:8">
      <c r="A13" s="5"/>
      <c r="B13" s="5"/>
      <c r="G13" s="4"/>
      <c r="H13" s="8" t="s">
        <v>11</v>
      </c>
    </row>
    <row r="14" spans="1:8">
      <c r="A14" s="5"/>
      <c r="B14" s="5"/>
      <c r="G14" s="4"/>
      <c r="H14" s="132"/>
    </row>
    <row r="15" spans="1:8">
      <c r="A15" s="5">
        <f>+A12+1</f>
        <v>4</v>
      </c>
      <c r="B15" s="5"/>
      <c r="D15" t="s">
        <v>118</v>
      </c>
      <c r="G15" s="4"/>
      <c r="H15" s="58">
        <v>106250000</v>
      </c>
    </row>
    <row r="16" spans="1:8">
      <c r="A16" s="5"/>
      <c r="B16" s="5"/>
      <c r="G16" s="4"/>
      <c r="H16" s="8" t="s">
        <v>11</v>
      </c>
    </row>
    <row r="17" spans="1:8">
      <c r="A17" s="5"/>
      <c r="B17" s="5"/>
      <c r="G17" s="4"/>
      <c r="H17" s="4"/>
    </row>
    <row r="18" spans="1:8">
      <c r="A18" s="5">
        <f>+A15+1</f>
        <v>5</v>
      </c>
      <c r="B18" s="5"/>
      <c r="D18" s="31" t="s">
        <v>700</v>
      </c>
      <c r="G18" s="4"/>
      <c r="H18" s="7">
        <f>+H12-H15</f>
        <v>139298330.03999999</v>
      </c>
    </row>
    <row r="19" spans="1:8">
      <c r="A19" s="5"/>
      <c r="B19" s="5"/>
      <c r="G19" s="4"/>
      <c r="H19" s="11" t="s">
        <v>28</v>
      </c>
    </row>
    <row r="20" spans="1:8">
      <c r="A20" s="5"/>
      <c r="B20" s="5"/>
      <c r="G20" s="4"/>
      <c r="H20" s="4"/>
    </row>
    <row r="21" spans="1:8">
      <c r="A21" s="5"/>
      <c r="B21" s="5"/>
      <c r="G21" s="4"/>
      <c r="H21" s="4"/>
    </row>
    <row r="22" spans="1:8">
      <c r="A22" s="5"/>
      <c r="B22" s="5"/>
      <c r="C22" t="s">
        <v>119</v>
      </c>
      <c r="F22" s="17"/>
      <c r="G22" s="4"/>
      <c r="H22" s="8"/>
    </row>
    <row r="23" spans="1:8">
      <c r="A23" s="5">
        <f>+A18+1</f>
        <v>6</v>
      </c>
      <c r="B23" s="5"/>
      <c r="D23" t="s">
        <v>120</v>
      </c>
      <c r="F23" s="17"/>
      <c r="G23" s="4"/>
      <c r="H23" s="61">
        <v>514648267.92000002</v>
      </c>
    </row>
    <row r="24" spans="1:8" s="253" customFormat="1">
      <c r="A24" s="255">
        <f>A23+1</f>
        <v>7</v>
      </c>
      <c r="B24" s="255"/>
      <c r="D24" s="253" t="s">
        <v>236</v>
      </c>
      <c r="F24" s="17"/>
      <c r="G24" s="256"/>
      <c r="H24" s="61">
        <v>2811185</v>
      </c>
    </row>
    <row r="25" spans="1:8">
      <c r="A25" s="5">
        <f>+A24+1</f>
        <v>8</v>
      </c>
      <c r="B25" s="5"/>
      <c r="D25" t="s">
        <v>250</v>
      </c>
      <c r="F25" s="17"/>
      <c r="G25" s="4"/>
      <c r="H25" s="61">
        <v>-6354038</v>
      </c>
    </row>
    <row r="26" spans="1:8">
      <c r="A26" s="5"/>
      <c r="B26" s="5"/>
      <c r="G26" s="4"/>
      <c r="H26" s="8" t="s">
        <v>11</v>
      </c>
    </row>
    <row r="27" spans="1:8">
      <c r="A27" s="5">
        <f>+A25+1</f>
        <v>9</v>
      </c>
      <c r="B27" s="5"/>
      <c r="D27" t="s">
        <v>121</v>
      </c>
      <c r="G27" s="4"/>
      <c r="H27" s="18">
        <f>SUM(H23:H25)</f>
        <v>511105414.92000002</v>
      </c>
    </row>
    <row r="28" spans="1:8">
      <c r="A28" s="5"/>
      <c r="B28" s="5"/>
      <c r="G28" s="4"/>
      <c r="H28" s="11" t="s">
        <v>239</v>
      </c>
    </row>
    <row r="29" spans="1:8">
      <c r="A29" s="5"/>
      <c r="B29" s="5"/>
      <c r="G29" s="4"/>
      <c r="H29" s="8"/>
    </row>
    <row r="30" spans="1:8">
      <c r="A30" s="5"/>
      <c r="B30" s="5"/>
      <c r="G30" s="4"/>
      <c r="H30" s="4"/>
    </row>
    <row r="31" spans="1:8">
      <c r="A31" s="5"/>
      <c r="B31" s="5"/>
      <c r="G31" s="4"/>
      <c r="H31" s="4"/>
    </row>
    <row r="32" spans="1:8">
      <c r="A32" s="5"/>
      <c r="B32" s="5"/>
      <c r="G32" s="4"/>
      <c r="H32" s="4"/>
    </row>
    <row r="33" spans="1:8">
      <c r="A33" s="5"/>
      <c r="B33" s="5"/>
      <c r="G33" s="4"/>
      <c r="H33" s="4"/>
    </row>
    <row r="34" spans="1:8">
      <c r="A34" s="5"/>
      <c r="B34" s="5"/>
      <c r="G34" s="4"/>
      <c r="H34" s="8"/>
    </row>
    <row r="35" spans="1:8">
      <c r="A35" s="5"/>
      <c r="B35" s="5"/>
      <c r="G35" s="4"/>
      <c r="H35" s="4"/>
    </row>
    <row r="36" spans="1:8">
      <c r="A36" s="5"/>
      <c r="B36" s="5"/>
      <c r="G36" s="4"/>
      <c r="H36" s="8"/>
    </row>
    <row r="37" spans="1:8">
      <c r="A37" s="5"/>
      <c r="B37" s="5"/>
      <c r="G37" s="4"/>
      <c r="H37" s="4"/>
    </row>
    <row r="38" spans="1:8">
      <c r="A38" s="5"/>
      <c r="B38" s="5"/>
      <c r="G38" s="4"/>
      <c r="H38" s="200"/>
    </row>
    <row r="39" spans="1:8">
      <c r="A39" s="5"/>
      <c r="B39" s="5"/>
      <c r="G39" s="4"/>
      <c r="H39" s="4"/>
    </row>
    <row r="40" spans="1:8">
      <c r="A40" s="5"/>
      <c r="B40" s="5"/>
      <c r="G40" s="4"/>
      <c r="H40" s="8"/>
    </row>
    <row r="41" spans="1:8">
      <c r="A41" s="5"/>
      <c r="B41" s="5"/>
      <c r="G41" s="4"/>
      <c r="H41" s="4"/>
    </row>
    <row r="42" spans="1:8">
      <c r="A42" s="5"/>
      <c r="B42" s="5"/>
      <c r="G42" s="4"/>
      <c r="H42" s="4"/>
    </row>
    <row r="43" spans="1:8">
      <c r="A43" s="5"/>
      <c r="B43" s="5"/>
      <c r="D43" s="1"/>
      <c r="G43" s="4"/>
      <c r="H43" s="4"/>
    </row>
    <row r="44" spans="1:8">
      <c r="A44" s="5"/>
      <c r="B44" s="5"/>
      <c r="G44" s="4"/>
      <c r="H44" s="4"/>
    </row>
    <row r="45" spans="1:8">
      <c r="A45" s="5"/>
      <c r="B45" s="5"/>
      <c r="G45" s="4"/>
      <c r="H45" s="4"/>
    </row>
    <row r="46" spans="1:8">
      <c r="A46" s="5"/>
      <c r="B46" s="5"/>
      <c r="G46" s="4"/>
      <c r="H46" s="4"/>
    </row>
    <row r="47" spans="1:8">
      <c r="A47" s="5"/>
      <c r="B47" s="5"/>
      <c r="G47" s="4"/>
      <c r="H47" s="4"/>
    </row>
    <row r="48" spans="1:8">
      <c r="A48" s="5"/>
      <c r="B48" s="5"/>
      <c r="G48" s="4"/>
      <c r="H48" s="4"/>
    </row>
    <row r="49" spans="1:8">
      <c r="A49" s="5"/>
      <c r="B49" s="5"/>
      <c r="G49" s="4"/>
      <c r="H49" s="8"/>
    </row>
    <row r="50" spans="1:8">
      <c r="A50" s="5"/>
      <c r="B50" s="5"/>
      <c r="G50" s="4"/>
      <c r="H50" s="13"/>
    </row>
    <row r="51" spans="1:8">
      <c r="A51" s="5"/>
      <c r="B51" s="5"/>
      <c r="G51" s="4"/>
      <c r="H51" s="8"/>
    </row>
    <row r="52" spans="1:8">
      <c r="A52" s="5"/>
      <c r="B52" s="5"/>
      <c r="G52" s="4"/>
      <c r="H52" s="4"/>
    </row>
    <row r="53" spans="1:8">
      <c r="A53" s="5"/>
      <c r="B53" s="5"/>
      <c r="G53" s="4"/>
      <c r="H53" s="4"/>
    </row>
    <row r="54" spans="1:8">
      <c r="A54" s="5"/>
      <c r="B54" s="5"/>
      <c r="G54" s="4"/>
      <c r="H54" s="4"/>
    </row>
    <row r="55" spans="1:8">
      <c r="A55" s="5"/>
      <c r="B55" s="5"/>
      <c r="G55" s="4"/>
      <c r="H55" s="4"/>
    </row>
    <row r="56" spans="1:8">
      <c r="A56" s="5"/>
      <c r="B56" s="5"/>
      <c r="G56" s="4"/>
      <c r="H56" s="4"/>
    </row>
    <row r="57" spans="1:8">
      <c r="A57" s="5"/>
      <c r="B57" s="5"/>
      <c r="G57" s="4"/>
      <c r="H57" s="4"/>
    </row>
    <row r="58" spans="1:8">
      <c r="A58" s="5"/>
      <c r="B58" s="5"/>
      <c r="G58" s="4"/>
      <c r="H58" s="8"/>
    </row>
    <row r="59" spans="1:8">
      <c r="A59" s="5"/>
      <c r="B59" s="5"/>
      <c r="G59" s="4"/>
      <c r="H59" s="4"/>
    </row>
    <row r="60" spans="1:8">
      <c r="A60" s="5"/>
      <c r="B60" s="5"/>
      <c r="G60" s="4"/>
      <c r="H60" s="8"/>
    </row>
    <row r="61" spans="1:8">
      <c r="A61" s="5"/>
      <c r="B61" s="5"/>
      <c r="G61" s="4"/>
      <c r="H61" s="4"/>
    </row>
    <row r="62" spans="1:8">
      <c r="A62" s="5"/>
      <c r="B62" s="5"/>
      <c r="G62" s="4"/>
      <c r="H62" s="4"/>
    </row>
    <row r="63" spans="1:8">
      <c r="A63" s="5"/>
      <c r="B63" s="5"/>
      <c r="G63" s="4"/>
      <c r="H63" s="4"/>
    </row>
    <row r="64" spans="1:8">
      <c r="A64" s="5"/>
      <c r="B64" s="5"/>
      <c r="G64" s="4"/>
      <c r="H64" s="8"/>
    </row>
    <row r="65" spans="1:8">
      <c r="A65" s="5"/>
      <c r="B65" s="5"/>
      <c r="G65" s="4"/>
      <c r="H65" s="4"/>
    </row>
    <row r="66" spans="1:8">
      <c r="A66" s="5"/>
      <c r="B66" s="5"/>
      <c r="G66" s="4"/>
      <c r="H66" s="8"/>
    </row>
    <row r="67" spans="1:8">
      <c r="A67" s="5"/>
      <c r="B67" s="5"/>
      <c r="G67" s="4"/>
      <c r="H67" s="8"/>
    </row>
    <row r="68" spans="1:8">
      <c r="A68" s="5"/>
      <c r="B68" s="5"/>
      <c r="G68" s="4"/>
      <c r="H68" s="4"/>
    </row>
    <row r="69" spans="1:8">
      <c r="A69" s="5"/>
      <c r="B69" s="5"/>
      <c r="G69" s="4"/>
      <c r="H69" s="4"/>
    </row>
    <row r="70" spans="1:8">
      <c r="A70" s="5"/>
      <c r="B70" s="5"/>
      <c r="G70" s="4"/>
      <c r="H70" s="4"/>
    </row>
    <row r="71" spans="1:8">
      <c r="A71" s="5"/>
      <c r="B71" s="5"/>
      <c r="G71" s="4"/>
      <c r="H71" s="4"/>
    </row>
    <row r="72" spans="1:8">
      <c r="A72" s="5"/>
      <c r="B72" s="5"/>
      <c r="G72" s="4"/>
      <c r="H72" s="4"/>
    </row>
    <row r="73" spans="1:8">
      <c r="A73" s="5"/>
      <c r="B73" s="5"/>
      <c r="G73" s="4"/>
      <c r="H73" s="8"/>
    </row>
    <row r="74" spans="1:8">
      <c r="A74" s="5"/>
      <c r="B74" s="5"/>
      <c r="D74" s="1"/>
      <c r="G74" s="4"/>
      <c r="H74" s="4"/>
    </row>
    <row r="75" spans="1:8">
      <c r="A75" s="5"/>
      <c r="B75" s="5"/>
      <c r="G75" s="4"/>
      <c r="H75" s="8"/>
    </row>
    <row r="76" spans="1:8">
      <c r="A76" s="5"/>
      <c r="B76" s="5"/>
      <c r="G76" s="4"/>
      <c r="H76" s="4"/>
    </row>
    <row r="77" spans="1:8">
      <c r="A77" s="5"/>
      <c r="B77" s="5"/>
      <c r="G77" s="4"/>
      <c r="H77" s="14"/>
    </row>
    <row r="78" spans="1:8">
      <c r="A78" s="5"/>
      <c r="B78" s="5"/>
      <c r="G78" s="4"/>
      <c r="H78" s="11"/>
    </row>
    <row r="79" spans="1:8">
      <c r="A79" s="5"/>
      <c r="B79" s="5"/>
      <c r="G79" s="4"/>
      <c r="H79" s="4"/>
    </row>
    <row r="80" spans="1:8">
      <c r="A80" s="5"/>
      <c r="B80" s="5"/>
      <c r="G80" s="4"/>
      <c r="H80" s="4"/>
    </row>
    <row r="81" spans="1:8">
      <c r="A81" s="5"/>
      <c r="B81" s="5"/>
      <c r="G81" s="4"/>
      <c r="H81" s="4"/>
    </row>
    <row r="82" spans="1:8">
      <c r="A82" s="5"/>
      <c r="B82" s="5"/>
      <c r="G82" s="4"/>
      <c r="H82" s="4"/>
    </row>
    <row r="83" spans="1:8">
      <c r="A83" s="5"/>
      <c r="B83" s="5"/>
      <c r="G83" s="4"/>
      <c r="H83" s="4"/>
    </row>
    <row r="84" spans="1:8">
      <c r="A84" s="5"/>
      <c r="B84" s="5"/>
      <c r="G84" s="4"/>
      <c r="H84" s="4"/>
    </row>
    <row r="85" spans="1:8">
      <c r="A85" s="5"/>
      <c r="B85" s="5"/>
      <c r="G85" s="4"/>
      <c r="H85" s="4"/>
    </row>
    <row r="86" spans="1:8">
      <c r="A86" s="5"/>
      <c r="B86" s="5"/>
      <c r="G86" s="4"/>
      <c r="H86" s="4"/>
    </row>
    <row r="87" spans="1:8">
      <c r="A87" s="5"/>
      <c r="B87" s="5"/>
      <c r="G87" s="4"/>
      <c r="H87" s="4"/>
    </row>
    <row r="88" spans="1:8">
      <c r="A88" s="5"/>
      <c r="B88" s="5"/>
      <c r="G88" s="4"/>
      <c r="H88" s="4"/>
    </row>
    <row r="89" spans="1:8">
      <c r="A89" s="5"/>
      <c r="B89" s="5"/>
      <c r="G89" s="4"/>
      <c r="H89" s="4"/>
    </row>
    <row r="90" spans="1:8">
      <c r="A90" s="5"/>
      <c r="B90" s="5"/>
      <c r="G90" s="4"/>
      <c r="H90" s="4"/>
    </row>
    <row r="91" spans="1:8">
      <c r="A91" s="5"/>
      <c r="B91" s="5"/>
      <c r="G91" s="4"/>
      <c r="H91" s="4"/>
    </row>
    <row r="92" spans="1:8">
      <c r="A92" s="5"/>
      <c r="B92" s="5"/>
      <c r="G92" s="4"/>
      <c r="H92" s="4"/>
    </row>
    <row r="93" spans="1:8">
      <c r="A93" s="5"/>
      <c r="B93" s="5"/>
      <c r="G93" s="4"/>
      <c r="H93" s="4"/>
    </row>
    <row r="94" spans="1:8">
      <c r="A94" s="5"/>
      <c r="B94" s="5"/>
      <c r="G94" s="4"/>
      <c r="H94" s="4"/>
    </row>
    <row r="95" spans="1:8">
      <c r="A95" s="5"/>
      <c r="B95" s="5"/>
      <c r="G95" s="4"/>
      <c r="H95" s="4"/>
    </row>
    <row r="96" spans="1:8">
      <c r="A96" s="5"/>
      <c r="B96" s="5"/>
    </row>
  </sheetData>
  <phoneticPr fontId="0" type="noConversion"/>
  <printOptions horizontalCentered="1"/>
  <pageMargins left="0" right="0" top="1" bottom="0.5" header="0" footer="0"/>
  <pageSetup scale="90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I84"/>
  <sheetViews>
    <sheetView zoomScaleNormal="100" workbookViewId="0"/>
  </sheetViews>
  <sheetFormatPr defaultRowHeight="12.75"/>
  <cols>
    <col min="1" max="1" width="4.42578125" style="6" bestFit="1" customWidth="1"/>
    <col min="2" max="2" width="4.42578125" style="6" customWidth="1"/>
    <col min="3" max="3" width="23.140625" style="6" bestFit="1" customWidth="1"/>
    <col min="4" max="4" width="2.28515625" style="6" customWidth="1"/>
    <col min="5" max="5" width="43.140625" bestFit="1" customWidth="1"/>
    <col min="6" max="6" width="2.28515625" customWidth="1"/>
    <col min="7" max="7" width="15.7109375" customWidth="1"/>
    <col min="8" max="8" width="2.28515625" customWidth="1"/>
    <col min="9" max="9" width="15" bestFit="1" customWidth="1"/>
  </cols>
  <sheetData>
    <row r="1" spans="1:7">
      <c r="C1" s="290" t="s">
        <v>13</v>
      </c>
      <c r="D1" s="290"/>
      <c r="E1" s="290"/>
      <c r="G1" s="15" t="s">
        <v>12</v>
      </c>
    </row>
    <row r="2" spans="1:7">
      <c r="C2" s="290" t="s">
        <v>142</v>
      </c>
      <c r="D2" s="290"/>
      <c r="E2" s="290"/>
      <c r="G2" s="171" t="s">
        <v>644</v>
      </c>
    </row>
    <row r="3" spans="1:7">
      <c r="C3" s="290" t="str">
        <f>'P 5'!D4</f>
        <v>FOR THE TWELVE MONTHS ENDED SEPTEMBER 30, 2014</v>
      </c>
      <c r="D3" s="290"/>
      <c r="E3" s="290"/>
    </row>
    <row r="4" spans="1:7">
      <c r="E4" s="6"/>
    </row>
    <row r="5" spans="1:7" s="253" customFormat="1">
      <c r="A5" s="254"/>
      <c r="B5" s="254"/>
      <c r="C5" s="254"/>
      <c r="D5" s="254"/>
      <c r="E5" s="254"/>
    </row>
    <row r="6" spans="1:7" s="253" customFormat="1">
      <c r="A6" s="254"/>
      <c r="B6" s="254"/>
      <c r="C6" s="254"/>
      <c r="D6" s="254"/>
      <c r="E6" s="254"/>
    </row>
    <row r="7" spans="1:7">
      <c r="C7" s="6" t="s">
        <v>144</v>
      </c>
    </row>
    <row r="8" spans="1:7" ht="25.5">
      <c r="A8" s="2" t="s">
        <v>0</v>
      </c>
      <c r="B8" s="2"/>
      <c r="C8" s="2" t="s">
        <v>143</v>
      </c>
      <c r="D8" s="2"/>
      <c r="E8" s="6" t="s">
        <v>145</v>
      </c>
    </row>
    <row r="9" spans="1:7">
      <c r="A9" s="2"/>
      <c r="B9" s="2"/>
      <c r="C9" s="2"/>
      <c r="D9" s="2"/>
    </row>
    <row r="10" spans="1:7">
      <c r="A10" s="5">
        <v>1</v>
      </c>
      <c r="B10" s="5"/>
      <c r="C10" s="5">
        <v>440</v>
      </c>
      <c r="D10" s="5"/>
      <c r="E10" t="s">
        <v>146</v>
      </c>
      <c r="F10" s="4"/>
      <c r="G10" s="57">
        <v>241551053.27000001</v>
      </c>
    </row>
    <row r="11" spans="1:7">
      <c r="A11" s="5"/>
      <c r="B11" s="5"/>
      <c r="C11" s="5">
        <v>442</v>
      </c>
      <c r="D11" s="5"/>
      <c r="E11" t="s">
        <v>147</v>
      </c>
      <c r="F11" s="4"/>
      <c r="G11" s="58"/>
    </row>
    <row r="12" spans="1:7">
      <c r="A12" s="5">
        <f>+A10+1</f>
        <v>2</v>
      </c>
      <c r="B12" s="5"/>
      <c r="C12" s="5"/>
      <c r="D12" s="5"/>
      <c r="E12" t="s">
        <v>148</v>
      </c>
      <c r="F12" s="4"/>
      <c r="G12" s="60">
        <v>144383088.11000001</v>
      </c>
    </row>
    <row r="13" spans="1:7">
      <c r="A13" s="5">
        <f>+A12+1</f>
        <v>3</v>
      </c>
      <c r="B13" s="5"/>
      <c r="C13" s="5"/>
      <c r="D13" s="5"/>
      <c r="E13" s="3" t="s">
        <v>149</v>
      </c>
      <c r="F13" s="4"/>
      <c r="G13" s="58">
        <v>179773640.78</v>
      </c>
    </row>
    <row r="14" spans="1:7">
      <c r="A14" s="5">
        <f>+A13+1</f>
        <v>4</v>
      </c>
      <c r="B14" s="5"/>
      <c r="C14" s="5">
        <v>444</v>
      </c>
      <c r="D14" s="5"/>
      <c r="E14" t="s">
        <v>150</v>
      </c>
      <c r="F14" s="4"/>
      <c r="G14" s="60">
        <v>1742593.93</v>
      </c>
    </row>
    <row r="15" spans="1:7">
      <c r="A15" s="5">
        <f>+A14+1</f>
        <v>5</v>
      </c>
      <c r="B15" s="5"/>
      <c r="C15" s="5">
        <v>445</v>
      </c>
      <c r="D15"/>
      <c r="E15" t="s">
        <v>151</v>
      </c>
      <c r="F15" s="4"/>
      <c r="G15" s="13">
        <v>0</v>
      </c>
    </row>
    <row r="16" spans="1:7">
      <c r="A16" s="5"/>
      <c r="B16" s="5"/>
      <c r="C16" s="5"/>
      <c r="D16"/>
      <c r="E16" s="3"/>
      <c r="F16" s="4"/>
      <c r="G16" s="8" t="s">
        <v>11</v>
      </c>
    </row>
    <row r="17" spans="1:9">
      <c r="A17" s="5">
        <f>+A15+1</f>
        <v>6</v>
      </c>
      <c r="B17" s="5"/>
      <c r="C17" s="5"/>
      <c r="D17"/>
      <c r="E17" s="3" t="s">
        <v>152</v>
      </c>
      <c r="F17" s="4"/>
      <c r="G17" s="20">
        <f>SUM(G10:G16)</f>
        <v>567450376.08999991</v>
      </c>
    </row>
    <row r="18" spans="1:9">
      <c r="A18"/>
      <c r="B18"/>
      <c r="C18"/>
      <c r="D18"/>
      <c r="E18" s="3"/>
      <c r="F18" s="4"/>
      <c r="G18" s="13"/>
    </row>
    <row r="19" spans="1:9">
      <c r="A19" s="5">
        <f>+A17+1</f>
        <v>7</v>
      </c>
      <c r="B19" s="5"/>
      <c r="C19" s="5">
        <v>447</v>
      </c>
      <c r="D19"/>
      <c r="E19" s="3" t="s">
        <v>153</v>
      </c>
      <c r="F19" s="4"/>
      <c r="G19" s="237">
        <v>227294784.68000001</v>
      </c>
      <c r="I19" s="62" t="s">
        <v>274</v>
      </c>
    </row>
    <row r="20" spans="1:9">
      <c r="A20" s="5"/>
      <c r="B20" s="5"/>
      <c r="C20" s="5"/>
      <c r="D20" s="5"/>
      <c r="F20" s="4"/>
      <c r="G20" s="8" t="s">
        <v>11</v>
      </c>
    </row>
    <row r="21" spans="1:9">
      <c r="A21" s="5">
        <f>+A19+1</f>
        <v>8</v>
      </c>
      <c r="B21" s="5"/>
      <c r="C21" s="5"/>
      <c r="D21" s="5"/>
      <c r="E21" s="29" t="s">
        <v>266</v>
      </c>
      <c r="F21" s="4"/>
      <c r="G21" s="7">
        <f>+G17+G19</f>
        <v>794745160.76999998</v>
      </c>
    </row>
    <row r="22" spans="1:9">
      <c r="A22" s="5"/>
      <c r="B22" s="5"/>
      <c r="C22" s="5"/>
      <c r="D22" s="5"/>
      <c r="E22" s="3"/>
      <c r="F22" s="4"/>
      <c r="G22" s="8"/>
    </row>
    <row r="23" spans="1:9">
      <c r="A23" s="5">
        <f>+A21+1</f>
        <v>9</v>
      </c>
      <c r="B23" s="5"/>
      <c r="C23" s="5">
        <v>449</v>
      </c>
      <c r="D23" s="5"/>
      <c r="E23" s="3" t="s">
        <v>261</v>
      </c>
      <c r="F23" s="4"/>
      <c r="G23" s="57">
        <v>71157.539999999994</v>
      </c>
    </row>
    <row r="24" spans="1:9">
      <c r="A24" s="5"/>
      <c r="B24" s="5"/>
      <c r="C24" s="5"/>
      <c r="D24" s="5"/>
      <c r="E24" s="3"/>
      <c r="F24" s="4"/>
      <c r="G24" s="8" t="s">
        <v>11</v>
      </c>
    </row>
    <row r="25" spans="1:9">
      <c r="A25" s="5">
        <f>+A23+1</f>
        <v>10</v>
      </c>
      <c r="B25" s="5"/>
      <c r="C25" s="5"/>
      <c r="D25" s="5"/>
      <c r="E25" s="3" t="s">
        <v>154</v>
      </c>
      <c r="F25" s="4"/>
      <c r="G25" s="7">
        <f>+G21+G23</f>
        <v>794816318.30999994</v>
      </c>
    </row>
    <row r="26" spans="1:9">
      <c r="A26" s="5"/>
      <c r="B26" s="5"/>
      <c r="C26" s="5"/>
      <c r="D26" s="5"/>
      <c r="E26" s="3"/>
      <c r="F26" s="4"/>
      <c r="G26" s="11" t="s">
        <v>239</v>
      </c>
    </row>
    <row r="27" spans="1:9">
      <c r="A27" s="5"/>
      <c r="B27" s="5"/>
      <c r="C27" s="2" t="s">
        <v>155</v>
      </c>
      <c r="D27" s="5"/>
      <c r="E27" s="3"/>
      <c r="F27" s="4"/>
      <c r="G27" s="13"/>
    </row>
    <row r="28" spans="1:9">
      <c r="A28" s="5"/>
      <c r="B28" s="5"/>
      <c r="C28" s="5"/>
      <c r="D28" s="5"/>
      <c r="E28" s="3"/>
      <c r="F28" s="4"/>
      <c r="G28" s="4"/>
    </row>
    <row r="29" spans="1:9">
      <c r="A29" s="5">
        <f>A25+1</f>
        <v>11</v>
      </c>
      <c r="B29" s="5"/>
      <c r="C29" s="5">
        <v>450</v>
      </c>
      <c r="D29" s="5"/>
      <c r="E29" s="3" t="s">
        <v>156</v>
      </c>
      <c r="F29" s="4"/>
      <c r="G29" s="237">
        <v>3643763.57</v>
      </c>
    </row>
    <row r="30" spans="1:9">
      <c r="A30" s="5">
        <f>+A29+1</f>
        <v>12</v>
      </c>
      <c r="B30" s="5"/>
      <c r="C30" s="5">
        <v>451</v>
      </c>
      <c r="D30" s="5"/>
      <c r="E30" t="s">
        <v>157</v>
      </c>
      <c r="F30" s="4"/>
      <c r="G30" s="60">
        <v>385608.84</v>
      </c>
    </row>
    <row r="31" spans="1:9">
      <c r="A31" s="5">
        <f>+A30+1</f>
        <v>13</v>
      </c>
      <c r="B31" s="5"/>
      <c r="C31" s="5">
        <v>454</v>
      </c>
      <c r="D31" s="5"/>
      <c r="E31" s="3" t="s">
        <v>158</v>
      </c>
      <c r="F31" s="4"/>
      <c r="G31" s="58">
        <v>5305713.07</v>
      </c>
    </row>
    <row r="32" spans="1:9">
      <c r="A32" s="5">
        <f>+A31+1</f>
        <v>14</v>
      </c>
      <c r="B32" s="5"/>
      <c r="C32" s="5">
        <v>456</v>
      </c>
      <c r="D32" s="5"/>
      <c r="E32" s="3" t="s">
        <v>159</v>
      </c>
      <c r="F32" s="4"/>
      <c r="G32" s="60">
        <v>27547111.870000001</v>
      </c>
    </row>
    <row r="33" spans="1:9">
      <c r="A33" s="5"/>
      <c r="B33" s="5"/>
      <c r="C33" s="5"/>
      <c r="D33" s="5"/>
      <c r="F33" s="4"/>
      <c r="G33" s="8" t="s">
        <v>11</v>
      </c>
    </row>
    <row r="34" spans="1:9">
      <c r="A34" s="5">
        <f>+A32+1</f>
        <v>15</v>
      </c>
      <c r="B34" s="5"/>
      <c r="C34" s="5"/>
      <c r="D34" s="5"/>
      <c r="E34" s="3" t="s">
        <v>160</v>
      </c>
      <c r="F34" s="4"/>
      <c r="G34" s="14">
        <f>SUM(G29:G33)</f>
        <v>36882197.350000001</v>
      </c>
    </row>
    <row r="35" spans="1:9">
      <c r="A35" s="5"/>
      <c r="B35" s="5"/>
      <c r="C35" s="5"/>
      <c r="D35" s="5"/>
      <c r="F35" s="4"/>
      <c r="G35" s="11" t="s">
        <v>239</v>
      </c>
    </row>
    <row r="36" spans="1:9">
      <c r="A36" s="5"/>
      <c r="B36" s="5"/>
      <c r="C36" s="5"/>
      <c r="D36" s="5"/>
      <c r="F36" s="4"/>
      <c r="G36" s="4"/>
      <c r="I36" s="24" t="s">
        <v>274</v>
      </c>
    </row>
    <row r="37" spans="1:9">
      <c r="A37" s="5"/>
      <c r="B37" s="5"/>
      <c r="C37" s="5"/>
      <c r="D37" s="5"/>
      <c r="F37" s="4"/>
      <c r="G37" s="13"/>
    </row>
    <row r="38" spans="1:9">
      <c r="A38" s="5"/>
      <c r="B38" s="5"/>
      <c r="C38" s="5"/>
      <c r="D38" s="5"/>
      <c r="E38" s="19"/>
      <c r="F38" s="4"/>
      <c r="G38" s="4"/>
    </row>
    <row r="39" spans="1:9">
      <c r="A39" s="5"/>
      <c r="B39" s="5"/>
      <c r="C39" s="5"/>
      <c r="D39" s="5"/>
      <c r="F39" s="4"/>
      <c r="G39" s="13"/>
    </row>
    <row r="40" spans="1:9">
      <c r="A40" s="5"/>
      <c r="B40" s="5"/>
      <c r="C40" s="5"/>
      <c r="D40" s="5"/>
      <c r="E40" s="1"/>
      <c r="F40" s="4"/>
      <c r="G40" s="4"/>
    </row>
    <row r="41" spans="1:9">
      <c r="A41" s="5"/>
      <c r="B41" s="5"/>
      <c r="C41" s="5"/>
      <c r="D41" s="5"/>
      <c r="F41" s="4"/>
      <c r="G41" s="4"/>
    </row>
    <row r="42" spans="1:9">
      <c r="A42" s="5"/>
      <c r="B42" s="5"/>
      <c r="C42" s="5"/>
      <c r="D42" s="5"/>
      <c r="F42" s="4"/>
      <c r="G42" s="13"/>
    </row>
    <row r="43" spans="1:9">
      <c r="A43" s="5"/>
      <c r="B43" s="5"/>
      <c r="C43" s="5"/>
      <c r="D43" s="5"/>
      <c r="F43" s="4"/>
      <c r="G43" s="4"/>
    </row>
    <row r="44" spans="1:9">
      <c r="A44" s="5"/>
      <c r="B44" s="5"/>
      <c r="C44" s="5"/>
      <c r="D44" s="5"/>
      <c r="E44" s="21"/>
      <c r="F44" s="4"/>
      <c r="G44" s="4"/>
    </row>
    <row r="45" spans="1:9">
      <c r="A45" s="5"/>
      <c r="B45" s="5"/>
      <c r="C45" s="5"/>
      <c r="D45" s="5"/>
      <c r="F45" s="4"/>
      <c r="G45" s="13"/>
    </row>
    <row r="46" spans="1:9">
      <c r="A46" s="5"/>
      <c r="B46" s="5"/>
      <c r="C46" s="5"/>
      <c r="D46" s="5"/>
      <c r="E46" s="3"/>
      <c r="F46" s="4"/>
      <c r="G46" s="13"/>
    </row>
    <row r="47" spans="1:9">
      <c r="A47" s="5"/>
      <c r="B47" s="5"/>
      <c r="C47" s="5"/>
      <c r="D47" s="5"/>
      <c r="F47" s="4"/>
      <c r="G47" s="13"/>
    </row>
    <row r="48" spans="1:9">
      <c r="A48" s="5"/>
      <c r="B48" s="5"/>
      <c r="C48" s="5"/>
      <c r="D48" s="5"/>
      <c r="F48" s="4"/>
      <c r="G48" s="4"/>
    </row>
    <row r="49" spans="1:7">
      <c r="A49" s="5"/>
      <c r="B49" s="5"/>
      <c r="C49" s="5"/>
      <c r="D49" s="5"/>
      <c r="F49" s="4"/>
      <c r="G49" s="13"/>
    </row>
    <row r="50" spans="1:7">
      <c r="A50" s="5"/>
      <c r="B50" s="5"/>
      <c r="C50" s="5"/>
      <c r="D50" s="5"/>
      <c r="F50" s="4"/>
      <c r="G50" s="4"/>
    </row>
    <row r="51" spans="1:7">
      <c r="A51" s="5"/>
      <c r="B51" s="5"/>
      <c r="C51" s="5"/>
      <c r="D51" s="5"/>
      <c r="F51" s="4"/>
      <c r="G51" s="13"/>
    </row>
    <row r="52" spans="1:7">
      <c r="A52" s="5"/>
      <c r="B52" s="5"/>
      <c r="C52" s="5"/>
      <c r="D52" s="5"/>
      <c r="F52" s="4"/>
      <c r="G52" s="13"/>
    </row>
    <row r="53" spans="1:7">
      <c r="A53" s="5"/>
      <c r="B53" s="5"/>
      <c r="C53" s="5"/>
      <c r="D53" s="5"/>
      <c r="F53" s="4"/>
      <c r="G53" s="20"/>
    </row>
    <row r="54" spans="1:7">
      <c r="A54" s="5"/>
      <c r="B54" s="5"/>
      <c r="C54" s="5"/>
      <c r="D54" s="5"/>
      <c r="F54" s="4"/>
      <c r="G54" s="13"/>
    </row>
    <row r="55" spans="1:7">
      <c r="A55" s="5"/>
      <c r="B55" s="5"/>
      <c r="C55" s="5"/>
      <c r="D55" s="5"/>
      <c r="F55" s="4"/>
      <c r="G55" s="13"/>
    </row>
    <row r="56" spans="1:7">
      <c r="A56" s="5"/>
      <c r="B56" s="5"/>
      <c r="C56" s="5"/>
      <c r="D56" s="5"/>
      <c r="F56" s="4"/>
      <c r="G56" s="4"/>
    </row>
    <row r="57" spans="1:7">
      <c r="A57" s="5"/>
      <c r="B57" s="5"/>
      <c r="C57" s="5"/>
      <c r="D57" s="5"/>
      <c r="F57" s="4"/>
      <c r="G57" s="4"/>
    </row>
    <row r="58" spans="1:7">
      <c r="A58" s="5"/>
      <c r="B58" s="5"/>
      <c r="C58" s="5"/>
      <c r="D58" s="5"/>
      <c r="F58" s="4"/>
      <c r="G58" s="4"/>
    </row>
    <row r="59" spans="1:7">
      <c r="A59" s="5"/>
      <c r="B59" s="5"/>
      <c r="C59" s="5"/>
      <c r="D59" s="5"/>
      <c r="F59" s="4"/>
      <c r="G59" s="4"/>
    </row>
    <row r="60" spans="1:7">
      <c r="A60" s="5"/>
      <c r="B60" s="5"/>
      <c r="C60" s="5"/>
      <c r="D60" s="5"/>
      <c r="F60" s="4"/>
      <c r="G60" s="4"/>
    </row>
    <row r="61" spans="1:7">
      <c r="A61" s="5"/>
      <c r="B61" s="5"/>
      <c r="C61" s="5"/>
      <c r="D61" s="5"/>
      <c r="F61" s="4"/>
      <c r="G61" s="13"/>
    </row>
    <row r="62" spans="1:7">
      <c r="A62" s="5"/>
      <c r="B62" s="5"/>
      <c r="C62" s="5"/>
      <c r="D62" s="5"/>
      <c r="E62" s="1"/>
      <c r="F62" s="4"/>
      <c r="G62" s="4"/>
    </row>
    <row r="63" spans="1:7">
      <c r="A63" s="5"/>
      <c r="B63" s="5"/>
      <c r="C63" s="5"/>
      <c r="D63" s="5"/>
      <c r="F63" s="4"/>
      <c r="G63" s="13"/>
    </row>
    <row r="64" spans="1:7">
      <c r="A64" s="5"/>
      <c r="B64" s="5"/>
      <c r="C64" s="5"/>
      <c r="D64" s="5"/>
      <c r="F64" s="4"/>
      <c r="G64" s="4"/>
    </row>
    <row r="65" spans="1:7">
      <c r="A65" s="5"/>
      <c r="B65" s="5"/>
      <c r="C65" s="5"/>
      <c r="D65" s="5"/>
      <c r="F65" s="4"/>
      <c r="G65" s="20"/>
    </row>
    <row r="66" spans="1:7">
      <c r="A66" s="5"/>
      <c r="B66" s="5"/>
      <c r="C66" s="5"/>
      <c r="D66" s="5"/>
      <c r="F66" s="4"/>
      <c r="G66" s="20"/>
    </row>
    <row r="67" spans="1:7">
      <c r="A67" s="5"/>
      <c r="B67" s="5"/>
      <c r="C67" s="5"/>
      <c r="D67" s="5"/>
      <c r="F67" s="4"/>
      <c r="G67" s="4"/>
    </row>
    <row r="68" spans="1:7">
      <c r="A68" s="5"/>
      <c r="B68" s="5"/>
      <c r="C68" s="5"/>
      <c r="D68" s="5"/>
      <c r="F68" s="4"/>
      <c r="G68" s="4"/>
    </row>
    <row r="69" spans="1:7">
      <c r="A69" s="5"/>
      <c r="B69" s="5"/>
      <c r="C69" s="5"/>
      <c r="D69" s="5"/>
      <c r="F69" s="4"/>
      <c r="G69" s="4"/>
    </row>
    <row r="70" spans="1:7">
      <c r="A70" s="5"/>
      <c r="B70" s="5"/>
      <c r="C70" s="5"/>
      <c r="D70" s="5"/>
      <c r="F70" s="4"/>
      <c r="G70" s="4"/>
    </row>
    <row r="71" spans="1:7">
      <c r="A71" s="5"/>
      <c r="B71" s="5"/>
      <c r="C71" s="5"/>
      <c r="D71" s="5"/>
      <c r="F71" s="4"/>
      <c r="G71" s="4"/>
    </row>
    <row r="72" spans="1:7">
      <c r="A72" s="5"/>
      <c r="B72" s="5"/>
      <c r="C72" s="5"/>
      <c r="D72" s="5"/>
      <c r="F72" s="4"/>
      <c r="G72" s="4"/>
    </row>
    <row r="73" spans="1:7">
      <c r="A73" s="5"/>
      <c r="B73" s="5"/>
      <c r="C73" s="5"/>
      <c r="D73" s="5"/>
      <c r="F73" s="4"/>
      <c r="G73" s="4"/>
    </row>
    <row r="74" spans="1:7">
      <c r="A74" s="5"/>
      <c r="B74" s="5"/>
      <c r="C74" s="5"/>
      <c r="D74" s="5"/>
      <c r="F74" s="4"/>
      <c r="G74" s="4"/>
    </row>
    <row r="75" spans="1:7">
      <c r="A75" s="5"/>
      <c r="B75" s="5"/>
      <c r="C75" s="5"/>
      <c r="D75" s="5"/>
      <c r="F75" s="4"/>
      <c r="G75" s="4"/>
    </row>
    <row r="76" spans="1:7">
      <c r="A76" s="5"/>
      <c r="B76" s="5"/>
      <c r="C76" s="5"/>
      <c r="D76" s="5"/>
      <c r="F76" s="4"/>
      <c r="G76" s="4"/>
    </row>
    <row r="77" spans="1:7">
      <c r="A77" s="5"/>
      <c r="B77" s="5"/>
      <c r="C77" s="5"/>
      <c r="D77" s="5"/>
      <c r="F77" s="4"/>
      <c r="G77" s="4"/>
    </row>
    <row r="78" spans="1:7">
      <c r="A78" s="5"/>
      <c r="B78" s="5"/>
      <c r="C78" s="5"/>
      <c r="D78" s="5"/>
      <c r="F78" s="4"/>
      <c r="G78" s="4"/>
    </row>
    <row r="79" spans="1:7">
      <c r="A79" s="5"/>
      <c r="B79" s="5"/>
      <c r="C79" s="5"/>
      <c r="D79" s="5"/>
      <c r="F79" s="4"/>
      <c r="G79" s="4"/>
    </row>
    <row r="80" spans="1:7">
      <c r="A80" s="5"/>
      <c r="B80" s="5"/>
      <c r="C80" s="5"/>
      <c r="D80" s="5"/>
      <c r="F80" s="4"/>
      <c r="G80" s="4"/>
    </row>
    <row r="81" spans="1:7">
      <c r="A81" s="5"/>
      <c r="B81" s="5"/>
      <c r="C81" s="5"/>
      <c r="D81" s="5"/>
      <c r="F81" s="4"/>
      <c r="G81" s="4"/>
    </row>
    <row r="82" spans="1:7">
      <c r="A82" s="5"/>
      <c r="B82" s="5"/>
      <c r="C82" s="5"/>
      <c r="D82" s="5"/>
      <c r="F82" s="4"/>
      <c r="G82" s="4"/>
    </row>
    <row r="83" spans="1:7">
      <c r="A83" s="5"/>
      <c r="B83" s="5"/>
      <c r="C83" s="5"/>
      <c r="D83" s="5"/>
      <c r="F83" s="4"/>
      <c r="G83" s="4"/>
    </row>
    <row r="84" spans="1:7">
      <c r="A84" s="5"/>
      <c r="B84" s="5"/>
      <c r="C84" s="5"/>
      <c r="D84" s="5"/>
    </row>
  </sheetData>
  <mergeCells count="3">
    <mergeCell ref="C1:E1"/>
    <mergeCell ref="C2:E2"/>
    <mergeCell ref="C3:E3"/>
  </mergeCells>
  <phoneticPr fontId="0" type="noConversion"/>
  <printOptions horizontalCentered="1"/>
  <pageMargins left="0.75" right="0" top="1" bottom="0.5" header="0" footer="0"/>
  <pageSetup scale="90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92D050"/>
    <pageSetUpPr fitToPage="1"/>
  </sheetPr>
  <dimension ref="A1:M97"/>
  <sheetViews>
    <sheetView workbookViewId="0">
      <pane ySplit="5" topLeftCell="A21" activePane="bottomLeft" state="frozen"/>
      <selection activeCell="H6" sqref="H6"/>
      <selection pane="bottomLeft" activeCell="A21" sqref="A21"/>
    </sheetView>
  </sheetViews>
  <sheetFormatPr defaultRowHeight="12.75"/>
  <cols>
    <col min="1" max="1" width="4.42578125" style="6" bestFit="1" customWidth="1"/>
    <col min="2" max="2" width="2.28515625" style="6" customWidth="1"/>
    <col min="3" max="3" width="3.7109375" customWidth="1"/>
    <col min="4" max="4" width="55.85546875" bestFit="1" customWidth="1"/>
    <col min="5" max="5" width="2.28515625" customWidth="1"/>
    <col min="6" max="6" width="15.7109375" customWidth="1"/>
    <col min="7" max="7" width="2.28515625" style="253" customWidth="1"/>
    <col min="8" max="8" width="15.7109375" style="253" customWidth="1"/>
    <col min="9" max="9" width="2.28515625" style="253" customWidth="1"/>
    <col min="10" max="10" width="15.7109375" style="253" customWidth="1"/>
    <col min="11" max="11" width="2.28515625" style="253" customWidth="1"/>
    <col min="12" max="13" width="15.7109375" style="253" customWidth="1"/>
    <col min="14" max="14" width="2.28515625" customWidth="1"/>
    <col min="15" max="15" width="10" bestFit="1" customWidth="1"/>
  </cols>
  <sheetData>
    <row r="1" spans="1:13">
      <c r="D1" s="290" t="s">
        <v>13</v>
      </c>
      <c r="E1" s="290"/>
      <c r="F1" s="290"/>
      <c r="G1" s="290"/>
      <c r="H1" s="290"/>
      <c r="I1" s="290"/>
      <c r="J1" s="290"/>
      <c r="K1" s="290"/>
      <c r="L1" s="15" t="s">
        <v>12</v>
      </c>
      <c r="M1" s="15"/>
    </row>
    <row r="2" spans="1:13">
      <c r="D2" s="290" t="s">
        <v>122</v>
      </c>
      <c r="E2" s="290"/>
      <c r="F2" s="290"/>
      <c r="G2" s="290"/>
      <c r="H2" s="290"/>
      <c r="I2" s="290"/>
      <c r="J2" s="290"/>
      <c r="K2" s="290"/>
      <c r="L2" s="171" t="s">
        <v>645</v>
      </c>
      <c r="M2" s="171"/>
    </row>
    <row r="3" spans="1:13">
      <c r="D3" s="290" t="str">
        <f>'P 5'!D4</f>
        <v>FOR THE TWELVE MONTHS ENDED SEPTEMBER 30, 2014</v>
      </c>
      <c r="E3" s="290"/>
      <c r="F3" s="290"/>
      <c r="G3" s="290"/>
      <c r="H3" s="290"/>
      <c r="I3" s="290"/>
      <c r="J3" s="290"/>
      <c r="K3" s="290"/>
    </row>
    <row r="5" spans="1:13" ht="63.75">
      <c r="A5" s="263" t="s">
        <v>0</v>
      </c>
      <c r="B5" s="263"/>
      <c r="C5" s="65"/>
      <c r="D5" s="264" t="s">
        <v>353</v>
      </c>
      <c r="E5" s="65"/>
      <c r="F5" s="265" t="s">
        <v>732</v>
      </c>
      <c r="G5" s="65"/>
      <c r="H5" s="263" t="s">
        <v>354</v>
      </c>
      <c r="I5" s="65"/>
      <c r="J5" s="263" t="s">
        <v>355</v>
      </c>
      <c r="K5" s="65"/>
      <c r="L5" s="265" t="s">
        <v>734</v>
      </c>
    </row>
    <row r="6" spans="1:13">
      <c r="A6" s="266">
        <v>-1</v>
      </c>
      <c r="B6" s="263"/>
      <c r="C6" s="65"/>
      <c r="D6" s="267">
        <f>+A6-1</f>
        <v>-2</v>
      </c>
      <c r="E6" s="65"/>
      <c r="F6" s="268">
        <f>+D6-1</f>
        <v>-3</v>
      </c>
      <c r="G6" s="65"/>
      <c r="H6" s="267">
        <f>+F6-1</f>
        <v>-4</v>
      </c>
      <c r="I6" s="65"/>
      <c r="J6" s="267">
        <f>+H6-1</f>
        <v>-5</v>
      </c>
      <c r="K6" s="65"/>
      <c r="L6" s="267">
        <f>+J6-1</f>
        <v>-6</v>
      </c>
    </row>
    <row r="7" spans="1:13" s="253" customFormat="1">
      <c r="A7" s="269"/>
      <c r="B7" s="269"/>
      <c r="C7" s="24"/>
      <c r="D7" s="24"/>
      <c r="E7" s="24"/>
      <c r="F7" s="24"/>
      <c r="G7" s="24"/>
      <c r="H7" s="24"/>
      <c r="I7" s="24"/>
      <c r="J7" s="24"/>
      <c r="K7" s="24"/>
      <c r="L7" s="264" t="s">
        <v>356</v>
      </c>
    </row>
    <row r="8" spans="1:13">
      <c r="A8" s="5"/>
      <c r="B8" s="5"/>
      <c r="C8" t="s">
        <v>123</v>
      </c>
    </row>
    <row r="9" spans="1:13">
      <c r="A9" s="5">
        <v>1</v>
      </c>
      <c r="B9" s="5"/>
      <c r="D9" t="s">
        <v>271</v>
      </c>
      <c r="E9" s="4"/>
      <c r="F9" s="7">
        <f>+'P 18'!R11</f>
        <v>815542552.39999986</v>
      </c>
      <c r="G9" s="7"/>
      <c r="H9" s="7">
        <f>-250294943-6685320-H10-H11</f>
        <v>-241114321.92783999</v>
      </c>
      <c r="I9" s="7"/>
      <c r="J9" s="7">
        <v>-4118593</v>
      </c>
      <c r="K9" s="7"/>
      <c r="L9" s="7">
        <f>F9+H9+J9</f>
        <v>570309637.47215986</v>
      </c>
      <c r="M9" s="7"/>
    </row>
    <row r="10" spans="1:13">
      <c r="A10" s="5">
        <f>+A9+1</f>
        <v>2</v>
      </c>
      <c r="B10" s="5"/>
      <c r="D10" t="s">
        <v>270</v>
      </c>
      <c r="E10" s="4"/>
      <c r="F10" s="4">
        <f>+'P 18'!R12</f>
        <v>16084805.73</v>
      </c>
      <c r="G10" s="256"/>
      <c r="H10" s="256">
        <f>H87</f>
        <v>-15794783.532160008</v>
      </c>
      <c r="I10" s="256"/>
      <c r="J10" s="256">
        <f>J87</f>
        <v>0</v>
      </c>
      <c r="K10" s="256"/>
      <c r="L10" s="256">
        <f t="shared" ref="L10:L11" si="0">F10+H10+J10</f>
        <v>290022.19783999212</v>
      </c>
      <c r="M10" s="256"/>
    </row>
    <row r="11" spans="1:13">
      <c r="A11" s="5">
        <f>+A10+1</f>
        <v>3</v>
      </c>
      <c r="B11" s="5"/>
      <c r="D11" t="s">
        <v>261</v>
      </c>
      <c r="E11" s="4"/>
      <c r="F11" s="58">
        <v>71157.539999999994</v>
      </c>
      <c r="G11" s="257"/>
      <c r="H11" s="257">
        <f>-F11</f>
        <v>-71157.539999999994</v>
      </c>
      <c r="I11" s="257"/>
      <c r="J11" s="257">
        <v>0</v>
      </c>
      <c r="K11" s="257"/>
      <c r="L11" s="257">
        <f t="shared" si="0"/>
        <v>0</v>
      </c>
      <c r="M11" s="257"/>
    </row>
    <row r="12" spans="1:13">
      <c r="A12" s="5"/>
      <c r="B12" s="5"/>
      <c r="E12" s="4"/>
      <c r="F12" s="8" t="s">
        <v>11</v>
      </c>
      <c r="G12" s="8"/>
      <c r="H12" s="8" t="s">
        <v>11</v>
      </c>
      <c r="I12" s="8"/>
      <c r="J12" s="8" t="s">
        <v>11</v>
      </c>
      <c r="K12" s="8"/>
      <c r="L12" s="59" t="s">
        <v>11</v>
      </c>
      <c r="M12" s="8"/>
    </row>
    <row r="13" spans="1:13">
      <c r="A13" s="5">
        <f>+A11+1</f>
        <v>4</v>
      </c>
      <c r="B13" s="5"/>
      <c r="D13" s="3" t="s">
        <v>125</v>
      </c>
      <c r="E13" s="4"/>
      <c r="F13" s="4">
        <f>SUM(F9:F12)</f>
        <v>831698515.66999984</v>
      </c>
      <c r="G13" s="256"/>
      <c r="H13" s="256">
        <f>SUM(H9:H12)</f>
        <v>-256980263</v>
      </c>
      <c r="I13" s="256"/>
      <c r="J13" s="256">
        <f>SUM(J9:J12)</f>
        <v>-4118593</v>
      </c>
      <c r="K13" s="256"/>
      <c r="L13" s="257">
        <f>SUM(L9:L12)</f>
        <v>570599659.66999984</v>
      </c>
      <c r="M13" s="256"/>
    </row>
    <row r="14" spans="1:13">
      <c r="A14" s="5"/>
      <c r="B14" s="5"/>
      <c r="E14" s="4"/>
      <c r="F14" s="8" t="s">
        <v>11</v>
      </c>
      <c r="G14" s="8"/>
      <c r="H14" s="8" t="s">
        <v>11</v>
      </c>
      <c r="I14" s="8"/>
      <c r="J14" s="8" t="s">
        <v>11</v>
      </c>
      <c r="K14" s="8"/>
      <c r="L14" s="59" t="s">
        <v>11</v>
      </c>
      <c r="M14" s="8"/>
    </row>
    <row r="15" spans="1:13">
      <c r="A15" s="5"/>
      <c r="B15"/>
      <c r="C15" s="19" t="s">
        <v>126</v>
      </c>
      <c r="E15" s="4"/>
      <c r="F15" s="8"/>
      <c r="G15" s="8"/>
      <c r="H15" s="8"/>
      <c r="I15" s="8"/>
      <c r="J15" s="8"/>
      <c r="K15" s="8"/>
      <c r="L15" s="59"/>
      <c r="M15" s="8"/>
    </row>
    <row r="16" spans="1:13">
      <c r="A16" s="5">
        <f>+A13+1</f>
        <v>5</v>
      </c>
      <c r="B16"/>
      <c r="D16" s="3" t="s">
        <v>21</v>
      </c>
      <c r="E16" s="4"/>
      <c r="F16" s="58">
        <f>'P 18'!R18</f>
        <v>523111539.42000002</v>
      </c>
      <c r="G16" s="257"/>
      <c r="H16" s="257">
        <f>H71</f>
        <v>-262872076.28999999</v>
      </c>
      <c r="I16" s="257"/>
      <c r="J16" s="257">
        <f>J71</f>
        <v>21771981</v>
      </c>
      <c r="K16" s="257"/>
      <c r="L16" s="257">
        <f t="shared" ref="L16:L17" si="1">F16+H16+J16</f>
        <v>282011444.13</v>
      </c>
      <c r="M16" s="257"/>
    </row>
    <row r="17" spans="1:13">
      <c r="A17" s="5">
        <f>+A16+1</f>
        <v>6</v>
      </c>
      <c r="B17"/>
      <c r="D17" s="3" t="s">
        <v>22</v>
      </c>
      <c r="E17" s="4"/>
      <c r="F17" s="58">
        <f>'P 18'!R19</f>
        <v>63086306.639999993</v>
      </c>
      <c r="G17" s="257"/>
      <c r="H17" s="257">
        <f>9321472-511906</f>
        <v>8809566</v>
      </c>
      <c r="I17" s="257"/>
      <c r="J17" s="257">
        <v>-4883584</v>
      </c>
      <c r="K17" s="257"/>
      <c r="L17" s="257">
        <f t="shared" si="1"/>
        <v>67012288.639999986</v>
      </c>
      <c r="M17" s="257"/>
    </row>
    <row r="18" spans="1:13">
      <c r="A18"/>
      <c r="B18"/>
      <c r="D18" s="3"/>
      <c r="E18" s="4"/>
      <c r="F18" s="8" t="s">
        <v>11</v>
      </c>
      <c r="G18" s="8"/>
      <c r="H18" s="8" t="s">
        <v>11</v>
      </c>
      <c r="I18" s="8"/>
      <c r="J18" s="8" t="s">
        <v>11</v>
      </c>
      <c r="K18" s="8"/>
      <c r="L18" s="59" t="s">
        <v>11</v>
      </c>
      <c r="M18" s="8"/>
    </row>
    <row r="19" spans="1:13">
      <c r="A19" s="5">
        <f>+A17+1</f>
        <v>7</v>
      </c>
      <c r="B19"/>
      <c r="D19" s="3" t="s">
        <v>127</v>
      </c>
      <c r="E19" s="4"/>
      <c r="F19" s="4">
        <f>SUM(F16:F18)</f>
        <v>586197846.06000006</v>
      </c>
      <c r="G19" s="256"/>
      <c r="H19" s="256">
        <f>SUM(H16:H18)</f>
        <v>-254062510.28999999</v>
      </c>
      <c r="I19" s="256"/>
      <c r="J19" s="256">
        <f>SUM(J16:J18)</f>
        <v>16888397</v>
      </c>
      <c r="K19" s="256"/>
      <c r="L19" s="257">
        <f>SUM(L16:L18)</f>
        <v>349023732.76999998</v>
      </c>
      <c r="M19" s="256"/>
    </row>
    <row r="20" spans="1:13">
      <c r="A20" s="5"/>
      <c r="B20" s="5"/>
      <c r="E20" s="4"/>
      <c r="F20" s="7"/>
      <c r="G20" s="7"/>
      <c r="H20" s="7"/>
      <c r="I20" s="7"/>
      <c r="J20" s="7"/>
      <c r="K20" s="7"/>
      <c r="L20" s="259"/>
      <c r="M20" s="7"/>
    </row>
    <row r="21" spans="1:13">
      <c r="A21" s="5">
        <f>+A19+1</f>
        <v>8</v>
      </c>
      <c r="B21" s="5"/>
      <c r="D21" s="3" t="s">
        <v>29</v>
      </c>
      <c r="E21" s="4"/>
      <c r="F21" s="58">
        <f>'P 18'!R23</f>
        <v>85262875.550000012</v>
      </c>
      <c r="G21" s="257"/>
      <c r="H21" s="257">
        <v>-861577</v>
      </c>
      <c r="I21" s="257"/>
      <c r="J21" s="257">
        <v>-379320</v>
      </c>
      <c r="K21" s="257"/>
      <c r="L21" s="257">
        <f t="shared" ref="L21:L26" si="2">F21+H21+J21</f>
        <v>84021978.550000012</v>
      </c>
      <c r="M21" s="257"/>
    </row>
    <row r="22" spans="1:13">
      <c r="A22" s="5">
        <f>+A21+1</f>
        <v>9</v>
      </c>
      <c r="B22" s="5"/>
      <c r="D22" s="3" t="s">
        <v>25</v>
      </c>
      <c r="E22" s="4"/>
      <c r="F22" s="13">
        <f>'P 18'!R26</f>
        <v>18802817.660000004</v>
      </c>
      <c r="G22" s="13"/>
      <c r="H22" s="13">
        <f>-47110-181322</f>
        <v>-228432</v>
      </c>
      <c r="I22" s="13"/>
      <c r="J22" s="13">
        <v>716914</v>
      </c>
      <c r="K22" s="13"/>
      <c r="L22" s="60">
        <f t="shared" si="2"/>
        <v>19291299.660000004</v>
      </c>
      <c r="M22" s="13"/>
    </row>
    <row r="23" spans="1:13">
      <c r="A23" s="5">
        <f>+A22+1</f>
        <v>10</v>
      </c>
      <c r="B23" s="5"/>
      <c r="D23" s="3" t="s">
        <v>26</v>
      </c>
      <c r="E23" s="4"/>
      <c r="F23" s="13">
        <f>+'P 18'!R27</f>
        <v>7321699.3199999994</v>
      </c>
      <c r="G23" s="13"/>
      <c r="H23" s="13">
        <f>5386529-F23</f>
        <v>-1935170.3199999994</v>
      </c>
      <c r="I23" s="13"/>
      <c r="J23" s="13">
        <v>-1095822</v>
      </c>
      <c r="K23" s="13"/>
      <c r="L23" s="60">
        <f t="shared" si="2"/>
        <v>4290707</v>
      </c>
      <c r="M23" s="13"/>
    </row>
    <row r="24" spans="1:13">
      <c r="A24" s="5">
        <f>+A23+1</f>
        <v>11</v>
      </c>
      <c r="B24" s="5"/>
      <c r="D24" s="3" t="s">
        <v>657</v>
      </c>
      <c r="E24" s="4"/>
      <c r="F24" s="4">
        <f>+'P 18'!R28+'P 18'!R29+'P 18'!R30</f>
        <v>48676212.239999995</v>
      </c>
      <c r="G24" s="256"/>
      <c r="H24" s="256">
        <f>32528674+773120-128109-F24</f>
        <v>-15502527.239999995</v>
      </c>
      <c r="I24" s="256"/>
      <c r="J24" s="256">
        <f>-5209435-683026</f>
        <v>-5892461</v>
      </c>
      <c r="K24" s="256"/>
      <c r="L24" s="257">
        <f t="shared" si="2"/>
        <v>27281224</v>
      </c>
      <c r="M24" s="256"/>
    </row>
    <row r="25" spans="1:13" s="229" customFormat="1">
      <c r="A25" s="5">
        <f t="shared" ref="A25:A26" si="3">+A24+1</f>
        <v>12</v>
      </c>
      <c r="B25" s="5"/>
      <c r="D25" s="251" t="s">
        <v>725</v>
      </c>
      <c r="E25" s="4"/>
      <c r="F25" s="4">
        <f>'P 18'!R31</f>
        <v>-47296.67</v>
      </c>
      <c r="G25" s="256"/>
      <c r="H25" s="256">
        <f>-F25</f>
        <v>47296.67</v>
      </c>
      <c r="I25" s="256"/>
      <c r="J25" s="256">
        <f>'P 18'!V31</f>
        <v>0</v>
      </c>
      <c r="K25" s="256"/>
      <c r="L25" s="257">
        <f t="shared" si="2"/>
        <v>0</v>
      </c>
      <c r="M25" s="256"/>
    </row>
    <row r="26" spans="1:13" s="229" customFormat="1">
      <c r="A26" s="5">
        <f t="shared" si="3"/>
        <v>13</v>
      </c>
      <c r="B26" s="5"/>
      <c r="D26" s="278" t="s">
        <v>753</v>
      </c>
      <c r="E26" s="4"/>
      <c r="F26" s="4">
        <f>'P 18'!R32</f>
        <v>728945.58</v>
      </c>
      <c r="G26" s="256"/>
      <c r="H26" s="256">
        <v>-10206</v>
      </c>
      <c r="I26" s="256"/>
      <c r="J26" s="256">
        <v>363539</v>
      </c>
      <c r="K26" s="256"/>
      <c r="L26" s="257">
        <f t="shared" si="2"/>
        <v>1082278.58</v>
      </c>
      <c r="M26" s="256"/>
    </row>
    <row r="27" spans="1:13">
      <c r="A27" s="5"/>
      <c r="B27" s="5"/>
      <c r="D27" s="1"/>
      <c r="E27" s="4"/>
      <c r="F27" s="8" t="s">
        <v>11</v>
      </c>
      <c r="G27" s="8"/>
      <c r="H27" s="8" t="s">
        <v>11</v>
      </c>
      <c r="I27" s="8"/>
      <c r="J27" s="8" t="s">
        <v>11</v>
      </c>
      <c r="K27" s="8"/>
      <c r="L27" s="8" t="s">
        <v>11</v>
      </c>
      <c r="M27" s="8"/>
    </row>
    <row r="28" spans="1:13">
      <c r="A28" s="5">
        <f>+A26+1</f>
        <v>14</v>
      </c>
      <c r="B28" s="5"/>
      <c r="D28" s="3" t="s">
        <v>128</v>
      </c>
      <c r="E28" s="4"/>
      <c r="F28" s="4">
        <f>SUM(F19:F27)</f>
        <v>746943099.74000025</v>
      </c>
      <c r="G28" s="256"/>
      <c r="H28" s="256">
        <f>SUM(H19:H27)</f>
        <v>-272553126.17999995</v>
      </c>
      <c r="I28" s="256"/>
      <c r="J28" s="256">
        <f>SUM(J19:J27)</f>
        <v>10601247</v>
      </c>
      <c r="K28" s="256"/>
      <c r="L28" s="256">
        <f>SUM(L19:L27)</f>
        <v>484991220.56</v>
      </c>
      <c r="M28" s="256"/>
    </row>
    <row r="29" spans="1:13">
      <c r="A29" s="5"/>
      <c r="B29" s="5"/>
      <c r="E29" s="4"/>
      <c r="F29" s="8" t="s">
        <v>11</v>
      </c>
      <c r="G29" s="8"/>
      <c r="H29" s="8" t="s">
        <v>11</v>
      </c>
      <c r="I29" s="8"/>
      <c r="J29" s="8" t="s">
        <v>11</v>
      </c>
      <c r="K29" s="8"/>
      <c r="L29" s="8" t="s">
        <v>11</v>
      </c>
      <c r="M29" s="8"/>
    </row>
    <row r="30" spans="1:13">
      <c r="A30" s="5">
        <f>+A28+1</f>
        <v>15</v>
      </c>
      <c r="B30" s="5"/>
      <c r="D30" s="3" t="s">
        <v>129</v>
      </c>
      <c r="E30" s="4"/>
      <c r="F30" s="4">
        <f>+F13-F28</f>
        <v>84755415.92999959</v>
      </c>
      <c r="G30" s="256"/>
      <c r="H30" s="256">
        <f>+H13-H28</f>
        <v>15572863.179999948</v>
      </c>
      <c r="I30" s="256"/>
      <c r="J30" s="256">
        <f>+J13-J28</f>
        <v>-14719840</v>
      </c>
      <c r="K30" s="256"/>
      <c r="L30" s="256">
        <f>+L13-L28</f>
        <v>85608439.109999835</v>
      </c>
      <c r="M30" s="256"/>
    </row>
    <row r="31" spans="1:13">
      <c r="A31" s="5"/>
      <c r="B31" s="5"/>
      <c r="E31" s="4"/>
      <c r="F31" s="8" t="s">
        <v>11</v>
      </c>
      <c r="G31" s="8"/>
      <c r="H31" s="8" t="s">
        <v>11</v>
      </c>
      <c r="I31" s="8"/>
      <c r="J31" s="8" t="s">
        <v>11</v>
      </c>
      <c r="K31" s="8"/>
      <c r="L31" s="8" t="s">
        <v>11</v>
      </c>
      <c r="M31" s="8"/>
    </row>
    <row r="32" spans="1:13">
      <c r="A32" s="5"/>
      <c r="B32" s="5"/>
      <c r="C32" s="19" t="s">
        <v>130</v>
      </c>
      <c r="E32" s="4"/>
      <c r="F32" s="4"/>
      <c r="G32" s="256"/>
      <c r="H32" s="256"/>
      <c r="I32" s="256"/>
      <c r="J32" s="256"/>
      <c r="K32" s="256"/>
      <c r="L32" s="256"/>
      <c r="M32" s="256"/>
    </row>
    <row r="33" spans="1:13" ht="25.5">
      <c r="A33" s="5">
        <f>+A30+1</f>
        <v>16</v>
      </c>
      <c r="B33" s="5"/>
      <c r="D33" s="1" t="s">
        <v>141</v>
      </c>
      <c r="E33" s="4"/>
      <c r="F33" s="257">
        <v>4159741.45</v>
      </c>
      <c r="G33" s="257"/>
      <c r="H33" s="257">
        <f>-F33</f>
        <v>-4159741.45</v>
      </c>
      <c r="I33" s="257"/>
      <c r="J33" s="257">
        <v>0</v>
      </c>
      <c r="K33" s="257"/>
      <c r="L33" s="257">
        <f t="shared" ref="L33:L35" si="4">F33+H33+J33</f>
        <v>0</v>
      </c>
      <c r="M33" s="133"/>
    </row>
    <row r="34" spans="1:13">
      <c r="A34" s="5">
        <f>+A33+1</f>
        <v>17</v>
      </c>
      <c r="B34" s="5"/>
      <c r="D34" t="s">
        <v>131</v>
      </c>
      <c r="E34" s="4"/>
      <c r="F34" s="60">
        <v>-872723</v>
      </c>
      <c r="G34" s="60"/>
      <c r="H34" s="60">
        <f>-F34</f>
        <v>872723</v>
      </c>
      <c r="I34" s="60"/>
      <c r="J34" s="60">
        <v>0</v>
      </c>
      <c r="K34" s="60"/>
      <c r="L34" s="60">
        <f t="shared" si="4"/>
        <v>0</v>
      </c>
      <c r="M34" s="270"/>
    </row>
    <row r="35" spans="1:13">
      <c r="A35" s="5">
        <f>+A34+1</f>
        <v>18</v>
      </c>
      <c r="B35" s="5"/>
      <c r="D35" t="s">
        <v>132</v>
      </c>
      <c r="E35" s="4"/>
      <c r="F35" s="58">
        <v>13983947.18</v>
      </c>
      <c r="G35" s="257"/>
      <c r="H35" s="257">
        <f>-F35</f>
        <v>-13983947.18</v>
      </c>
      <c r="I35" s="257"/>
      <c r="J35" s="257">
        <v>0</v>
      </c>
      <c r="K35" s="257"/>
      <c r="L35" s="257">
        <f t="shared" si="4"/>
        <v>0</v>
      </c>
      <c r="M35" s="133"/>
    </row>
    <row r="36" spans="1:13">
      <c r="A36" s="5"/>
      <c r="B36" s="5"/>
      <c r="E36" s="4"/>
      <c r="F36" s="8" t="s">
        <v>11</v>
      </c>
      <c r="G36" s="8"/>
      <c r="H36" s="8" t="s">
        <v>11</v>
      </c>
      <c r="I36" s="8"/>
      <c r="J36" s="8" t="s">
        <v>11</v>
      </c>
      <c r="K36" s="8"/>
      <c r="L36" s="8" t="s">
        <v>11</v>
      </c>
      <c r="M36" s="8"/>
    </row>
    <row r="37" spans="1:13">
      <c r="A37" s="5">
        <f>+A35+1</f>
        <v>19</v>
      </c>
      <c r="B37" s="5"/>
      <c r="D37" s="19" t="s">
        <v>133</v>
      </c>
      <c r="E37" s="4"/>
      <c r="F37" s="4">
        <f>SUM(F33:F36)</f>
        <v>17270965.629999999</v>
      </c>
      <c r="G37" s="256"/>
      <c r="H37" s="256">
        <f>SUM(H33:H36)</f>
        <v>-17270965.629999999</v>
      </c>
      <c r="I37" s="256"/>
      <c r="J37" s="256">
        <f>SUM(J33:J36)</f>
        <v>0</v>
      </c>
      <c r="K37" s="256"/>
      <c r="L37" s="256">
        <f>SUM(L33:L36)</f>
        <v>0</v>
      </c>
      <c r="M37" s="256"/>
    </row>
    <row r="38" spans="1:13">
      <c r="A38" s="5"/>
      <c r="B38" s="5"/>
      <c r="E38" s="4"/>
      <c r="F38" s="8" t="s">
        <v>11</v>
      </c>
      <c r="G38" s="8"/>
      <c r="H38" s="8" t="s">
        <v>11</v>
      </c>
      <c r="I38" s="8"/>
      <c r="J38" s="8" t="s">
        <v>11</v>
      </c>
      <c r="K38" s="8"/>
      <c r="L38" s="8" t="s">
        <v>11</v>
      </c>
      <c r="M38" s="8"/>
    </row>
    <row r="39" spans="1:13">
      <c r="A39" s="5"/>
      <c r="B39" s="5"/>
      <c r="D39" s="1"/>
      <c r="E39" s="4"/>
      <c r="F39" s="4"/>
      <c r="G39" s="256"/>
      <c r="H39" s="256"/>
      <c r="I39" s="256"/>
      <c r="J39" s="256"/>
      <c r="K39" s="256"/>
      <c r="L39" s="256"/>
      <c r="M39" s="256"/>
    </row>
    <row r="40" spans="1:13">
      <c r="A40" s="5">
        <f>+A37+1</f>
        <v>20</v>
      </c>
      <c r="B40" s="5"/>
      <c r="C40" t="s">
        <v>134</v>
      </c>
      <c r="E40" s="4"/>
      <c r="F40" s="4">
        <f>+F30+F37</f>
        <v>102026381.55999959</v>
      </c>
      <c r="G40" s="256"/>
      <c r="H40" s="256">
        <f>+H30+H37</f>
        <v>-1698102.4500000514</v>
      </c>
      <c r="I40" s="256"/>
      <c r="J40" s="256">
        <f>+J30+J37</f>
        <v>-14719840</v>
      </c>
      <c r="K40" s="256"/>
      <c r="L40" s="256">
        <f>+L30+L37</f>
        <v>85608439.109999835</v>
      </c>
      <c r="M40" s="256"/>
    </row>
    <row r="41" spans="1:13">
      <c r="A41" s="5"/>
      <c r="B41" s="5"/>
      <c r="E41" s="4"/>
      <c r="F41" s="8" t="s">
        <v>11</v>
      </c>
      <c r="G41" s="8"/>
      <c r="H41" s="8" t="s">
        <v>11</v>
      </c>
      <c r="I41" s="8"/>
      <c r="J41" s="8" t="s">
        <v>11</v>
      </c>
      <c r="K41" s="8"/>
      <c r="L41" s="8" t="s">
        <v>11</v>
      </c>
      <c r="M41" s="8"/>
    </row>
    <row r="42" spans="1:13">
      <c r="A42" s="5">
        <f>+A40+1</f>
        <v>21</v>
      </c>
      <c r="B42" s="5"/>
      <c r="C42" t="s">
        <v>135</v>
      </c>
      <c r="E42" s="4"/>
      <c r="F42" s="4"/>
      <c r="G42" s="256"/>
      <c r="H42" s="256"/>
      <c r="I42" s="256"/>
      <c r="J42" s="256"/>
      <c r="K42" s="256"/>
      <c r="L42" s="256"/>
      <c r="M42" s="271"/>
    </row>
    <row r="43" spans="1:13">
      <c r="A43" s="5"/>
      <c r="B43" s="5"/>
      <c r="D43" s="21" t="s">
        <v>136</v>
      </c>
      <c r="E43" s="4"/>
      <c r="F43" s="257">
        <v>35938991.25</v>
      </c>
      <c r="G43" s="257"/>
      <c r="H43" s="257">
        <f>H97</f>
        <v>-7447.0700000000652</v>
      </c>
      <c r="I43" s="257"/>
      <c r="J43" s="257">
        <f>J97</f>
        <v>-5425529</v>
      </c>
      <c r="K43" s="257"/>
      <c r="L43" s="257">
        <f>F43+H43+J43</f>
        <v>30506015.18</v>
      </c>
      <c r="M43" s="133"/>
    </row>
    <row r="44" spans="1:13">
      <c r="A44" s="5"/>
      <c r="B44" s="5"/>
      <c r="E44" s="4"/>
      <c r="F44" s="8" t="s">
        <v>11</v>
      </c>
      <c r="G44" s="8"/>
      <c r="H44" s="8" t="s">
        <v>11</v>
      </c>
      <c r="I44" s="8"/>
      <c r="J44" s="8" t="s">
        <v>11</v>
      </c>
      <c r="K44" s="8"/>
      <c r="L44" s="8" t="s">
        <v>11</v>
      </c>
      <c r="M44" s="8"/>
    </row>
    <row r="45" spans="1:13">
      <c r="A45" s="5">
        <f>+A42+1</f>
        <v>22</v>
      </c>
      <c r="B45" s="5"/>
      <c r="D45" s="3" t="s">
        <v>137</v>
      </c>
      <c r="E45" s="4"/>
      <c r="F45" s="13">
        <f>+F40-F43</f>
        <v>66087390.309999585</v>
      </c>
      <c r="G45" s="13"/>
      <c r="H45" s="13">
        <f>+H40-H43</f>
        <v>-1690655.3800000513</v>
      </c>
      <c r="I45" s="13"/>
      <c r="J45" s="13">
        <f>+J40-J43</f>
        <v>-9294311</v>
      </c>
      <c r="K45" s="13"/>
      <c r="L45" s="13">
        <f>+L40-L43</f>
        <v>55102423.929999836</v>
      </c>
      <c r="M45" s="13"/>
    </row>
    <row r="46" spans="1:13">
      <c r="A46" s="5"/>
      <c r="B46" s="5"/>
      <c r="E46" s="4"/>
      <c r="F46" s="8" t="s">
        <v>11</v>
      </c>
      <c r="G46" s="8"/>
      <c r="H46" s="8" t="s">
        <v>11</v>
      </c>
      <c r="I46" s="8"/>
      <c r="J46" s="8" t="s">
        <v>11</v>
      </c>
      <c r="K46" s="8"/>
      <c r="L46" s="8" t="s">
        <v>11</v>
      </c>
      <c r="M46" s="8"/>
    </row>
    <row r="47" spans="1:13">
      <c r="A47" s="5">
        <f>+A45+1</f>
        <v>23</v>
      </c>
      <c r="B47" s="5"/>
      <c r="C47" t="s">
        <v>138</v>
      </c>
      <c r="E47" s="4"/>
      <c r="F47" s="4">
        <f>+F45</f>
        <v>66087390.309999585</v>
      </c>
      <c r="G47" s="256"/>
      <c r="H47" s="256">
        <f>+H45</f>
        <v>-1690655.3800000513</v>
      </c>
      <c r="I47" s="256"/>
      <c r="J47" s="256">
        <f>+J45</f>
        <v>-9294311</v>
      </c>
      <c r="K47" s="256"/>
      <c r="L47" s="256">
        <f>+L45</f>
        <v>55102423.929999836</v>
      </c>
      <c r="M47" s="256"/>
    </row>
    <row r="48" spans="1:13">
      <c r="A48" s="5"/>
      <c r="B48" s="5"/>
      <c r="E48" s="4"/>
      <c r="F48" s="8" t="s">
        <v>11</v>
      </c>
      <c r="G48" s="8"/>
      <c r="H48" s="8" t="s">
        <v>11</v>
      </c>
      <c r="I48" s="8"/>
      <c r="J48" s="8" t="s">
        <v>11</v>
      </c>
      <c r="K48" s="8"/>
      <c r="L48" s="8" t="s">
        <v>11</v>
      </c>
      <c r="M48" s="8"/>
    </row>
    <row r="49" spans="1:13">
      <c r="A49" s="5">
        <f>+A47+1</f>
        <v>24</v>
      </c>
      <c r="B49" s="5"/>
      <c r="C49" t="s">
        <v>139</v>
      </c>
      <c r="E49" s="4"/>
      <c r="F49" s="4">
        <f>+'P 5'!H15</f>
        <v>106250000</v>
      </c>
      <c r="G49" s="256"/>
      <c r="H49" s="256">
        <v>0</v>
      </c>
      <c r="I49" s="256"/>
      <c r="J49" s="256">
        <v>0</v>
      </c>
      <c r="K49" s="256"/>
      <c r="L49" s="256">
        <f>F49+H49+J49</f>
        <v>106250000</v>
      </c>
      <c r="M49" s="256"/>
    </row>
    <row r="50" spans="1:13">
      <c r="A50" s="5"/>
      <c r="B50" s="5"/>
      <c r="E50" s="4"/>
      <c r="F50" s="8" t="s">
        <v>11</v>
      </c>
      <c r="G50" s="8"/>
      <c r="H50" s="8" t="s">
        <v>11</v>
      </c>
      <c r="I50" s="8"/>
      <c r="J50" s="8" t="s">
        <v>11</v>
      </c>
      <c r="K50" s="8"/>
      <c r="L50" s="8" t="s">
        <v>11</v>
      </c>
      <c r="M50" s="8"/>
    </row>
    <row r="51" spans="1:13">
      <c r="A51" s="5">
        <f>+A49+1</f>
        <v>25</v>
      </c>
      <c r="B51" s="5"/>
      <c r="C51" t="s">
        <v>140</v>
      </c>
      <c r="E51" s="4"/>
      <c r="F51" s="18">
        <f>+F47-F49</f>
        <v>-40162609.690000415</v>
      </c>
      <c r="G51" s="18"/>
      <c r="H51" s="18">
        <f>+H47-H49</f>
        <v>-1690655.3800000513</v>
      </c>
      <c r="I51" s="18"/>
      <c r="J51" s="18">
        <f>+J47-J49</f>
        <v>-9294311</v>
      </c>
      <c r="K51" s="18"/>
      <c r="L51" s="18">
        <f>+L47-L49</f>
        <v>-51147576.070000164</v>
      </c>
      <c r="M51" s="18"/>
    </row>
    <row r="52" spans="1:13">
      <c r="A52" s="5"/>
      <c r="B52" s="5"/>
      <c r="E52" s="4"/>
      <c r="F52" s="11" t="s">
        <v>96</v>
      </c>
      <c r="G52" s="11"/>
      <c r="H52" s="11" t="s">
        <v>96</v>
      </c>
      <c r="I52" s="11"/>
      <c r="J52" s="11" t="s">
        <v>96</v>
      </c>
      <c r="K52" s="11"/>
      <c r="L52" s="11" t="s">
        <v>96</v>
      </c>
      <c r="M52" s="11"/>
    </row>
    <row r="53" spans="1:13">
      <c r="A53" s="5"/>
      <c r="B53" s="5"/>
      <c r="E53" s="4"/>
      <c r="F53" s="13"/>
      <c r="G53" s="13"/>
      <c r="H53" s="13"/>
      <c r="I53" s="13"/>
      <c r="J53" s="13"/>
      <c r="K53" s="13"/>
      <c r="L53" s="13"/>
      <c r="M53" s="13"/>
    </row>
    <row r="54" spans="1:13">
      <c r="A54" s="5"/>
      <c r="B54" s="5"/>
      <c r="D54" s="24" t="s">
        <v>778</v>
      </c>
      <c r="E54" s="4"/>
      <c r="F54" s="13"/>
      <c r="G54" s="13"/>
      <c r="H54" s="13"/>
      <c r="I54" s="13"/>
      <c r="J54" s="13"/>
      <c r="K54" s="13"/>
      <c r="L54" s="13">
        <f>30313+85578126</f>
        <v>85608439</v>
      </c>
      <c r="M54" s="13"/>
    </row>
    <row r="55" spans="1:13">
      <c r="A55" s="5"/>
      <c r="B55" s="5"/>
      <c r="E55" s="4"/>
      <c r="F55" s="4"/>
      <c r="G55" s="256"/>
      <c r="H55" s="256"/>
      <c r="I55" s="256"/>
      <c r="J55" s="256"/>
      <c r="K55" s="256"/>
      <c r="L55" s="256"/>
      <c r="M55" s="256"/>
    </row>
    <row r="56" spans="1:13" s="253" customFormat="1">
      <c r="A56" s="255"/>
      <c r="B56" s="255"/>
      <c r="E56" s="256"/>
      <c r="F56" s="256"/>
      <c r="G56" s="256"/>
      <c r="H56" s="256"/>
      <c r="I56" s="256"/>
      <c r="J56" s="256"/>
      <c r="K56" s="256"/>
      <c r="L56" s="256"/>
      <c r="M56" s="256"/>
    </row>
    <row r="57" spans="1:13" s="253" customFormat="1">
      <c r="A57" s="255"/>
      <c r="B57" s="255"/>
      <c r="D57" s="283" t="s">
        <v>780</v>
      </c>
      <c r="E57" s="256"/>
      <c r="F57" s="256"/>
      <c r="G57" s="256"/>
      <c r="H57" s="256"/>
      <c r="I57" s="256"/>
      <c r="J57" s="256"/>
      <c r="K57" s="256"/>
      <c r="L57" s="256"/>
      <c r="M57" s="256"/>
    </row>
    <row r="58" spans="1:13" s="253" customFormat="1">
      <c r="A58" s="255"/>
      <c r="B58" s="255"/>
      <c r="E58" s="256"/>
      <c r="F58" s="256"/>
      <c r="G58" s="256"/>
      <c r="H58" s="256"/>
      <c r="I58" s="256"/>
      <c r="J58" s="256"/>
      <c r="K58" s="256"/>
      <c r="L58" s="256"/>
      <c r="M58" s="256"/>
    </row>
    <row r="59" spans="1:13">
      <c r="A59" s="5"/>
      <c r="B59" s="5"/>
      <c r="D59" s="279" t="s">
        <v>754</v>
      </c>
      <c r="E59" s="4"/>
      <c r="F59" s="4"/>
      <c r="G59" s="256"/>
      <c r="H59" s="256"/>
      <c r="I59" s="256"/>
      <c r="J59" s="256"/>
      <c r="K59" s="256"/>
      <c r="L59" s="256"/>
      <c r="M59" s="256"/>
    </row>
    <row r="60" spans="1:13">
      <c r="A60" s="5"/>
      <c r="B60" s="5"/>
      <c r="D60" s="24" t="s">
        <v>741</v>
      </c>
      <c r="E60" s="4"/>
      <c r="F60" s="4">
        <v>464351671.81</v>
      </c>
      <c r="G60" s="256"/>
      <c r="H60" s="256">
        <f>4954116-223098662-3879097+228187</f>
        <v>-221795456</v>
      </c>
      <c r="I60" s="256"/>
      <c r="J60" s="256">
        <f>-18814667+45792752</f>
        <v>26978085</v>
      </c>
      <c r="K60" s="256"/>
      <c r="L60" s="60">
        <f t="shared" ref="L60:L70" si="5">F60+H60+J60</f>
        <v>269534300.81</v>
      </c>
      <c r="M60" s="256"/>
    </row>
    <row r="61" spans="1:13">
      <c r="A61" s="5"/>
      <c r="B61" s="5"/>
      <c r="D61" s="24" t="s">
        <v>742</v>
      </c>
      <c r="E61" s="4"/>
      <c r="F61" s="4">
        <v>15967613.800000001</v>
      </c>
      <c r="G61" s="256"/>
      <c r="H61" s="256">
        <f>-21117147+735310</f>
        <v>-20381837</v>
      </c>
      <c r="I61" s="256"/>
      <c r="J61" s="256"/>
      <c r="K61" s="256"/>
      <c r="L61" s="60">
        <f t="shared" si="5"/>
        <v>-4414223.1999999993</v>
      </c>
      <c r="M61" s="256"/>
    </row>
    <row r="62" spans="1:13">
      <c r="A62" s="5"/>
      <c r="B62" s="5"/>
      <c r="D62" s="24" t="s">
        <v>747</v>
      </c>
      <c r="E62" s="4"/>
      <c r="F62" s="4">
        <v>1198974.07</v>
      </c>
      <c r="G62" s="256"/>
      <c r="H62" s="256">
        <v>-16786</v>
      </c>
      <c r="I62" s="256"/>
      <c r="J62" s="256"/>
      <c r="K62" s="256"/>
      <c r="L62" s="60">
        <f t="shared" si="5"/>
        <v>1182188.07</v>
      </c>
      <c r="M62" s="256"/>
    </row>
    <row r="63" spans="1:13">
      <c r="A63" s="5"/>
      <c r="B63" s="5"/>
      <c r="D63" s="24" t="s">
        <v>743</v>
      </c>
      <c r="E63" s="4"/>
      <c r="F63" s="13">
        <v>8712151.1600000001</v>
      </c>
      <c r="G63" s="13"/>
      <c r="H63" s="273">
        <f>2223769-10936</f>
        <v>2212833</v>
      </c>
      <c r="I63" s="13"/>
      <c r="J63" s="13">
        <v>72974</v>
      </c>
      <c r="K63" s="13"/>
      <c r="L63" s="60">
        <f t="shared" si="5"/>
        <v>10997958.16</v>
      </c>
      <c r="M63" s="13"/>
    </row>
    <row r="64" spans="1:13">
      <c r="A64" s="5"/>
      <c r="B64" s="5"/>
      <c r="D64" s="125" t="s">
        <v>744</v>
      </c>
      <c r="E64" s="4"/>
      <c r="F64" s="4">
        <v>6110070.54</v>
      </c>
      <c r="G64" s="256"/>
      <c r="H64" s="256">
        <f>928824-84</f>
        <v>928740</v>
      </c>
      <c r="I64" s="256"/>
      <c r="J64" s="256"/>
      <c r="K64" s="256"/>
      <c r="L64" s="60">
        <f t="shared" si="5"/>
        <v>7038810.54</v>
      </c>
      <c r="M64" s="256"/>
    </row>
    <row r="65" spans="1:13">
      <c r="A65" s="5"/>
      <c r="B65" s="5"/>
      <c r="D65" s="24" t="s">
        <v>745</v>
      </c>
      <c r="E65" s="4"/>
      <c r="F65" s="13">
        <v>5060189.5999999996</v>
      </c>
      <c r="G65" s="13"/>
      <c r="H65" s="13">
        <f>-2747918-28</f>
        <v>-2747946</v>
      </c>
      <c r="I65" s="13"/>
      <c r="J65" s="13"/>
      <c r="K65" s="13"/>
      <c r="L65" s="60">
        <f t="shared" si="5"/>
        <v>2312243.5999999996</v>
      </c>
      <c r="M65" s="13"/>
    </row>
    <row r="66" spans="1:13">
      <c r="A66" s="5"/>
      <c r="B66" s="5"/>
      <c r="D66" s="24" t="s">
        <v>746</v>
      </c>
      <c r="E66" s="4"/>
      <c r="F66" s="4">
        <v>18363695.07</v>
      </c>
      <c r="G66" s="256"/>
      <c r="H66" s="256">
        <v>-18095237</v>
      </c>
      <c r="I66" s="256"/>
      <c r="J66" s="256">
        <v>-5279078</v>
      </c>
      <c r="K66" s="256"/>
      <c r="L66" s="60">
        <f t="shared" si="5"/>
        <v>-5010619.93</v>
      </c>
      <c r="M66" s="256"/>
    </row>
    <row r="67" spans="1:13">
      <c r="A67" s="5"/>
      <c r="B67" s="5"/>
      <c r="D67" s="24" t="s">
        <v>748</v>
      </c>
      <c r="E67" s="4"/>
      <c r="F67" s="20">
        <f>900348.35+1679664.94</f>
        <v>2580013.29</v>
      </c>
      <c r="G67" s="20"/>
      <c r="H67" s="20">
        <f>-F67</f>
        <v>-2580013.29</v>
      </c>
      <c r="I67" s="20"/>
      <c r="J67" s="20"/>
      <c r="K67" s="20"/>
      <c r="L67" s="60">
        <f t="shared" si="5"/>
        <v>0</v>
      </c>
      <c r="M67" s="20"/>
    </row>
    <row r="68" spans="1:13">
      <c r="A68" s="5"/>
      <c r="B68" s="5"/>
      <c r="D68" s="24" t="s">
        <v>749</v>
      </c>
      <c r="E68" s="4"/>
      <c r="F68" s="20">
        <v>-3900</v>
      </c>
      <c r="G68" s="20"/>
      <c r="H68" s="20">
        <v>43</v>
      </c>
      <c r="I68" s="20"/>
      <c r="J68" s="20"/>
      <c r="K68" s="20"/>
      <c r="L68" s="60">
        <f t="shared" si="5"/>
        <v>-3857</v>
      </c>
      <c r="M68" s="20"/>
    </row>
    <row r="69" spans="1:13">
      <c r="A69" s="5"/>
      <c r="B69" s="5"/>
      <c r="D69" s="24" t="s">
        <v>750</v>
      </c>
      <c r="E69" s="4"/>
      <c r="F69" s="271">
        <f>-53789+28510</f>
        <v>-25279</v>
      </c>
      <c r="G69" s="256"/>
      <c r="H69" s="20">
        <f>538-285</f>
        <v>253</v>
      </c>
      <c r="I69" s="256"/>
      <c r="J69" s="256"/>
      <c r="K69" s="256"/>
      <c r="L69" s="60">
        <f t="shared" si="5"/>
        <v>-25026</v>
      </c>
      <c r="M69" s="256"/>
    </row>
    <row r="70" spans="1:13">
      <c r="A70" s="5"/>
      <c r="B70" s="5"/>
      <c r="D70" s="277" t="s">
        <v>751</v>
      </c>
      <c r="E70" s="4"/>
      <c r="F70" s="272">
        <v>796338.99</v>
      </c>
      <c r="G70" s="256"/>
      <c r="H70" s="275">
        <f>(787579-796339)-383873-4037</f>
        <v>-396670</v>
      </c>
      <c r="I70" s="276"/>
      <c r="J70" s="272"/>
      <c r="K70" s="256"/>
      <c r="L70" s="274">
        <f t="shared" si="5"/>
        <v>399668.99</v>
      </c>
      <c r="M70" s="256"/>
    </row>
    <row r="71" spans="1:13">
      <c r="A71" s="5"/>
      <c r="B71" s="5"/>
      <c r="D71" s="24" t="s">
        <v>752</v>
      </c>
      <c r="E71" s="4"/>
      <c r="F71" s="4">
        <f>SUM(F60:F70)</f>
        <v>523111539.3300001</v>
      </c>
      <c r="G71" s="256"/>
      <c r="H71" s="256">
        <f>SUM(H60:H70)</f>
        <v>-262872076.28999999</v>
      </c>
      <c r="I71" s="256"/>
      <c r="J71" s="256">
        <f>SUM(J60:J70)</f>
        <v>21771981</v>
      </c>
      <c r="K71" s="256"/>
      <c r="L71" s="256">
        <f>SUM(L60:L70)</f>
        <v>282011444.04000008</v>
      </c>
      <c r="M71" s="256"/>
    </row>
    <row r="72" spans="1:13">
      <c r="A72" s="5"/>
      <c r="B72" s="5"/>
      <c r="E72" s="4"/>
      <c r="F72" s="4"/>
      <c r="G72" s="256"/>
      <c r="H72" s="256"/>
      <c r="I72" s="256"/>
      <c r="J72" s="256"/>
      <c r="K72" s="256"/>
      <c r="L72" s="256"/>
      <c r="M72" s="256"/>
    </row>
    <row r="73" spans="1:13">
      <c r="A73" s="5"/>
      <c r="B73" s="5"/>
      <c r="D73" s="279" t="s">
        <v>755</v>
      </c>
      <c r="E73" s="256"/>
      <c r="F73" s="256"/>
      <c r="G73" s="256"/>
      <c r="H73" s="256"/>
      <c r="I73" s="256"/>
      <c r="J73" s="256"/>
      <c r="K73" s="256"/>
      <c r="L73" s="256"/>
      <c r="M73" s="256"/>
    </row>
    <row r="74" spans="1:13">
      <c r="A74" s="5"/>
      <c r="B74" s="5"/>
      <c r="D74" s="284" t="s">
        <v>756</v>
      </c>
      <c r="E74" s="256"/>
      <c r="F74" s="256">
        <v>3570.7</v>
      </c>
      <c r="G74" s="256"/>
      <c r="H74" s="256">
        <f>-F74</f>
        <v>-3570.7</v>
      </c>
      <c r="I74" s="256"/>
      <c r="J74" s="256"/>
      <c r="K74" s="256"/>
      <c r="L74" s="60">
        <f t="shared" ref="L74:L86" si="6">F74+H74+J74</f>
        <v>0</v>
      </c>
      <c r="M74" s="256"/>
    </row>
    <row r="75" spans="1:13">
      <c r="A75" s="5"/>
      <c r="B75" s="5"/>
      <c r="D75" s="284" t="s">
        <v>757</v>
      </c>
      <c r="E75" s="256"/>
      <c r="F75" s="256">
        <v>39554.46</v>
      </c>
      <c r="G75" s="256"/>
      <c r="H75" s="256">
        <f>-F75</f>
        <v>-39554.46</v>
      </c>
      <c r="I75" s="256"/>
      <c r="J75" s="256"/>
      <c r="K75" s="256"/>
      <c r="L75" s="60">
        <f t="shared" si="6"/>
        <v>0</v>
      </c>
      <c r="M75" s="256"/>
    </row>
    <row r="76" spans="1:13">
      <c r="A76" s="5"/>
      <c r="B76" s="5"/>
      <c r="D76" s="284" t="s">
        <v>758</v>
      </c>
      <c r="E76" s="256"/>
      <c r="F76" s="256">
        <v>14455691</v>
      </c>
      <c r="G76" s="256"/>
      <c r="H76" s="256">
        <f>-F76</f>
        <v>-14455691</v>
      </c>
      <c r="I76" s="256"/>
      <c r="J76" s="256"/>
      <c r="K76" s="256"/>
      <c r="L76" s="60">
        <f t="shared" si="6"/>
        <v>0</v>
      </c>
      <c r="M76" s="256"/>
    </row>
    <row r="77" spans="1:13">
      <c r="A77" s="5"/>
      <c r="B77" s="5"/>
      <c r="D77" s="284" t="s">
        <v>759</v>
      </c>
      <c r="E77" s="256"/>
      <c r="F77" s="13">
        <v>261113.60000000001</v>
      </c>
      <c r="G77" s="13"/>
      <c r="H77" s="273">
        <f>7230-777</f>
        <v>6453</v>
      </c>
      <c r="I77" s="13"/>
      <c r="J77" s="13"/>
      <c r="K77" s="13"/>
      <c r="L77" s="60">
        <f t="shared" si="6"/>
        <v>267566.59999999998</v>
      </c>
      <c r="M77" s="256"/>
    </row>
    <row r="78" spans="1:13">
      <c r="A78" s="5"/>
      <c r="B78" s="5"/>
      <c r="D78" s="284" t="s">
        <v>760</v>
      </c>
      <c r="E78" s="256"/>
      <c r="F78" s="256">
        <v>22774.44</v>
      </c>
      <c r="G78" s="256"/>
      <c r="H78" s="256">
        <f>-0.014*F78</f>
        <v>-318.84215999999998</v>
      </c>
      <c r="I78" s="256"/>
      <c r="J78" s="256"/>
      <c r="K78" s="256"/>
      <c r="L78" s="60">
        <f t="shared" si="6"/>
        <v>22455.597839999999</v>
      </c>
      <c r="M78" s="256"/>
    </row>
    <row r="79" spans="1:13">
      <c r="A79" s="5"/>
      <c r="B79" s="5"/>
      <c r="D79" s="284" t="s">
        <v>761</v>
      </c>
      <c r="E79" s="256"/>
      <c r="F79" s="13">
        <v>25958282.760000002</v>
      </c>
      <c r="G79" s="13"/>
      <c r="H79" s="13">
        <f t="shared" ref="H79:H86" si="7">-F79</f>
        <v>-25958282.760000002</v>
      </c>
      <c r="I79" s="13"/>
      <c r="J79" s="13"/>
      <c r="K79" s="13"/>
      <c r="L79" s="60">
        <f t="shared" si="6"/>
        <v>0</v>
      </c>
      <c r="M79" s="256"/>
    </row>
    <row r="80" spans="1:13">
      <c r="A80" s="5"/>
      <c r="B80" s="5"/>
      <c r="D80" s="284" t="s">
        <v>762</v>
      </c>
      <c r="E80" s="256"/>
      <c r="F80" s="256">
        <v>41520.879999999997</v>
      </c>
      <c r="G80" s="256"/>
      <c r="H80" s="256">
        <f t="shared" si="7"/>
        <v>-41520.879999999997</v>
      </c>
      <c r="I80" s="256"/>
      <c r="J80" s="256"/>
      <c r="K80" s="256"/>
      <c r="L80" s="60">
        <f t="shared" si="6"/>
        <v>0</v>
      </c>
      <c r="M80" s="256"/>
    </row>
    <row r="81" spans="1:13">
      <c r="A81" s="5"/>
      <c r="B81" s="5"/>
      <c r="D81" s="284" t="s">
        <v>763</v>
      </c>
      <c r="E81" s="256"/>
      <c r="F81" s="20">
        <v>-25065733.149999999</v>
      </c>
      <c r="G81" s="20"/>
      <c r="H81" s="20">
        <f t="shared" si="7"/>
        <v>25065733.149999999</v>
      </c>
      <c r="I81" s="20"/>
      <c r="J81" s="20"/>
      <c r="K81" s="20"/>
      <c r="L81" s="60">
        <f t="shared" si="6"/>
        <v>0</v>
      </c>
      <c r="M81" s="256"/>
    </row>
    <row r="82" spans="1:13">
      <c r="A82" s="5"/>
      <c r="B82" s="5"/>
      <c r="D82" s="284" t="s">
        <v>764</v>
      </c>
      <c r="E82" s="256"/>
      <c r="F82" s="20">
        <v>-41474.83</v>
      </c>
      <c r="G82" s="20"/>
      <c r="H82" s="20">
        <f t="shared" si="7"/>
        <v>41474.83</v>
      </c>
      <c r="I82" s="20"/>
      <c r="J82" s="20"/>
      <c r="K82" s="20"/>
      <c r="L82" s="60">
        <f t="shared" si="6"/>
        <v>0</v>
      </c>
      <c r="M82" s="256"/>
    </row>
    <row r="83" spans="1:13">
      <c r="A83" s="5"/>
      <c r="B83" s="5"/>
      <c r="D83" s="284" t="s">
        <v>765</v>
      </c>
      <c r="E83" s="256"/>
      <c r="F83" s="271">
        <v>368711.21</v>
      </c>
      <c r="G83" s="256"/>
      <c r="H83" s="20">
        <f t="shared" si="7"/>
        <v>-368711.21</v>
      </c>
      <c r="I83" s="256"/>
      <c r="J83" s="256"/>
      <c r="K83" s="256"/>
      <c r="L83" s="60">
        <f t="shared" si="6"/>
        <v>0</v>
      </c>
      <c r="M83" s="256"/>
    </row>
    <row r="84" spans="1:13" s="253" customFormat="1">
      <c r="A84" s="255"/>
      <c r="B84" s="255"/>
      <c r="D84" s="284" t="s">
        <v>766</v>
      </c>
      <c r="E84" s="256"/>
      <c r="F84" s="271">
        <v>-351198.67</v>
      </c>
      <c r="G84" s="256"/>
      <c r="H84" s="20">
        <f t="shared" si="7"/>
        <v>351198.67</v>
      </c>
      <c r="I84" s="256"/>
      <c r="J84" s="256"/>
      <c r="K84" s="256"/>
      <c r="L84" s="60">
        <f t="shared" si="6"/>
        <v>0</v>
      </c>
      <c r="M84" s="256"/>
    </row>
    <row r="85" spans="1:13" s="253" customFormat="1">
      <c r="A85" s="255"/>
      <c r="B85" s="255"/>
      <c r="D85" s="284" t="s">
        <v>767</v>
      </c>
      <c r="E85" s="256"/>
      <c r="F85" s="271">
        <v>-1509483.58</v>
      </c>
      <c r="G85" s="256"/>
      <c r="H85" s="20">
        <f t="shared" si="7"/>
        <v>1509483.58</v>
      </c>
      <c r="I85" s="256"/>
      <c r="J85" s="256"/>
      <c r="K85" s="256"/>
      <c r="L85" s="60">
        <f t="shared" si="6"/>
        <v>0</v>
      </c>
      <c r="M85" s="256"/>
    </row>
    <row r="86" spans="1:13" s="253" customFormat="1">
      <c r="A86" s="255"/>
      <c r="B86" s="255"/>
      <c r="D86" s="280" t="s">
        <v>768</v>
      </c>
      <c r="E86" s="256"/>
      <c r="F86" s="285">
        <v>1901476.91</v>
      </c>
      <c r="G86" s="256"/>
      <c r="H86" s="275">
        <f t="shared" si="7"/>
        <v>-1901476.91</v>
      </c>
      <c r="I86" s="256"/>
      <c r="J86" s="272"/>
      <c r="K86" s="256"/>
      <c r="L86" s="274">
        <f t="shared" si="6"/>
        <v>0</v>
      </c>
      <c r="M86" s="256"/>
    </row>
    <row r="87" spans="1:13">
      <c r="A87" s="5"/>
      <c r="B87" s="5"/>
      <c r="D87" s="24" t="s">
        <v>769</v>
      </c>
      <c r="E87" s="256"/>
      <c r="F87" s="256">
        <f>SUM(F74:F86)</f>
        <v>16084805.730000006</v>
      </c>
      <c r="G87" s="256"/>
      <c r="H87" s="256">
        <f>SUM(H74:H86)</f>
        <v>-15794783.532160008</v>
      </c>
      <c r="I87" s="256"/>
      <c r="J87" s="256">
        <f>SUM(J74:J86)</f>
        <v>0</v>
      </c>
      <c r="K87" s="256"/>
      <c r="L87" s="256">
        <f>SUM(L74:L86)</f>
        <v>290022.19783999998</v>
      </c>
      <c r="M87" s="256"/>
    </row>
    <row r="88" spans="1:13">
      <c r="A88" s="5"/>
      <c r="B88" s="5"/>
    </row>
    <row r="90" spans="1:13">
      <c r="D90" s="279" t="s">
        <v>770</v>
      </c>
    </row>
    <row r="91" spans="1:13">
      <c r="D91" s="284" t="s">
        <v>772</v>
      </c>
      <c r="E91" s="256"/>
      <c r="F91" s="271">
        <v>28510.09</v>
      </c>
      <c r="G91" s="256"/>
      <c r="H91" s="20">
        <v>-285</v>
      </c>
      <c r="I91" s="256"/>
      <c r="J91" s="256"/>
      <c r="K91" s="256"/>
      <c r="L91" s="60">
        <f t="shared" ref="L91:L95" si="8">F91+H91+J91</f>
        <v>28225.09</v>
      </c>
    </row>
    <row r="92" spans="1:13" s="253" customFormat="1">
      <c r="A92" s="262"/>
      <c r="B92" s="262"/>
      <c r="D92" s="284" t="s">
        <v>773</v>
      </c>
      <c r="E92" s="256"/>
      <c r="F92" s="271">
        <v>32734.720000000001</v>
      </c>
      <c r="G92" s="256"/>
      <c r="H92" s="20"/>
      <c r="I92" s="256"/>
      <c r="J92" s="256">
        <v>-2422</v>
      </c>
      <c r="K92" s="256"/>
      <c r="L92" s="60">
        <f t="shared" ref="L92" si="9">F92+H92+J92</f>
        <v>30312.720000000001</v>
      </c>
    </row>
    <row r="93" spans="1:13">
      <c r="D93" s="284" t="s">
        <v>774</v>
      </c>
      <c r="E93" s="256"/>
      <c r="F93" s="271">
        <v>796338.99</v>
      </c>
      <c r="G93" s="256"/>
      <c r="H93" s="20">
        <f>(787579-796339)-383873-4037</f>
        <v>-396670</v>
      </c>
      <c r="I93" s="256"/>
      <c r="J93" s="256"/>
      <c r="K93" s="256"/>
      <c r="L93" s="60">
        <f t="shared" si="8"/>
        <v>399668.99</v>
      </c>
    </row>
    <row r="94" spans="1:13" s="253" customFormat="1">
      <c r="A94" s="262"/>
      <c r="B94" s="262"/>
      <c r="D94" s="284" t="s">
        <v>775</v>
      </c>
      <c r="E94" s="256"/>
      <c r="F94" s="271">
        <f>36200211.83+479278.54+33648.52+1050000.09+73200.4-28816</f>
        <v>37807523.380000003</v>
      </c>
      <c r="G94" s="256"/>
      <c r="H94" s="20">
        <f>(38239791-38665107)-SUM(H91:H93)</f>
        <v>-28361</v>
      </c>
      <c r="I94" s="256"/>
      <c r="J94" s="256">
        <f>-5425529-SUM(J91:J93)</f>
        <v>-5423107</v>
      </c>
      <c r="K94" s="256"/>
      <c r="L94" s="60">
        <f t="shared" ref="L94" si="10">F94+H94+J94</f>
        <v>32356055.380000003</v>
      </c>
    </row>
    <row r="95" spans="1:13">
      <c r="D95" s="280" t="s">
        <v>776</v>
      </c>
      <c r="E95" s="256"/>
      <c r="F95" s="285">
        <v>-1901266.93</v>
      </c>
      <c r="G95" s="256"/>
      <c r="H95" s="275">
        <f>-1880353-F95</f>
        <v>20913.929999999935</v>
      </c>
      <c r="I95" s="256"/>
      <c r="J95" s="272"/>
      <c r="K95" s="256"/>
      <c r="L95" s="274">
        <f t="shared" si="8"/>
        <v>-1880353</v>
      </c>
    </row>
    <row r="96" spans="1:13">
      <c r="D96" s="24" t="s">
        <v>771</v>
      </c>
      <c r="E96" s="256"/>
      <c r="F96" s="256">
        <f>SUM(F91:F95)</f>
        <v>36763840.25</v>
      </c>
      <c r="G96" s="256"/>
      <c r="H96" s="256">
        <f>SUM(H91:H95)</f>
        <v>-404402.07000000007</v>
      </c>
      <c r="I96" s="256"/>
      <c r="J96" s="256">
        <f>SUM(J91:J95)</f>
        <v>-5425529</v>
      </c>
      <c r="K96" s="256"/>
      <c r="L96" s="256">
        <f>SUM(L91:L95)</f>
        <v>30933909.180000003</v>
      </c>
    </row>
    <row r="97" spans="4:12">
      <c r="D97" s="281" t="s">
        <v>777</v>
      </c>
      <c r="F97" s="256">
        <f>F96-F93-F91</f>
        <v>35938991.169999994</v>
      </c>
      <c r="H97" s="256">
        <f>H96-H93-H91</f>
        <v>-7447.0700000000652</v>
      </c>
      <c r="J97" s="256">
        <f>J96-J93-J91</f>
        <v>-5425529</v>
      </c>
      <c r="L97" s="256">
        <f>L96-L93-L91</f>
        <v>30506015.100000005</v>
      </c>
    </row>
  </sheetData>
  <mergeCells count="3">
    <mergeCell ref="D1:K1"/>
    <mergeCell ref="D2:K2"/>
    <mergeCell ref="D3:K3"/>
  </mergeCells>
  <phoneticPr fontId="0" type="noConversion"/>
  <printOptions horizontalCentered="1"/>
  <pageMargins left="0" right="0" top="1" bottom="0.5" header="0" footer="0"/>
  <pageSetup scale="7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92D050"/>
  </sheetPr>
  <dimension ref="A1:J122"/>
  <sheetViews>
    <sheetView zoomScaleNormal="100" workbookViewId="0">
      <pane ySplit="5" topLeftCell="A6" activePane="bottomLeft" state="frozen"/>
      <selection activeCell="H6" sqref="H6"/>
      <selection pane="bottomLeft" activeCell="A6" sqref="A6"/>
    </sheetView>
  </sheetViews>
  <sheetFormatPr defaultRowHeight="12.75"/>
  <cols>
    <col min="1" max="1" width="4.42578125" style="6" bestFit="1" customWidth="1"/>
    <col min="2" max="2" width="2.28515625" style="6" customWidth="1"/>
    <col min="3" max="3" width="3.7109375" customWidth="1"/>
    <col min="4" max="4" width="61.85546875" customWidth="1"/>
    <col min="5" max="5" width="2.28515625" customWidth="1"/>
    <col min="6" max="6" width="14.85546875" bestFit="1" customWidth="1"/>
    <col min="7" max="7" width="2.28515625" customWidth="1"/>
    <col min="10" max="10" width="13.42578125" bestFit="1" customWidth="1"/>
  </cols>
  <sheetData>
    <row r="1" spans="1:9">
      <c r="D1" s="6" t="s">
        <v>13</v>
      </c>
      <c r="F1" s="174" t="s">
        <v>12</v>
      </c>
    </row>
    <row r="2" spans="1:9">
      <c r="D2" s="6" t="s">
        <v>161</v>
      </c>
      <c r="F2" s="171" t="s">
        <v>646</v>
      </c>
    </row>
    <row r="3" spans="1:9">
      <c r="D3" s="6" t="str">
        <f>'P 7'!D3</f>
        <v>FOR THE TWELVE MONTHS ENDED SEPTEMBER 30, 2014</v>
      </c>
      <c r="E3" s="28"/>
    </row>
    <row r="5" spans="1:9" ht="25.5">
      <c r="A5" s="2" t="s">
        <v>0</v>
      </c>
      <c r="B5" s="2"/>
    </row>
    <row r="6" spans="1:9">
      <c r="A6" s="2"/>
      <c r="B6" s="2"/>
    </row>
    <row r="7" spans="1:9">
      <c r="A7" s="5"/>
      <c r="B7" s="5"/>
      <c r="C7" t="s">
        <v>162</v>
      </c>
    </row>
    <row r="8" spans="1:9">
      <c r="A8" s="5"/>
      <c r="B8" s="5"/>
      <c r="C8" t="s">
        <v>163</v>
      </c>
    </row>
    <row r="9" spans="1:9">
      <c r="A9" s="5"/>
      <c r="B9" s="5"/>
    </row>
    <row r="10" spans="1:9">
      <c r="A10" s="5"/>
      <c r="B10" s="5"/>
      <c r="C10" t="s">
        <v>164</v>
      </c>
    </row>
    <row r="11" spans="1:9">
      <c r="A11" s="5">
        <v>1</v>
      </c>
      <c r="B11" s="5"/>
      <c r="D11" t="s">
        <v>165</v>
      </c>
      <c r="E11" s="4"/>
      <c r="F11" s="57">
        <v>228399663.16999999</v>
      </c>
    </row>
    <row r="12" spans="1:9">
      <c r="A12" s="5">
        <f>+A11+1</f>
        <v>2</v>
      </c>
      <c r="B12" s="5"/>
      <c r="D12" t="s">
        <v>166</v>
      </c>
      <c r="E12" s="4"/>
      <c r="F12" s="58">
        <v>29152441.530000001</v>
      </c>
    </row>
    <row r="13" spans="1:9">
      <c r="A13" s="5"/>
      <c r="B13" s="5"/>
      <c r="E13" s="4"/>
      <c r="F13" s="8" t="s">
        <v>11</v>
      </c>
    </row>
    <row r="14" spans="1:9">
      <c r="A14" s="5">
        <f>+A12+1</f>
        <v>3</v>
      </c>
      <c r="B14" s="5"/>
      <c r="D14" s="3" t="s">
        <v>167</v>
      </c>
      <c r="E14" s="4"/>
      <c r="F14" s="4">
        <f>SUM(F11:F13)</f>
        <v>257552104.69999999</v>
      </c>
    </row>
    <row r="15" spans="1:9">
      <c r="A15" s="5">
        <f>+A14+1</f>
        <v>4</v>
      </c>
      <c r="B15" s="5"/>
      <c r="D15" t="s">
        <v>168</v>
      </c>
      <c r="E15" s="4"/>
      <c r="F15" s="60">
        <v>22155238.960000001</v>
      </c>
      <c r="I15" t="s">
        <v>274</v>
      </c>
    </row>
    <row r="16" spans="1:9">
      <c r="A16" s="5"/>
      <c r="B16"/>
      <c r="C16" s="19"/>
      <c r="E16" s="4"/>
      <c r="F16" s="8" t="s">
        <v>11</v>
      </c>
    </row>
    <row r="17" spans="1:10">
      <c r="A17" s="5">
        <f>+A15+1</f>
        <v>5</v>
      </c>
      <c r="B17"/>
      <c r="D17" s="3" t="s">
        <v>169</v>
      </c>
      <c r="E17" s="4"/>
      <c r="F17" s="4">
        <f>+F14+F15</f>
        <v>279707343.65999997</v>
      </c>
    </row>
    <row r="18" spans="1:10">
      <c r="A18" s="5"/>
      <c r="B18"/>
      <c r="D18" s="3"/>
      <c r="E18" s="4"/>
      <c r="F18" s="8" t="s">
        <v>11</v>
      </c>
    </row>
    <row r="19" spans="1:10">
      <c r="A19"/>
      <c r="B19"/>
      <c r="C19" t="s">
        <v>170</v>
      </c>
      <c r="D19" s="3"/>
      <c r="E19" s="4"/>
      <c r="F19" s="8"/>
    </row>
    <row r="20" spans="1:10">
      <c r="A20" s="5"/>
      <c r="B20"/>
      <c r="C20" t="s">
        <v>171</v>
      </c>
      <c r="D20" s="3"/>
      <c r="E20" s="4"/>
      <c r="F20" s="4"/>
    </row>
    <row r="21" spans="1:10">
      <c r="A21" s="5">
        <f>+A17+1</f>
        <v>6</v>
      </c>
      <c r="B21" s="5"/>
      <c r="D21" t="s">
        <v>172</v>
      </c>
      <c r="E21" s="4"/>
      <c r="F21" s="57">
        <v>204732528.00999999</v>
      </c>
    </row>
    <row r="22" spans="1:10">
      <c r="A22" s="5">
        <f>+A21+1</f>
        <v>7</v>
      </c>
      <c r="B22" s="5"/>
      <c r="D22" s="3" t="s">
        <v>173</v>
      </c>
      <c r="E22" s="4"/>
      <c r="F22" s="58">
        <v>0</v>
      </c>
    </row>
    <row r="23" spans="1:10">
      <c r="A23" s="5"/>
      <c r="B23" s="5"/>
      <c r="D23" s="3"/>
      <c r="E23" s="4"/>
      <c r="F23" s="8" t="s">
        <v>11</v>
      </c>
    </row>
    <row r="24" spans="1:10">
      <c r="A24" s="5">
        <f>+A22+1</f>
        <v>8</v>
      </c>
      <c r="B24" s="5"/>
      <c r="D24" s="3" t="s">
        <v>174</v>
      </c>
      <c r="E24" s="4"/>
      <c r="F24" s="60">
        <f>SUM(F21:F23)</f>
        <v>204732528.00999999</v>
      </c>
    </row>
    <row r="25" spans="1:10">
      <c r="A25" s="5">
        <f>+A24+1</f>
        <v>9</v>
      </c>
      <c r="B25" s="5"/>
      <c r="D25" s="1" t="s">
        <v>658</v>
      </c>
      <c r="E25" s="4"/>
      <c r="F25" s="60">
        <v>419192.44</v>
      </c>
    </row>
    <row r="26" spans="1:10">
      <c r="A26" s="5">
        <f>+A25+1</f>
        <v>10</v>
      </c>
      <c r="B26" s="5"/>
      <c r="D26" s="3" t="s">
        <v>46</v>
      </c>
      <c r="E26" s="4"/>
      <c r="F26" s="257">
        <f>1621391.25+26385.42+70</f>
        <v>1647846.67</v>
      </c>
    </row>
    <row r="27" spans="1:10">
      <c r="A27" s="5"/>
      <c r="B27" s="5"/>
      <c r="E27" s="4"/>
      <c r="F27" s="59" t="s">
        <v>11</v>
      </c>
    </row>
    <row r="28" spans="1:10">
      <c r="A28" s="5">
        <f>+A26+1</f>
        <v>11</v>
      </c>
      <c r="B28" s="5"/>
      <c r="D28" s="3" t="s">
        <v>175</v>
      </c>
      <c r="E28" s="4"/>
      <c r="F28" s="257">
        <f>SUM(F24:F27)</f>
        <v>206799567.11999997</v>
      </c>
    </row>
    <row r="29" spans="1:10">
      <c r="A29" s="5"/>
      <c r="B29" s="5"/>
      <c r="E29" s="4"/>
      <c r="F29" s="8" t="s">
        <v>11</v>
      </c>
      <c r="J29" s="252"/>
    </row>
    <row r="30" spans="1:10">
      <c r="A30" s="5"/>
      <c r="B30" s="5"/>
      <c r="C30" s="19"/>
      <c r="E30" s="4"/>
      <c r="F30" s="4"/>
    </row>
    <row r="31" spans="1:10">
      <c r="A31" s="5">
        <f>+A28+1</f>
        <v>12</v>
      </c>
      <c r="B31" s="5"/>
      <c r="D31" s="1" t="s">
        <v>176</v>
      </c>
      <c r="E31" s="4"/>
      <c r="F31" s="4">
        <f>+F14+F28</f>
        <v>464351671.81999993</v>
      </c>
    </row>
    <row r="32" spans="1:10">
      <c r="A32" s="5">
        <f>+A31+1</f>
        <v>13</v>
      </c>
      <c r="B32" s="5"/>
      <c r="D32" s="1" t="s">
        <v>177</v>
      </c>
      <c r="E32" s="4"/>
      <c r="F32" s="13">
        <f>F15</f>
        <v>22155238.960000001</v>
      </c>
    </row>
    <row r="33" spans="1:6">
      <c r="A33" s="5"/>
      <c r="B33" s="5"/>
      <c r="E33" s="4"/>
      <c r="F33" s="8" t="s">
        <v>11</v>
      </c>
    </row>
    <row r="34" spans="1:6">
      <c r="A34" s="5">
        <f>+A32+1</f>
        <v>14</v>
      </c>
      <c r="B34" s="5"/>
      <c r="D34" s="3" t="s">
        <v>178</v>
      </c>
      <c r="E34" s="4"/>
      <c r="F34" s="13">
        <f>SUM(F31:F33)</f>
        <v>486506910.77999991</v>
      </c>
    </row>
    <row r="35" spans="1:6">
      <c r="A35" s="5"/>
      <c r="B35" s="5"/>
      <c r="D35" s="19"/>
      <c r="E35" s="4"/>
      <c r="F35" s="8" t="s">
        <v>11</v>
      </c>
    </row>
    <row r="36" spans="1:6">
      <c r="A36" s="5">
        <f>+A34+1</f>
        <v>15</v>
      </c>
      <c r="B36" s="5"/>
      <c r="D36" t="s">
        <v>179</v>
      </c>
      <c r="E36" s="4"/>
      <c r="F36" s="60">
        <v>15967613.800000001</v>
      </c>
    </row>
    <row r="37" spans="1:6">
      <c r="A37" s="5">
        <f>+A36+1</f>
        <v>16</v>
      </c>
      <c r="B37" s="5"/>
      <c r="D37" t="s">
        <v>181</v>
      </c>
      <c r="E37" s="4"/>
      <c r="F37" s="58">
        <v>4239897.62</v>
      </c>
    </row>
    <row r="38" spans="1:6">
      <c r="A38" s="5"/>
      <c r="B38" s="5"/>
      <c r="E38" s="4"/>
      <c r="F38" s="8" t="s">
        <v>11</v>
      </c>
    </row>
    <row r="39" spans="1:6">
      <c r="A39" s="5">
        <f>+A37+1</f>
        <v>17</v>
      </c>
      <c r="B39" s="5"/>
      <c r="D39" s="3" t="s">
        <v>182</v>
      </c>
      <c r="E39" s="4"/>
      <c r="F39" s="13">
        <f>SUM(F36:F38)</f>
        <v>20207511.420000002</v>
      </c>
    </row>
    <row r="40" spans="1:6">
      <c r="A40" s="5"/>
      <c r="B40" s="5"/>
      <c r="D40" s="3"/>
      <c r="E40" s="4"/>
      <c r="F40" s="8" t="s">
        <v>11</v>
      </c>
    </row>
    <row r="41" spans="1:6">
      <c r="A41" s="5">
        <f>+A39+1</f>
        <v>18</v>
      </c>
      <c r="B41" s="5"/>
      <c r="D41" s="3" t="s">
        <v>263</v>
      </c>
      <c r="E41" s="4"/>
      <c r="F41" s="13"/>
    </row>
    <row r="42" spans="1:6">
      <c r="A42" s="5">
        <f>+A41+1</f>
        <v>19</v>
      </c>
      <c r="B42" s="5"/>
      <c r="D42" s="3" t="s">
        <v>264</v>
      </c>
      <c r="E42" s="4"/>
      <c r="F42" s="60">
        <v>1198974.07</v>
      </c>
    </row>
    <row r="43" spans="1:6">
      <c r="A43" s="5"/>
      <c r="B43" s="5"/>
      <c r="D43" s="3"/>
      <c r="E43" s="4"/>
      <c r="F43" s="8" t="s">
        <v>11</v>
      </c>
    </row>
    <row r="44" spans="1:6">
      <c r="A44" s="5">
        <f>+A42+1</f>
        <v>20</v>
      </c>
      <c r="B44" s="5"/>
      <c r="D44" s="9" t="s">
        <v>265</v>
      </c>
      <c r="E44" s="4"/>
      <c r="F44" s="13">
        <f>SUM(F42:F43)</f>
        <v>1198974.07</v>
      </c>
    </row>
    <row r="45" spans="1:6">
      <c r="A45" s="5"/>
      <c r="B45" s="5"/>
      <c r="E45" s="4"/>
      <c r="F45" s="8" t="s">
        <v>11</v>
      </c>
    </row>
    <row r="46" spans="1:6">
      <c r="A46" s="5"/>
      <c r="B46" s="5"/>
      <c r="E46" s="4"/>
      <c r="F46" s="8"/>
    </row>
    <row r="47" spans="1:6">
      <c r="A47" s="5">
        <f>+A44+1</f>
        <v>21</v>
      </c>
      <c r="B47" s="5"/>
      <c r="D47" t="s">
        <v>183</v>
      </c>
      <c r="E47" s="4"/>
      <c r="F47" s="60">
        <v>8712151.1600000001</v>
      </c>
    </row>
    <row r="48" spans="1:6">
      <c r="A48" s="5">
        <f>+A47+1</f>
        <v>22</v>
      </c>
      <c r="B48" s="5"/>
      <c r="D48" t="s">
        <v>180</v>
      </c>
      <c r="E48" s="4"/>
      <c r="F48" s="58">
        <v>35078070.829999998</v>
      </c>
    </row>
    <row r="49" spans="1:6">
      <c r="A49" s="5"/>
      <c r="B49" s="5"/>
      <c r="D49" s="3"/>
      <c r="E49" s="4"/>
      <c r="F49" s="8" t="s">
        <v>11</v>
      </c>
    </row>
    <row r="50" spans="1:6">
      <c r="A50" s="5">
        <f>+A48+1</f>
        <v>23</v>
      </c>
      <c r="B50" s="5"/>
      <c r="D50" s="3" t="s">
        <v>184</v>
      </c>
      <c r="E50" s="4"/>
      <c r="F50" s="13">
        <f>SUM(F47:F49)</f>
        <v>43790221.989999995</v>
      </c>
    </row>
    <row r="51" spans="1:6">
      <c r="A51" s="5"/>
      <c r="B51" s="5"/>
      <c r="E51" s="4"/>
      <c r="F51" s="8" t="s">
        <v>11</v>
      </c>
    </row>
    <row r="52" spans="1:6">
      <c r="A52" s="5">
        <f>+A50+1</f>
        <v>24</v>
      </c>
      <c r="B52" s="5"/>
      <c r="D52" t="s">
        <v>185</v>
      </c>
      <c r="E52" s="4"/>
      <c r="F52" s="60">
        <v>6110070.54</v>
      </c>
    </row>
    <row r="53" spans="1:6">
      <c r="A53" s="5"/>
      <c r="B53" s="5"/>
      <c r="E53" s="4"/>
      <c r="F53" s="8" t="s">
        <v>11</v>
      </c>
    </row>
    <row r="54" spans="1:6">
      <c r="A54" s="5">
        <f>+A52+1</f>
        <v>25</v>
      </c>
      <c r="B54" s="5"/>
      <c r="D54" t="s">
        <v>186</v>
      </c>
      <c r="E54" s="4"/>
      <c r="F54" s="13">
        <v>5060189.5999999996</v>
      </c>
    </row>
    <row r="55" spans="1:6">
      <c r="A55" s="5"/>
      <c r="B55" s="5"/>
      <c r="E55" s="4"/>
      <c r="F55" s="8" t="s">
        <v>11</v>
      </c>
    </row>
    <row r="56" spans="1:6">
      <c r="A56" s="5">
        <f>+A54+1</f>
        <v>26</v>
      </c>
      <c r="B56" s="5"/>
      <c r="D56" t="s">
        <v>187</v>
      </c>
      <c r="E56" s="4"/>
      <c r="F56" s="60">
        <v>0</v>
      </c>
    </row>
    <row r="57" spans="1:6">
      <c r="A57" s="5"/>
      <c r="B57" s="5"/>
      <c r="E57" s="4"/>
      <c r="F57" s="8" t="s">
        <v>11</v>
      </c>
    </row>
    <row r="58" spans="1:6">
      <c r="A58" s="5">
        <f>+A56+1</f>
        <v>27</v>
      </c>
      <c r="B58" s="5"/>
      <c r="D58" t="s">
        <v>188</v>
      </c>
      <c r="E58" s="4"/>
      <c r="F58" s="60">
        <v>18363695.07</v>
      </c>
    </row>
    <row r="59" spans="1:6">
      <c r="A59" s="5">
        <f>+A58+1</f>
        <v>28</v>
      </c>
      <c r="B59" s="5"/>
      <c r="D59" t="s">
        <v>189</v>
      </c>
      <c r="E59" s="4"/>
      <c r="F59" s="58">
        <v>1613099.23</v>
      </c>
    </row>
    <row r="60" spans="1:6">
      <c r="A60" s="5"/>
      <c r="B60" s="5"/>
      <c r="E60" s="4"/>
      <c r="F60" s="8" t="s">
        <v>11</v>
      </c>
    </row>
    <row r="61" spans="1:6">
      <c r="A61" s="5">
        <f>+A59+1</f>
        <v>29</v>
      </c>
      <c r="B61" s="5"/>
      <c r="D61" t="s">
        <v>190</v>
      </c>
      <c r="E61" s="4"/>
      <c r="F61" s="13">
        <f>SUM(F58:F60)</f>
        <v>19976794.300000001</v>
      </c>
    </row>
    <row r="62" spans="1:6">
      <c r="A62" s="5"/>
      <c r="B62" s="5"/>
      <c r="E62" s="4"/>
      <c r="F62" s="8" t="s">
        <v>11</v>
      </c>
    </row>
    <row r="63" spans="1:6">
      <c r="A63" s="5">
        <f>+A61+1</f>
        <v>30</v>
      </c>
      <c r="B63" s="5"/>
      <c r="D63" t="s">
        <v>251</v>
      </c>
      <c r="E63" s="4"/>
      <c r="F63" s="13">
        <f>+F34+F39+F44+F50+F52+F54+F56+F61</f>
        <v>582850672.69999981</v>
      </c>
    </row>
    <row r="64" spans="1:6">
      <c r="A64" s="5"/>
      <c r="B64" s="5"/>
      <c r="E64" s="4"/>
      <c r="F64" s="8" t="s">
        <v>11</v>
      </c>
    </row>
    <row r="65" spans="1:10">
      <c r="B65" s="5"/>
      <c r="E65" s="4"/>
      <c r="F65" s="13"/>
    </row>
    <row r="66" spans="1:10">
      <c r="A66" s="5">
        <f>+A63+1</f>
        <v>31</v>
      </c>
      <c r="B66" s="5"/>
      <c r="D66" t="s">
        <v>252</v>
      </c>
      <c r="E66" s="4"/>
      <c r="F66" s="260">
        <v>-3900</v>
      </c>
    </row>
    <row r="67" spans="1:10">
      <c r="A67" s="5">
        <f>+A66+1</f>
        <v>32</v>
      </c>
      <c r="B67" s="5"/>
      <c r="D67" t="s">
        <v>253</v>
      </c>
      <c r="E67" s="4"/>
      <c r="F67" s="260">
        <v>900348</v>
      </c>
    </row>
    <row r="68" spans="1:10">
      <c r="A68" s="5">
        <f>+A67+1</f>
        <v>33</v>
      </c>
      <c r="B68" s="5"/>
      <c r="D68" t="s">
        <v>254</v>
      </c>
      <c r="E68" s="4"/>
      <c r="F68" s="260">
        <v>1679665</v>
      </c>
    </row>
    <row r="69" spans="1:10" s="229" customFormat="1">
      <c r="A69" s="5">
        <f t="shared" ref="A69:A73" si="0">+A68+1</f>
        <v>34</v>
      </c>
      <c r="B69" s="5"/>
      <c r="D69" s="258" t="s">
        <v>726</v>
      </c>
      <c r="E69" s="4"/>
      <c r="F69" s="260"/>
      <c r="H69" s="229">
        <v>-47297</v>
      </c>
    </row>
    <row r="70" spans="1:10" s="229" customFormat="1">
      <c r="A70" s="5">
        <f t="shared" si="0"/>
        <v>35</v>
      </c>
      <c r="B70" s="5"/>
      <c r="D70" s="258" t="s">
        <v>727</v>
      </c>
      <c r="E70" s="4"/>
      <c r="F70" s="260"/>
      <c r="H70" s="229">
        <v>728946</v>
      </c>
    </row>
    <row r="71" spans="1:10" s="253" customFormat="1">
      <c r="A71" s="255">
        <f t="shared" si="0"/>
        <v>36</v>
      </c>
      <c r="B71" s="255"/>
      <c r="D71" s="258" t="s">
        <v>728</v>
      </c>
      <c r="E71" s="256"/>
      <c r="F71" s="260">
        <v>-53789</v>
      </c>
    </row>
    <row r="72" spans="1:10" s="253" customFormat="1">
      <c r="A72" s="255">
        <f t="shared" si="0"/>
        <v>37</v>
      </c>
      <c r="B72" s="255"/>
      <c r="D72" s="258" t="s">
        <v>729</v>
      </c>
      <c r="E72" s="256"/>
      <c r="F72" s="260">
        <v>28510</v>
      </c>
    </row>
    <row r="73" spans="1:10" s="253" customFormat="1">
      <c r="A73" s="255">
        <f t="shared" si="0"/>
        <v>38</v>
      </c>
      <c r="B73" s="255"/>
      <c r="D73" s="258" t="s">
        <v>730</v>
      </c>
      <c r="E73" s="256"/>
      <c r="F73" s="260">
        <v>796338.99</v>
      </c>
    </row>
    <row r="74" spans="1:10">
      <c r="A74" s="5"/>
      <c r="B74" s="5"/>
      <c r="E74" s="4"/>
      <c r="F74" s="8" t="s">
        <v>11</v>
      </c>
    </row>
    <row r="75" spans="1:10">
      <c r="A75" s="5">
        <f>+A73+1</f>
        <v>39</v>
      </c>
      <c r="B75" s="5"/>
      <c r="D75" t="s">
        <v>191</v>
      </c>
      <c r="E75" s="4"/>
      <c r="F75" s="18">
        <f>+F63+F66+F67+F68+F69+F70+F71+F72+F73</f>
        <v>586197845.68999982</v>
      </c>
      <c r="J75" s="134"/>
    </row>
    <row r="76" spans="1:10">
      <c r="A76" s="5"/>
      <c r="B76" s="5"/>
      <c r="E76" s="4"/>
      <c r="F76" s="11" t="s">
        <v>96</v>
      </c>
    </row>
    <row r="77" spans="1:10">
      <c r="A77" s="5"/>
      <c r="B77" s="5"/>
      <c r="E77" s="4"/>
      <c r="F77" s="4"/>
    </row>
    <row r="78" spans="1:10">
      <c r="A78" s="5"/>
      <c r="B78" s="5"/>
      <c r="E78" s="4"/>
      <c r="F78" s="4"/>
    </row>
    <row r="79" spans="1:10">
      <c r="A79" s="5"/>
      <c r="B79" s="5"/>
      <c r="E79" s="4"/>
      <c r="F79" s="4"/>
    </row>
    <row r="80" spans="1:10">
      <c r="A80" s="5"/>
      <c r="B80" s="5"/>
      <c r="E80" s="4"/>
      <c r="F80" s="4"/>
    </row>
    <row r="81" spans="1:6">
      <c r="A81" s="5"/>
      <c r="B81" s="5"/>
      <c r="E81" s="4"/>
      <c r="F81" s="13"/>
    </row>
    <row r="82" spans="1:6">
      <c r="A82" s="5"/>
      <c r="B82" s="5"/>
      <c r="D82" s="1"/>
      <c r="E82" s="4"/>
      <c r="F82" s="4"/>
    </row>
    <row r="83" spans="1:6">
      <c r="A83" s="5"/>
      <c r="B83" s="5"/>
      <c r="E83" s="4"/>
      <c r="F83" s="13"/>
    </row>
    <row r="84" spans="1:6">
      <c r="A84" s="5"/>
      <c r="B84" s="5"/>
      <c r="E84" s="4"/>
      <c r="F84" s="4"/>
    </row>
    <row r="85" spans="1:6">
      <c r="A85" s="5"/>
      <c r="B85" s="5"/>
      <c r="E85" s="4"/>
      <c r="F85" s="20"/>
    </row>
    <row r="86" spans="1:6">
      <c r="A86" s="5"/>
      <c r="B86" s="5"/>
      <c r="E86" s="4"/>
      <c r="F86" s="20"/>
    </row>
    <row r="87" spans="1:6">
      <c r="A87" s="5"/>
      <c r="B87" s="5"/>
      <c r="E87" s="4"/>
      <c r="F87" s="4"/>
    </row>
    <row r="88" spans="1:6">
      <c r="A88" s="5"/>
      <c r="B88" s="5"/>
      <c r="E88" s="4"/>
      <c r="F88" s="4"/>
    </row>
    <row r="89" spans="1:6">
      <c r="A89" s="5"/>
      <c r="B89" s="5"/>
      <c r="E89" s="4"/>
      <c r="F89" s="4"/>
    </row>
    <row r="90" spans="1:6">
      <c r="A90" s="5"/>
      <c r="B90" s="5"/>
      <c r="E90" s="4"/>
      <c r="F90" s="4"/>
    </row>
    <row r="91" spans="1:6">
      <c r="A91" s="5"/>
      <c r="B91" s="5"/>
      <c r="E91" s="4"/>
      <c r="F91" s="4"/>
    </row>
    <row r="92" spans="1:6">
      <c r="A92" s="5"/>
      <c r="B92" s="5"/>
      <c r="E92" s="4"/>
      <c r="F92" s="4"/>
    </row>
    <row r="93" spans="1:6">
      <c r="A93" s="5"/>
      <c r="B93" s="5"/>
      <c r="E93" s="4"/>
      <c r="F93" s="4"/>
    </row>
    <row r="94" spans="1:6">
      <c r="A94" s="5"/>
      <c r="B94" s="5"/>
      <c r="E94" s="4"/>
      <c r="F94" s="4"/>
    </row>
    <row r="95" spans="1:6">
      <c r="A95" s="5"/>
      <c r="B95" s="5"/>
      <c r="E95" s="4"/>
      <c r="F95" s="4"/>
    </row>
    <row r="96" spans="1:6">
      <c r="A96" s="5"/>
      <c r="B96" s="5"/>
      <c r="E96" s="4"/>
      <c r="F96" s="4"/>
    </row>
    <row r="97" spans="1:6">
      <c r="A97" s="5"/>
      <c r="B97" s="5"/>
      <c r="E97" s="4"/>
      <c r="F97" s="4"/>
    </row>
    <row r="98" spans="1:6">
      <c r="A98" s="5"/>
      <c r="B98" s="5"/>
      <c r="E98" s="4"/>
      <c r="F98" s="4"/>
    </row>
    <row r="99" spans="1:6">
      <c r="A99" s="5"/>
      <c r="B99" s="5"/>
      <c r="E99" s="4"/>
      <c r="F99" s="4"/>
    </row>
    <row r="100" spans="1:6">
      <c r="A100" s="5"/>
      <c r="B100" s="5"/>
      <c r="E100" s="4"/>
      <c r="F100" s="4"/>
    </row>
    <row r="101" spans="1:6">
      <c r="A101" s="5"/>
      <c r="B101" s="5"/>
      <c r="E101" s="4"/>
      <c r="F101" s="4"/>
    </row>
    <row r="102" spans="1:6">
      <c r="A102" s="5"/>
      <c r="B102" s="5"/>
      <c r="E102" s="4"/>
      <c r="F102" s="4"/>
    </row>
    <row r="103" spans="1:6">
      <c r="A103" s="5"/>
      <c r="B103" s="5"/>
      <c r="E103" s="4"/>
      <c r="F103" s="4"/>
    </row>
    <row r="104" spans="1:6">
      <c r="A104" s="5"/>
      <c r="B104" s="5"/>
      <c r="F104" s="4"/>
    </row>
    <row r="105" spans="1:6">
      <c r="F105" s="4"/>
    </row>
    <row r="106" spans="1:6">
      <c r="F106" s="4"/>
    </row>
    <row r="107" spans="1:6">
      <c r="F107" s="4"/>
    </row>
    <row r="108" spans="1:6">
      <c r="F108" s="4"/>
    </row>
    <row r="109" spans="1:6">
      <c r="F109" s="4"/>
    </row>
    <row r="110" spans="1:6">
      <c r="F110" s="4"/>
    </row>
    <row r="111" spans="1:6">
      <c r="F111" s="4"/>
    </row>
    <row r="112" spans="1:6">
      <c r="F112" s="4"/>
    </row>
    <row r="113" spans="6:6">
      <c r="F113" s="4"/>
    </row>
    <row r="114" spans="6:6">
      <c r="F114" s="4"/>
    </row>
    <row r="115" spans="6:6">
      <c r="F115" s="4"/>
    </row>
    <row r="116" spans="6:6">
      <c r="F116" s="4"/>
    </row>
    <row r="117" spans="6:6">
      <c r="F117" s="4"/>
    </row>
    <row r="118" spans="6:6">
      <c r="F118" s="4"/>
    </row>
    <row r="119" spans="6:6">
      <c r="F119" s="4"/>
    </row>
    <row r="120" spans="6:6">
      <c r="F120" s="4"/>
    </row>
    <row r="121" spans="6:6">
      <c r="F121" s="4"/>
    </row>
    <row r="122" spans="6:6">
      <c r="F122" s="4"/>
    </row>
  </sheetData>
  <phoneticPr fontId="0" type="noConversion"/>
  <printOptions horizontalCentered="1"/>
  <pageMargins left="0.75" right="0" top="0.5" bottom="0" header="0" footer="0"/>
  <pageSetup scale="77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91"/>
  <sheetViews>
    <sheetView zoomScale="80" zoomScaleNormal="80" workbookViewId="0">
      <selection activeCell="A13" sqref="A13"/>
    </sheetView>
  </sheetViews>
  <sheetFormatPr defaultRowHeight="12.75"/>
  <cols>
    <col min="1" max="1" width="9.140625" style="63"/>
    <col min="2" max="2" width="60.7109375" style="63" customWidth="1"/>
    <col min="3" max="15" width="15.7109375" style="63" customWidth="1"/>
    <col min="16" max="16384" width="9.140625" style="63"/>
  </cols>
  <sheetData>
    <row r="1" spans="1:14">
      <c r="A1" s="291" t="s">
        <v>624</v>
      </c>
      <c r="B1" s="292"/>
      <c r="C1" s="292"/>
      <c r="D1" s="292"/>
      <c r="E1" s="292"/>
      <c r="F1" s="292"/>
      <c r="G1" s="292"/>
      <c r="H1" s="292"/>
      <c r="I1" s="292"/>
      <c r="J1" s="292"/>
    </row>
    <row r="2" spans="1:14">
      <c r="A2" s="291" t="s">
        <v>623</v>
      </c>
      <c r="B2" s="292"/>
      <c r="C2" s="292"/>
      <c r="D2" s="292"/>
      <c r="E2" s="292"/>
      <c r="F2" s="292"/>
      <c r="G2" s="292"/>
      <c r="H2" s="292"/>
      <c r="I2" s="292"/>
      <c r="J2" s="292"/>
      <c r="N2" s="15"/>
    </row>
    <row r="3" spans="1:14">
      <c r="A3" s="291" t="s">
        <v>622</v>
      </c>
      <c r="B3" s="292"/>
      <c r="C3" s="292"/>
      <c r="D3" s="292"/>
      <c r="E3" s="292"/>
      <c r="F3" s="292"/>
      <c r="G3" s="292"/>
      <c r="H3" s="292"/>
      <c r="I3" s="292"/>
      <c r="J3" s="292"/>
      <c r="N3" s="171"/>
    </row>
    <row r="4" spans="1:14">
      <c r="A4" s="291" t="s">
        <v>621</v>
      </c>
      <c r="B4" s="292"/>
      <c r="C4" s="292"/>
      <c r="D4" s="292"/>
      <c r="E4" s="292"/>
      <c r="F4" s="292"/>
      <c r="G4" s="292"/>
      <c r="H4" s="292"/>
      <c r="I4" s="292"/>
      <c r="J4" s="292"/>
    </row>
    <row r="5" spans="1:14">
      <c r="A5" s="291" t="s">
        <v>721</v>
      </c>
      <c r="B5" s="291"/>
      <c r="C5" s="291"/>
      <c r="D5" s="291"/>
      <c r="E5" s="291"/>
      <c r="F5" s="291"/>
      <c r="G5" s="291"/>
      <c r="H5" s="291"/>
      <c r="I5" s="291"/>
      <c r="J5" s="291"/>
    </row>
    <row r="9" spans="1:14">
      <c r="C9" s="135" t="s">
        <v>620</v>
      </c>
      <c r="D9" s="135" t="s">
        <v>619</v>
      </c>
      <c r="E9" s="135" t="s">
        <v>618</v>
      </c>
      <c r="F9" s="135" t="s">
        <v>617</v>
      </c>
      <c r="G9" s="135" t="s">
        <v>616</v>
      </c>
      <c r="H9" s="135" t="s">
        <v>615</v>
      </c>
      <c r="I9" s="135" t="s">
        <v>614</v>
      </c>
      <c r="J9" s="135" t="s">
        <v>613</v>
      </c>
      <c r="K9" s="135" t="s">
        <v>612</v>
      </c>
      <c r="L9" s="135" t="s">
        <v>611</v>
      </c>
      <c r="M9" s="135" t="s">
        <v>626</v>
      </c>
      <c r="N9" s="135" t="s">
        <v>627</v>
      </c>
    </row>
    <row r="10" spans="1:14">
      <c r="E10" s="80" t="s">
        <v>609</v>
      </c>
      <c r="G10" s="80" t="s">
        <v>609</v>
      </c>
      <c r="I10" s="80" t="s">
        <v>610</v>
      </c>
    </row>
    <row r="11" spans="1:14">
      <c r="C11" s="80" t="s">
        <v>609</v>
      </c>
      <c r="D11" s="80" t="s">
        <v>608</v>
      </c>
      <c r="E11" s="80" t="s">
        <v>607</v>
      </c>
      <c r="G11" s="80" t="s">
        <v>607</v>
      </c>
      <c r="H11" s="80" t="s">
        <v>606</v>
      </c>
      <c r="I11" s="80" t="s">
        <v>605</v>
      </c>
      <c r="J11" s="80" t="s">
        <v>604</v>
      </c>
      <c r="K11" s="80" t="s">
        <v>604</v>
      </c>
      <c r="M11" s="80" t="s">
        <v>628</v>
      </c>
      <c r="N11" s="80" t="s">
        <v>604</v>
      </c>
    </row>
    <row r="12" spans="1:14">
      <c r="C12" s="80" t="s">
        <v>603</v>
      </c>
      <c r="D12" s="80" t="s">
        <v>602</v>
      </c>
      <c r="E12" s="80" t="s">
        <v>601</v>
      </c>
      <c r="F12" s="80" t="s">
        <v>629</v>
      </c>
      <c r="G12" s="80" t="s">
        <v>600</v>
      </c>
      <c r="H12" s="80" t="s">
        <v>599</v>
      </c>
      <c r="I12" s="80" t="s">
        <v>598</v>
      </c>
      <c r="J12" s="80" t="s">
        <v>596</v>
      </c>
      <c r="K12" s="80" t="s">
        <v>597</v>
      </c>
      <c r="L12" s="80" t="s">
        <v>596</v>
      </c>
      <c r="M12" s="80" t="s">
        <v>630</v>
      </c>
      <c r="N12" s="80" t="s">
        <v>631</v>
      </c>
    </row>
    <row r="13" spans="1:14">
      <c r="A13" s="137" t="s">
        <v>595</v>
      </c>
      <c r="B13" s="137" t="s">
        <v>594</v>
      </c>
      <c r="C13" s="282" t="s">
        <v>779</v>
      </c>
      <c r="D13" s="137" t="s">
        <v>593</v>
      </c>
      <c r="E13" s="137" t="s">
        <v>592</v>
      </c>
      <c r="F13" s="137" t="s">
        <v>592</v>
      </c>
      <c r="G13" s="137" t="s">
        <v>592</v>
      </c>
      <c r="H13" s="137" t="s">
        <v>592</v>
      </c>
      <c r="I13" s="137" t="str">
        <f>C13</f>
        <v>12 Mo. 09/30/14</v>
      </c>
      <c r="J13" s="137" t="s">
        <v>591</v>
      </c>
      <c r="K13" s="137" t="s">
        <v>10</v>
      </c>
      <c r="L13" s="137" t="s">
        <v>590</v>
      </c>
      <c r="M13" s="137" t="s">
        <v>592</v>
      </c>
      <c r="N13" s="137" t="s">
        <v>10</v>
      </c>
    </row>
    <row r="14" spans="1:14">
      <c r="A14" s="80">
        <v>1</v>
      </c>
      <c r="B14" s="96" t="s">
        <v>589</v>
      </c>
      <c r="C14" s="138">
        <v>141524388</v>
      </c>
      <c r="D14" s="127">
        <v>0</v>
      </c>
      <c r="E14" s="127">
        <f>+C14-D14</f>
        <v>141524388</v>
      </c>
      <c r="F14" s="127">
        <v>-495495</v>
      </c>
      <c r="G14" s="139">
        <f>+E14+F14</f>
        <v>141028893</v>
      </c>
      <c r="H14" s="139">
        <v>0</v>
      </c>
      <c r="I14" s="139">
        <f>+G14+H14</f>
        <v>141028893</v>
      </c>
      <c r="J14" s="140" t="s">
        <v>385</v>
      </c>
      <c r="K14" s="141">
        <v>138855757</v>
      </c>
      <c r="L14" s="142" t="s">
        <v>385</v>
      </c>
      <c r="M14" s="139">
        <v>-21705700</v>
      </c>
      <c r="N14" s="139">
        <f>K14+M14</f>
        <v>117150057</v>
      </c>
    </row>
    <row r="15" spans="1:14">
      <c r="A15" s="80">
        <f>+A14+1</f>
        <v>2</v>
      </c>
      <c r="B15" s="63" t="s">
        <v>588</v>
      </c>
      <c r="C15" s="127">
        <v>38665107</v>
      </c>
      <c r="D15" s="127">
        <v>0</v>
      </c>
      <c r="E15" s="127">
        <f>+C15-D15</f>
        <v>38665107</v>
      </c>
      <c r="F15" s="127">
        <v>0</v>
      </c>
      <c r="G15" s="127">
        <f>+E15-F15</f>
        <v>38665107</v>
      </c>
      <c r="H15" s="127">
        <v>0</v>
      </c>
      <c r="I15" s="127">
        <f>+G15+H15</f>
        <v>38665107</v>
      </c>
      <c r="J15" s="143">
        <v>0.98899999999999999</v>
      </c>
      <c r="K15" s="139">
        <f>IF(I15*J15=0,0, ROUND(I15*J15,0))</f>
        <v>38239791</v>
      </c>
      <c r="L15" s="142" t="s">
        <v>397</v>
      </c>
      <c r="M15" s="127">
        <v>-5425529</v>
      </c>
      <c r="N15" s="139">
        <f>K15+M15</f>
        <v>32814262</v>
      </c>
    </row>
    <row r="16" spans="1:14">
      <c r="A16" s="178">
        <f t="shared" ref="A16:A21" si="0">+A15+1</f>
        <v>3</v>
      </c>
      <c r="B16" s="63" t="s">
        <v>709</v>
      </c>
      <c r="C16" s="127">
        <v>1901267</v>
      </c>
      <c r="D16" s="127"/>
      <c r="E16" s="127">
        <v>1901267</v>
      </c>
      <c r="F16" s="127"/>
      <c r="G16" s="127">
        <f>+E16-F16</f>
        <v>1901267</v>
      </c>
      <c r="H16" s="127"/>
      <c r="I16" s="127">
        <f>+G16+H16</f>
        <v>1901267</v>
      </c>
      <c r="J16" s="143">
        <v>0.98899999999999999</v>
      </c>
      <c r="K16" s="139">
        <f>IF(I16*J16=0,0, ROUND(I16*J16,0))</f>
        <v>1880353</v>
      </c>
      <c r="L16" s="142" t="s">
        <v>397</v>
      </c>
      <c r="M16" s="127"/>
      <c r="N16" s="139">
        <f>K16+M16</f>
        <v>1880353</v>
      </c>
    </row>
    <row r="17" spans="1:14">
      <c r="A17" s="178">
        <f t="shared" si="0"/>
        <v>4</v>
      </c>
      <c r="B17" s="63" t="s">
        <v>587</v>
      </c>
      <c r="C17" s="128">
        <v>3282008</v>
      </c>
      <c r="D17" s="128">
        <f>C17</f>
        <v>3282008</v>
      </c>
      <c r="E17" s="144">
        <f>+C17-D17</f>
        <v>0</v>
      </c>
      <c r="F17" s="128">
        <v>0</v>
      </c>
      <c r="G17" s="144">
        <f>+E17+F17</f>
        <v>0</v>
      </c>
      <c r="H17" s="144">
        <v>0</v>
      </c>
      <c r="I17" s="144">
        <f>+G17+H17</f>
        <v>0</v>
      </c>
      <c r="J17" s="140" t="s">
        <v>586</v>
      </c>
      <c r="K17" s="145">
        <v>0</v>
      </c>
      <c r="L17" s="140" t="s">
        <v>586</v>
      </c>
      <c r="M17" s="144">
        <v>0</v>
      </c>
      <c r="N17" s="144">
        <f>K17+M17</f>
        <v>0</v>
      </c>
    </row>
    <row r="18" spans="1:14">
      <c r="A18" s="178">
        <f t="shared" si="0"/>
        <v>5</v>
      </c>
      <c r="B18" s="96" t="s">
        <v>585</v>
      </c>
      <c r="C18" s="127">
        <f t="shared" ref="C18:I18" si="1">C14-C15+C16+C17</f>
        <v>108042556</v>
      </c>
      <c r="D18" s="127">
        <f t="shared" si="1"/>
        <v>3282008</v>
      </c>
      <c r="E18" s="127">
        <f t="shared" si="1"/>
        <v>104760548</v>
      </c>
      <c r="F18" s="127">
        <f t="shared" si="1"/>
        <v>-495495</v>
      </c>
      <c r="G18" s="127">
        <f t="shared" si="1"/>
        <v>104265053</v>
      </c>
      <c r="H18" s="127">
        <f t="shared" si="1"/>
        <v>0</v>
      </c>
      <c r="I18" s="127">
        <f t="shared" si="1"/>
        <v>104265053</v>
      </c>
      <c r="J18" s="140"/>
      <c r="K18" s="146">
        <f>K14-K15+K16+K17</f>
        <v>102496319</v>
      </c>
      <c r="L18" s="140"/>
      <c r="M18" s="127">
        <f>M14-M15+M17</f>
        <v>-16280171</v>
      </c>
      <c r="N18" s="127">
        <f>N14-N15+N16+N17</f>
        <v>86216148</v>
      </c>
    </row>
    <row r="19" spans="1:14">
      <c r="A19" s="178">
        <f t="shared" si="0"/>
        <v>6</v>
      </c>
      <c r="B19" s="65" t="s">
        <v>584</v>
      </c>
      <c r="C19" s="128">
        <v>5990651</v>
      </c>
      <c r="D19" s="128">
        <v>28129</v>
      </c>
      <c r="E19" s="128">
        <v>5962522</v>
      </c>
      <c r="F19" s="128">
        <v>-28415</v>
      </c>
      <c r="G19" s="139">
        <v>5934107</v>
      </c>
      <c r="H19" s="128">
        <f>'[1]SIT Schedules'!I182</f>
        <v>0</v>
      </c>
      <c r="I19" s="144">
        <f>+G19+H19</f>
        <v>5934107</v>
      </c>
      <c r="J19" s="140" t="s">
        <v>583</v>
      </c>
      <c r="K19" s="128">
        <v>5840124</v>
      </c>
      <c r="L19" s="140" t="s">
        <v>582</v>
      </c>
      <c r="M19" s="128">
        <v>-898364</v>
      </c>
      <c r="N19" s="128">
        <v>4941759</v>
      </c>
    </row>
    <row r="20" spans="1:14">
      <c r="A20" s="178">
        <f t="shared" si="0"/>
        <v>7</v>
      </c>
      <c r="B20" s="96" t="s">
        <v>581</v>
      </c>
      <c r="C20" s="147">
        <f t="shared" ref="C20:I20" si="2">C18-C19</f>
        <v>102051905</v>
      </c>
      <c r="D20" s="147">
        <f t="shared" si="2"/>
        <v>3253879</v>
      </c>
      <c r="E20" s="147">
        <f t="shared" si="2"/>
        <v>98798026</v>
      </c>
      <c r="F20" s="147">
        <f t="shared" si="2"/>
        <v>-467080</v>
      </c>
      <c r="G20" s="147">
        <f t="shared" si="2"/>
        <v>98330946</v>
      </c>
      <c r="H20" s="147">
        <f t="shared" si="2"/>
        <v>0</v>
      </c>
      <c r="I20" s="147">
        <f t="shared" si="2"/>
        <v>98330946</v>
      </c>
      <c r="J20" s="148"/>
      <c r="K20" s="149">
        <f>K18-K19</f>
        <v>96656195</v>
      </c>
      <c r="L20" s="150"/>
      <c r="M20" s="147">
        <f t="shared" ref="M20:N20" si="3">M18-M19</f>
        <v>-15381807</v>
      </c>
      <c r="N20" s="147">
        <f t="shared" si="3"/>
        <v>81274389</v>
      </c>
    </row>
    <row r="21" spans="1:14">
      <c r="A21" s="178">
        <f t="shared" si="0"/>
        <v>8</v>
      </c>
      <c r="C21" s="127"/>
      <c r="D21" s="116"/>
      <c r="E21" s="116"/>
      <c r="F21" s="116"/>
      <c r="G21" s="116"/>
      <c r="H21" s="116"/>
      <c r="I21" s="116"/>
      <c r="J21" s="116"/>
      <c r="K21" s="141"/>
      <c r="L21" s="116"/>
      <c r="M21" s="116"/>
      <c r="N21" s="116"/>
    </row>
    <row r="22" spans="1:14">
      <c r="A22" s="80">
        <f t="shared" ref="A22:A85" si="4">+A21+1</f>
        <v>9</v>
      </c>
      <c r="B22" s="96" t="s">
        <v>580</v>
      </c>
      <c r="C22" s="127"/>
      <c r="D22" s="116"/>
      <c r="E22" s="116"/>
      <c r="F22" s="116"/>
      <c r="G22" s="116"/>
      <c r="H22" s="116"/>
      <c r="I22" s="116"/>
      <c r="J22" s="116"/>
      <c r="K22" s="141"/>
      <c r="L22" s="116"/>
      <c r="M22" s="116"/>
      <c r="N22" s="116"/>
    </row>
    <row r="23" spans="1:14">
      <c r="A23" s="80">
        <f t="shared" si="4"/>
        <v>10</v>
      </c>
      <c r="B23" s="63" t="s">
        <v>579</v>
      </c>
      <c r="C23" s="127">
        <v>24000</v>
      </c>
      <c r="D23" s="127">
        <v>0</v>
      </c>
      <c r="E23" s="127">
        <f t="shared" ref="E23:E38" si="5">+C23-D23</f>
        <v>24000</v>
      </c>
      <c r="F23" s="127">
        <v>0</v>
      </c>
      <c r="G23" s="139">
        <f t="shared" ref="G23:G38" si="6">+E23+F23</f>
        <v>24000</v>
      </c>
      <c r="H23" s="127">
        <v>0</v>
      </c>
      <c r="I23" s="139">
        <f>+G23+H23</f>
        <v>24000</v>
      </c>
      <c r="J23" s="143">
        <v>0.98899999999999999</v>
      </c>
      <c r="K23" s="139">
        <f>IF(I23*J23=0,0, ROUND(I23*J23,0))</f>
        <v>23736</v>
      </c>
      <c r="L23" s="142" t="s">
        <v>397</v>
      </c>
      <c r="M23" s="127">
        <v>0</v>
      </c>
      <c r="N23" s="139">
        <f t="shared" ref="N23:N38" si="7">K23+M23</f>
        <v>23736</v>
      </c>
    </row>
    <row r="24" spans="1:14">
      <c r="A24" s="80">
        <f t="shared" si="4"/>
        <v>11</v>
      </c>
      <c r="B24" s="63" t="s">
        <v>578</v>
      </c>
      <c r="C24" s="127">
        <v>0</v>
      </c>
      <c r="D24" s="127">
        <v>0</v>
      </c>
      <c r="E24" s="127">
        <f>+C24-D24</f>
        <v>0</v>
      </c>
      <c r="F24" s="127">
        <v>0</v>
      </c>
      <c r="G24" s="139">
        <f t="shared" si="6"/>
        <v>0</v>
      </c>
      <c r="H24" s="127">
        <v>0</v>
      </c>
      <c r="I24" s="139">
        <f>+G24+H24</f>
        <v>0</v>
      </c>
      <c r="J24" s="143">
        <v>0.98899999999999999</v>
      </c>
      <c r="K24" s="139">
        <f>IF(I24*J24=0,0, ROUND(I24*J24,0))</f>
        <v>0</v>
      </c>
      <c r="L24" s="142" t="s">
        <v>397</v>
      </c>
      <c r="M24" s="127">
        <v>0</v>
      </c>
      <c r="N24" s="139">
        <f t="shared" si="7"/>
        <v>0</v>
      </c>
    </row>
    <row r="25" spans="1:14">
      <c r="A25" s="80">
        <f t="shared" si="4"/>
        <v>12</v>
      </c>
      <c r="B25" s="63" t="s">
        <v>577</v>
      </c>
      <c r="C25" s="127">
        <v>-846000</v>
      </c>
      <c r="D25" s="127">
        <v>0</v>
      </c>
      <c r="E25" s="127">
        <f t="shared" si="5"/>
        <v>-846000</v>
      </c>
      <c r="F25" s="127">
        <v>0</v>
      </c>
      <c r="G25" s="139">
        <f t="shared" si="6"/>
        <v>-846000</v>
      </c>
      <c r="H25" s="139">
        <v>0</v>
      </c>
      <c r="I25" s="139">
        <f t="shared" ref="I25:I38" si="8">+G25+H25</f>
        <v>-846000</v>
      </c>
      <c r="J25" s="143">
        <v>0.98899999999999999</v>
      </c>
      <c r="K25" s="139">
        <f t="shared" ref="K25:K38" si="9">IF(I25*J25=0,0, ROUND(I25*J25,0))</f>
        <v>-836694</v>
      </c>
      <c r="L25" s="142" t="s">
        <v>397</v>
      </c>
      <c r="M25" s="217">
        <v>-2242083</v>
      </c>
      <c r="N25" s="139">
        <f t="shared" si="7"/>
        <v>-3078777</v>
      </c>
    </row>
    <row r="26" spans="1:14">
      <c r="A26" s="80">
        <f t="shared" si="4"/>
        <v>13</v>
      </c>
      <c r="B26" s="63" t="s">
        <v>576</v>
      </c>
      <c r="C26" s="127">
        <v>0</v>
      </c>
      <c r="D26" s="127">
        <v>0</v>
      </c>
      <c r="E26" s="127">
        <f>+C26-D26</f>
        <v>0</v>
      </c>
      <c r="F26" s="127">
        <v>0</v>
      </c>
      <c r="G26" s="139">
        <f t="shared" si="6"/>
        <v>0</v>
      </c>
      <c r="H26" s="127">
        <v>0</v>
      </c>
      <c r="I26" s="139">
        <f>+G26+H26</f>
        <v>0</v>
      </c>
      <c r="J26" s="143">
        <v>0.98899999999999999</v>
      </c>
      <c r="K26" s="139">
        <f>IF(I26*J26=0,0, ROUND(I26*J26,0))</f>
        <v>0</v>
      </c>
      <c r="L26" s="142" t="s">
        <v>397</v>
      </c>
      <c r="M26" s="127">
        <v>0</v>
      </c>
      <c r="N26" s="139">
        <f t="shared" si="7"/>
        <v>0</v>
      </c>
    </row>
    <row r="27" spans="1:14">
      <c r="A27" s="80">
        <f t="shared" si="4"/>
        <v>14</v>
      </c>
      <c r="B27" s="63" t="s">
        <v>575</v>
      </c>
      <c r="C27" s="127">
        <v>2079</v>
      </c>
      <c r="D27" s="127">
        <v>0</v>
      </c>
      <c r="E27" s="127">
        <f t="shared" si="5"/>
        <v>2079</v>
      </c>
      <c r="F27" s="127">
        <v>0</v>
      </c>
      <c r="G27" s="139">
        <f t="shared" si="6"/>
        <v>2079</v>
      </c>
      <c r="H27" s="139">
        <v>0</v>
      </c>
      <c r="I27" s="139">
        <f t="shared" si="8"/>
        <v>2079</v>
      </c>
      <c r="J27" s="143">
        <v>0.98899999999999999</v>
      </c>
      <c r="K27" s="139">
        <f t="shared" si="9"/>
        <v>2056</v>
      </c>
      <c r="L27" s="142" t="s">
        <v>397</v>
      </c>
      <c r="M27" s="139">
        <v>0</v>
      </c>
      <c r="N27" s="139">
        <f t="shared" si="7"/>
        <v>2056</v>
      </c>
    </row>
    <row r="28" spans="1:14">
      <c r="A28" s="80">
        <f t="shared" si="4"/>
        <v>15</v>
      </c>
      <c r="B28" s="63" t="s">
        <v>574</v>
      </c>
      <c r="C28" s="151">
        <v>17251</v>
      </c>
      <c r="D28" s="127">
        <v>0</v>
      </c>
      <c r="E28" s="127">
        <f t="shared" si="5"/>
        <v>17251</v>
      </c>
      <c r="F28" s="127">
        <v>0</v>
      </c>
      <c r="G28" s="139">
        <f t="shared" si="6"/>
        <v>17251</v>
      </c>
      <c r="H28" s="139">
        <v>0</v>
      </c>
      <c r="I28" s="139">
        <f t="shared" si="8"/>
        <v>17251</v>
      </c>
      <c r="J28" s="143">
        <v>0.98899999999999999</v>
      </c>
      <c r="K28" s="139">
        <f t="shared" si="9"/>
        <v>17061</v>
      </c>
      <c r="L28" s="142" t="s">
        <v>397</v>
      </c>
      <c r="M28" s="139">
        <v>0</v>
      </c>
      <c r="N28" s="139">
        <f t="shared" si="7"/>
        <v>17061</v>
      </c>
    </row>
    <row r="29" spans="1:14">
      <c r="A29" s="80">
        <f t="shared" si="4"/>
        <v>16</v>
      </c>
      <c r="B29" s="63" t="s">
        <v>573</v>
      </c>
      <c r="C29" s="127">
        <v>31125</v>
      </c>
      <c r="D29" s="127">
        <v>0</v>
      </c>
      <c r="E29" s="127">
        <f t="shared" si="5"/>
        <v>31125</v>
      </c>
      <c r="F29" s="127">
        <v>0</v>
      </c>
      <c r="G29" s="139">
        <f t="shared" si="6"/>
        <v>31125</v>
      </c>
      <c r="H29" s="127">
        <v>0</v>
      </c>
      <c r="I29" s="139">
        <f t="shared" si="8"/>
        <v>31125</v>
      </c>
      <c r="J29" s="143">
        <v>0.98599999999999999</v>
      </c>
      <c r="K29" s="139">
        <f t="shared" si="9"/>
        <v>30689</v>
      </c>
      <c r="L29" s="142" t="s">
        <v>394</v>
      </c>
      <c r="M29" s="127">
        <v>0</v>
      </c>
      <c r="N29" s="139">
        <f t="shared" si="7"/>
        <v>30689</v>
      </c>
    </row>
    <row r="30" spans="1:14">
      <c r="A30" s="80">
        <f t="shared" si="4"/>
        <v>17</v>
      </c>
      <c r="B30" s="152" t="s">
        <v>572</v>
      </c>
      <c r="C30" s="127">
        <v>0</v>
      </c>
      <c r="D30" s="127">
        <v>0</v>
      </c>
      <c r="E30" s="127">
        <f>+C30-D30</f>
        <v>0</v>
      </c>
      <c r="F30" s="127">
        <v>0</v>
      </c>
      <c r="G30" s="139">
        <f t="shared" si="6"/>
        <v>0</v>
      </c>
      <c r="H30" s="127">
        <v>0</v>
      </c>
      <c r="I30" s="139">
        <f>+G30+H30</f>
        <v>0</v>
      </c>
      <c r="J30" s="143">
        <v>0.98599999999999999</v>
      </c>
      <c r="K30" s="139">
        <f>IF(I30*J30=0,0, ROUND(I30*J30,0))</f>
        <v>0</v>
      </c>
      <c r="L30" s="142" t="s">
        <v>395</v>
      </c>
      <c r="M30" s="127">
        <v>0</v>
      </c>
      <c r="N30" s="139">
        <f t="shared" si="7"/>
        <v>0</v>
      </c>
    </row>
    <row r="31" spans="1:14">
      <c r="A31" s="80">
        <f t="shared" si="4"/>
        <v>18</v>
      </c>
      <c r="B31" s="152" t="s">
        <v>571</v>
      </c>
      <c r="C31" s="127">
        <v>588000</v>
      </c>
      <c r="D31" s="127">
        <v>0</v>
      </c>
      <c r="E31" s="127">
        <f t="shared" si="5"/>
        <v>588000</v>
      </c>
      <c r="F31" s="127">
        <v>0</v>
      </c>
      <c r="G31" s="139">
        <f t="shared" si="6"/>
        <v>588000</v>
      </c>
      <c r="H31" s="127">
        <v>0</v>
      </c>
      <c r="I31" s="139">
        <f>+G31+H31</f>
        <v>588000</v>
      </c>
      <c r="J31" s="143">
        <v>0.98599999999999999</v>
      </c>
      <c r="K31" s="139">
        <f>IF(I31*J31=0,0, ROUND(I31*J31,0))</f>
        <v>579768</v>
      </c>
      <c r="L31" s="142" t="s">
        <v>394</v>
      </c>
      <c r="M31" s="127">
        <v>0</v>
      </c>
      <c r="N31" s="139">
        <f t="shared" si="7"/>
        <v>579768</v>
      </c>
    </row>
    <row r="32" spans="1:14">
      <c r="A32" s="80">
        <f t="shared" si="4"/>
        <v>19</v>
      </c>
      <c r="B32" s="152" t="s">
        <v>570</v>
      </c>
      <c r="C32" s="127">
        <v>0</v>
      </c>
      <c r="D32" s="127">
        <v>0</v>
      </c>
      <c r="E32" s="127">
        <f>+C32-D32</f>
        <v>0</v>
      </c>
      <c r="F32" s="127">
        <v>0</v>
      </c>
      <c r="G32" s="139">
        <f t="shared" si="6"/>
        <v>0</v>
      </c>
      <c r="H32" s="127">
        <v>0</v>
      </c>
      <c r="I32" s="139">
        <f>+G32+H32</f>
        <v>0</v>
      </c>
      <c r="J32" s="143">
        <v>0.98599999999999999</v>
      </c>
      <c r="K32" s="139">
        <f>IF(I32*J32=0,0, ROUND(I32*J32,0))</f>
        <v>0</v>
      </c>
      <c r="L32" s="142" t="s">
        <v>394</v>
      </c>
      <c r="M32" s="127">
        <v>0</v>
      </c>
      <c r="N32" s="139">
        <f t="shared" si="7"/>
        <v>0</v>
      </c>
    </row>
    <row r="33" spans="1:14">
      <c r="A33" s="80">
        <f t="shared" si="4"/>
        <v>20</v>
      </c>
      <c r="B33" s="116" t="s">
        <v>569</v>
      </c>
      <c r="C33" s="127">
        <v>11097000</v>
      </c>
      <c r="D33" s="127">
        <v>0</v>
      </c>
      <c r="E33" s="127">
        <f t="shared" si="5"/>
        <v>11097000</v>
      </c>
      <c r="F33" s="127">
        <v>0</v>
      </c>
      <c r="G33" s="139">
        <f t="shared" si="6"/>
        <v>11097000</v>
      </c>
      <c r="H33" s="139">
        <v>0</v>
      </c>
      <c r="I33" s="139">
        <f t="shared" si="8"/>
        <v>11097000</v>
      </c>
      <c r="J33" s="143">
        <v>0.98899999999999999</v>
      </c>
      <c r="K33" s="139">
        <f t="shared" si="9"/>
        <v>10974933</v>
      </c>
      <c r="L33" s="142" t="s">
        <v>397</v>
      </c>
      <c r="M33" s="218">
        <v>-2117623</v>
      </c>
      <c r="N33" s="139">
        <f t="shared" si="7"/>
        <v>8857310</v>
      </c>
    </row>
    <row r="34" spans="1:14">
      <c r="A34" s="80">
        <f t="shared" si="4"/>
        <v>21</v>
      </c>
      <c r="B34" s="116" t="s">
        <v>568</v>
      </c>
      <c r="C34" s="139">
        <v>-220809</v>
      </c>
      <c r="D34" s="139">
        <v>0</v>
      </c>
      <c r="E34" s="127">
        <f t="shared" si="5"/>
        <v>-220809</v>
      </c>
      <c r="F34" s="127">
        <v>0</v>
      </c>
      <c r="G34" s="139">
        <f t="shared" si="6"/>
        <v>-220809</v>
      </c>
      <c r="H34" s="127">
        <v>0</v>
      </c>
      <c r="I34" s="139">
        <f t="shared" si="8"/>
        <v>-220809</v>
      </c>
      <c r="J34" s="143">
        <v>0.98599999999999999</v>
      </c>
      <c r="K34" s="139">
        <f>IF(I34*J34=0,0, ROUND(I34*J34,0))</f>
        <v>-217718</v>
      </c>
      <c r="L34" s="142" t="s">
        <v>395</v>
      </c>
      <c r="M34" s="219">
        <v>237400</v>
      </c>
      <c r="N34" s="139">
        <f t="shared" si="7"/>
        <v>19682</v>
      </c>
    </row>
    <row r="35" spans="1:14">
      <c r="A35" s="80">
        <f t="shared" si="4"/>
        <v>22</v>
      </c>
      <c r="B35" s="116" t="s">
        <v>567</v>
      </c>
      <c r="C35" s="127">
        <v>0</v>
      </c>
      <c r="D35" s="127">
        <v>0</v>
      </c>
      <c r="E35" s="127">
        <f t="shared" si="5"/>
        <v>0</v>
      </c>
      <c r="F35" s="127">
        <v>0</v>
      </c>
      <c r="G35" s="139">
        <f t="shared" si="6"/>
        <v>0</v>
      </c>
      <c r="H35" s="127">
        <v>0</v>
      </c>
      <c r="I35" s="139">
        <f t="shared" si="8"/>
        <v>0</v>
      </c>
      <c r="J35" s="143">
        <v>0.98899999999999999</v>
      </c>
      <c r="K35" s="139">
        <f t="shared" si="9"/>
        <v>0</v>
      </c>
      <c r="L35" s="142" t="s">
        <v>397</v>
      </c>
      <c r="M35" s="127">
        <v>0</v>
      </c>
      <c r="N35" s="139">
        <f t="shared" si="7"/>
        <v>0</v>
      </c>
    </row>
    <row r="36" spans="1:14">
      <c r="A36" s="80">
        <f t="shared" si="4"/>
        <v>23</v>
      </c>
      <c r="B36" s="116" t="s">
        <v>566</v>
      </c>
      <c r="C36" s="127">
        <v>0</v>
      </c>
      <c r="D36" s="127">
        <v>0</v>
      </c>
      <c r="E36" s="127">
        <f t="shared" si="5"/>
        <v>0</v>
      </c>
      <c r="F36" s="127">
        <v>0</v>
      </c>
      <c r="G36" s="139">
        <f t="shared" si="6"/>
        <v>0</v>
      </c>
      <c r="H36" s="127">
        <v>0</v>
      </c>
      <c r="I36" s="139">
        <f t="shared" si="8"/>
        <v>0</v>
      </c>
      <c r="J36" s="143">
        <v>0.98899999999999999</v>
      </c>
      <c r="K36" s="139">
        <f t="shared" si="9"/>
        <v>0</v>
      </c>
      <c r="L36" s="142" t="s">
        <v>397</v>
      </c>
      <c r="M36" s="127">
        <v>0</v>
      </c>
      <c r="N36" s="139">
        <f t="shared" si="7"/>
        <v>0</v>
      </c>
    </row>
    <row r="37" spans="1:14">
      <c r="A37" s="80">
        <f t="shared" si="4"/>
        <v>24</v>
      </c>
      <c r="B37" s="152" t="s">
        <v>565</v>
      </c>
      <c r="C37" s="127">
        <v>0</v>
      </c>
      <c r="D37" s="127">
        <v>0</v>
      </c>
      <c r="E37" s="127">
        <f t="shared" si="5"/>
        <v>0</v>
      </c>
      <c r="F37" s="127">
        <v>0</v>
      </c>
      <c r="G37" s="139">
        <f t="shared" si="6"/>
        <v>0</v>
      </c>
      <c r="H37" s="127">
        <v>0</v>
      </c>
      <c r="I37" s="139">
        <f>+G37+H37</f>
        <v>0</v>
      </c>
      <c r="J37" s="143">
        <v>0.98599999999999999</v>
      </c>
      <c r="K37" s="139">
        <f>IF(I37*J37=0,0, ROUND(I37*J37,0))</f>
        <v>0</v>
      </c>
      <c r="L37" s="142" t="s">
        <v>395</v>
      </c>
      <c r="M37" s="127">
        <v>0</v>
      </c>
      <c r="N37" s="139">
        <f t="shared" si="7"/>
        <v>0</v>
      </c>
    </row>
    <row r="38" spans="1:14">
      <c r="A38" s="80">
        <f t="shared" si="4"/>
        <v>25</v>
      </c>
      <c r="B38" s="63" t="s">
        <v>564</v>
      </c>
      <c r="C38" s="127">
        <v>-181948</v>
      </c>
      <c r="D38" s="127">
        <v>0</v>
      </c>
      <c r="E38" s="127">
        <f t="shared" si="5"/>
        <v>-181948</v>
      </c>
      <c r="F38" s="127">
        <v>0</v>
      </c>
      <c r="G38" s="139">
        <f t="shared" si="6"/>
        <v>-181948</v>
      </c>
      <c r="H38" s="127">
        <v>0</v>
      </c>
      <c r="I38" s="139">
        <f t="shared" si="8"/>
        <v>-181948</v>
      </c>
      <c r="J38" s="143">
        <v>0.999</v>
      </c>
      <c r="K38" s="139">
        <f t="shared" si="9"/>
        <v>-181766</v>
      </c>
      <c r="L38" s="142" t="s">
        <v>393</v>
      </c>
      <c r="M38" s="127">
        <v>0</v>
      </c>
      <c r="N38" s="139">
        <f t="shared" si="7"/>
        <v>-181766</v>
      </c>
    </row>
    <row r="39" spans="1:14">
      <c r="A39" s="80">
        <f t="shared" si="4"/>
        <v>26</v>
      </c>
      <c r="B39" s="96" t="s">
        <v>563</v>
      </c>
      <c r="C39" s="147">
        <f t="shared" ref="C39:I39" si="10">SUM(C23:C38)</f>
        <v>10510698</v>
      </c>
      <c r="D39" s="147">
        <f t="shared" si="10"/>
        <v>0</v>
      </c>
      <c r="E39" s="147">
        <f t="shared" si="10"/>
        <v>10510698</v>
      </c>
      <c r="F39" s="147">
        <f t="shared" si="10"/>
        <v>0</v>
      </c>
      <c r="G39" s="147">
        <f t="shared" si="10"/>
        <v>10510698</v>
      </c>
      <c r="H39" s="147">
        <f t="shared" si="10"/>
        <v>0</v>
      </c>
      <c r="I39" s="147">
        <f t="shared" si="10"/>
        <v>10510698</v>
      </c>
      <c r="J39" s="153"/>
      <c r="K39" s="149">
        <f>SUM(K23:K38)</f>
        <v>10392065</v>
      </c>
      <c r="L39" s="148"/>
      <c r="M39" s="147">
        <f t="shared" ref="M39:N39" si="11">SUM(M23:M38)</f>
        <v>-4122306</v>
      </c>
      <c r="N39" s="147">
        <f t="shared" si="11"/>
        <v>6269759</v>
      </c>
    </row>
    <row r="40" spans="1:14">
      <c r="A40" s="80">
        <f t="shared" si="4"/>
        <v>27</v>
      </c>
      <c r="B40" s="63" t="s">
        <v>408</v>
      </c>
      <c r="C40" s="127"/>
      <c r="D40" s="116"/>
      <c r="E40" s="116"/>
      <c r="F40" s="116"/>
      <c r="G40" s="116"/>
      <c r="H40" s="116"/>
      <c r="I40" s="116"/>
      <c r="J40" s="154"/>
      <c r="K40" s="141"/>
      <c r="L40" s="150"/>
      <c r="M40" s="116"/>
      <c r="N40" s="116"/>
    </row>
    <row r="41" spans="1:14">
      <c r="A41" s="80">
        <f t="shared" si="4"/>
        <v>28</v>
      </c>
      <c r="B41" s="96" t="s">
        <v>562</v>
      </c>
      <c r="C41" s="127"/>
      <c r="D41" s="116"/>
      <c r="E41" s="116"/>
      <c r="F41" s="116"/>
      <c r="G41" s="116"/>
      <c r="H41" s="116"/>
      <c r="I41" s="116"/>
      <c r="J41" s="154"/>
      <c r="K41" s="141"/>
      <c r="L41" s="116"/>
      <c r="M41" s="116"/>
      <c r="N41" s="116"/>
    </row>
    <row r="42" spans="1:14">
      <c r="A42" s="80">
        <f t="shared" si="4"/>
        <v>29</v>
      </c>
      <c r="B42" s="63" t="s">
        <v>561</v>
      </c>
      <c r="C42" s="220">
        <v>-3676294</v>
      </c>
      <c r="D42" s="127">
        <f>C42</f>
        <v>-3676294</v>
      </c>
      <c r="E42" s="127">
        <f t="shared" ref="E42:E50" si="12">+C42-D42</f>
        <v>0</v>
      </c>
      <c r="F42" s="127">
        <v>0</v>
      </c>
      <c r="G42" s="139">
        <f t="shared" ref="G42:G50" si="13">+E42+F42</f>
        <v>0</v>
      </c>
      <c r="H42" s="127">
        <v>0</v>
      </c>
      <c r="I42" s="139">
        <f t="shared" ref="I42:I49" si="14">+G42+H42</f>
        <v>0</v>
      </c>
      <c r="J42" s="143">
        <v>0</v>
      </c>
      <c r="K42" s="139">
        <f t="shared" ref="K42:K49" si="15">IF(I42*J42=0,0, ROUND(I42*J42,0))</f>
        <v>0</v>
      </c>
      <c r="L42" s="142" t="s">
        <v>384</v>
      </c>
      <c r="M42" s="127">
        <v>0</v>
      </c>
      <c r="N42" s="139">
        <f t="shared" ref="N42:N50" si="16">K42+M42</f>
        <v>0</v>
      </c>
    </row>
    <row r="43" spans="1:14">
      <c r="A43" s="80">
        <f t="shared" si="4"/>
        <v>30</v>
      </c>
      <c r="B43" s="116" t="s">
        <v>560</v>
      </c>
      <c r="C43" s="220">
        <v>11364</v>
      </c>
      <c r="D43" s="127">
        <v>0</v>
      </c>
      <c r="E43" s="127">
        <f t="shared" si="12"/>
        <v>11364</v>
      </c>
      <c r="F43" s="127">
        <v>0</v>
      </c>
      <c r="G43" s="139">
        <f t="shared" si="13"/>
        <v>11364</v>
      </c>
      <c r="H43" s="127">
        <v>0</v>
      </c>
      <c r="I43" s="139">
        <f t="shared" si="14"/>
        <v>11364</v>
      </c>
      <c r="J43" s="143">
        <v>1</v>
      </c>
      <c r="K43" s="139">
        <f t="shared" si="15"/>
        <v>11364</v>
      </c>
      <c r="L43" s="142" t="s">
        <v>385</v>
      </c>
      <c r="M43" s="127">
        <v>0</v>
      </c>
      <c r="N43" s="139">
        <f t="shared" si="16"/>
        <v>11364</v>
      </c>
    </row>
    <row r="44" spans="1:14">
      <c r="A44" s="80">
        <f t="shared" si="4"/>
        <v>31</v>
      </c>
      <c r="B44" s="63" t="s">
        <v>559</v>
      </c>
      <c r="C44" s="220">
        <v>-1901267</v>
      </c>
      <c r="D44" s="127">
        <v>0</v>
      </c>
      <c r="E44" s="127">
        <f t="shared" si="12"/>
        <v>-1901267</v>
      </c>
      <c r="F44" s="127">
        <v>0</v>
      </c>
      <c r="G44" s="139">
        <f t="shared" si="13"/>
        <v>-1901267</v>
      </c>
      <c r="H44" s="127">
        <v>0</v>
      </c>
      <c r="I44" s="139">
        <f t="shared" si="14"/>
        <v>-1901267</v>
      </c>
      <c r="J44" s="143">
        <v>0.98899999999999999</v>
      </c>
      <c r="K44" s="139">
        <f t="shared" si="15"/>
        <v>-1880353</v>
      </c>
      <c r="L44" s="142" t="s">
        <v>397</v>
      </c>
      <c r="M44" s="127">
        <v>0</v>
      </c>
      <c r="N44" s="139">
        <f t="shared" si="16"/>
        <v>-1880353</v>
      </c>
    </row>
    <row r="45" spans="1:14">
      <c r="A45" s="80">
        <f t="shared" si="4"/>
        <v>32</v>
      </c>
      <c r="B45" s="63" t="s">
        <v>558</v>
      </c>
      <c r="C45" s="127">
        <v>0</v>
      </c>
      <c r="D45" s="127">
        <v>0</v>
      </c>
      <c r="E45" s="127">
        <f t="shared" si="12"/>
        <v>0</v>
      </c>
      <c r="F45" s="127">
        <v>0</v>
      </c>
      <c r="G45" s="139">
        <f t="shared" si="13"/>
        <v>0</v>
      </c>
      <c r="H45" s="127">
        <v>0</v>
      </c>
      <c r="I45" s="139">
        <f>+G45+H45</f>
        <v>0</v>
      </c>
      <c r="J45" s="143">
        <v>0.98899999999999999</v>
      </c>
      <c r="K45" s="139">
        <f>IF(I45*J45=0,0, ROUND(I45*J45,0))</f>
        <v>0</v>
      </c>
      <c r="L45" s="142" t="s">
        <v>397</v>
      </c>
      <c r="M45" s="127">
        <v>0</v>
      </c>
      <c r="N45" s="139">
        <f t="shared" si="16"/>
        <v>0</v>
      </c>
    </row>
    <row r="46" spans="1:14">
      <c r="A46" s="80">
        <f t="shared" si="4"/>
        <v>33</v>
      </c>
      <c r="B46" s="63" t="s">
        <v>557</v>
      </c>
      <c r="C46" s="127">
        <v>0</v>
      </c>
      <c r="D46" s="127">
        <v>0</v>
      </c>
      <c r="E46" s="127">
        <f t="shared" si="12"/>
        <v>0</v>
      </c>
      <c r="F46" s="127">
        <v>0</v>
      </c>
      <c r="G46" s="139">
        <f t="shared" si="13"/>
        <v>0</v>
      </c>
      <c r="H46" s="127">
        <v>0</v>
      </c>
      <c r="I46" s="139">
        <f>+G46+H46</f>
        <v>0</v>
      </c>
      <c r="J46" s="143">
        <v>0.98599999999999999</v>
      </c>
      <c r="K46" s="139">
        <f>IF(I46*J46=0,0, ROUND(I46*J46,0))</f>
        <v>0</v>
      </c>
      <c r="L46" s="142" t="s">
        <v>394</v>
      </c>
      <c r="M46" s="127">
        <v>0</v>
      </c>
      <c r="N46" s="139">
        <f t="shared" si="16"/>
        <v>0</v>
      </c>
    </row>
    <row r="47" spans="1:14">
      <c r="A47" s="80">
        <f t="shared" si="4"/>
        <v>34</v>
      </c>
      <c r="B47" s="116" t="s">
        <v>556</v>
      </c>
      <c r="C47" s="127">
        <v>22044</v>
      </c>
      <c r="D47" s="127">
        <v>0</v>
      </c>
      <c r="E47" s="127">
        <f t="shared" si="12"/>
        <v>22044</v>
      </c>
      <c r="F47" s="127">
        <v>0</v>
      </c>
      <c r="G47" s="139">
        <f t="shared" si="13"/>
        <v>22044</v>
      </c>
      <c r="H47" s="127">
        <v>0</v>
      </c>
      <c r="I47" s="139">
        <f t="shared" si="14"/>
        <v>22044</v>
      </c>
      <c r="J47" s="143">
        <v>0.98599999999999999</v>
      </c>
      <c r="K47" s="139">
        <f t="shared" si="15"/>
        <v>21735</v>
      </c>
      <c r="L47" s="142" t="s">
        <v>394</v>
      </c>
      <c r="M47" s="127">
        <v>0</v>
      </c>
      <c r="N47" s="139">
        <f t="shared" si="16"/>
        <v>21735</v>
      </c>
    </row>
    <row r="48" spans="1:14">
      <c r="A48" s="80">
        <f t="shared" si="4"/>
        <v>35</v>
      </c>
      <c r="B48" s="116" t="s">
        <v>555</v>
      </c>
      <c r="C48" s="127">
        <v>0</v>
      </c>
      <c r="D48" s="127">
        <v>0</v>
      </c>
      <c r="E48" s="127">
        <f t="shared" si="12"/>
        <v>0</v>
      </c>
      <c r="F48" s="127">
        <v>0</v>
      </c>
      <c r="G48" s="139">
        <f t="shared" si="13"/>
        <v>0</v>
      </c>
      <c r="H48" s="127">
        <v>0</v>
      </c>
      <c r="I48" s="139">
        <f>+G48+H48</f>
        <v>0</v>
      </c>
      <c r="J48" s="143">
        <v>0.98599999999999999</v>
      </c>
      <c r="K48" s="139">
        <f>IF(I48*J48=0,0, ROUND(I48*J48,0))</f>
        <v>0</v>
      </c>
      <c r="L48" s="142" t="s">
        <v>394</v>
      </c>
      <c r="M48" s="127">
        <v>0</v>
      </c>
      <c r="N48" s="139">
        <f t="shared" si="16"/>
        <v>0</v>
      </c>
    </row>
    <row r="49" spans="1:14">
      <c r="A49" s="80">
        <f t="shared" si="4"/>
        <v>36</v>
      </c>
      <c r="B49" s="63" t="s">
        <v>554</v>
      </c>
      <c r="C49" s="127">
        <v>4234576</v>
      </c>
      <c r="D49" s="127">
        <v>0</v>
      </c>
      <c r="E49" s="127">
        <f t="shared" si="12"/>
        <v>4234576</v>
      </c>
      <c r="F49" s="127">
        <v>0</v>
      </c>
      <c r="G49" s="139">
        <f t="shared" si="13"/>
        <v>4234576</v>
      </c>
      <c r="H49" s="127">
        <v>0</v>
      </c>
      <c r="I49" s="139">
        <f t="shared" si="14"/>
        <v>4234576</v>
      </c>
      <c r="J49" s="143">
        <v>0.98899999999999999</v>
      </c>
      <c r="K49" s="139">
        <f t="shared" si="15"/>
        <v>4187996</v>
      </c>
      <c r="L49" s="142" t="s">
        <v>397</v>
      </c>
      <c r="M49" s="127">
        <v>0</v>
      </c>
      <c r="N49" s="139">
        <f t="shared" si="16"/>
        <v>4187996</v>
      </c>
    </row>
    <row r="50" spans="1:14">
      <c r="A50" s="80">
        <f t="shared" si="4"/>
        <v>37</v>
      </c>
      <c r="B50" s="63" t="s">
        <v>553</v>
      </c>
      <c r="C50" s="127">
        <v>0</v>
      </c>
      <c r="D50" s="127">
        <v>0</v>
      </c>
      <c r="E50" s="127">
        <f t="shared" si="12"/>
        <v>0</v>
      </c>
      <c r="F50" s="127">
        <v>0</v>
      </c>
      <c r="G50" s="139">
        <f t="shared" si="13"/>
        <v>0</v>
      </c>
      <c r="H50" s="127">
        <v>0</v>
      </c>
      <c r="I50" s="139">
        <f>+G50+H50</f>
        <v>0</v>
      </c>
      <c r="J50" s="143">
        <v>0.98899999999999999</v>
      </c>
      <c r="K50" s="139">
        <f>IF(I50*J50=0,0, ROUND(I50*J50,0))</f>
        <v>0</v>
      </c>
      <c r="L50" s="142" t="s">
        <v>397</v>
      </c>
      <c r="M50" s="127">
        <v>0</v>
      </c>
      <c r="N50" s="139">
        <f t="shared" si="16"/>
        <v>0</v>
      </c>
    </row>
    <row r="51" spans="1:14">
      <c r="A51" s="80">
        <f t="shared" si="4"/>
        <v>38</v>
      </c>
      <c r="B51" s="96" t="s">
        <v>552</v>
      </c>
      <c r="C51" s="147">
        <f>SUM(C42:C50)</f>
        <v>-1309577</v>
      </c>
      <c r="D51" s="147">
        <f t="shared" ref="D51:I51" si="17">SUM(D42:D50)</f>
        <v>-3676294</v>
      </c>
      <c r="E51" s="147">
        <f t="shared" si="17"/>
        <v>2366717</v>
      </c>
      <c r="F51" s="147">
        <f t="shared" si="17"/>
        <v>0</v>
      </c>
      <c r="G51" s="147">
        <f t="shared" si="17"/>
        <v>2366717</v>
      </c>
      <c r="H51" s="147">
        <f t="shared" si="17"/>
        <v>0</v>
      </c>
      <c r="I51" s="147">
        <f t="shared" si="17"/>
        <v>2366717</v>
      </c>
      <c r="J51" s="153"/>
      <c r="K51" s="149">
        <f>SUM(K42:K50)</f>
        <v>2340742</v>
      </c>
      <c r="L51" s="116"/>
      <c r="M51" s="147">
        <f t="shared" ref="M51:N51" si="18">SUM(M42:M50)</f>
        <v>0</v>
      </c>
      <c r="N51" s="147">
        <f t="shared" si="18"/>
        <v>2340742</v>
      </c>
    </row>
    <row r="52" spans="1:14">
      <c r="A52" s="80">
        <f t="shared" si="4"/>
        <v>39</v>
      </c>
      <c r="B52" s="63" t="s">
        <v>408</v>
      </c>
      <c r="C52" s="127"/>
      <c r="D52" s="116"/>
      <c r="E52" s="116"/>
      <c r="F52" s="116"/>
      <c r="G52" s="116"/>
      <c r="H52" s="116"/>
      <c r="I52" s="116"/>
      <c r="J52" s="154"/>
      <c r="K52" s="141"/>
      <c r="L52" s="116"/>
      <c r="M52" s="116"/>
      <c r="N52" s="116"/>
    </row>
    <row r="53" spans="1:14">
      <c r="A53" s="80">
        <f t="shared" si="4"/>
        <v>40</v>
      </c>
      <c r="B53" s="96" t="s">
        <v>551</v>
      </c>
      <c r="C53" s="127"/>
      <c r="D53" s="116"/>
      <c r="E53" s="116"/>
      <c r="F53" s="116"/>
      <c r="G53" s="116"/>
      <c r="H53" s="116"/>
      <c r="I53" s="116"/>
      <c r="J53" s="154"/>
      <c r="K53" s="141"/>
      <c r="L53" s="116"/>
      <c r="M53" s="116"/>
      <c r="N53" s="116"/>
    </row>
    <row r="54" spans="1:14">
      <c r="A54" s="80">
        <f t="shared" si="4"/>
        <v>41</v>
      </c>
      <c r="B54" s="63" t="s">
        <v>550</v>
      </c>
      <c r="C54" s="127">
        <v>0</v>
      </c>
      <c r="D54" s="127">
        <v>0</v>
      </c>
      <c r="E54" s="127">
        <f t="shared" ref="E54:E57" si="19">+C54-D54</f>
        <v>0</v>
      </c>
      <c r="F54" s="127">
        <v>0</v>
      </c>
      <c r="G54" s="139">
        <f t="shared" ref="G54:G57" si="20">+E54+F54</f>
        <v>0</v>
      </c>
      <c r="H54" s="127">
        <v>0</v>
      </c>
      <c r="I54" s="139">
        <f t="shared" ref="I54:I57" si="21">+G54+H54</f>
        <v>0</v>
      </c>
      <c r="J54" s="143">
        <v>0.98899999999999999</v>
      </c>
      <c r="K54" s="139">
        <f t="shared" ref="K54:K57" si="22">IF(I54*J54=0,0, ROUND(I54*J54,0))</f>
        <v>0</v>
      </c>
      <c r="L54" s="142" t="s">
        <v>397</v>
      </c>
      <c r="M54" s="127">
        <v>0</v>
      </c>
      <c r="N54" s="139">
        <f t="shared" ref="N54:N57" si="23">K54+M54</f>
        <v>0</v>
      </c>
    </row>
    <row r="55" spans="1:14">
      <c r="A55" s="80">
        <f t="shared" si="4"/>
        <v>42</v>
      </c>
      <c r="B55" s="63" t="s">
        <v>549</v>
      </c>
      <c r="C55" s="127">
        <v>0</v>
      </c>
      <c r="D55" s="127">
        <v>0</v>
      </c>
      <c r="E55" s="127">
        <f t="shared" si="19"/>
        <v>0</v>
      </c>
      <c r="F55" s="127">
        <v>0</v>
      </c>
      <c r="G55" s="139">
        <f t="shared" si="20"/>
        <v>0</v>
      </c>
      <c r="H55" s="127">
        <v>0</v>
      </c>
      <c r="I55" s="139">
        <f t="shared" si="21"/>
        <v>0</v>
      </c>
      <c r="J55" s="143">
        <v>0.98899999999999999</v>
      </c>
      <c r="K55" s="139">
        <f t="shared" si="22"/>
        <v>0</v>
      </c>
      <c r="L55" s="142" t="s">
        <v>397</v>
      </c>
      <c r="M55" s="127">
        <v>0</v>
      </c>
      <c r="N55" s="139">
        <f t="shared" si="23"/>
        <v>0</v>
      </c>
    </row>
    <row r="56" spans="1:14">
      <c r="A56" s="80">
        <f t="shared" si="4"/>
        <v>43</v>
      </c>
      <c r="B56" s="63" t="s">
        <v>548</v>
      </c>
      <c r="C56" s="127">
        <v>3076</v>
      </c>
      <c r="D56" s="127">
        <v>0</v>
      </c>
      <c r="E56" s="127">
        <f t="shared" si="19"/>
        <v>3076</v>
      </c>
      <c r="F56" s="127">
        <v>0</v>
      </c>
      <c r="G56" s="139">
        <f t="shared" si="20"/>
        <v>3076</v>
      </c>
      <c r="H56" s="127">
        <v>0</v>
      </c>
      <c r="I56" s="139">
        <f t="shared" si="21"/>
        <v>3076</v>
      </c>
      <c r="J56" s="143">
        <v>0.99</v>
      </c>
      <c r="K56" s="139">
        <f t="shared" si="22"/>
        <v>3045</v>
      </c>
      <c r="L56" s="142" t="s">
        <v>390</v>
      </c>
      <c r="M56" s="127">
        <v>0</v>
      </c>
      <c r="N56" s="139">
        <f t="shared" si="23"/>
        <v>3045</v>
      </c>
    </row>
    <row r="57" spans="1:14">
      <c r="A57" s="80">
        <f t="shared" si="4"/>
        <v>44</v>
      </c>
      <c r="B57" s="63" t="s">
        <v>547</v>
      </c>
      <c r="C57" s="127">
        <v>0</v>
      </c>
      <c r="D57" s="127">
        <v>0</v>
      </c>
      <c r="E57" s="127">
        <f t="shared" si="19"/>
        <v>0</v>
      </c>
      <c r="F57" s="127">
        <v>0</v>
      </c>
      <c r="G57" s="139">
        <f t="shared" si="20"/>
        <v>0</v>
      </c>
      <c r="H57" s="127">
        <v>0</v>
      </c>
      <c r="I57" s="139">
        <f t="shared" si="21"/>
        <v>0</v>
      </c>
      <c r="J57" s="143">
        <v>0.98899999999999999</v>
      </c>
      <c r="K57" s="139">
        <f t="shared" si="22"/>
        <v>0</v>
      </c>
      <c r="L57" s="142" t="s">
        <v>397</v>
      </c>
      <c r="M57" s="127">
        <v>0</v>
      </c>
      <c r="N57" s="139">
        <f t="shared" si="23"/>
        <v>0</v>
      </c>
    </row>
    <row r="58" spans="1:14">
      <c r="A58" s="80">
        <f t="shared" si="4"/>
        <v>45</v>
      </c>
      <c r="B58" s="96" t="s">
        <v>546</v>
      </c>
      <c r="C58" s="147">
        <f t="shared" ref="C58:I58" si="24">SUM(C54:C57)</f>
        <v>3076</v>
      </c>
      <c r="D58" s="147">
        <f t="shared" si="24"/>
        <v>0</v>
      </c>
      <c r="E58" s="147">
        <f t="shared" si="24"/>
        <v>3076</v>
      </c>
      <c r="F58" s="147">
        <f t="shared" si="24"/>
        <v>0</v>
      </c>
      <c r="G58" s="147">
        <f t="shared" si="24"/>
        <v>3076</v>
      </c>
      <c r="H58" s="147">
        <f t="shared" si="24"/>
        <v>0</v>
      </c>
      <c r="I58" s="147">
        <f t="shared" si="24"/>
        <v>3076</v>
      </c>
      <c r="J58" s="153"/>
      <c r="K58" s="149">
        <f>SUM(K54:K57)</f>
        <v>3045</v>
      </c>
      <c r="L58" s="116"/>
      <c r="M58" s="147">
        <f t="shared" ref="M58:N58" si="25">SUM(M54:M57)</f>
        <v>0</v>
      </c>
      <c r="N58" s="147">
        <f t="shared" si="25"/>
        <v>3045</v>
      </c>
    </row>
    <row r="59" spans="1:14">
      <c r="A59" s="80">
        <f t="shared" si="4"/>
        <v>46</v>
      </c>
      <c r="B59" s="63" t="s">
        <v>408</v>
      </c>
      <c r="C59" s="127"/>
      <c r="D59" s="116"/>
      <c r="E59" s="116"/>
      <c r="F59" s="116"/>
      <c r="G59" s="116"/>
      <c r="H59" s="116"/>
      <c r="I59" s="116"/>
      <c r="J59" s="154"/>
      <c r="K59" s="141"/>
      <c r="L59" s="116"/>
      <c r="M59" s="116"/>
      <c r="N59" s="116"/>
    </row>
    <row r="60" spans="1:14">
      <c r="A60" s="80">
        <f t="shared" si="4"/>
        <v>47</v>
      </c>
      <c r="B60" s="96" t="s">
        <v>192</v>
      </c>
      <c r="C60" s="127"/>
      <c r="D60" s="116"/>
      <c r="E60" s="116"/>
      <c r="F60" s="116"/>
      <c r="G60" s="116"/>
      <c r="H60" s="116"/>
      <c r="I60" s="116"/>
      <c r="J60" s="154"/>
      <c r="K60" s="141"/>
      <c r="L60" s="116"/>
      <c r="M60" s="116"/>
      <c r="N60" s="116"/>
    </row>
    <row r="61" spans="1:14">
      <c r="A61" s="80">
        <f t="shared" si="4"/>
        <v>48</v>
      </c>
      <c r="B61" s="63" t="s">
        <v>545</v>
      </c>
      <c r="C61" s="127">
        <v>0</v>
      </c>
      <c r="D61" s="127">
        <v>0</v>
      </c>
      <c r="E61" s="127">
        <f t="shared" ref="E61:E66" si="26">+C61-D61</f>
        <v>0</v>
      </c>
      <c r="F61" s="127">
        <v>0</v>
      </c>
      <c r="G61" s="139">
        <f t="shared" ref="G61:G66" si="27">+E61+F61</f>
        <v>0</v>
      </c>
      <c r="H61" s="127">
        <v>0</v>
      </c>
      <c r="I61" s="139">
        <f t="shared" ref="I61:I66" si="28">+G61+H61</f>
        <v>0</v>
      </c>
      <c r="J61" s="143">
        <v>0.98899999999999999</v>
      </c>
      <c r="K61" s="139">
        <f t="shared" ref="K61:K66" si="29">IF(I61*J61=0,0, ROUND(I61*J61,0))</f>
        <v>0</v>
      </c>
      <c r="L61" s="142" t="s">
        <v>397</v>
      </c>
      <c r="M61" s="127">
        <v>0</v>
      </c>
      <c r="N61" s="139">
        <f t="shared" ref="N61:N66" si="30">K61+M61</f>
        <v>0</v>
      </c>
    </row>
    <row r="62" spans="1:14">
      <c r="A62" s="80">
        <f t="shared" si="4"/>
        <v>49</v>
      </c>
      <c r="B62" s="63" t="s">
        <v>544</v>
      </c>
      <c r="C62" s="127">
        <v>0</v>
      </c>
      <c r="D62" s="127">
        <v>0</v>
      </c>
      <c r="E62" s="127">
        <f t="shared" si="26"/>
        <v>0</v>
      </c>
      <c r="F62" s="127">
        <v>0</v>
      </c>
      <c r="G62" s="139">
        <f t="shared" si="27"/>
        <v>0</v>
      </c>
      <c r="H62" s="127">
        <v>0</v>
      </c>
      <c r="I62" s="139">
        <f t="shared" si="28"/>
        <v>0</v>
      </c>
      <c r="J62" s="143">
        <v>0.98899999999999999</v>
      </c>
      <c r="K62" s="139">
        <f t="shared" si="29"/>
        <v>0</v>
      </c>
      <c r="L62" s="142" t="s">
        <v>397</v>
      </c>
      <c r="M62" s="127">
        <v>0</v>
      </c>
      <c r="N62" s="139">
        <f t="shared" si="30"/>
        <v>0</v>
      </c>
    </row>
    <row r="63" spans="1:14">
      <c r="A63" s="80">
        <f t="shared" si="4"/>
        <v>50</v>
      </c>
      <c r="B63" s="152" t="s">
        <v>543</v>
      </c>
      <c r="C63" s="220">
        <v>-9736653</v>
      </c>
      <c r="D63" s="127">
        <v>0</v>
      </c>
      <c r="E63" s="127">
        <f t="shared" si="26"/>
        <v>-9736653</v>
      </c>
      <c r="F63" s="127">
        <v>0</v>
      </c>
      <c r="G63" s="139">
        <f t="shared" si="27"/>
        <v>-9736653</v>
      </c>
      <c r="H63" s="127">
        <v>0</v>
      </c>
      <c r="I63" s="139">
        <f t="shared" si="28"/>
        <v>-9736653</v>
      </c>
      <c r="J63" s="143">
        <v>0.98599999999999999</v>
      </c>
      <c r="K63" s="139">
        <f t="shared" si="29"/>
        <v>-9600340</v>
      </c>
      <c r="L63" s="142" t="s">
        <v>395</v>
      </c>
      <c r="M63" s="127">
        <v>0</v>
      </c>
      <c r="N63" s="139">
        <f t="shared" si="30"/>
        <v>-9600340</v>
      </c>
    </row>
    <row r="64" spans="1:14">
      <c r="A64" s="80">
        <f t="shared" si="4"/>
        <v>51</v>
      </c>
      <c r="B64" s="152" t="s">
        <v>542</v>
      </c>
      <c r="C64" s="220">
        <v>2742000</v>
      </c>
      <c r="D64" s="127">
        <v>0</v>
      </c>
      <c r="E64" s="127">
        <f t="shared" si="26"/>
        <v>2742000</v>
      </c>
      <c r="F64" s="127">
        <v>0</v>
      </c>
      <c r="G64" s="139">
        <f t="shared" si="27"/>
        <v>2742000</v>
      </c>
      <c r="H64" s="127">
        <v>0</v>
      </c>
      <c r="I64" s="139">
        <f t="shared" si="28"/>
        <v>2742000</v>
      </c>
      <c r="J64" s="143">
        <v>0.98599999999999999</v>
      </c>
      <c r="K64" s="139">
        <f t="shared" si="29"/>
        <v>2703612</v>
      </c>
      <c r="L64" s="142" t="s">
        <v>395</v>
      </c>
      <c r="M64" s="127">
        <v>0</v>
      </c>
      <c r="N64" s="139">
        <f t="shared" si="30"/>
        <v>2703612</v>
      </c>
    </row>
    <row r="65" spans="1:14">
      <c r="A65" s="80">
        <f t="shared" si="4"/>
        <v>52</v>
      </c>
      <c r="B65" s="63" t="s">
        <v>541</v>
      </c>
      <c r="C65" s="155">
        <v>0</v>
      </c>
      <c r="D65" s="155">
        <v>0</v>
      </c>
      <c r="E65" s="155">
        <f t="shared" si="26"/>
        <v>0</v>
      </c>
      <c r="F65" s="127">
        <v>0</v>
      </c>
      <c r="G65" s="139">
        <f t="shared" si="27"/>
        <v>0</v>
      </c>
      <c r="H65" s="127">
        <v>0</v>
      </c>
      <c r="I65" s="155">
        <f t="shared" si="28"/>
        <v>0</v>
      </c>
      <c r="J65" s="143">
        <v>0.98899999999999999</v>
      </c>
      <c r="K65" s="139">
        <f t="shared" si="29"/>
        <v>0</v>
      </c>
      <c r="L65" s="142" t="s">
        <v>397</v>
      </c>
      <c r="M65" s="127">
        <v>0</v>
      </c>
      <c r="N65" s="139">
        <f t="shared" si="30"/>
        <v>0</v>
      </c>
    </row>
    <row r="66" spans="1:14">
      <c r="A66" s="80">
        <f t="shared" si="4"/>
        <v>53</v>
      </c>
      <c r="B66" s="63" t="s">
        <v>540</v>
      </c>
      <c r="C66" s="127">
        <v>0</v>
      </c>
      <c r="D66" s="127">
        <v>0</v>
      </c>
      <c r="E66" s="127">
        <f t="shared" si="26"/>
        <v>0</v>
      </c>
      <c r="F66" s="127">
        <v>0</v>
      </c>
      <c r="G66" s="139">
        <f t="shared" si="27"/>
        <v>0</v>
      </c>
      <c r="H66" s="127">
        <v>0</v>
      </c>
      <c r="I66" s="139">
        <f t="shared" si="28"/>
        <v>0</v>
      </c>
      <c r="J66" s="143">
        <v>0.98899999999999999</v>
      </c>
      <c r="K66" s="139">
        <f t="shared" si="29"/>
        <v>0</v>
      </c>
      <c r="L66" s="142" t="s">
        <v>397</v>
      </c>
      <c r="M66" s="127">
        <v>0</v>
      </c>
      <c r="N66" s="139">
        <f t="shared" si="30"/>
        <v>0</v>
      </c>
    </row>
    <row r="67" spans="1:14">
      <c r="A67" s="80">
        <f t="shared" si="4"/>
        <v>54</v>
      </c>
      <c r="B67" s="96" t="s">
        <v>539</v>
      </c>
      <c r="C67" s="147">
        <f t="shared" ref="C67:I67" si="31">SUM(C61:C66)</f>
        <v>-6994653</v>
      </c>
      <c r="D67" s="147">
        <f t="shared" si="31"/>
        <v>0</v>
      </c>
      <c r="E67" s="147">
        <f t="shared" si="31"/>
        <v>-6994653</v>
      </c>
      <c r="F67" s="147">
        <f t="shared" si="31"/>
        <v>0</v>
      </c>
      <c r="G67" s="147">
        <f t="shared" si="31"/>
        <v>-6994653</v>
      </c>
      <c r="H67" s="147">
        <f t="shared" si="31"/>
        <v>0</v>
      </c>
      <c r="I67" s="147">
        <f t="shared" si="31"/>
        <v>-6994653</v>
      </c>
      <c r="J67" s="153"/>
      <c r="K67" s="147">
        <f>SUM(K61:K66)</f>
        <v>-6896728</v>
      </c>
      <c r="L67" s="116"/>
      <c r="M67" s="147">
        <f t="shared" ref="M67:N67" si="32">SUM(M61:M66)</f>
        <v>0</v>
      </c>
      <c r="N67" s="147">
        <f t="shared" si="32"/>
        <v>-6896728</v>
      </c>
    </row>
    <row r="68" spans="1:14">
      <c r="A68" s="80">
        <f t="shared" si="4"/>
        <v>55</v>
      </c>
      <c r="B68" s="63" t="s">
        <v>408</v>
      </c>
      <c r="C68" s="127"/>
      <c r="D68" s="116"/>
      <c r="E68" s="116"/>
      <c r="F68" s="116"/>
      <c r="G68" s="116"/>
      <c r="H68" s="116"/>
      <c r="I68" s="116"/>
      <c r="J68" s="154"/>
      <c r="K68" s="141"/>
      <c r="L68" s="116"/>
      <c r="M68" s="116"/>
    </row>
    <row r="69" spans="1:14" ht="94.5" customHeight="1">
      <c r="A69" s="136"/>
      <c r="C69" s="127"/>
      <c r="D69" s="116"/>
      <c r="E69" s="116"/>
      <c r="F69" s="116"/>
      <c r="G69" s="116"/>
      <c r="H69" s="116"/>
      <c r="I69" s="116"/>
      <c r="J69" s="154"/>
      <c r="K69" s="141"/>
      <c r="L69" s="116"/>
      <c r="M69" s="116"/>
      <c r="N69" s="176" t="s">
        <v>651</v>
      </c>
    </row>
    <row r="70" spans="1:14">
      <c r="A70" s="80">
        <f>+A68+1</f>
        <v>56</v>
      </c>
      <c r="B70" s="96" t="s">
        <v>538</v>
      </c>
      <c r="C70" s="127"/>
      <c r="D70" s="116"/>
      <c r="E70" s="116"/>
      <c r="F70" s="116"/>
      <c r="G70" s="116"/>
      <c r="H70" s="116"/>
      <c r="I70" s="116"/>
      <c r="J70" s="154"/>
      <c r="K70" s="141"/>
      <c r="L70" s="116"/>
      <c r="M70" s="116"/>
      <c r="N70" s="116"/>
    </row>
    <row r="71" spans="1:14">
      <c r="A71" s="80">
        <f t="shared" si="4"/>
        <v>57</v>
      </c>
      <c r="B71" s="63" t="s">
        <v>537</v>
      </c>
      <c r="C71" s="127">
        <v>-8300000</v>
      </c>
      <c r="D71" s="127">
        <v>0</v>
      </c>
      <c r="E71" s="127">
        <f>+C71-D71</f>
        <v>-8300000</v>
      </c>
      <c r="F71" s="127">
        <v>0</v>
      </c>
      <c r="G71" s="139">
        <f>+E71+F71</f>
        <v>-8300000</v>
      </c>
      <c r="H71" s="127">
        <v>0</v>
      </c>
      <c r="I71" s="139">
        <f>+G71+H71</f>
        <v>-8300000</v>
      </c>
      <c r="J71" s="143">
        <v>0.98899999999999999</v>
      </c>
      <c r="K71" s="139">
        <f>IF(I71*J71=0,0, ROUND(I71*J71,0))</f>
        <v>-8208700</v>
      </c>
      <c r="L71" s="142" t="s">
        <v>397</v>
      </c>
      <c r="M71" s="139">
        <v>326280</v>
      </c>
      <c r="N71" s="139">
        <f>K71+M71</f>
        <v>-7882420</v>
      </c>
    </row>
    <row r="72" spans="1:14">
      <c r="A72" s="80">
        <f t="shared" si="4"/>
        <v>58</v>
      </c>
      <c r="B72" s="156" t="s">
        <v>536</v>
      </c>
      <c r="C72" s="147">
        <f t="shared" ref="C72:I72" si="33">SUM(C71:C71)</f>
        <v>-8300000</v>
      </c>
      <c r="D72" s="147">
        <f t="shared" si="33"/>
        <v>0</v>
      </c>
      <c r="E72" s="147">
        <f t="shared" si="33"/>
        <v>-8300000</v>
      </c>
      <c r="F72" s="147">
        <f t="shared" si="33"/>
        <v>0</v>
      </c>
      <c r="G72" s="147">
        <f t="shared" si="33"/>
        <v>-8300000</v>
      </c>
      <c r="H72" s="147">
        <f t="shared" si="33"/>
        <v>0</v>
      </c>
      <c r="I72" s="147">
        <f t="shared" si="33"/>
        <v>-8300000</v>
      </c>
      <c r="J72" s="153"/>
      <c r="K72" s="149">
        <f>SUM(K71:K71)</f>
        <v>-8208700</v>
      </c>
      <c r="L72" s="116"/>
      <c r="M72" s="147">
        <f t="shared" ref="M72:N72" si="34">SUM(M71:M71)</f>
        <v>326280</v>
      </c>
      <c r="N72" s="147">
        <f t="shared" si="34"/>
        <v>-7882420</v>
      </c>
    </row>
    <row r="73" spans="1:14">
      <c r="A73" s="80">
        <f t="shared" si="4"/>
        <v>59</v>
      </c>
      <c r="B73" s="63" t="s">
        <v>408</v>
      </c>
      <c r="C73" s="127"/>
      <c r="D73" s="116"/>
      <c r="E73" s="116"/>
      <c r="F73" s="116"/>
      <c r="G73" s="116"/>
      <c r="H73" s="116"/>
      <c r="I73" s="116"/>
      <c r="J73" s="154"/>
      <c r="K73" s="141"/>
      <c r="L73" s="116"/>
      <c r="M73" s="116"/>
      <c r="N73" s="116"/>
    </row>
    <row r="74" spans="1:14">
      <c r="A74" s="80">
        <f t="shared" si="4"/>
        <v>60</v>
      </c>
      <c r="B74" s="96" t="s">
        <v>535</v>
      </c>
      <c r="C74" s="127"/>
      <c r="D74" s="116"/>
      <c r="E74" s="116"/>
      <c r="F74" s="116"/>
      <c r="G74" s="116"/>
      <c r="H74" s="116"/>
      <c r="I74" s="116"/>
      <c r="J74" s="154"/>
      <c r="K74" s="141"/>
      <c r="L74" s="116"/>
      <c r="M74" s="116"/>
      <c r="N74" s="116"/>
    </row>
    <row r="75" spans="1:14">
      <c r="A75" s="80">
        <f t="shared" si="4"/>
        <v>61</v>
      </c>
      <c r="B75" s="63" t="s">
        <v>534</v>
      </c>
      <c r="C75" s="221">
        <v>4500000</v>
      </c>
      <c r="D75" s="155">
        <v>0</v>
      </c>
      <c r="E75" s="155">
        <f>+C75-D75</f>
        <v>4500000</v>
      </c>
      <c r="F75" s="127">
        <v>0</v>
      </c>
      <c r="G75" s="139">
        <f>+E75+F75</f>
        <v>4500000</v>
      </c>
      <c r="H75" s="127">
        <v>0</v>
      </c>
      <c r="I75" s="155">
        <f>+G75+H75</f>
        <v>4500000</v>
      </c>
      <c r="J75" s="143">
        <v>0.98599999999999999</v>
      </c>
      <c r="K75" s="139">
        <f>IF(I75*J75=0,0, ROUND(I75*J75,0))</f>
        <v>4437000</v>
      </c>
      <c r="L75" s="142" t="s">
        <v>395</v>
      </c>
      <c r="M75" s="127">
        <v>0</v>
      </c>
      <c r="N75" s="139">
        <f>K75+M75</f>
        <v>4437000</v>
      </c>
    </row>
    <row r="76" spans="1:14">
      <c r="A76" s="80">
        <f t="shared" si="4"/>
        <v>62</v>
      </c>
      <c r="B76" s="96" t="s">
        <v>533</v>
      </c>
      <c r="C76" s="147">
        <f t="shared" ref="C76:I76" si="35">+C75</f>
        <v>4500000</v>
      </c>
      <c r="D76" s="147">
        <f t="shared" si="35"/>
        <v>0</v>
      </c>
      <c r="E76" s="147">
        <f t="shared" si="35"/>
        <v>4500000</v>
      </c>
      <c r="F76" s="147">
        <f t="shared" si="35"/>
        <v>0</v>
      </c>
      <c r="G76" s="147">
        <f t="shared" si="35"/>
        <v>4500000</v>
      </c>
      <c r="H76" s="147">
        <f t="shared" si="35"/>
        <v>0</v>
      </c>
      <c r="I76" s="147">
        <f t="shared" si="35"/>
        <v>4500000</v>
      </c>
      <c r="J76" s="153"/>
      <c r="K76" s="149">
        <f>+K75</f>
        <v>4437000</v>
      </c>
      <c r="L76" s="116"/>
      <c r="M76" s="147">
        <f t="shared" ref="M76:N76" si="36">+M75</f>
        <v>0</v>
      </c>
      <c r="N76" s="147">
        <f t="shared" si="36"/>
        <v>4437000</v>
      </c>
    </row>
    <row r="77" spans="1:14">
      <c r="A77" s="80">
        <f t="shared" si="4"/>
        <v>63</v>
      </c>
      <c r="B77" s="63" t="s">
        <v>408</v>
      </c>
      <c r="C77" s="127"/>
      <c r="D77" s="116"/>
      <c r="E77" s="116"/>
      <c r="F77" s="116"/>
      <c r="G77" s="116"/>
      <c r="H77" s="116"/>
      <c r="I77" s="116"/>
      <c r="J77" s="154"/>
      <c r="K77" s="141"/>
      <c r="L77" s="116"/>
      <c r="M77" s="116"/>
      <c r="N77" s="116"/>
    </row>
    <row r="78" spans="1:14">
      <c r="A78" s="80">
        <f t="shared" si="4"/>
        <v>64</v>
      </c>
      <c r="B78" s="96" t="s">
        <v>532</v>
      </c>
      <c r="C78" s="127"/>
      <c r="D78" s="116"/>
      <c r="E78" s="116"/>
      <c r="F78" s="116"/>
      <c r="G78" s="116"/>
      <c r="H78" s="116"/>
      <c r="I78" s="116"/>
      <c r="J78" s="154"/>
      <c r="K78" s="141"/>
      <c r="L78" s="116"/>
      <c r="M78" s="116"/>
      <c r="N78" s="116"/>
    </row>
    <row r="79" spans="1:14">
      <c r="A79" s="80">
        <f t="shared" si="4"/>
        <v>65</v>
      </c>
      <c r="B79" s="63" t="s">
        <v>531</v>
      </c>
      <c r="C79" s="127">
        <v>0</v>
      </c>
      <c r="D79" s="127">
        <v>0</v>
      </c>
      <c r="E79" s="127">
        <f>+C79-D79</f>
        <v>0</v>
      </c>
      <c r="F79" s="127">
        <v>0</v>
      </c>
      <c r="G79" s="139">
        <f>+E79+F79</f>
        <v>0</v>
      </c>
      <c r="H79" s="127">
        <v>0</v>
      </c>
      <c r="I79" s="139">
        <f>+G79+H79</f>
        <v>0</v>
      </c>
      <c r="J79" s="143">
        <f>VLOOKUP(L79,$C$263:$D$277,2,FALSE)</f>
        <v>0.99</v>
      </c>
      <c r="K79" s="139">
        <f>IF(I79*J79=0,0, ROUND(I79*J79,0))</f>
        <v>0</v>
      </c>
      <c r="L79" s="142" t="s">
        <v>396</v>
      </c>
      <c r="M79" s="127">
        <v>0</v>
      </c>
      <c r="N79" s="139">
        <f>K79+M79</f>
        <v>0</v>
      </c>
    </row>
    <row r="80" spans="1:14">
      <c r="A80" s="80">
        <f t="shared" si="4"/>
        <v>66</v>
      </c>
      <c r="B80" s="96" t="s">
        <v>530</v>
      </c>
      <c r="C80" s="147">
        <f t="shared" ref="C80:I80" si="37">SUM(C79:C79)</f>
        <v>0</v>
      </c>
      <c r="D80" s="147">
        <f t="shared" si="37"/>
        <v>0</v>
      </c>
      <c r="E80" s="147">
        <f t="shared" si="37"/>
        <v>0</v>
      </c>
      <c r="F80" s="147">
        <f t="shared" si="37"/>
        <v>0</v>
      </c>
      <c r="G80" s="147">
        <f t="shared" si="37"/>
        <v>0</v>
      </c>
      <c r="H80" s="147">
        <f t="shared" si="37"/>
        <v>0</v>
      </c>
      <c r="I80" s="147">
        <f t="shared" si="37"/>
        <v>0</v>
      </c>
      <c r="J80" s="153"/>
      <c r="K80" s="149">
        <f>SUM(K79:K79)</f>
        <v>0</v>
      </c>
      <c r="L80" s="116"/>
      <c r="M80" s="147">
        <f t="shared" ref="M80:N80" si="38">SUM(M79:M79)</f>
        <v>0</v>
      </c>
      <c r="N80" s="147">
        <f t="shared" si="38"/>
        <v>0</v>
      </c>
    </row>
    <row r="81" spans="1:14">
      <c r="A81" s="80">
        <f t="shared" si="4"/>
        <v>67</v>
      </c>
      <c r="B81" s="63" t="s">
        <v>408</v>
      </c>
      <c r="C81" s="127"/>
      <c r="D81" s="116"/>
      <c r="E81" s="116"/>
      <c r="F81" s="116"/>
      <c r="G81" s="116"/>
      <c r="H81" s="116"/>
      <c r="I81" s="116"/>
      <c r="J81" s="154"/>
      <c r="K81" s="141"/>
      <c r="L81" s="116"/>
      <c r="M81" s="116"/>
      <c r="N81" s="116"/>
    </row>
    <row r="82" spans="1:14">
      <c r="A82" s="80">
        <f t="shared" si="4"/>
        <v>68</v>
      </c>
      <c r="B82" s="96" t="s">
        <v>529</v>
      </c>
      <c r="C82" s="127"/>
      <c r="D82" s="116"/>
      <c r="E82" s="116"/>
      <c r="F82" s="116"/>
      <c r="G82" s="116"/>
      <c r="H82" s="116"/>
      <c r="I82" s="116"/>
      <c r="J82" s="154"/>
      <c r="K82" s="141"/>
      <c r="L82" s="116"/>
      <c r="M82" s="116"/>
      <c r="N82" s="116"/>
    </row>
    <row r="83" spans="1:14">
      <c r="A83" s="80">
        <f t="shared" si="4"/>
        <v>69</v>
      </c>
      <c r="B83" s="63" t="s">
        <v>528</v>
      </c>
      <c r="C83" s="155">
        <v>-516436</v>
      </c>
      <c r="D83" s="155">
        <v>0</v>
      </c>
      <c r="E83" s="155">
        <f>+C83-D83</f>
        <v>-516436</v>
      </c>
      <c r="F83" s="127">
        <v>0</v>
      </c>
      <c r="G83" s="139">
        <f>+E83+F83</f>
        <v>-516436</v>
      </c>
      <c r="H83" s="127">
        <v>0</v>
      </c>
      <c r="I83" s="157">
        <f>+G83+H83</f>
        <v>-516436</v>
      </c>
      <c r="J83" s="143">
        <f>VLOOKUP(L83,$C$263:$D$277,2,FALSE)</f>
        <v>1</v>
      </c>
      <c r="K83" s="139">
        <f>IF(I83*J83=0,0, ROUND(I83*J83,0))</f>
        <v>-516436</v>
      </c>
      <c r="L83" s="142" t="s">
        <v>385</v>
      </c>
      <c r="M83" s="127">
        <v>0</v>
      </c>
      <c r="N83" s="139">
        <f>K83+M83</f>
        <v>-516436</v>
      </c>
    </row>
    <row r="84" spans="1:14">
      <c r="A84" s="80">
        <f t="shared" si="4"/>
        <v>70</v>
      </c>
      <c r="B84" s="96" t="s">
        <v>527</v>
      </c>
      <c r="C84" s="147">
        <f t="shared" ref="C84:I84" si="39">SUM(C83:C83)</f>
        <v>-516436</v>
      </c>
      <c r="D84" s="147">
        <f t="shared" si="39"/>
        <v>0</v>
      </c>
      <c r="E84" s="147">
        <f t="shared" si="39"/>
        <v>-516436</v>
      </c>
      <c r="F84" s="147">
        <f t="shared" si="39"/>
        <v>0</v>
      </c>
      <c r="G84" s="147">
        <f t="shared" si="39"/>
        <v>-516436</v>
      </c>
      <c r="H84" s="147">
        <f t="shared" si="39"/>
        <v>0</v>
      </c>
      <c r="I84" s="147">
        <f t="shared" si="39"/>
        <v>-516436</v>
      </c>
      <c r="J84" s="153"/>
      <c r="K84" s="149">
        <f>SUM(K83:K83)</f>
        <v>-516436</v>
      </c>
      <c r="L84" s="116"/>
      <c r="M84" s="147">
        <f t="shared" ref="M84:N84" si="40">SUM(M83:M83)</f>
        <v>0</v>
      </c>
      <c r="N84" s="147">
        <f t="shared" si="40"/>
        <v>-516436</v>
      </c>
    </row>
    <row r="85" spans="1:14">
      <c r="A85" s="80">
        <f t="shared" si="4"/>
        <v>71</v>
      </c>
      <c r="B85" s="63" t="s">
        <v>408</v>
      </c>
      <c r="C85" s="127"/>
      <c r="D85" s="116"/>
      <c r="E85" s="116"/>
      <c r="F85" s="116"/>
      <c r="G85" s="116"/>
      <c r="H85" s="116"/>
      <c r="I85" s="116"/>
      <c r="J85" s="154"/>
      <c r="K85" s="141"/>
      <c r="L85" s="116"/>
      <c r="M85" s="116"/>
      <c r="N85" s="116"/>
    </row>
    <row r="86" spans="1:14">
      <c r="A86" s="80">
        <f t="shared" ref="A86:A158" si="41">+A85+1</f>
        <v>72</v>
      </c>
      <c r="B86" s="96" t="s">
        <v>526</v>
      </c>
      <c r="C86" s="127"/>
      <c r="D86" s="116"/>
      <c r="E86" s="116"/>
      <c r="F86" s="116"/>
      <c r="G86" s="116"/>
      <c r="H86" s="116"/>
      <c r="I86" s="116"/>
      <c r="J86" s="154"/>
      <c r="K86" s="141"/>
      <c r="L86" s="116"/>
      <c r="M86" s="116"/>
      <c r="N86" s="116"/>
    </row>
    <row r="87" spans="1:14">
      <c r="A87" s="80">
        <f t="shared" si="41"/>
        <v>73</v>
      </c>
      <c r="B87" s="116" t="s">
        <v>525</v>
      </c>
      <c r="C87" s="223">
        <v>-1007592</v>
      </c>
      <c r="D87" s="127">
        <v>0</v>
      </c>
      <c r="E87" s="127">
        <f t="shared" ref="E87:E92" si="42">+C87-D87</f>
        <v>-1007592</v>
      </c>
      <c r="F87" s="127">
        <v>0</v>
      </c>
      <c r="G87" s="139">
        <f t="shared" ref="G87:G92" si="43">+E87+F87</f>
        <v>-1007592</v>
      </c>
      <c r="H87" s="127">
        <v>0</v>
      </c>
      <c r="I87" s="139">
        <f t="shared" ref="I87:I92" si="44">+G87+H87</f>
        <v>-1007592</v>
      </c>
      <c r="J87" s="143">
        <v>1</v>
      </c>
      <c r="K87" s="139">
        <f t="shared" ref="K87:K92" si="45">IF(I87*J87=0,0, ROUND(I87*J87,0))</f>
        <v>-1007592</v>
      </c>
      <c r="L87" s="142" t="s">
        <v>385</v>
      </c>
      <c r="M87" s="127">
        <v>0</v>
      </c>
      <c r="N87" s="139">
        <f t="shared" ref="N87:N92" si="46">K87+M87</f>
        <v>-1007592</v>
      </c>
    </row>
    <row r="88" spans="1:14">
      <c r="A88" s="80">
        <f t="shared" si="41"/>
        <v>74</v>
      </c>
      <c r="B88" s="116" t="s">
        <v>524</v>
      </c>
      <c r="C88" s="223">
        <v>-483611</v>
      </c>
      <c r="D88" s="127">
        <v>0</v>
      </c>
      <c r="E88" s="127">
        <f t="shared" si="42"/>
        <v>-483611</v>
      </c>
      <c r="F88" s="127">
        <v>0</v>
      </c>
      <c r="G88" s="139">
        <f t="shared" si="43"/>
        <v>-483611</v>
      </c>
      <c r="H88" s="127">
        <v>0</v>
      </c>
      <c r="I88" s="139">
        <f t="shared" si="44"/>
        <v>-483611</v>
      </c>
      <c r="J88" s="143">
        <v>1</v>
      </c>
      <c r="K88" s="139">
        <f t="shared" si="45"/>
        <v>-483611</v>
      </c>
      <c r="L88" s="142" t="s">
        <v>385</v>
      </c>
      <c r="M88" s="127">
        <v>0</v>
      </c>
      <c r="N88" s="139">
        <f t="shared" si="46"/>
        <v>-483611</v>
      </c>
    </row>
    <row r="89" spans="1:14">
      <c r="A89" s="80">
        <f t="shared" si="41"/>
        <v>75</v>
      </c>
      <c r="B89" s="116" t="s">
        <v>523</v>
      </c>
      <c r="C89" s="223">
        <v>-5974411</v>
      </c>
      <c r="D89" s="127">
        <v>0</v>
      </c>
      <c r="E89" s="127">
        <f t="shared" si="42"/>
        <v>-5974411</v>
      </c>
      <c r="F89" s="127">
        <v>0</v>
      </c>
      <c r="G89" s="139">
        <f t="shared" si="43"/>
        <v>-5974411</v>
      </c>
      <c r="H89" s="127">
        <v>0</v>
      </c>
      <c r="I89" s="139">
        <f t="shared" si="44"/>
        <v>-5974411</v>
      </c>
      <c r="J89" s="143">
        <v>1</v>
      </c>
      <c r="K89" s="139">
        <f t="shared" si="45"/>
        <v>-5974411</v>
      </c>
      <c r="L89" s="142" t="s">
        <v>385</v>
      </c>
      <c r="M89" s="127">
        <v>0</v>
      </c>
      <c r="N89" s="139">
        <f t="shared" si="46"/>
        <v>-5974411</v>
      </c>
    </row>
    <row r="90" spans="1:14">
      <c r="A90" s="80">
        <f t="shared" si="41"/>
        <v>76</v>
      </c>
      <c r="B90" s="116" t="s">
        <v>522</v>
      </c>
      <c r="C90" s="223">
        <v>-8235786</v>
      </c>
      <c r="D90" s="127">
        <v>0</v>
      </c>
      <c r="E90" s="127">
        <f t="shared" si="42"/>
        <v>-8235786</v>
      </c>
      <c r="F90" s="127">
        <v>0</v>
      </c>
      <c r="G90" s="139">
        <f t="shared" si="43"/>
        <v>-8235786</v>
      </c>
      <c r="H90" s="127">
        <v>0</v>
      </c>
      <c r="I90" s="139">
        <f t="shared" si="44"/>
        <v>-8235786</v>
      </c>
      <c r="J90" s="143">
        <v>1</v>
      </c>
      <c r="K90" s="139">
        <f t="shared" si="45"/>
        <v>-8235786</v>
      </c>
      <c r="L90" s="142" t="s">
        <v>385</v>
      </c>
      <c r="M90" s="127">
        <v>5298776</v>
      </c>
      <c r="N90" s="139">
        <f t="shared" si="46"/>
        <v>-2937010</v>
      </c>
    </row>
    <row r="91" spans="1:14">
      <c r="A91" s="80">
        <f t="shared" si="41"/>
        <v>77</v>
      </c>
      <c r="B91" s="116" t="s">
        <v>521</v>
      </c>
      <c r="C91" s="224">
        <v>977548</v>
      </c>
      <c r="D91" s="155">
        <v>0</v>
      </c>
      <c r="E91" s="155">
        <f t="shared" si="42"/>
        <v>977548</v>
      </c>
      <c r="F91" s="127">
        <v>0</v>
      </c>
      <c r="G91" s="139">
        <f t="shared" si="43"/>
        <v>977548</v>
      </c>
      <c r="H91" s="127">
        <v>0</v>
      </c>
      <c r="I91" s="155">
        <f t="shared" si="44"/>
        <v>977548</v>
      </c>
      <c r="J91" s="143">
        <v>1</v>
      </c>
      <c r="K91" s="139">
        <f t="shared" si="45"/>
        <v>977548</v>
      </c>
      <c r="L91" s="142" t="s">
        <v>385</v>
      </c>
      <c r="M91" s="127">
        <v>0</v>
      </c>
      <c r="N91" s="139">
        <f t="shared" si="46"/>
        <v>977548</v>
      </c>
    </row>
    <row r="92" spans="1:14">
      <c r="A92" s="178">
        <f t="shared" si="41"/>
        <v>78</v>
      </c>
      <c r="B92" s="222" t="s">
        <v>710</v>
      </c>
      <c r="C92" s="224">
        <v>151723</v>
      </c>
      <c r="D92" s="221"/>
      <c r="E92" s="224">
        <f t="shared" si="42"/>
        <v>151723</v>
      </c>
      <c r="F92" s="220"/>
      <c r="G92" s="139">
        <f t="shared" si="43"/>
        <v>151723</v>
      </c>
      <c r="H92" s="220"/>
      <c r="I92" s="224">
        <f t="shared" si="44"/>
        <v>151723</v>
      </c>
      <c r="J92" s="143">
        <v>1</v>
      </c>
      <c r="K92" s="139">
        <f t="shared" si="45"/>
        <v>151723</v>
      </c>
      <c r="L92" s="142" t="s">
        <v>385</v>
      </c>
      <c r="M92" s="220">
        <v>0</v>
      </c>
      <c r="N92" s="139">
        <f t="shared" si="46"/>
        <v>151723</v>
      </c>
    </row>
    <row r="93" spans="1:14">
      <c r="A93" s="178">
        <f t="shared" si="41"/>
        <v>79</v>
      </c>
      <c r="B93" s="96" t="s">
        <v>520</v>
      </c>
      <c r="C93" s="147">
        <f t="shared" ref="C93:I93" si="47">SUM(C87:C92)</f>
        <v>-14572129</v>
      </c>
      <c r="D93" s="147">
        <f t="shared" si="47"/>
        <v>0</v>
      </c>
      <c r="E93" s="147">
        <f t="shared" si="47"/>
        <v>-14572129</v>
      </c>
      <c r="F93" s="147">
        <f t="shared" si="47"/>
        <v>0</v>
      </c>
      <c r="G93" s="147">
        <f t="shared" si="47"/>
        <v>-14572129</v>
      </c>
      <c r="H93" s="147">
        <f t="shared" si="47"/>
        <v>0</v>
      </c>
      <c r="I93" s="147">
        <f t="shared" si="47"/>
        <v>-14572129</v>
      </c>
      <c r="J93" s="153"/>
      <c r="K93" s="149">
        <f>SUM(K87:K92)</f>
        <v>-14572129</v>
      </c>
      <c r="L93" s="116"/>
      <c r="M93" s="147">
        <f>SUM(M87:M92)</f>
        <v>5298776</v>
      </c>
      <c r="N93" s="147">
        <f>SUM(N87:N92)</f>
        <v>-9273353</v>
      </c>
    </row>
    <row r="94" spans="1:14">
      <c r="A94" s="178">
        <f t="shared" si="41"/>
        <v>80</v>
      </c>
      <c r="B94" s="63" t="s">
        <v>408</v>
      </c>
      <c r="C94" s="127"/>
      <c r="D94" s="116"/>
      <c r="E94" s="116"/>
      <c r="F94" s="116"/>
      <c r="G94" s="116"/>
      <c r="H94" s="116"/>
      <c r="I94" s="116"/>
      <c r="J94" s="154"/>
      <c r="K94" s="141"/>
      <c r="L94" s="150"/>
      <c r="M94" s="116"/>
      <c r="N94" s="116"/>
    </row>
    <row r="95" spans="1:14">
      <c r="A95" s="80">
        <f t="shared" si="41"/>
        <v>81</v>
      </c>
      <c r="B95" s="96" t="s">
        <v>519</v>
      </c>
      <c r="C95" s="127"/>
      <c r="D95" s="116"/>
      <c r="E95" s="116"/>
      <c r="F95" s="116"/>
      <c r="G95" s="116"/>
      <c r="H95" s="116"/>
      <c r="I95" s="116"/>
      <c r="J95" s="154"/>
      <c r="K95" s="141"/>
      <c r="L95" s="150"/>
      <c r="M95" s="116"/>
      <c r="N95" s="116"/>
    </row>
    <row r="96" spans="1:14">
      <c r="A96" s="80">
        <f t="shared" si="41"/>
        <v>82</v>
      </c>
      <c r="B96" s="63" t="s">
        <v>518</v>
      </c>
      <c r="C96" s="128">
        <v>0</v>
      </c>
      <c r="D96" s="127">
        <f>C96</f>
        <v>0</v>
      </c>
      <c r="E96" s="128">
        <f>+C96-D96</f>
        <v>0</v>
      </c>
      <c r="F96" s="127">
        <v>0</v>
      </c>
      <c r="G96" s="139">
        <f>+E96+F96</f>
        <v>0</v>
      </c>
      <c r="H96" s="127">
        <v>0</v>
      </c>
      <c r="I96" s="128">
        <f>+G96+H96</f>
        <v>0</v>
      </c>
      <c r="J96" s="143">
        <f>VLOOKUP(L96,$C$263:$D$277,2,FALSE)</f>
        <v>0</v>
      </c>
      <c r="K96" s="139">
        <f>IF(I96*J96=0,0, ROUND(I96*J96,0))</f>
        <v>0</v>
      </c>
      <c r="L96" s="158" t="s">
        <v>383</v>
      </c>
      <c r="M96" s="127">
        <v>0</v>
      </c>
      <c r="N96" s="139">
        <f>K96+M96</f>
        <v>0</v>
      </c>
    </row>
    <row r="97" spans="1:14">
      <c r="A97" s="80">
        <f t="shared" si="41"/>
        <v>83</v>
      </c>
      <c r="B97" s="96" t="s">
        <v>517</v>
      </c>
      <c r="C97" s="147">
        <f t="shared" ref="C97:I97" si="48">+C96</f>
        <v>0</v>
      </c>
      <c r="D97" s="147">
        <f t="shared" si="48"/>
        <v>0</v>
      </c>
      <c r="E97" s="147">
        <f t="shared" si="48"/>
        <v>0</v>
      </c>
      <c r="F97" s="147">
        <f t="shared" si="48"/>
        <v>0</v>
      </c>
      <c r="G97" s="147">
        <f t="shared" si="48"/>
        <v>0</v>
      </c>
      <c r="H97" s="147">
        <f t="shared" si="48"/>
        <v>0</v>
      </c>
      <c r="I97" s="147">
        <f t="shared" si="48"/>
        <v>0</v>
      </c>
      <c r="J97" s="153"/>
      <c r="K97" s="149">
        <f>SUM(K96)</f>
        <v>0</v>
      </c>
      <c r="L97" s="150"/>
      <c r="M97" s="147">
        <f t="shared" ref="M97:N97" si="49">+M96</f>
        <v>0</v>
      </c>
      <c r="N97" s="147">
        <f t="shared" si="49"/>
        <v>0</v>
      </c>
    </row>
    <row r="98" spans="1:14">
      <c r="A98" s="80">
        <f t="shared" si="41"/>
        <v>84</v>
      </c>
      <c r="B98" s="63" t="s">
        <v>408</v>
      </c>
      <c r="C98" s="127"/>
      <c r="D98" s="116"/>
      <c r="E98" s="116"/>
      <c r="F98" s="116"/>
      <c r="G98" s="116"/>
      <c r="H98" s="116"/>
      <c r="I98" s="116"/>
      <c r="J98" s="154"/>
      <c r="K98" s="141"/>
      <c r="L98" s="150"/>
      <c r="M98" s="116"/>
      <c r="N98" s="116"/>
    </row>
    <row r="99" spans="1:14">
      <c r="A99" s="80">
        <f t="shared" si="41"/>
        <v>85</v>
      </c>
      <c r="B99" s="96" t="s">
        <v>516</v>
      </c>
      <c r="C99" s="127"/>
      <c r="D99" s="116"/>
      <c r="E99" s="116"/>
      <c r="F99" s="116"/>
      <c r="G99" s="116"/>
      <c r="H99" s="116"/>
      <c r="I99" s="116"/>
      <c r="J99" s="154"/>
      <c r="K99" s="141"/>
      <c r="L99" s="116"/>
      <c r="M99" s="116"/>
      <c r="N99" s="116"/>
    </row>
    <row r="100" spans="1:14">
      <c r="A100" s="80">
        <f t="shared" si="41"/>
        <v>86</v>
      </c>
      <c r="B100" s="63" t="s">
        <v>515</v>
      </c>
      <c r="C100" s="226">
        <v>353690</v>
      </c>
      <c r="D100" s="127">
        <v>0</v>
      </c>
      <c r="E100" s="127">
        <f t="shared" ref="E100:E122" si="50">+C100-D100</f>
        <v>353690</v>
      </c>
      <c r="F100" s="127">
        <v>0</v>
      </c>
      <c r="G100" s="139">
        <f t="shared" ref="G100:G122" si="51">+E100+F100</f>
        <v>353690</v>
      </c>
      <c r="H100" s="127">
        <v>0</v>
      </c>
      <c r="I100" s="139">
        <f t="shared" ref="I100:I121" si="52">+G100+H100</f>
        <v>353690</v>
      </c>
      <c r="J100" s="143">
        <v>0.99</v>
      </c>
      <c r="K100" s="139">
        <f t="shared" ref="K100:K122" si="53">IF(I100*J100=0,0, ROUND(I100*J100,0))</f>
        <v>350153</v>
      </c>
      <c r="L100" s="142" t="s">
        <v>390</v>
      </c>
      <c r="M100" s="226">
        <v>0</v>
      </c>
      <c r="N100" s="139">
        <f t="shared" ref="N100:N122" si="54">K100+M100</f>
        <v>350153</v>
      </c>
    </row>
    <row r="101" spans="1:14">
      <c r="A101" s="80">
        <f t="shared" si="41"/>
        <v>87</v>
      </c>
      <c r="B101" s="63" t="s">
        <v>514</v>
      </c>
      <c r="C101" s="226">
        <v>316327</v>
      </c>
      <c r="D101" s="127">
        <v>0</v>
      </c>
      <c r="E101" s="127">
        <f t="shared" si="50"/>
        <v>316327</v>
      </c>
      <c r="F101" s="127">
        <v>0</v>
      </c>
      <c r="G101" s="139">
        <f t="shared" si="51"/>
        <v>316327</v>
      </c>
      <c r="H101" s="139">
        <v>0</v>
      </c>
      <c r="I101" s="139">
        <f t="shared" si="52"/>
        <v>316327</v>
      </c>
      <c r="J101" s="143">
        <v>0.99</v>
      </c>
      <c r="K101" s="139">
        <f t="shared" si="53"/>
        <v>313164</v>
      </c>
      <c r="L101" s="142" t="s">
        <v>390</v>
      </c>
      <c r="M101" s="139">
        <v>-49654</v>
      </c>
      <c r="N101" s="139">
        <f t="shared" si="54"/>
        <v>263510</v>
      </c>
    </row>
    <row r="102" spans="1:14">
      <c r="A102" s="80">
        <f t="shared" si="41"/>
        <v>88</v>
      </c>
      <c r="B102" s="152" t="s">
        <v>513</v>
      </c>
      <c r="C102" s="226">
        <v>-14511420</v>
      </c>
      <c r="D102" s="127">
        <v>0</v>
      </c>
      <c r="E102" s="127">
        <f t="shared" si="50"/>
        <v>-14511420</v>
      </c>
      <c r="F102" s="127">
        <v>0</v>
      </c>
      <c r="G102" s="139">
        <f t="shared" si="51"/>
        <v>-14511420</v>
      </c>
      <c r="H102" s="127">
        <v>0</v>
      </c>
      <c r="I102" s="139">
        <f>+G102+H102</f>
        <v>-14511420</v>
      </c>
      <c r="J102" s="143">
        <v>0.99</v>
      </c>
      <c r="K102" s="139">
        <f>IF(I102*J102=0,0, ROUND(I102*J102,0))</f>
        <v>-14366306</v>
      </c>
      <c r="L102" s="142" t="s">
        <v>390</v>
      </c>
      <c r="M102" s="226">
        <v>0</v>
      </c>
      <c r="N102" s="139">
        <f t="shared" si="54"/>
        <v>-14366306</v>
      </c>
    </row>
    <row r="103" spans="1:14">
      <c r="A103" s="80">
        <f t="shared" si="41"/>
        <v>89</v>
      </c>
      <c r="B103" s="116" t="s">
        <v>512</v>
      </c>
      <c r="C103" s="226">
        <v>1153</v>
      </c>
      <c r="D103" s="127">
        <v>0</v>
      </c>
      <c r="E103" s="127">
        <f t="shared" si="50"/>
        <v>1153</v>
      </c>
      <c r="F103" s="127">
        <v>0</v>
      </c>
      <c r="G103" s="139">
        <f t="shared" si="51"/>
        <v>1153</v>
      </c>
      <c r="H103" s="127">
        <v>0</v>
      </c>
      <c r="I103" s="139">
        <f t="shared" si="52"/>
        <v>1153</v>
      </c>
      <c r="J103" s="143">
        <v>0.99</v>
      </c>
      <c r="K103" s="139">
        <f t="shared" si="53"/>
        <v>1141</v>
      </c>
      <c r="L103" s="142" t="s">
        <v>390</v>
      </c>
      <c r="M103" s="226">
        <v>0</v>
      </c>
      <c r="N103" s="139">
        <f t="shared" si="54"/>
        <v>1141</v>
      </c>
    </row>
    <row r="104" spans="1:14">
      <c r="A104" s="80">
        <f t="shared" si="41"/>
        <v>90</v>
      </c>
      <c r="B104" s="152" t="s">
        <v>511</v>
      </c>
      <c r="C104" s="226">
        <v>-3771</v>
      </c>
      <c r="D104" s="127">
        <v>0</v>
      </c>
      <c r="E104" s="127">
        <f t="shared" si="50"/>
        <v>-3771</v>
      </c>
      <c r="F104" s="127">
        <v>0</v>
      </c>
      <c r="G104" s="139">
        <f t="shared" si="51"/>
        <v>-3771</v>
      </c>
      <c r="H104" s="127">
        <v>0</v>
      </c>
      <c r="I104" s="139">
        <f>+G104+H104</f>
        <v>-3771</v>
      </c>
      <c r="J104" s="143">
        <v>0.99</v>
      </c>
      <c r="K104" s="139">
        <f>IF(I104*J104=0,0, ROUND(I104*J104,0))</f>
        <v>-3733</v>
      </c>
      <c r="L104" s="142" t="s">
        <v>390</v>
      </c>
      <c r="M104" s="226">
        <v>0</v>
      </c>
      <c r="N104" s="139">
        <f t="shared" si="54"/>
        <v>-3733</v>
      </c>
    </row>
    <row r="105" spans="1:14">
      <c r="A105" s="80">
        <f t="shared" si="41"/>
        <v>91</v>
      </c>
      <c r="B105" s="116" t="s">
        <v>510</v>
      </c>
      <c r="C105" s="226">
        <v>-101570</v>
      </c>
      <c r="D105" s="127">
        <v>0</v>
      </c>
      <c r="E105" s="127">
        <f t="shared" si="50"/>
        <v>-101570</v>
      </c>
      <c r="F105" s="127">
        <v>0</v>
      </c>
      <c r="G105" s="139">
        <f t="shared" si="51"/>
        <v>-101570</v>
      </c>
      <c r="H105" s="127">
        <v>0</v>
      </c>
      <c r="I105" s="139">
        <f t="shared" si="52"/>
        <v>-101570</v>
      </c>
      <c r="J105" s="143">
        <v>0.99</v>
      </c>
      <c r="K105" s="139">
        <f t="shared" si="53"/>
        <v>-100554</v>
      </c>
      <c r="L105" s="142" t="s">
        <v>390</v>
      </c>
      <c r="M105" s="226">
        <v>0</v>
      </c>
      <c r="N105" s="139">
        <f t="shared" si="54"/>
        <v>-100554</v>
      </c>
    </row>
    <row r="106" spans="1:14">
      <c r="A106" s="80">
        <f t="shared" si="41"/>
        <v>92</v>
      </c>
      <c r="B106" s="116" t="s">
        <v>509</v>
      </c>
      <c r="C106" s="226">
        <v>123602</v>
      </c>
      <c r="D106" s="127">
        <v>0</v>
      </c>
      <c r="E106" s="127">
        <f t="shared" si="50"/>
        <v>123602</v>
      </c>
      <c r="F106" s="127">
        <v>0</v>
      </c>
      <c r="G106" s="139">
        <f t="shared" si="51"/>
        <v>123602</v>
      </c>
      <c r="H106" s="127">
        <v>0</v>
      </c>
      <c r="I106" s="139">
        <f t="shared" si="52"/>
        <v>123602</v>
      </c>
      <c r="J106" s="143">
        <v>0.99</v>
      </c>
      <c r="K106" s="139">
        <f t="shared" si="53"/>
        <v>122366</v>
      </c>
      <c r="L106" s="142" t="s">
        <v>390</v>
      </c>
      <c r="M106" s="226">
        <v>0</v>
      </c>
      <c r="N106" s="139">
        <f t="shared" si="54"/>
        <v>122366</v>
      </c>
    </row>
    <row r="107" spans="1:14">
      <c r="A107" s="80">
        <f t="shared" si="41"/>
        <v>93</v>
      </c>
      <c r="B107" s="116" t="s">
        <v>508</v>
      </c>
      <c r="C107" s="226">
        <v>-44200</v>
      </c>
      <c r="D107" s="127">
        <v>0</v>
      </c>
      <c r="E107" s="127">
        <f t="shared" si="50"/>
        <v>-44200</v>
      </c>
      <c r="F107" s="127">
        <v>0</v>
      </c>
      <c r="G107" s="139">
        <f t="shared" si="51"/>
        <v>-44200</v>
      </c>
      <c r="H107" s="127">
        <v>0</v>
      </c>
      <c r="I107" s="139">
        <f t="shared" si="52"/>
        <v>-44200</v>
      </c>
      <c r="J107" s="143">
        <v>1</v>
      </c>
      <c r="K107" s="139">
        <f t="shared" si="53"/>
        <v>-44200</v>
      </c>
      <c r="L107" s="158" t="s">
        <v>385</v>
      </c>
      <c r="M107" s="226">
        <v>0</v>
      </c>
      <c r="N107" s="139">
        <f t="shared" si="54"/>
        <v>-44200</v>
      </c>
    </row>
    <row r="108" spans="1:14">
      <c r="A108" s="178">
        <f t="shared" si="41"/>
        <v>94</v>
      </c>
      <c r="B108" s="225" t="s">
        <v>711</v>
      </c>
      <c r="C108" s="226">
        <v>-126448</v>
      </c>
      <c r="D108" s="223"/>
      <c r="E108" s="226">
        <f t="shared" si="50"/>
        <v>-126448</v>
      </c>
      <c r="F108" s="223"/>
      <c r="G108" s="139">
        <f t="shared" si="51"/>
        <v>-126448</v>
      </c>
      <c r="H108" s="223">
        <v>0</v>
      </c>
      <c r="I108" s="139">
        <f t="shared" si="52"/>
        <v>-126448</v>
      </c>
      <c r="J108" s="143">
        <v>0.99</v>
      </c>
      <c r="K108" s="139">
        <f t="shared" si="53"/>
        <v>-125184</v>
      </c>
      <c r="L108" s="158" t="s">
        <v>390</v>
      </c>
      <c r="M108" s="226">
        <v>0</v>
      </c>
      <c r="N108" s="139">
        <f t="shared" si="54"/>
        <v>-125184</v>
      </c>
    </row>
    <row r="109" spans="1:14">
      <c r="A109" s="178">
        <f t="shared" si="41"/>
        <v>95</v>
      </c>
      <c r="B109" s="152" t="s">
        <v>507</v>
      </c>
      <c r="C109" s="226">
        <v>3303944</v>
      </c>
      <c r="D109" s="127">
        <v>0</v>
      </c>
      <c r="E109" s="127">
        <f t="shared" si="50"/>
        <v>3303944</v>
      </c>
      <c r="F109" s="127">
        <v>0</v>
      </c>
      <c r="G109" s="139">
        <f t="shared" si="51"/>
        <v>3303944</v>
      </c>
      <c r="H109" s="127">
        <v>0</v>
      </c>
      <c r="I109" s="139">
        <f>+G109+H109</f>
        <v>3303944</v>
      </c>
      <c r="J109" s="143">
        <v>0.99</v>
      </c>
      <c r="K109" s="139">
        <f t="shared" si="53"/>
        <v>3270905</v>
      </c>
      <c r="L109" s="142" t="s">
        <v>390</v>
      </c>
      <c r="M109" s="226">
        <v>0</v>
      </c>
      <c r="N109" s="139">
        <f t="shared" si="54"/>
        <v>3270905</v>
      </c>
    </row>
    <row r="110" spans="1:14">
      <c r="A110" s="178">
        <f t="shared" si="41"/>
        <v>96</v>
      </c>
      <c r="B110" s="116" t="s">
        <v>506</v>
      </c>
      <c r="C110" s="226">
        <v>1846219</v>
      </c>
      <c r="D110" s="127">
        <v>0</v>
      </c>
      <c r="E110" s="127">
        <f t="shared" si="50"/>
        <v>1846219</v>
      </c>
      <c r="F110" s="127">
        <v>0</v>
      </c>
      <c r="G110" s="139">
        <f t="shared" si="51"/>
        <v>1846219</v>
      </c>
      <c r="H110" s="127">
        <v>0</v>
      </c>
      <c r="I110" s="139">
        <f t="shared" si="52"/>
        <v>1846219</v>
      </c>
      <c r="J110" s="143">
        <v>0.99</v>
      </c>
      <c r="K110" s="139">
        <f t="shared" si="53"/>
        <v>1827757</v>
      </c>
      <c r="L110" s="142" t="s">
        <v>390</v>
      </c>
      <c r="M110" s="226">
        <v>0</v>
      </c>
      <c r="N110" s="139">
        <f t="shared" si="54"/>
        <v>1827757</v>
      </c>
    </row>
    <row r="111" spans="1:14">
      <c r="A111" s="80">
        <f t="shared" si="41"/>
        <v>97</v>
      </c>
      <c r="B111" s="152" t="s">
        <v>505</v>
      </c>
      <c r="C111" s="226">
        <v>-67660</v>
      </c>
      <c r="D111" s="127">
        <v>0</v>
      </c>
      <c r="E111" s="127">
        <f>+C111-D111</f>
        <v>-67660</v>
      </c>
      <c r="F111" s="127">
        <v>0</v>
      </c>
      <c r="G111" s="139">
        <f t="shared" si="51"/>
        <v>-67660</v>
      </c>
      <c r="H111" s="127">
        <v>0</v>
      </c>
      <c r="I111" s="139">
        <f t="shared" si="52"/>
        <v>-67660</v>
      </c>
      <c r="J111" s="143">
        <v>0.99</v>
      </c>
      <c r="K111" s="139">
        <f t="shared" si="53"/>
        <v>-66983</v>
      </c>
      <c r="L111" s="142" t="s">
        <v>390</v>
      </c>
      <c r="M111" s="226">
        <v>66983</v>
      </c>
      <c r="N111" s="139">
        <f t="shared" si="54"/>
        <v>0</v>
      </c>
    </row>
    <row r="112" spans="1:14">
      <c r="A112" s="80">
        <f t="shared" si="41"/>
        <v>98</v>
      </c>
      <c r="B112" s="152" t="s">
        <v>504</v>
      </c>
      <c r="C112" s="226">
        <v>-1425</v>
      </c>
      <c r="D112" s="127">
        <v>0</v>
      </c>
      <c r="E112" s="127">
        <f t="shared" si="50"/>
        <v>-1425</v>
      </c>
      <c r="F112" s="127">
        <v>0</v>
      </c>
      <c r="G112" s="139">
        <f t="shared" si="51"/>
        <v>-1425</v>
      </c>
      <c r="H112" s="127">
        <v>0</v>
      </c>
      <c r="I112" s="139">
        <f t="shared" si="52"/>
        <v>-1425</v>
      </c>
      <c r="J112" s="143">
        <v>0.99</v>
      </c>
      <c r="K112" s="139">
        <f t="shared" si="53"/>
        <v>-1411</v>
      </c>
      <c r="L112" s="142" t="s">
        <v>390</v>
      </c>
      <c r="M112" s="226">
        <v>0</v>
      </c>
      <c r="N112" s="139">
        <f t="shared" si="54"/>
        <v>-1411</v>
      </c>
    </row>
    <row r="113" spans="1:14">
      <c r="A113" s="178">
        <f t="shared" si="41"/>
        <v>99</v>
      </c>
      <c r="B113" s="152" t="s">
        <v>712</v>
      </c>
      <c r="C113" s="226">
        <v>174750</v>
      </c>
      <c r="D113" s="226">
        <v>174750</v>
      </c>
      <c r="E113" s="226">
        <f t="shared" si="50"/>
        <v>0</v>
      </c>
      <c r="F113" s="226">
        <v>0</v>
      </c>
      <c r="G113" s="139">
        <f t="shared" si="51"/>
        <v>0</v>
      </c>
      <c r="H113" s="226">
        <v>0</v>
      </c>
      <c r="I113" s="139">
        <f t="shared" si="52"/>
        <v>0</v>
      </c>
      <c r="J113" s="143">
        <v>0</v>
      </c>
      <c r="K113" s="139">
        <f t="shared" si="53"/>
        <v>0</v>
      </c>
      <c r="L113" s="142" t="s">
        <v>384</v>
      </c>
      <c r="M113" s="226">
        <v>0</v>
      </c>
      <c r="N113" s="139">
        <f t="shared" si="54"/>
        <v>0</v>
      </c>
    </row>
    <row r="114" spans="1:14">
      <c r="A114" s="178">
        <f t="shared" si="41"/>
        <v>100</v>
      </c>
      <c r="B114" s="152" t="s">
        <v>713</v>
      </c>
      <c r="C114" s="226">
        <v>757250</v>
      </c>
      <c r="D114" s="226">
        <v>757250</v>
      </c>
      <c r="E114" s="226">
        <f t="shared" si="50"/>
        <v>0</v>
      </c>
      <c r="F114" s="226">
        <v>0</v>
      </c>
      <c r="G114" s="139">
        <f t="shared" si="51"/>
        <v>0</v>
      </c>
      <c r="H114" s="226">
        <v>0</v>
      </c>
      <c r="I114" s="139">
        <f t="shared" si="52"/>
        <v>0</v>
      </c>
      <c r="J114" s="143">
        <v>0</v>
      </c>
      <c r="K114" s="139">
        <f t="shared" si="53"/>
        <v>0</v>
      </c>
      <c r="L114" s="142" t="s">
        <v>384</v>
      </c>
      <c r="M114" s="226">
        <v>0</v>
      </c>
      <c r="N114" s="139">
        <f t="shared" si="54"/>
        <v>0</v>
      </c>
    </row>
    <row r="115" spans="1:14">
      <c r="A115" s="178">
        <f t="shared" si="41"/>
        <v>101</v>
      </c>
      <c r="B115" s="152" t="s">
        <v>503</v>
      </c>
      <c r="C115" s="226">
        <v>0</v>
      </c>
      <c r="D115" s="139">
        <f>C115</f>
        <v>0</v>
      </c>
      <c r="E115" s="226">
        <f>C115-D115</f>
        <v>0</v>
      </c>
      <c r="F115" s="127">
        <v>0</v>
      </c>
      <c r="G115" s="139">
        <f t="shared" si="51"/>
        <v>0</v>
      </c>
      <c r="H115" s="127">
        <v>0</v>
      </c>
      <c r="I115" s="139">
        <f t="shared" si="52"/>
        <v>0</v>
      </c>
      <c r="J115" s="143">
        <v>0</v>
      </c>
      <c r="K115" s="139">
        <f t="shared" si="53"/>
        <v>0</v>
      </c>
      <c r="L115" s="142" t="s">
        <v>384</v>
      </c>
      <c r="M115" s="226">
        <v>0</v>
      </c>
      <c r="N115" s="139">
        <f t="shared" si="54"/>
        <v>0</v>
      </c>
    </row>
    <row r="116" spans="1:14">
      <c r="A116" s="178">
        <f t="shared" si="41"/>
        <v>102</v>
      </c>
      <c r="B116" s="116" t="s">
        <v>502</v>
      </c>
      <c r="C116" s="226">
        <v>0</v>
      </c>
      <c r="D116" s="139">
        <f>C116</f>
        <v>0</v>
      </c>
      <c r="E116" s="226">
        <f t="shared" si="50"/>
        <v>0</v>
      </c>
      <c r="F116" s="127">
        <v>0</v>
      </c>
      <c r="G116" s="139">
        <f t="shared" si="51"/>
        <v>0</v>
      </c>
      <c r="H116" s="127">
        <v>0</v>
      </c>
      <c r="I116" s="139">
        <f t="shared" si="52"/>
        <v>0</v>
      </c>
      <c r="J116" s="143">
        <v>0.98899999999999999</v>
      </c>
      <c r="K116" s="139">
        <f t="shared" si="53"/>
        <v>0</v>
      </c>
      <c r="L116" s="142" t="s">
        <v>388</v>
      </c>
      <c r="M116" s="226">
        <v>0</v>
      </c>
      <c r="N116" s="139">
        <f t="shared" si="54"/>
        <v>0</v>
      </c>
    </row>
    <row r="117" spans="1:14">
      <c r="A117" s="178">
        <f t="shared" si="41"/>
        <v>103</v>
      </c>
      <c r="B117" s="63" t="s">
        <v>501</v>
      </c>
      <c r="C117" s="226">
        <v>48911</v>
      </c>
      <c r="D117" s="139">
        <v>0</v>
      </c>
      <c r="E117" s="127">
        <f t="shared" si="50"/>
        <v>48911</v>
      </c>
      <c r="F117" s="127">
        <v>0</v>
      </c>
      <c r="G117" s="139">
        <f t="shared" si="51"/>
        <v>48911</v>
      </c>
      <c r="H117" s="127">
        <v>0</v>
      </c>
      <c r="I117" s="139">
        <f t="shared" si="52"/>
        <v>48911</v>
      </c>
      <c r="J117" s="143">
        <v>0</v>
      </c>
      <c r="K117" s="139">
        <f t="shared" si="53"/>
        <v>0</v>
      </c>
      <c r="L117" s="142" t="s">
        <v>384</v>
      </c>
      <c r="M117" s="226">
        <v>0</v>
      </c>
      <c r="N117" s="139">
        <f t="shared" si="54"/>
        <v>0</v>
      </c>
    </row>
    <row r="118" spans="1:14">
      <c r="A118" s="80">
        <f t="shared" si="41"/>
        <v>104</v>
      </c>
      <c r="B118" s="63" t="s">
        <v>500</v>
      </c>
      <c r="C118" s="226">
        <v>150182</v>
      </c>
      <c r="D118" s="139">
        <v>0</v>
      </c>
      <c r="E118" s="127">
        <f t="shared" si="50"/>
        <v>150182</v>
      </c>
      <c r="F118" s="127">
        <v>0</v>
      </c>
      <c r="G118" s="139">
        <f t="shared" si="51"/>
        <v>150182</v>
      </c>
      <c r="H118" s="127">
        <v>0</v>
      </c>
      <c r="I118" s="139">
        <f t="shared" si="52"/>
        <v>150182</v>
      </c>
      <c r="J118" s="143">
        <v>0</v>
      </c>
      <c r="K118" s="139">
        <f t="shared" si="53"/>
        <v>0</v>
      </c>
      <c r="L118" s="142" t="s">
        <v>384</v>
      </c>
      <c r="M118" s="226">
        <v>0</v>
      </c>
      <c r="N118" s="139">
        <f t="shared" si="54"/>
        <v>0</v>
      </c>
    </row>
    <row r="119" spans="1:14">
      <c r="A119" s="80">
        <f t="shared" si="41"/>
        <v>105</v>
      </c>
      <c r="B119" s="63" t="s">
        <v>499</v>
      </c>
      <c r="C119" s="226">
        <v>0</v>
      </c>
      <c r="D119" s="139">
        <f>C119</f>
        <v>0</v>
      </c>
      <c r="E119" s="127">
        <f t="shared" si="50"/>
        <v>0</v>
      </c>
      <c r="F119" s="127">
        <v>0</v>
      </c>
      <c r="G119" s="139">
        <f t="shared" si="51"/>
        <v>0</v>
      </c>
      <c r="H119" s="127">
        <v>0</v>
      </c>
      <c r="I119" s="139">
        <f t="shared" si="52"/>
        <v>0</v>
      </c>
      <c r="J119" s="143">
        <v>0.98899999999999999</v>
      </c>
      <c r="K119" s="139">
        <f t="shared" si="53"/>
        <v>0</v>
      </c>
      <c r="L119" s="158" t="s">
        <v>388</v>
      </c>
      <c r="M119" s="226">
        <v>0</v>
      </c>
      <c r="N119" s="139">
        <f t="shared" si="54"/>
        <v>0</v>
      </c>
    </row>
    <row r="120" spans="1:14">
      <c r="A120" s="80">
        <f t="shared" si="41"/>
        <v>106</v>
      </c>
      <c r="B120" s="63" t="s">
        <v>498</v>
      </c>
      <c r="C120" s="226">
        <v>216993</v>
      </c>
      <c r="D120" s="127">
        <v>0</v>
      </c>
      <c r="E120" s="127">
        <f t="shared" si="50"/>
        <v>216993</v>
      </c>
      <c r="F120" s="127">
        <v>0</v>
      </c>
      <c r="G120" s="139">
        <f t="shared" si="51"/>
        <v>216993</v>
      </c>
      <c r="H120" s="127">
        <v>0</v>
      </c>
      <c r="I120" s="139">
        <f t="shared" si="52"/>
        <v>216993</v>
      </c>
      <c r="J120" s="143">
        <v>0.98599999999999999</v>
      </c>
      <c r="K120" s="139">
        <f t="shared" si="53"/>
        <v>213955</v>
      </c>
      <c r="L120" s="142" t="s">
        <v>394</v>
      </c>
      <c r="M120" s="226">
        <v>-149718</v>
      </c>
      <c r="N120" s="139">
        <f t="shared" si="54"/>
        <v>64237</v>
      </c>
    </row>
    <row r="121" spans="1:14">
      <c r="A121" s="80">
        <f t="shared" si="41"/>
        <v>107</v>
      </c>
      <c r="B121" s="63" t="s">
        <v>497</v>
      </c>
      <c r="C121" s="228">
        <v>0</v>
      </c>
      <c r="D121" s="127">
        <v>0</v>
      </c>
      <c r="E121" s="127">
        <f t="shared" si="50"/>
        <v>0</v>
      </c>
      <c r="F121" s="127">
        <v>0</v>
      </c>
      <c r="G121" s="139">
        <f t="shared" si="51"/>
        <v>0</v>
      </c>
      <c r="H121" s="139">
        <v>0</v>
      </c>
      <c r="I121" s="139">
        <f t="shared" si="52"/>
        <v>0</v>
      </c>
      <c r="J121" s="143">
        <v>1</v>
      </c>
      <c r="K121" s="139">
        <f t="shared" si="53"/>
        <v>0</v>
      </c>
      <c r="L121" s="142" t="s">
        <v>385</v>
      </c>
      <c r="M121" s="139">
        <v>0</v>
      </c>
      <c r="N121" s="139">
        <f t="shared" si="54"/>
        <v>0</v>
      </c>
    </row>
    <row r="122" spans="1:14">
      <c r="A122" s="80">
        <f t="shared" si="41"/>
        <v>108</v>
      </c>
      <c r="B122" s="63" t="s">
        <v>496</v>
      </c>
      <c r="C122" s="228">
        <v>-313063</v>
      </c>
      <c r="D122" s="155">
        <v>0</v>
      </c>
      <c r="E122" s="155">
        <f t="shared" si="50"/>
        <v>-313063</v>
      </c>
      <c r="F122" s="127">
        <v>0</v>
      </c>
      <c r="G122" s="139">
        <f t="shared" si="51"/>
        <v>-313063</v>
      </c>
      <c r="H122" s="139">
        <v>0</v>
      </c>
      <c r="I122" s="155">
        <f>+G122+H122</f>
        <v>-313063</v>
      </c>
      <c r="J122" s="143">
        <v>1</v>
      </c>
      <c r="K122" s="139">
        <f t="shared" si="53"/>
        <v>-313063</v>
      </c>
      <c r="L122" s="142" t="s">
        <v>385</v>
      </c>
      <c r="M122" s="139">
        <v>0</v>
      </c>
      <c r="N122" s="139">
        <f t="shared" si="54"/>
        <v>-313063</v>
      </c>
    </row>
    <row r="123" spans="1:14">
      <c r="A123" s="80">
        <f t="shared" si="41"/>
        <v>109</v>
      </c>
      <c r="B123" s="96" t="s">
        <v>495</v>
      </c>
      <c r="C123" s="227">
        <f t="shared" ref="C123:I123" si="55">SUM(C100:C122)</f>
        <v>-7876536</v>
      </c>
      <c r="D123" s="147">
        <f t="shared" si="55"/>
        <v>932000</v>
      </c>
      <c r="E123" s="147">
        <f t="shared" si="55"/>
        <v>-8808536</v>
      </c>
      <c r="F123" s="147">
        <f t="shared" si="55"/>
        <v>0</v>
      </c>
      <c r="G123" s="147">
        <f t="shared" si="55"/>
        <v>-8808536</v>
      </c>
      <c r="H123" s="147">
        <f t="shared" si="55"/>
        <v>0</v>
      </c>
      <c r="I123" s="147">
        <f t="shared" si="55"/>
        <v>-8808536</v>
      </c>
      <c r="J123" s="153"/>
      <c r="K123" s="149">
        <f>SUM(K100:K122)</f>
        <v>-8921993</v>
      </c>
      <c r="L123" s="116"/>
      <c r="M123" s="147">
        <f t="shared" ref="M123:N123" si="56">SUM(M100:M122)</f>
        <v>-132389</v>
      </c>
      <c r="N123" s="147">
        <f t="shared" si="56"/>
        <v>-9054382</v>
      </c>
    </row>
    <row r="124" spans="1:14">
      <c r="A124" s="80">
        <f t="shared" si="41"/>
        <v>110</v>
      </c>
      <c r="B124" s="63" t="s">
        <v>408</v>
      </c>
      <c r="C124" s="226"/>
      <c r="D124" s="116"/>
      <c r="E124" s="116"/>
      <c r="F124" s="116"/>
      <c r="G124" s="116"/>
      <c r="H124" s="116"/>
      <c r="I124" s="116"/>
      <c r="J124" s="154"/>
      <c r="K124" s="141"/>
      <c r="L124" s="116"/>
      <c r="M124" s="116"/>
      <c r="N124" s="116"/>
    </row>
    <row r="125" spans="1:14" ht="105" customHeight="1">
      <c r="A125" s="136"/>
      <c r="C125" s="223"/>
      <c r="D125" s="116"/>
      <c r="E125" s="116"/>
      <c r="F125" s="116"/>
      <c r="G125" s="116"/>
      <c r="H125" s="116"/>
      <c r="I125" s="116"/>
      <c r="J125" s="154"/>
      <c r="K125" s="141"/>
      <c r="L125" s="116"/>
      <c r="M125" s="116"/>
      <c r="N125" s="176" t="s">
        <v>652</v>
      </c>
    </row>
    <row r="126" spans="1:14">
      <c r="A126" s="80">
        <f>+A124+1</f>
        <v>111</v>
      </c>
      <c r="B126" s="96" t="s">
        <v>494</v>
      </c>
      <c r="C126" s="127"/>
      <c r="D126" s="116"/>
      <c r="E126" s="116"/>
      <c r="F126" s="116"/>
      <c r="G126" s="116"/>
      <c r="H126" s="116"/>
      <c r="I126" s="116"/>
      <c r="J126" s="154"/>
      <c r="K126" s="141"/>
      <c r="L126" s="116"/>
      <c r="M126" s="116"/>
      <c r="N126" s="116"/>
    </row>
    <row r="127" spans="1:14">
      <c r="A127" s="80">
        <f t="shared" si="41"/>
        <v>112</v>
      </c>
      <c r="B127" s="63" t="s">
        <v>493</v>
      </c>
      <c r="C127" s="234">
        <v>24501</v>
      </c>
      <c r="D127" s="127">
        <v>0</v>
      </c>
      <c r="E127" s="127">
        <f t="shared" ref="E127:E149" si="57">+C127-D127</f>
        <v>24501</v>
      </c>
      <c r="F127" s="127">
        <v>0</v>
      </c>
      <c r="G127" s="139">
        <f t="shared" ref="G127:G149" si="58">+E127+F127</f>
        <v>24501</v>
      </c>
      <c r="H127" s="127">
        <v>0</v>
      </c>
      <c r="I127" s="139">
        <f t="shared" ref="I127:I149" si="59">+G127+H127</f>
        <v>24501</v>
      </c>
      <c r="J127" s="143">
        <v>0.999</v>
      </c>
      <c r="K127" s="139">
        <f t="shared" ref="K127:K149" si="60">IF(I127*J127=0,0, ROUND(I127*J127,0))</f>
        <v>24476</v>
      </c>
      <c r="L127" s="142" t="s">
        <v>393</v>
      </c>
      <c r="M127" s="234">
        <v>0</v>
      </c>
      <c r="N127" s="139">
        <f t="shared" ref="N127:N150" si="61">K127+M127</f>
        <v>24476</v>
      </c>
    </row>
    <row r="128" spans="1:14">
      <c r="A128" s="80">
        <f t="shared" si="41"/>
        <v>113</v>
      </c>
      <c r="B128" s="116" t="s">
        <v>492</v>
      </c>
      <c r="C128" s="234">
        <v>-13556</v>
      </c>
      <c r="D128" s="127">
        <v>0</v>
      </c>
      <c r="E128" s="127">
        <f t="shared" si="57"/>
        <v>-13556</v>
      </c>
      <c r="F128" s="127">
        <v>0</v>
      </c>
      <c r="G128" s="139">
        <f t="shared" si="58"/>
        <v>-13556</v>
      </c>
      <c r="H128" s="127">
        <v>0</v>
      </c>
      <c r="I128" s="139">
        <f t="shared" si="59"/>
        <v>-13556</v>
      </c>
      <c r="J128" s="143">
        <v>0.98899999999999999</v>
      </c>
      <c r="K128" s="139">
        <f t="shared" si="60"/>
        <v>-13407</v>
      </c>
      <c r="L128" s="142" t="s">
        <v>388</v>
      </c>
      <c r="M128" s="234">
        <v>0</v>
      </c>
      <c r="N128" s="139">
        <f t="shared" si="61"/>
        <v>-13407</v>
      </c>
    </row>
    <row r="129" spans="1:14">
      <c r="A129" s="80">
        <f t="shared" si="41"/>
        <v>114</v>
      </c>
      <c r="B129" s="152" t="s">
        <v>491</v>
      </c>
      <c r="C129" s="234">
        <v>4698444</v>
      </c>
      <c r="D129" s="127">
        <v>0</v>
      </c>
      <c r="E129" s="127">
        <f t="shared" si="57"/>
        <v>4698444</v>
      </c>
      <c r="F129" s="127">
        <v>0</v>
      </c>
      <c r="G129" s="139">
        <f t="shared" si="58"/>
        <v>4698444</v>
      </c>
      <c r="H129" s="127">
        <v>0</v>
      </c>
      <c r="I129" s="139">
        <f>+G129+H129</f>
        <v>4698444</v>
      </c>
      <c r="J129" s="143">
        <v>0.98599999999999999</v>
      </c>
      <c r="K129" s="139">
        <f>IF(I129*J129=0,0, ROUND(I129*J129,0))</f>
        <v>4632666</v>
      </c>
      <c r="L129" s="142" t="s">
        <v>386</v>
      </c>
      <c r="M129" s="234">
        <v>-2237475</v>
      </c>
      <c r="N129" s="139">
        <f t="shared" si="61"/>
        <v>2395191</v>
      </c>
    </row>
    <row r="130" spans="1:14">
      <c r="A130" s="80">
        <f t="shared" si="41"/>
        <v>115</v>
      </c>
      <c r="B130" s="152" t="s">
        <v>490</v>
      </c>
      <c r="C130" s="234">
        <v>950797</v>
      </c>
      <c r="D130" s="127">
        <v>0</v>
      </c>
      <c r="E130" s="127">
        <f>+C130-D130</f>
        <v>950797</v>
      </c>
      <c r="F130" s="127">
        <v>0</v>
      </c>
      <c r="G130" s="139">
        <f t="shared" si="58"/>
        <v>950797</v>
      </c>
      <c r="H130" s="127">
        <v>0</v>
      </c>
      <c r="I130" s="139">
        <f>+G130+H130</f>
        <v>950797</v>
      </c>
      <c r="J130" s="143">
        <v>0.99</v>
      </c>
      <c r="K130" s="139">
        <f>IF(I130*J130=0,0, ROUND(I130*J130,0))</f>
        <v>941289</v>
      </c>
      <c r="L130" s="142" t="s">
        <v>390</v>
      </c>
      <c r="M130" s="234">
        <v>0</v>
      </c>
      <c r="N130" s="139">
        <f t="shared" si="61"/>
        <v>941289</v>
      </c>
    </row>
    <row r="131" spans="1:14">
      <c r="A131" s="80">
        <f t="shared" si="41"/>
        <v>116</v>
      </c>
      <c r="B131" s="116" t="s">
        <v>489</v>
      </c>
      <c r="C131" s="234">
        <v>1944</v>
      </c>
      <c r="D131" s="127">
        <v>0</v>
      </c>
      <c r="E131" s="127">
        <f t="shared" si="57"/>
        <v>1944</v>
      </c>
      <c r="F131" s="127">
        <v>0</v>
      </c>
      <c r="G131" s="139">
        <f t="shared" si="58"/>
        <v>1944</v>
      </c>
      <c r="H131" s="139">
        <v>0</v>
      </c>
      <c r="I131" s="139">
        <f t="shared" si="59"/>
        <v>1944</v>
      </c>
      <c r="J131" s="143">
        <v>0.98899999999999999</v>
      </c>
      <c r="K131" s="139">
        <f t="shared" si="60"/>
        <v>1923</v>
      </c>
      <c r="L131" s="142" t="s">
        <v>388</v>
      </c>
      <c r="M131" s="139">
        <v>0</v>
      </c>
      <c r="N131" s="139">
        <f t="shared" si="61"/>
        <v>1923</v>
      </c>
    </row>
    <row r="132" spans="1:14">
      <c r="A132" s="80">
        <f t="shared" si="41"/>
        <v>117</v>
      </c>
      <c r="B132" s="116" t="s">
        <v>714</v>
      </c>
      <c r="C132" s="234">
        <v>431564</v>
      </c>
      <c r="D132" s="127">
        <v>0</v>
      </c>
      <c r="E132" s="127">
        <f t="shared" si="57"/>
        <v>431564</v>
      </c>
      <c r="F132" s="127">
        <v>0</v>
      </c>
      <c r="G132" s="139">
        <f t="shared" si="58"/>
        <v>431564</v>
      </c>
      <c r="H132" s="127">
        <v>0</v>
      </c>
      <c r="I132" s="139">
        <f t="shared" si="59"/>
        <v>431564</v>
      </c>
      <c r="J132" s="143">
        <v>0.98899999999999999</v>
      </c>
      <c r="K132" s="139">
        <f t="shared" si="60"/>
        <v>426817</v>
      </c>
      <c r="L132" s="142" t="s">
        <v>388</v>
      </c>
      <c r="M132" s="234">
        <v>0</v>
      </c>
      <c r="N132" s="139">
        <f t="shared" si="61"/>
        <v>426817</v>
      </c>
    </row>
    <row r="133" spans="1:14">
      <c r="A133" s="80">
        <f t="shared" si="41"/>
        <v>118</v>
      </c>
      <c r="B133" s="116" t="s">
        <v>715</v>
      </c>
      <c r="C133" s="236">
        <v>1546438</v>
      </c>
      <c r="D133" s="127">
        <v>0</v>
      </c>
      <c r="E133" s="155">
        <f t="shared" si="57"/>
        <v>1546438</v>
      </c>
      <c r="F133" s="127">
        <v>0</v>
      </c>
      <c r="G133" s="139">
        <f t="shared" si="58"/>
        <v>1546438</v>
      </c>
      <c r="H133" s="127">
        <v>0</v>
      </c>
      <c r="I133" s="157">
        <f t="shared" si="59"/>
        <v>1546438</v>
      </c>
      <c r="J133" s="143">
        <v>0.98899999999999999</v>
      </c>
      <c r="K133" s="139">
        <f t="shared" si="60"/>
        <v>1529427</v>
      </c>
      <c r="L133" s="158" t="s">
        <v>388</v>
      </c>
      <c r="M133" s="234">
        <v>0</v>
      </c>
      <c r="N133" s="139">
        <f t="shared" si="61"/>
        <v>1529427</v>
      </c>
    </row>
    <row r="134" spans="1:14">
      <c r="A134" s="80">
        <f t="shared" si="41"/>
        <v>119</v>
      </c>
      <c r="B134" s="152" t="s">
        <v>488</v>
      </c>
      <c r="C134" s="234">
        <v>0</v>
      </c>
      <c r="D134" s="127">
        <v>0</v>
      </c>
      <c r="E134" s="127">
        <f t="shared" si="57"/>
        <v>0</v>
      </c>
      <c r="F134" s="127">
        <v>0</v>
      </c>
      <c r="G134" s="139">
        <f t="shared" si="58"/>
        <v>0</v>
      </c>
      <c r="H134" s="127">
        <v>0</v>
      </c>
      <c r="I134" s="139">
        <f t="shared" si="59"/>
        <v>0</v>
      </c>
      <c r="J134" s="143">
        <v>0.98599999999999999</v>
      </c>
      <c r="K134" s="139">
        <f t="shared" si="60"/>
        <v>0</v>
      </c>
      <c r="L134" s="142" t="s">
        <v>394</v>
      </c>
      <c r="M134" s="234">
        <v>0</v>
      </c>
      <c r="N134" s="139">
        <f t="shared" si="61"/>
        <v>0</v>
      </c>
    </row>
    <row r="135" spans="1:14">
      <c r="A135" s="80">
        <f t="shared" si="41"/>
        <v>120</v>
      </c>
      <c r="B135" s="152" t="s">
        <v>487</v>
      </c>
      <c r="C135" s="234">
        <v>-22428</v>
      </c>
      <c r="D135" s="127">
        <f>C135</f>
        <v>-22428</v>
      </c>
      <c r="E135" s="127">
        <f t="shared" si="57"/>
        <v>0</v>
      </c>
      <c r="F135" s="127">
        <v>0</v>
      </c>
      <c r="G135" s="139">
        <f t="shared" si="58"/>
        <v>0</v>
      </c>
      <c r="H135" s="127">
        <v>0</v>
      </c>
      <c r="I135" s="139">
        <f t="shared" si="59"/>
        <v>0</v>
      </c>
      <c r="J135" s="143">
        <v>0</v>
      </c>
      <c r="K135" s="139">
        <f t="shared" si="60"/>
        <v>0</v>
      </c>
      <c r="L135" s="142" t="s">
        <v>383</v>
      </c>
      <c r="M135" s="234">
        <v>0</v>
      </c>
      <c r="N135" s="139">
        <f t="shared" si="61"/>
        <v>0</v>
      </c>
    </row>
    <row r="136" spans="1:14">
      <c r="A136" s="80">
        <f t="shared" si="41"/>
        <v>121</v>
      </c>
      <c r="B136" s="152" t="s">
        <v>486</v>
      </c>
      <c r="C136" s="234">
        <v>14511420</v>
      </c>
      <c r="D136" s="127">
        <v>0</v>
      </c>
      <c r="E136" s="127">
        <f t="shared" si="57"/>
        <v>14511420</v>
      </c>
      <c r="F136" s="127">
        <v>0</v>
      </c>
      <c r="G136" s="139">
        <f t="shared" si="58"/>
        <v>14511420</v>
      </c>
      <c r="H136" s="127">
        <v>0</v>
      </c>
      <c r="I136" s="139">
        <f t="shared" si="59"/>
        <v>14511420</v>
      </c>
      <c r="J136" s="143">
        <v>0.99</v>
      </c>
      <c r="K136" s="139">
        <f t="shared" si="60"/>
        <v>14366306</v>
      </c>
      <c r="L136" s="142" t="s">
        <v>390</v>
      </c>
      <c r="M136" s="234">
        <v>0</v>
      </c>
      <c r="N136" s="139">
        <f t="shared" si="61"/>
        <v>14366306</v>
      </c>
    </row>
    <row r="137" spans="1:14">
      <c r="A137" s="80">
        <f t="shared" si="41"/>
        <v>122</v>
      </c>
      <c r="B137" s="152" t="s">
        <v>485</v>
      </c>
      <c r="C137" s="234">
        <v>3771</v>
      </c>
      <c r="D137" s="139">
        <v>0</v>
      </c>
      <c r="E137" s="127">
        <f t="shared" si="57"/>
        <v>3771</v>
      </c>
      <c r="F137" s="127">
        <v>0</v>
      </c>
      <c r="G137" s="139">
        <f t="shared" si="58"/>
        <v>3771</v>
      </c>
      <c r="H137" s="127">
        <v>0</v>
      </c>
      <c r="I137" s="139">
        <f t="shared" si="59"/>
        <v>3771</v>
      </c>
      <c r="J137" s="143">
        <v>0.99</v>
      </c>
      <c r="K137" s="139">
        <f t="shared" si="60"/>
        <v>3733</v>
      </c>
      <c r="L137" s="142" t="s">
        <v>390</v>
      </c>
      <c r="M137" s="234">
        <v>0</v>
      </c>
      <c r="N137" s="139">
        <f t="shared" si="61"/>
        <v>3733</v>
      </c>
    </row>
    <row r="138" spans="1:14">
      <c r="A138" s="80">
        <f t="shared" si="41"/>
        <v>123</v>
      </c>
      <c r="B138" s="152" t="s">
        <v>484</v>
      </c>
      <c r="C138" s="234">
        <v>11567558</v>
      </c>
      <c r="D138" s="127">
        <v>0</v>
      </c>
      <c r="E138" s="127">
        <f t="shared" si="57"/>
        <v>11567558</v>
      </c>
      <c r="F138" s="127">
        <v>0</v>
      </c>
      <c r="G138" s="139">
        <f t="shared" si="58"/>
        <v>11567558</v>
      </c>
      <c r="H138" s="127">
        <v>0</v>
      </c>
      <c r="I138" s="139">
        <f t="shared" si="59"/>
        <v>11567558</v>
      </c>
      <c r="J138" s="143">
        <v>0.99</v>
      </c>
      <c r="K138" s="139">
        <f t="shared" si="60"/>
        <v>11451882</v>
      </c>
      <c r="L138" s="142" t="s">
        <v>390</v>
      </c>
      <c r="M138" s="234">
        <v>0</v>
      </c>
      <c r="N138" s="139">
        <f t="shared" si="61"/>
        <v>11451882</v>
      </c>
    </row>
    <row r="139" spans="1:14">
      <c r="A139" s="80">
        <f t="shared" si="41"/>
        <v>124</v>
      </c>
      <c r="B139" s="152" t="s">
        <v>483</v>
      </c>
      <c r="C139" s="234">
        <v>0</v>
      </c>
      <c r="D139" s="139">
        <v>0</v>
      </c>
      <c r="E139" s="127">
        <f t="shared" si="57"/>
        <v>0</v>
      </c>
      <c r="F139" s="127">
        <v>0</v>
      </c>
      <c r="G139" s="139">
        <f t="shared" si="58"/>
        <v>0</v>
      </c>
      <c r="H139" s="127">
        <v>0</v>
      </c>
      <c r="I139" s="139">
        <f t="shared" si="59"/>
        <v>0</v>
      </c>
      <c r="J139" s="143">
        <v>0.98599999999999999</v>
      </c>
      <c r="K139" s="139">
        <f t="shared" si="60"/>
        <v>0</v>
      </c>
      <c r="L139" s="142" t="s">
        <v>394</v>
      </c>
      <c r="M139" s="234">
        <v>0</v>
      </c>
      <c r="N139" s="139">
        <f t="shared" si="61"/>
        <v>0</v>
      </c>
    </row>
    <row r="140" spans="1:14">
      <c r="A140" s="178">
        <f t="shared" si="41"/>
        <v>125</v>
      </c>
      <c r="B140" s="152" t="s">
        <v>482</v>
      </c>
      <c r="C140" s="234">
        <v>0</v>
      </c>
      <c r="D140" s="139">
        <v>0</v>
      </c>
      <c r="E140" s="234">
        <f t="shared" si="57"/>
        <v>0</v>
      </c>
      <c r="F140" s="234">
        <v>0</v>
      </c>
      <c r="G140" s="139">
        <f t="shared" si="58"/>
        <v>0</v>
      </c>
      <c r="H140" s="234">
        <v>0</v>
      </c>
      <c r="I140" s="139">
        <f t="shared" si="59"/>
        <v>0</v>
      </c>
      <c r="J140" s="143">
        <v>0</v>
      </c>
      <c r="K140" s="139">
        <f t="shared" si="60"/>
        <v>0</v>
      </c>
      <c r="L140" s="142" t="s">
        <v>384</v>
      </c>
      <c r="M140" s="234">
        <v>0</v>
      </c>
      <c r="N140" s="139">
        <f t="shared" si="61"/>
        <v>0</v>
      </c>
    </row>
    <row r="141" spans="1:14">
      <c r="A141" s="178">
        <f t="shared" si="41"/>
        <v>126</v>
      </c>
      <c r="B141" s="152" t="s">
        <v>481</v>
      </c>
      <c r="C141" s="234">
        <v>0</v>
      </c>
      <c r="D141" s="139">
        <v>0</v>
      </c>
      <c r="E141" s="234">
        <f t="shared" si="57"/>
        <v>0</v>
      </c>
      <c r="F141" s="234">
        <v>0</v>
      </c>
      <c r="G141" s="139">
        <f t="shared" si="58"/>
        <v>0</v>
      </c>
      <c r="H141" s="234">
        <v>0</v>
      </c>
      <c r="I141" s="139">
        <f t="shared" si="59"/>
        <v>0</v>
      </c>
      <c r="J141" s="143">
        <v>0.98599999999999999</v>
      </c>
      <c r="K141" s="139">
        <f t="shared" si="60"/>
        <v>0</v>
      </c>
      <c r="L141" s="142" t="s">
        <v>386</v>
      </c>
      <c r="M141" s="234">
        <v>34425</v>
      </c>
      <c r="N141" s="139">
        <f t="shared" si="61"/>
        <v>34425</v>
      </c>
    </row>
    <row r="142" spans="1:14">
      <c r="A142" s="178">
        <f t="shared" si="41"/>
        <v>127</v>
      </c>
      <c r="B142" s="152" t="s">
        <v>716</v>
      </c>
      <c r="C142" s="234">
        <v>872858</v>
      </c>
      <c r="D142" s="139">
        <f>C142</f>
        <v>872858</v>
      </c>
      <c r="E142" s="234">
        <f t="shared" si="57"/>
        <v>0</v>
      </c>
      <c r="F142" s="234">
        <v>0</v>
      </c>
      <c r="G142" s="139">
        <f t="shared" si="58"/>
        <v>0</v>
      </c>
      <c r="H142" s="234">
        <v>0</v>
      </c>
      <c r="I142" s="139">
        <f t="shared" si="59"/>
        <v>0</v>
      </c>
      <c r="J142" s="143">
        <v>0.98599999999999999</v>
      </c>
      <c r="K142" s="139">
        <f t="shared" si="60"/>
        <v>0</v>
      </c>
      <c r="L142" s="142" t="s">
        <v>395</v>
      </c>
      <c r="M142" s="234">
        <v>0</v>
      </c>
      <c r="N142" s="139">
        <f t="shared" si="61"/>
        <v>0</v>
      </c>
    </row>
    <row r="143" spans="1:14">
      <c r="A143" s="178">
        <f t="shared" si="41"/>
        <v>128</v>
      </c>
      <c r="B143" s="152" t="s">
        <v>717</v>
      </c>
      <c r="C143" s="234">
        <v>-3615459</v>
      </c>
      <c r="D143" s="139">
        <v>0</v>
      </c>
      <c r="E143" s="234">
        <f t="shared" si="57"/>
        <v>-3615459</v>
      </c>
      <c r="F143" s="234">
        <v>0</v>
      </c>
      <c r="G143" s="139">
        <f t="shared" si="58"/>
        <v>-3615459</v>
      </c>
      <c r="H143" s="234">
        <v>0</v>
      </c>
      <c r="I143" s="139">
        <f t="shared" si="59"/>
        <v>-3615459</v>
      </c>
      <c r="J143" s="143">
        <v>0.98599999999999999</v>
      </c>
      <c r="K143" s="139">
        <f t="shared" si="60"/>
        <v>-3564843</v>
      </c>
      <c r="L143" s="142" t="s">
        <v>395</v>
      </c>
      <c r="M143" s="234">
        <v>0</v>
      </c>
      <c r="N143" s="139">
        <f t="shared" si="61"/>
        <v>-3564843</v>
      </c>
    </row>
    <row r="144" spans="1:14">
      <c r="A144" s="178">
        <f t="shared" si="41"/>
        <v>129</v>
      </c>
      <c r="B144" s="152" t="s">
        <v>632</v>
      </c>
      <c r="C144" s="234">
        <v>0</v>
      </c>
      <c r="D144" s="139">
        <v>0</v>
      </c>
      <c r="E144" s="234">
        <f t="shared" si="57"/>
        <v>0</v>
      </c>
      <c r="F144" s="234">
        <v>0</v>
      </c>
      <c r="G144" s="139">
        <f t="shared" si="58"/>
        <v>0</v>
      </c>
      <c r="H144" s="234">
        <v>0</v>
      </c>
      <c r="I144" s="139">
        <f t="shared" si="59"/>
        <v>0</v>
      </c>
      <c r="J144" s="143">
        <v>0.98599999999999999</v>
      </c>
      <c r="K144" s="139">
        <f t="shared" si="60"/>
        <v>0</v>
      </c>
      <c r="L144" s="142" t="s">
        <v>386</v>
      </c>
      <c r="M144" s="234">
        <v>0</v>
      </c>
      <c r="N144" s="139">
        <f t="shared" si="61"/>
        <v>0</v>
      </c>
    </row>
    <row r="145" spans="1:14">
      <c r="A145" s="178">
        <f t="shared" si="41"/>
        <v>130</v>
      </c>
      <c r="B145" s="152" t="s">
        <v>633</v>
      </c>
      <c r="C145" s="234">
        <v>0</v>
      </c>
      <c r="D145" s="127">
        <v>0</v>
      </c>
      <c r="E145" s="127">
        <f t="shared" si="57"/>
        <v>0</v>
      </c>
      <c r="F145" s="127">
        <v>0</v>
      </c>
      <c r="G145" s="139">
        <f t="shared" si="58"/>
        <v>0</v>
      </c>
      <c r="H145" s="127">
        <v>0</v>
      </c>
      <c r="I145" s="139">
        <f t="shared" si="59"/>
        <v>0</v>
      </c>
      <c r="J145" s="143">
        <v>0.98599999999999999</v>
      </c>
      <c r="K145" s="139">
        <f t="shared" si="60"/>
        <v>0</v>
      </c>
      <c r="L145" s="142" t="s">
        <v>386</v>
      </c>
      <c r="M145" s="234">
        <v>0</v>
      </c>
      <c r="N145" s="139">
        <f t="shared" si="61"/>
        <v>0</v>
      </c>
    </row>
    <row r="146" spans="1:14">
      <c r="A146" s="178">
        <f t="shared" si="41"/>
        <v>131</v>
      </c>
      <c r="B146" s="152" t="s">
        <v>634</v>
      </c>
      <c r="C146" s="234">
        <v>0</v>
      </c>
      <c r="D146" s="127">
        <v>0</v>
      </c>
      <c r="E146" s="127">
        <f t="shared" si="57"/>
        <v>0</v>
      </c>
      <c r="F146" s="127">
        <v>0</v>
      </c>
      <c r="G146" s="139">
        <f t="shared" si="58"/>
        <v>0</v>
      </c>
      <c r="H146" s="127">
        <v>0</v>
      </c>
      <c r="I146" s="139">
        <f t="shared" si="59"/>
        <v>0</v>
      </c>
      <c r="J146" s="143">
        <v>0.98599999999999999</v>
      </c>
      <c r="K146" s="139">
        <f t="shared" si="60"/>
        <v>0</v>
      </c>
      <c r="L146" s="142" t="s">
        <v>386</v>
      </c>
      <c r="M146" s="234">
        <v>1105293</v>
      </c>
      <c r="N146" s="139">
        <f t="shared" si="61"/>
        <v>1105293</v>
      </c>
    </row>
    <row r="147" spans="1:14">
      <c r="A147" s="178">
        <f t="shared" si="41"/>
        <v>132</v>
      </c>
      <c r="B147" s="152" t="s">
        <v>635</v>
      </c>
      <c r="C147" s="234">
        <v>0</v>
      </c>
      <c r="D147" s="127">
        <v>0</v>
      </c>
      <c r="E147" s="127">
        <f t="shared" si="57"/>
        <v>0</v>
      </c>
      <c r="F147" s="127">
        <v>0</v>
      </c>
      <c r="G147" s="139">
        <f t="shared" si="58"/>
        <v>0</v>
      </c>
      <c r="H147" s="127">
        <v>0</v>
      </c>
      <c r="I147" s="139">
        <f t="shared" si="59"/>
        <v>0</v>
      </c>
      <c r="J147" s="143">
        <v>0.98599999999999999</v>
      </c>
      <c r="K147" s="139">
        <f t="shared" si="60"/>
        <v>0</v>
      </c>
      <c r="L147" s="142" t="s">
        <v>386</v>
      </c>
      <c r="M147" s="234">
        <v>52505</v>
      </c>
      <c r="N147" s="139">
        <f t="shared" si="61"/>
        <v>52505</v>
      </c>
    </row>
    <row r="148" spans="1:14">
      <c r="A148" s="178">
        <f t="shared" si="41"/>
        <v>133</v>
      </c>
      <c r="B148" s="152" t="s">
        <v>636</v>
      </c>
      <c r="C148" s="234">
        <v>0</v>
      </c>
      <c r="D148" s="127">
        <v>0</v>
      </c>
      <c r="E148" s="127">
        <f t="shared" si="57"/>
        <v>0</v>
      </c>
      <c r="F148" s="127">
        <v>0</v>
      </c>
      <c r="G148" s="139">
        <f t="shared" si="58"/>
        <v>0</v>
      </c>
      <c r="H148" s="127">
        <v>0</v>
      </c>
      <c r="I148" s="139">
        <f t="shared" si="59"/>
        <v>0</v>
      </c>
      <c r="J148" s="143">
        <v>0.98599999999999999</v>
      </c>
      <c r="K148" s="139">
        <f t="shared" si="60"/>
        <v>0</v>
      </c>
      <c r="L148" s="142" t="s">
        <v>386</v>
      </c>
      <c r="M148" s="234">
        <v>103330</v>
      </c>
      <c r="N148" s="139">
        <f t="shared" si="61"/>
        <v>103330</v>
      </c>
    </row>
    <row r="149" spans="1:14">
      <c r="A149" s="178">
        <f t="shared" si="41"/>
        <v>134</v>
      </c>
      <c r="B149" s="152" t="s">
        <v>637</v>
      </c>
      <c r="C149" s="234">
        <v>0</v>
      </c>
      <c r="D149" s="127">
        <v>0</v>
      </c>
      <c r="E149" s="127">
        <f t="shared" si="57"/>
        <v>0</v>
      </c>
      <c r="F149" s="127">
        <v>0</v>
      </c>
      <c r="G149" s="139">
        <f t="shared" si="58"/>
        <v>0</v>
      </c>
      <c r="H149" s="127">
        <v>0</v>
      </c>
      <c r="I149" s="139">
        <f t="shared" si="59"/>
        <v>0</v>
      </c>
      <c r="J149" s="143">
        <v>0.99</v>
      </c>
      <c r="K149" s="139">
        <f t="shared" si="60"/>
        <v>0</v>
      </c>
      <c r="L149" s="142" t="s">
        <v>390</v>
      </c>
      <c r="M149" s="234">
        <v>0</v>
      </c>
      <c r="N149" s="139">
        <f t="shared" si="61"/>
        <v>0</v>
      </c>
    </row>
    <row r="150" spans="1:14">
      <c r="A150" s="178">
        <f t="shared" si="41"/>
        <v>135</v>
      </c>
      <c r="B150" s="152"/>
      <c r="C150" s="127"/>
      <c r="D150" s="139"/>
      <c r="E150" s="127"/>
      <c r="F150" s="127"/>
      <c r="G150" s="139"/>
      <c r="H150" s="127"/>
      <c r="I150" s="139"/>
      <c r="J150" s="143"/>
      <c r="K150" s="139"/>
      <c r="L150" s="142"/>
      <c r="M150" s="127"/>
      <c r="N150" s="139">
        <f t="shared" si="61"/>
        <v>0</v>
      </c>
    </row>
    <row r="151" spans="1:14">
      <c r="A151" s="178">
        <f t="shared" si="41"/>
        <v>136</v>
      </c>
      <c r="B151" s="96" t="s">
        <v>480</v>
      </c>
      <c r="C151" s="147">
        <f t="shared" ref="C151:I151" si="62">SUM(C127:C150)</f>
        <v>30957852</v>
      </c>
      <c r="D151" s="147">
        <f t="shared" si="62"/>
        <v>850430</v>
      </c>
      <c r="E151" s="147">
        <f t="shared" si="62"/>
        <v>30107422</v>
      </c>
      <c r="F151" s="147">
        <f t="shared" si="62"/>
        <v>0</v>
      </c>
      <c r="G151" s="147">
        <f t="shared" si="62"/>
        <v>30107422</v>
      </c>
      <c r="H151" s="147">
        <f t="shared" si="62"/>
        <v>0</v>
      </c>
      <c r="I151" s="147">
        <f t="shared" si="62"/>
        <v>30107422</v>
      </c>
      <c r="J151" s="153"/>
      <c r="K151" s="147">
        <f>SUM(K127:K150)</f>
        <v>29800269</v>
      </c>
      <c r="L151" s="116"/>
      <c r="M151" s="147">
        <f>SUM(M127:M150)</f>
        <v>-941922</v>
      </c>
      <c r="N151" s="147">
        <f>SUM(N127:N150)</f>
        <v>28858347</v>
      </c>
    </row>
    <row r="152" spans="1:14">
      <c r="A152" s="178">
        <f t="shared" si="41"/>
        <v>137</v>
      </c>
      <c r="B152" s="63" t="s">
        <v>408</v>
      </c>
      <c r="C152" s="127"/>
      <c r="D152" s="116"/>
      <c r="E152" s="116"/>
      <c r="F152" s="116"/>
      <c r="G152" s="116"/>
      <c r="H152" s="116"/>
      <c r="I152" s="116"/>
      <c r="J152" s="154"/>
      <c r="K152" s="141"/>
      <c r="L152" s="116"/>
      <c r="M152" s="116"/>
      <c r="N152" s="116"/>
    </row>
    <row r="153" spans="1:14">
      <c r="A153" s="178">
        <f t="shared" si="41"/>
        <v>138</v>
      </c>
      <c r="B153" s="96" t="s">
        <v>479</v>
      </c>
      <c r="C153" s="127"/>
      <c r="D153" s="116"/>
      <c r="E153" s="116"/>
      <c r="F153" s="116"/>
      <c r="G153" s="116"/>
      <c r="H153" s="116"/>
      <c r="I153" s="116"/>
      <c r="J153" s="154"/>
      <c r="K153" s="141"/>
      <c r="L153" s="116"/>
      <c r="M153" s="116"/>
      <c r="N153" s="116"/>
    </row>
    <row r="154" spans="1:14">
      <c r="A154" s="178">
        <f t="shared" si="41"/>
        <v>139</v>
      </c>
      <c r="B154" s="63" t="s">
        <v>478</v>
      </c>
      <c r="C154" s="155">
        <v>0</v>
      </c>
      <c r="D154" s="155">
        <v>0</v>
      </c>
      <c r="E154" s="155">
        <f>+C154-D154</f>
        <v>0</v>
      </c>
      <c r="F154" s="127">
        <v>0</v>
      </c>
      <c r="G154" s="139">
        <f>+E154+F154</f>
        <v>0</v>
      </c>
      <c r="H154" s="127">
        <v>0</v>
      </c>
      <c r="I154" s="155">
        <f>+G154+H154</f>
        <v>0</v>
      </c>
      <c r="J154" s="143">
        <f>VLOOKUP(L154,$C$263:$D$277,2,FALSE)</f>
        <v>0</v>
      </c>
      <c r="K154" s="139">
        <f>IF(I154*J154=0,0, ROUND(I154*J154,0))</f>
        <v>0</v>
      </c>
      <c r="L154" s="142" t="s">
        <v>384</v>
      </c>
      <c r="M154" s="127">
        <v>0</v>
      </c>
      <c r="N154" s="139">
        <f>K154+M154</f>
        <v>0</v>
      </c>
    </row>
    <row r="155" spans="1:14">
      <c r="A155" s="178">
        <f t="shared" si="41"/>
        <v>140</v>
      </c>
      <c r="B155" s="96" t="s">
        <v>477</v>
      </c>
      <c r="C155" s="147">
        <f t="shared" ref="C155:I155" si="63">+C154</f>
        <v>0</v>
      </c>
      <c r="D155" s="147">
        <f t="shared" si="63"/>
        <v>0</v>
      </c>
      <c r="E155" s="147">
        <f t="shared" si="63"/>
        <v>0</v>
      </c>
      <c r="F155" s="147">
        <f t="shared" si="63"/>
        <v>0</v>
      </c>
      <c r="G155" s="147">
        <f t="shared" si="63"/>
        <v>0</v>
      </c>
      <c r="H155" s="147">
        <f t="shared" si="63"/>
        <v>0</v>
      </c>
      <c r="I155" s="147">
        <f t="shared" si="63"/>
        <v>0</v>
      </c>
      <c r="J155" s="153"/>
      <c r="K155" s="149">
        <f>+K154</f>
        <v>0</v>
      </c>
      <c r="L155" s="116"/>
      <c r="M155" s="147">
        <f t="shared" ref="M155:N155" si="64">+M154</f>
        <v>0</v>
      </c>
      <c r="N155" s="147">
        <f t="shared" si="64"/>
        <v>0</v>
      </c>
    </row>
    <row r="156" spans="1:14">
      <c r="A156" s="178">
        <f t="shared" si="41"/>
        <v>141</v>
      </c>
      <c r="B156" s="63" t="s">
        <v>408</v>
      </c>
      <c r="C156" s="127"/>
      <c r="D156" s="116"/>
      <c r="E156" s="116"/>
      <c r="F156" s="116"/>
      <c r="G156" s="116"/>
      <c r="H156" s="116"/>
      <c r="I156" s="116"/>
      <c r="J156" s="154"/>
      <c r="K156" s="141"/>
      <c r="L156" s="116"/>
      <c r="M156" s="116"/>
      <c r="N156" s="116"/>
    </row>
    <row r="157" spans="1:14">
      <c r="A157" s="178">
        <f t="shared" si="41"/>
        <v>142</v>
      </c>
      <c r="B157" s="96" t="s">
        <v>476</v>
      </c>
      <c r="C157" s="127"/>
      <c r="D157" s="116"/>
      <c r="E157" s="116"/>
      <c r="F157" s="116"/>
      <c r="G157" s="116"/>
      <c r="H157" s="116"/>
      <c r="I157" s="116"/>
      <c r="J157" s="154"/>
      <c r="K157" s="141"/>
      <c r="L157" s="116"/>
      <c r="M157" s="116"/>
      <c r="N157" s="116"/>
    </row>
    <row r="158" spans="1:14">
      <c r="A158" s="178">
        <f t="shared" si="41"/>
        <v>143</v>
      </c>
      <c r="B158" s="63" t="s">
        <v>475</v>
      </c>
      <c r="C158" s="234">
        <v>33649</v>
      </c>
      <c r="D158" s="127">
        <v>0</v>
      </c>
      <c r="E158" s="127">
        <f t="shared" ref="E158:E181" si="65">+C158-D158</f>
        <v>33649</v>
      </c>
      <c r="F158" s="127">
        <v>0</v>
      </c>
      <c r="G158" s="139">
        <f t="shared" ref="G158:G181" si="66">+E158+F158</f>
        <v>33649</v>
      </c>
      <c r="H158" s="127">
        <v>0</v>
      </c>
      <c r="I158" s="139">
        <f t="shared" ref="I158:I180" si="67">+G158+H158</f>
        <v>33649</v>
      </c>
      <c r="J158" s="143">
        <v>0.98899999999999999</v>
      </c>
      <c r="K158" s="139">
        <f t="shared" ref="K158:K180" si="68">IF(I158*J158=0,0, ROUND(I158*J158,0))</f>
        <v>33279</v>
      </c>
      <c r="L158" s="142" t="s">
        <v>397</v>
      </c>
      <c r="M158" s="127">
        <v>0</v>
      </c>
      <c r="N158" s="139">
        <f t="shared" ref="N158:N181" si="69">K158+M158</f>
        <v>33279</v>
      </c>
    </row>
    <row r="159" spans="1:14">
      <c r="A159" s="178">
        <f t="shared" ref="A159:A225" si="70">+A158+1</f>
        <v>144</v>
      </c>
      <c r="B159" s="116" t="s">
        <v>474</v>
      </c>
      <c r="C159" s="234">
        <v>-2701566</v>
      </c>
      <c r="D159" s="127">
        <v>0</v>
      </c>
      <c r="E159" s="127">
        <f t="shared" si="65"/>
        <v>-2701566</v>
      </c>
      <c r="F159" s="127">
        <v>0</v>
      </c>
      <c r="G159" s="139">
        <f t="shared" si="66"/>
        <v>-2701566</v>
      </c>
      <c r="H159" s="139">
        <v>0</v>
      </c>
      <c r="I159" s="139">
        <f t="shared" si="67"/>
        <v>-2701566</v>
      </c>
      <c r="J159" s="143">
        <v>0.99</v>
      </c>
      <c r="K159" s="139">
        <f t="shared" si="68"/>
        <v>-2674550</v>
      </c>
      <c r="L159" s="142" t="s">
        <v>390</v>
      </c>
      <c r="M159" s="139">
        <v>0</v>
      </c>
      <c r="N159" s="139">
        <f t="shared" si="69"/>
        <v>-2674550</v>
      </c>
    </row>
    <row r="160" spans="1:14">
      <c r="A160" s="178">
        <f t="shared" si="70"/>
        <v>145</v>
      </c>
      <c r="B160" s="116" t="s">
        <v>473</v>
      </c>
      <c r="C160" s="234">
        <v>0</v>
      </c>
      <c r="D160" s="127">
        <v>0</v>
      </c>
      <c r="E160" s="127">
        <f t="shared" si="65"/>
        <v>0</v>
      </c>
      <c r="F160" s="127">
        <v>0</v>
      </c>
      <c r="G160" s="139">
        <f t="shared" si="66"/>
        <v>0</v>
      </c>
      <c r="H160" s="139">
        <v>0</v>
      </c>
      <c r="I160" s="139">
        <f t="shared" si="67"/>
        <v>0</v>
      </c>
      <c r="J160" s="143">
        <v>0.99</v>
      </c>
      <c r="K160" s="139">
        <f t="shared" si="68"/>
        <v>0</v>
      </c>
      <c r="L160" s="142" t="s">
        <v>390</v>
      </c>
      <c r="M160" s="139">
        <v>0</v>
      </c>
      <c r="N160" s="139">
        <f t="shared" si="69"/>
        <v>0</v>
      </c>
    </row>
    <row r="161" spans="1:14">
      <c r="A161" s="178">
        <f t="shared" si="70"/>
        <v>146</v>
      </c>
      <c r="B161" s="116" t="s">
        <v>472</v>
      </c>
      <c r="C161" s="234">
        <v>0</v>
      </c>
      <c r="D161" s="127">
        <v>0</v>
      </c>
      <c r="E161" s="127">
        <f t="shared" si="65"/>
        <v>0</v>
      </c>
      <c r="F161" s="127">
        <v>0</v>
      </c>
      <c r="G161" s="139">
        <f t="shared" si="66"/>
        <v>0</v>
      </c>
      <c r="H161" s="127">
        <v>0</v>
      </c>
      <c r="I161" s="139">
        <f t="shared" si="67"/>
        <v>0</v>
      </c>
      <c r="J161" s="143">
        <v>0.99</v>
      </c>
      <c r="K161" s="139">
        <f t="shared" si="68"/>
        <v>0</v>
      </c>
      <c r="L161" s="142" t="s">
        <v>390</v>
      </c>
      <c r="M161" s="127">
        <v>0</v>
      </c>
      <c r="N161" s="139">
        <f t="shared" si="69"/>
        <v>0</v>
      </c>
    </row>
    <row r="162" spans="1:14">
      <c r="A162" s="178">
        <f t="shared" si="70"/>
        <v>147</v>
      </c>
      <c r="B162" s="152" t="s">
        <v>471</v>
      </c>
      <c r="C162" s="234">
        <v>-11567558</v>
      </c>
      <c r="D162" s="127">
        <v>0</v>
      </c>
      <c r="E162" s="127">
        <f t="shared" si="65"/>
        <v>-11567558</v>
      </c>
      <c r="F162" s="127">
        <v>0</v>
      </c>
      <c r="G162" s="139">
        <f t="shared" si="66"/>
        <v>-11567558</v>
      </c>
      <c r="H162" s="127">
        <v>0</v>
      </c>
      <c r="I162" s="139">
        <f>+G162+H162</f>
        <v>-11567558</v>
      </c>
      <c r="J162" s="143">
        <v>0.99</v>
      </c>
      <c r="K162" s="139">
        <f>IF(I162*J162=0,0, ROUND(I162*J162,0))</f>
        <v>-11451882</v>
      </c>
      <c r="L162" s="142" t="s">
        <v>390</v>
      </c>
      <c r="M162" s="127">
        <v>0</v>
      </c>
      <c r="N162" s="139">
        <f t="shared" si="69"/>
        <v>-11451882</v>
      </c>
    </row>
    <row r="163" spans="1:14">
      <c r="A163" s="178">
        <f t="shared" si="70"/>
        <v>148</v>
      </c>
      <c r="B163" s="116" t="s">
        <v>470</v>
      </c>
      <c r="C163" s="234">
        <v>921000</v>
      </c>
      <c r="D163" s="127">
        <v>0</v>
      </c>
      <c r="E163" s="127">
        <f t="shared" si="65"/>
        <v>921000</v>
      </c>
      <c r="F163" s="127">
        <v>0</v>
      </c>
      <c r="G163" s="139">
        <f t="shared" si="66"/>
        <v>921000</v>
      </c>
      <c r="H163" s="127">
        <v>0</v>
      </c>
      <c r="I163" s="139">
        <f t="shared" si="67"/>
        <v>921000</v>
      </c>
      <c r="J163" s="143">
        <v>0.99</v>
      </c>
      <c r="K163" s="139">
        <f t="shared" si="68"/>
        <v>911790</v>
      </c>
      <c r="L163" s="142" t="s">
        <v>390</v>
      </c>
      <c r="M163" s="234">
        <v>-177127</v>
      </c>
      <c r="N163" s="139">
        <f t="shared" si="69"/>
        <v>734663</v>
      </c>
    </row>
    <row r="164" spans="1:14">
      <c r="A164" s="178">
        <f t="shared" si="70"/>
        <v>149</v>
      </c>
      <c r="B164" s="116" t="s">
        <v>469</v>
      </c>
      <c r="C164" s="234">
        <v>1045582</v>
      </c>
      <c r="D164" s="139">
        <v>0</v>
      </c>
      <c r="E164" s="127">
        <f t="shared" si="65"/>
        <v>1045582</v>
      </c>
      <c r="F164" s="127">
        <v>0</v>
      </c>
      <c r="G164" s="139">
        <f t="shared" si="66"/>
        <v>1045582</v>
      </c>
      <c r="H164" s="139">
        <v>0</v>
      </c>
      <c r="I164" s="139">
        <f t="shared" si="67"/>
        <v>1045582</v>
      </c>
      <c r="J164" s="143">
        <v>0.98599999999999999</v>
      </c>
      <c r="K164" s="139">
        <f t="shared" si="68"/>
        <v>1030944</v>
      </c>
      <c r="L164" s="142" t="s">
        <v>395</v>
      </c>
      <c r="M164" s="139">
        <v>363539</v>
      </c>
      <c r="N164" s="139">
        <f t="shared" si="69"/>
        <v>1394483</v>
      </c>
    </row>
    <row r="165" spans="1:14">
      <c r="A165" s="178">
        <f t="shared" si="70"/>
        <v>150</v>
      </c>
      <c r="B165" s="152" t="s">
        <v>718</v>
      </c>
      <c r="C165" s="234">
        <v>216620</v>
      </c>
      <c r="D165" s="127">
        <v>0</v>
      </c>
      <c r="E165" s="127">
        <f t="shared" si="65"/>
        <v>216620</v>
      </c>
      <c r="F165" s="127">
        <v>0</v>
      </c>
      <c r="G165" s="139">
        <f t="shared" si="66"/>
        <v>216620</v>
      </c>
      <c r="H165" s="127">
        <v>0</v>
      </c>
      <c r="I165" s="139">
        <f>+G165+H165</f>
        <v>216620</v>
      </c>
      <c r="J165" s="143">
        <v>0.99</v>
      </c>
      <c r="K165" s="139">
        <f>IF(I165*J165=0,0, ROUND(I165*J165,0))</f>
        <v>214454</v>
      </c>
      <c r="L165" s="158" t="s">
        <v>390</v>
      </c>
      <c r="M165" s="127">
        <v>0</v>
      </c>
      <c r="N165" s="139">
        <f t="shared" si="69"/>
        <v>214454</v>
      </c>
    </row>
    <row r="166" spans="1:14">
      <c r="A166" s="178">
        <f t="shared" si="70"/>
        <v>151</v>
      </c>
      <c r="B166" s="152" t="s">
        <v>468</v>
      </c>
      <c r="C166" s="234">
        <v>0</v>
      </c>
      <c r="D166" s="127">
        <v>0</v>
      </c>
      <c r="E166" s="127">
        <f t="shared" si="65"/>
        <v>0</v>
      </c>
      <c r="F166" s="127">
        <v>0</v>
      </c>
      <c r="G166" s="139">
        <f t="shared" si="66"/>
        <v>0</v>
      </c>
      <c r="H166" s="127">
        <v>0</v>
      </c>
      <c r="I166" s="139">
        <f>+G166+H166</f>
        <v>0</v>
      </c>
      <c r="J166" s="143">
        <v>0.99</v>
      </c>
      <c r="K166" s="139">
        <f>IF(I166*J166=0,0, ROUND(I166*J166,0))</f>
        <v>0</v>
      </c>
      <c r="L166" s="158" t="s">
        <v>390</v>
      </c>
      <c r="M166" s="127">
        <v>0</v>
      </c>
      <c r="N166" s="139">
        <f t="shared" si="69"/>
        <v>0</v>
      </c>
    </row>
    <row r="167" spans="1:14">
      <c r="A167" s="178">
        <f t="shared" si="70"/>
        <v>152</v>
      </c>
      <c r="B167" s="116" t="s">
        <v>467</v>
      </c>
      <c r="C167" s="234">
        <v>0</v>
      </c>
      <c r="D167" s="127">
        <v>0</v>
      </c>
      <c r="E167" s="127">
        <f t="shared" si="65"/>
        <v>0</v>
      </c>
      <c r="F167" s="127">
        <v>0</v>
      </c>
      <c r="G167" s="139">
        <f t="shared" si="66"/>
        <v>0</v>
      </c>
      <c r="H167" s="127">
        <v>0</v>
      </c>
      <c r="I167" s="139">
        <f t="shared" si="67"/>
        <v>0</v>
      </c>
      <c r="J167" s="143">
        <v>0.99</v>
      </c>
      <c r="K167" s="139">
        <f t="shared" si="68"/>
        <v>0</v>
      </c>
      <c r="L167" s="142" t="s">
        <v>385</v>
      </c>
      <c r="M167" s="127">
        <v>0</v>
      </c>
      <c r="N167" s="139">
        <f t="shared" si="69"/>
        <v>0</v>
      </c>
    </row>
    <row r="168" spans="1:14">
      <c r="A168" s="178">
        <f t="shared" si="70"/>
        <v>153</v>
      </c>
      <c r="B168" s="116" t="s">
        <v>466</v>
      </c>
      <c r="C168" s="234">
        <v>0</v>
      </c>
      <c r="D168" s="127">
        <f>C168</f>
        <v>0</v>
      </c>
      <c r="E168" s="127">
        <f>+C168-D168</f>
        <v>0</v>
      </c>
      <c r="F168" s="127">
        <v>0</v>
      </c>
      <c r="G168" s="139">
        <f t="shared" si="66"/>
        <v>0</v>
      </c>
      <c r="H168" s="127">
        <v>0</v>
      </c>
      <c r="I168" s="139">
        <f>+G168+H168</f>
        <v>0</v>
      </c>
      <c r="J168" s="143">
        <v>1</v>
      </c>
      <c r="K168" s="139">
        <f>IF(I168*J168=0,0, ROUND(I168*J168,0))</f>
        <v>0</v>
      </c>
      <c r="L168" s="158" t="s">
        <v>383</v>
      </c>
      <c r="M168" s="127">
        <v>0</v>
      </c>
      <c r="N168" s="139">
        <f t="shared" si="69"/>
        <v>0</v>
      </c>
    </row>
    <row r="169" spans="1:14">
      <c r="A169" s="178">
        <f t="shared" si="70"/>
        <v>154</v>
      </c>
      <c r="B169" s="116" t="s">
        <v>465</v>
      </c>
      <c r="C169" s="234">
        <v>81974</v>
      </c>
      <c r="D169" s="127">
        <f>C169</f>
        <v>81974</v>
      </c>
      <c r="E169" s="127">
        <f>+C169-D169</f>
        <v>0</v>
      </c>
      <c r="F169" s="127">
        <v>0</v>
      </c>
      <c r="G169" s="139">
        <f t="shared" si="66"/>
        <v>0</v>
      </c>
      <c r="H169" s="127">
        <v>0</v>
      </c>
      <c r="I169" s="139">
        <f t="shared" si="67"/>
        <v>0</v>
      </c>
      <c r="J169" s="143">
        <v>0</v>
      </c>
      <c r="K169" s="139">
        <f t="shared" si="68"/>
        <v>0</v>
      </c>
      <c r="L169" s="158" t="s">
        <v>383</v>
      </c>
      <c r="M169" s="127">
        <v>0</v>
      </c>
      <c r="N169" s="139">
        <f t="shared" si="69"/>
        <v>0</v>
      </c>
    </row>
    <row r="170" spans="1:14">
      <c r="A170" s="178">
        <f t="shared" si="70"/>
        <v>155</v>
      </c>
      <c r="B170" s="116" t="s">
        <v>464</v>
      </c>
      <c r="C170" s="234">
        <v>0</v>
      </c>
      <c r="D170" s="127">
        <v>0</v>
      </c>
      <c r="E170" s="127">
        <f t="shared" si="65"/>
        <v>0</v>
      </c>
      <c r="F170" s="127">
        <v>0</v>
      </c>
      <c r="G170" s="139">
        <f t="shared" si="66"/>
        <v>0</v>
      </c>
      <c r="H170" s="139">
        <v>0</v>
      </c>
      <c r="I170" s="139">
        <f t="shared" si="67"/>
        <v>0</v>
      </c>
      <c r="J170" s="143">
        <v>0.98899999999999999</v>
      </c>
      <c r="K170" s="139">
        <f t="shared" si="68"/>
        <v>0</v>
      </c>
      <c r="L170" s="142" t="s">
        <v>384</v>
      </c>
      <c r="M170" s="139">
        <v>0</v>
      </c>
      <c r="N170" s="139">
        <f t="shared" si="69"/>
        <v>0</v>
      </c>
    </row>
    <row r="171" spans="1:14">
      <c r="A171" s="80">
        <f t="shared" si="70"/>
        <v>156</v>
      </c>
      <c r="B171" s="152" t="s">
        <v>719</v>
      </c>
      <c r="C171" s="234">
        <v>-445100</v>
      </c>
      <c r="D171" s="127">
        <v>0</v>
      </c>
      <c r="E171" s="127">
        <f t="shared" si="65"/>
        <v>-445100</v>
      </c>
      <c r="F171" s="127">
        <v>0</v>
      </c>
      <c r="G171" s="139">
        <f t="shared" si="66"/>
        <v>-445100</v>
      </c>
      <c r="H171" s="127">
        <v>0</v>
      </c>
      <c r="I171" s="139">
        <f>+G171+H171</f>
        <v>-445100</v>
      </c>
      <c r="J171" s="143">
        <v>0</v>
      </c>
      <c r="K171" s="139">
        <f>IF(I171*J171=0,0, ROUND(I171*J171,0))</f>
        <v>0</v>
      </c>
      <c r="L171" s="158" t="s">
        <v>384</v>
      </c>
      <c r="M171" s="127">
        <v>0</v>
      </c>
      <c r="N171" s="139">
        <f t="shared" si="69"/>
        <v>0</v>
      </c>
    </row>
    <row r="172" spans="1:14">
      <c r="A172" s="80">
        <f t="shared" si="70"/>
        <v>157</v>
      </c>
      <c r="B172" s="152" t="s">
        <v>463</v>
      </c>
      <c r="C172" s="234">
        <v>16626</v>
      </c>
      <c r="D172" s="127">
        <v>0</v>
      </c>
      <c r="E172" s="127">
        <f t="shared" si="65"/>
        <v>16626</v>
      </c>
      <c r="F172" s="127">
        <v>0</v>
      </c>
      <c r="G172" s="139">
        <f t="shared" si="66"/>
        <v>16626</v>
      </c>
      <c r="H172" s="127">
        <v>0</v>
      </c>
      <c r="I172" s="139">
        <f>+G172+H172</f>
        <v>16626</v>
      </c>
      <c r="J172" s="143">
        <v>0</v>
      </c>
      <c r="K172" s="139">
        <f>IF(I172*J172=0,0, ROUND(I172*J172,0))</f>
        <v>0</v>
      </c>
      <c r="L172" s="158" t="s">
        <v>384</v>
      </c>
      <c r="M172" s="127">
        <v>0</v>
      </c>
      <c r="N172" s="139">
        <f t="shared" si="69"/>
        <v>0</v>
      </c>
    </row>
    <row r="173" spans="1:14">
      <c r="A173" s="80">
        <f t="shared" si="70"/>
        <v>158</v>
      </c>
      <c r="B173" s="63" t="s">
        <v>462</v>
      </c>
      <c r="C173" s="234">
        <v>-90924</v>
      </c>
      <c r="D173" s="127">
        <v>0</v>
      </c>
      <c r="E173" s="127">
        <f t="shared" si="65"/>
        <v>-90924</v>
      </c>
      <c r="F173" s="127">
        <v>0</v>
      </c>
      <c r="G173" s="139">
        <f t="shared" si="66"/>
        <v>-90924</v>
      </c>
      <c r="H173" s="127">
        <v>0</v>
      </c>
      <c r="I173" s="139">
        <f t="shared" si="67"/>
        <v>-90924</v>
      </c>
      <c r="J173" s="143">
        <v>0</v>
      </c>
      <c r="K173" s="139">
        <f t="shared" si="68"/>
        <v>0</v>
      </c>
      <c r="L173" s="142" t="s">
        <v>396</v>
      </c>
      <c r="M173" s="127">
        <v>0</v>
      </c>
      <c r="N173" s="139">
        <f t="shared" si="69"/>
        <v>0</v>
      </c>
    </row>
    <row r="174" spans="1:14">
      <c r="A174" s="80">
        <f t="shared" si="70"/>
        <v>159</v>
      </c>
      <c r="B174" s="63" t="s">
        <v>461</v>
      </c>
      <c r="C174" s="234">
        <v>-756980</v>
      </c>
      <c r="D174" s="127">
        <f>C174</f>
        <v>-756980</v>
      </c>
      <c r="E174" s="127">
        <f t="shared" si="65"/>
        <v>0</v>
      </c>
      <c r="F174" s="127">
        <v>0</v>
      </c>
      <c r="G174" s="139">
        <f t="shared" si="66"/>
        <v>0</v>
      </c>
      <c r="H174" s="127">
        <v>0</v>
      </c>
      <c r="I174" s="139">
        <f t="shared" si="67"/>
        <v>0</v>
      </c>
      <c r="J174" s="143">
        <v>0</v>
      </c>
      <c r="K174" s="139">
        <f t="shared" si="68"/>
        <v>0</v>
      </c>
      <c r="L174" s="142" t="s">
        <v>396</v>
      </c>
      <c r="M174" s="127">
        <v>0</v>
      </c>
      <c r="N174" s="139">
        <f t="shared" si="69"/>
        <v>0</v>
      </c>
    </row>
    <row r="175" spans="1:14">
      <c r="A175" s="80">
        <f t="shared" si="70"/>
        <v>160</v>
      </c>
      <c r="B175" s="63" t="s">
        <v>460</v>
      </c>
      <c r="C175" s="234">
        <v>3620755</v>
      </c>
      <c r="D175" s="127">
        <v>0</v>
      </c>
      <c r="E175" s="127">
        <f t="shared" si="65"/>
        <v>3620755</v>
      </c>
      <c r="F175" s="127">
        <v>0</v>
      </c>
      <c r="G175" s="139">
        <f t="shared" si="66"/>
        <v>3620755</v>
      </c>
      <c r="H175" s="127">
        <v>0</v>
      </c>
      <c r="I175" s="139">
        <f t="shared" si="67"/>
        <v>3620755</v>
      </c>
      <c r="J175" s="143">
        <v>0.99</v>
      </c>
      <c r="K175" s="139">
        <f t="shared" si="68"/>
        <v>3584547</v>
      </c>
      <c r="L175" s="142" t="s">
        <v>390</v>
      </c>
      <c r="M175" s="127">
        <v>0</v>
      </c>
      <c r="N175" s="139">
        <f t="shared" si="69"/>
        <v>3584547</v>
      </c>
    </row>
    <row r="176" spans="1:14">
      <c r="A176" s="80">
        <f t="shared" si="70"/>
        <v>161</v>
      </c>
      <c r="B176" s="152" t="s">
        <v>459</v>
      </c>
      <c r="C176" s="234">
        <v>-3620755</v>
      </c>
      <c r="D176" s="155">
        <v>0</v>
      </c>
      <c r="E176" s="155">
        <f t="shared" si="65"/>
        <v>-3620755</v>
      </c>
      <c r="F176" s="127">
        <v>0</v>
      </c>
      <c r="G176" s="139">
        <f t="shared" si="66"/>
        <v>-3620755</v>
      </c>
      <c r="H176" s="127">
        <v>0</v>
      </c>
      <c r="I176" s="157">
        <f t="shared" si="67"/>
        <v>-3620755</v>
      </c>
      <c r="J176" s="143">
        <v>0.99</v>
      </c>
      <c r="K176" s="139">
        <f t="shared" si="68"/>
        <v>-3584547</v>
      </c>
      <c r="L176" s="142" t="s">
        <v>397</v>
      </c>
      <c r="M176" s="127">
        <v>0</v>
      </c>
      <c r="N176" s="139">
        <f t="shared" si="69"/>
        <v>-3584547</v>
      </c>
    </row>
    <row r="177" spans="1:14">
      <c r="A177" s="80">
        <f t="shared" si="70"/>
        <v>162</v>
      </c>
      <c r="B177" s="152" t="s">
        <v>458</v>
      </c>
      <c r="C177" s="234">
        <v>12037</v>
      </c>
      <c r="D177" s="155">
        <v>0</v>
      </c>
      <c r="E177" s="155">
        <f t="shared" si="65"/>
        <v>12037</v>
      </c>
      <c r="F177" s="127">
        <v>0</v>
      </c>
      <c r="G177" s="139">
        <f t="shared" si="66"/>
        <v>12037</v>
      </c>
      <c r="H177" s="127">
        <v>0</v>
      </c>
      <c r="I177" s="157">
        <f t="shared" si="67"/>
        <v>12037</v>
      </c>
      <c r="J177" s="143">
        <v>0.99</v>
      </c>
      <c r="K177" s="139">
        <f t="shared" si="68"/>
        <v>11917</v>
      </c>
      <c r="L177" s="142" t="s">
        <v>397</v>
      </c>
      <c r="M177" s="127">
        <v>0</v>
      </c>
      <c r="N177" s="139">
        <f t="shared" si="69"/>
        <v>11917</v>
      </c>
    </row>
    <row r="178" spans="1:14">
      <c r="A178" s="178"/>
      <c r="B178" s="152" t="s">
        <v>457</v>
      </c>
      <c r="C178" s="234">
        <v>0</v>
      </c>
      <c r="D178" s="236">
        <v>0</v>
      </c>
      <c r="E178" s="236">
        <f t="shared" si="65"/>
        <v>0</v>
      </c>
      <c r="F178" s="234">
        <v>0</v>
      </c>
      <c r="G178" s="139">
        <f t="shared" si="66"/>
        <v>0</v>
      </c>
      <c r="H178" s="234">
        <v>0</v>
      </c>
      <c r="I178" s="157">
        <f t="shared" si="67"/>
        <v>0</v>
      </c>
      <c r="J178" s="143">
        <v>0.98899999999999999</v>
      </c>
      <c r="K178" s="139">
        <f t="shared" si="68"/>
        <v>0</v>
      </c>
      <c r="L178" s="142" t="s">
        <v>397</v>
      </c>
      <c r="M178" s="234">
        <v>0</v>
      </c>
      <c r="N178" s="139">
        <f t="shared" si="69"/>
        <v>0</v>
      </c>
    </row>
    <row r="179" spans="1:14">
      <c r="A179" s="178"/>
      <c r="B179" s="152" t="s">
        <v>456</v>
      </c>
      <c r="C179" s="234">
        <v>-63785</v>
      </c>
      <c r="D179" s="236"/>
      <c r="E179" s="236">
        <f t="shared" si="65"/>
        <v>-63785</v>
      </c>
      <c r="F179" s="234">
        <v>0</v>
      </c>
      <c r="G179" s="139">
        <f t="shared" si="66"/>
        <v>-63785</v>
      </c>
      <c r="H179" s="234">
        <v>0</v>
      </c>
      <c r="I179" s="157">
        <f t="shared" si="67"/>
        <v>-63785</v>
      </c>
      <c r="J179" s="143">
        <v>0.98899999999999999</v>
      </c>
      <c r="K179" s="139">
        <f t="shared" si="68"/>
        <v>-63083</v>
      </c>
      <c r="L179" s="142" t="s">
        <v>397</v>
      </c>
      <c r="M179" s="234">
        <v>0</v>
      </c>
      <c r="N179" s="139">
        <f t="shared" si="69"/>
        <v>-63083</v>
      </c>
    </row>
    <row r="180" spans="1:14">
      <c r="A180" s="80">
        <f>+A177+1</f>
        <v>163</v>
      </c>
      <c r="B180" s="152" t="s">
        <v>720</v>
      </c>
      <c r="C180" s="234">
        <v>0</v>
      </c>
      <c r="D180" s="155">
        <v>0</v>
      </c>
      <c r="E180" s="155">
        <f t="shared" si="65"/>
        <v>0</v>
      </c>
      <c r="F180" s="127">
        <v>0</v>
      </c>
      <c r="G180" s="139">
        <f t="shared" si="66"/>
        <v>0</v>
      </c>
      <c r="H180" s="127">
        <v>0</v>
      </c>
      <c r="I180" s="157">
        <f t="shared" si="67"/>
        <v>0</v>
      </c>
      <c r="J180" s="143">
        <v>0.98899999999999999</v>
      </c>
      <c r="K180" s="139">
        <f t="shared" si="68"/>
        <v>0</v>
      </c>
      <c r="L180" s="142" t="s">
        <v>397</v>
      </c>
      <c r="M180" s="234">
        <v>0</v>
      </c>
      <c r="N180" s="139">
        <f t="shared" si="69"/>
        <v>0</v>
      </c>
    </row>
    <row r="181" spans="1:14">
      <c r="A181" s="80">
        <f t="shared" si="70"/>
        <v>164</v>
      </c>
      <c r="B181" s="152" t="s">
        <v>455</v>
      </c>
      <c r="C181" s="127">
        <v>0</v>
      </c>
      <c r="D181" s="127">
        <v>0</v>
      </c>
      <c r="E181" s="127">
        <f t="shared" si="65"/>
        <v>0</v>
      </c>
      <c r="F181" s="127">
        <v>0</v>
      </c>
      <c r="G181" s="139">
        <f t="shared" si="66"/>
        <v>0</v>
      </c>
      <c r="H181" s="127">
        <v>0</v>
      </c>
      <c r="I181" s="139">
        <f>+G181+H181</f>
        <v>0</v>
      </c>
      <c r="J181" s="143">
        <v>0.98899999999999999</v>
      </c>
      <c r="K181" s="139">
        <f>IF(I181*J181=0,0, ROUND(I181*J181,0))</f>
        <v>0</v>
      </c>
      <c r="L181" s="158" t="s">
        <v>397</v>
      </c>
      <c r="M181" s="127">
        <v>0</v>
      </c>
      <c r="N181" s="139">
        <f t="shared" si="69"/>
        <v>0</v>
      </c>
    </row>
    <row r="182" spans="1:14">
      <c r="A182" s="80">
        <f t="shared" si="70"/>
        <v>165</v>
      </c>
      <c r="B182" s="96" t="s">
        <v>454</v>
      </c>
      <c r="C182" s="147">
        <f t="shared" ref="C182:I182" si="71">SUM(C158:C181)</f>
        <v>-13298425</v>
      </c>
      <c r="D182" s="147">
        <f t="shared" si="71"/>
        <v>-675006</v>
      </c>
      <c r="E182" s="147">
        <f t="shared" si="71"/>
        <v>-12623419</v>
      </c>
      <c r="F182" s="147">
        <f t="shared" si="71"/>
        <v>0</v>
      </c>
      <c r="G182" s="147">
        <f t="shared" si="71"/>
        <v>-12623419</v>
      </c>
      <c r="H182" s="147">
        <f t="shared" si="71"/>
        <v>0</v>
      </c>
      <c r="I182" s="147">
        <f t="shared" si="71"/>
        <v>-12623419</v>
      </c>
      <c r="J182" s="153"/>
      <c r="K182" s="147">
        <f>SUM(K158:K181)</f>
        <v>-11987131</v>
      </c>
      <c r="L182" s="116"/>
      <c r="M182" s="147">
        <f t="shared" ref="M182:N182" si="72">SUM(M158:M181)</f>
        <v>186412</v>
      </c>
      <c r="N182" s="147">
        <f t="shared" si="72"/>
        <v>-11800719</v>
      </c>
    </row>
    <row r="183" spans="1:14">
      <c r="A183" s="80">
        <f t="shared" si="70"/>
        <v>166</v>
      </c>
      <c r="B183" s="63" t="s">
        <v>408</v>
      </c>
      <c r="C183" s="127"/>
      <c r="D183" s="116"/>
      <c r="E183" s="116"/>
      <c r="F183" s="116"/>
      <c r="G183" s="116"/>
      <c r="H183" s="116"/>
      <c r="I183" s="116"/>
      <c r="J183" s="154"/>
      <c r="K183" s="141"/>
      <c r="L183" s="116"/>
      <c r="M183" s="116"/>
      <c r="N183" s="116"/>
    </row>
    <row r="184" spans="1:14" ht="105" customHeight="1">
      <c r="A184" s="136"/>
      <c r="C184" s="127"/>
      <c r="D184" s="116"/>
      <c r="E184" s="116"/>
      <c r="F184" s="116"/>
      <c r="G184" s="116"/>
      <c r="H184" s="116"/>
      <c r="I184" s="116"/>
      <c r="J184" s="154"/>
      <c r="K184" s="141"/>
      <c r="L184" s="116"/>
      <c r="M184" s="116"/>
      <c r="N184" s="176" t="s">
        <v>653</v>
      </c>
    </row>
    <row r="185" spans="1:14">
      <c r="A185" s="80">
        <f>+A183+1</f>
        <v>167</v>
      </c>
      <c r="B185" s="96" t="s">
        <v>453</v>
      </c>
      <c r="C185" s="127"/>
      <c r="D185" s="116"/>
      <c r="E185" s="116"/>
      <c r="F185" s="116"/>
      <c r="G185" s="116"/>
      <c r="H185" s="116"/>
      <c r="I185" s="116"/>
      <c r="J185" s="154"/>
      <c r="K185" s="141"/>
      <c r="L185" s="116"/>
      <c r="M185" s="116"/>
      <c r="N185" s="116"/>
    </row>
    <row r="186" spans="1:14">
      <c r="A186" s="80">
        <f t="shared" si="70"/>
        <v>168</v>
      </c>
      <c r="B186" s="116" t="s">
        <v>452</v>
      </c>
      <c r="C186" s="234">
        <v>15329</v>
      </c>
      <c r="D186" s="127">
        <v>0</v>
      </c>
      <c r="E186" s="127">
        <f t="shared" ref="E186:E195" si="73">+C186-D186</f>
        <v>15329</v>
      </c>
      <c r="F186" s="127">
        <v>0</v>
      </c>
      <c r="G186" s="139">
        <f t="shared" ref="G186:G195" si="74">+E186+F186</f>
        <v>15329</v>
      </c>
      <c r="H186" s="127">
        <v>0</v>
      </c>
      <c r="I186" s="139">
        <f t="shared" ref="I186:I194" si="75">+G186+H186</f>
        <v>15329</v>
      </c>
      <c r="J186" s="143">
        <v>0.99</v>
      </c>
      <c r="K186" s="139">
        <f t="shared" ref="K186:K194" si="76">IF(I186*J186=0,0, ROUND(I186*J186,0))</f>
        <v>15176</v>
      </c>
      <c r="L186" s="142" t="s">
        <v>390</v>
      </c>
      <c r="M186" s="127">
        <v>0</v>
      </c>
      <c r="N186" s="139">
        <f t="shared" ref="N186:N195" si="77">K186+M186</f>
        <v>15176</v>
      </c>
    </row>
    <row r="187" spans="1:14">
      <c r="A187" s="80">
        <f t="shared" si="70"/>
        <v>169</v>
      </c>
      <c r="B187" s="116" t="s">
        <v>451</v>
      </c>
      <c r="C187" s="234">
        <v>0</v>
      </c>
      <c r="D187" s="127">
        <v>0</v>
      </c>
      <c r="E187" s="127">
        <f t="shared" si="73"/>
        <v>0</v>
      </c>
      <c r="F187" s="127">
        <v>0</v>
      </c>
      <c r="G187" s="139">
        <f t="shared" si="74"/>
        <v>0</v>
      </c>
      <c r="H187" s="127">
        <v>0</v>
      </c>
      <c r="I187" s="139">
        <f t="shared" si="75"/>
        <v>0</v>
      </c>
      <c r="J187" s="143">
        <v>0.99</v>
      </c>
      <c r="K187" s="139">
        <f t="shared" si="76"/>
        <v>0</v>
      </c>
      <c r="L187" s="142" t="s">
        <v>390</v>
      </c>
      <c r="M187" s="127">
        <v>0</v>
      </c>
      <c r="N187" s="139">
        <f t="shared" si="77"/>
        <v>0</v>
      </c>
    </row>
    <row r="188" spans="1:14">
      <c r="A188" s="80">
        <f t="shared" si="70"/>
        <v>170</v>
      </c>
      <c r="B188" s="116" t="s">
        <v>450</v>
      </c>
      <c r="C188" s="234">
        <v>52639</v>
      </c>
      <c r="D188" s="127">
        <v>0</v>
      </c>
      <c r="E188" s="127">
        <f t="shared" si="73"/>
        <v>52639</v>
      </c>
      <c r="F188" s="127">
        <v>0</v>
      </c>
      <c r="G188" s="139">
        <f t="shared" si="74"/>
        <v>52639</v>
      </c>
      <c r="H188" s="127">
        <v>0</v>
      </c>
      <c r="I188" s="139">
        <f t="shared" si="75"/>
        <v>52639</v>
      </c>
      <c r="J188" s="143">
        <v>0.99</v>
      </c>
      <c r="K188" s="139">
        <f t="shared" si="76"/>
        <v>52113</v>
      </c>
      <c r="L188" s="142" t="s">
        <v>390</v>
      </c>
      <c r="M188" s="127">
        <v>0</v>
      </c>
      <c r="N188" s="139">
        <f t="shared" si="77"/>
        <v>52113</v>
      </c>
    </row>
    <row r="189" spans="1:14">
      <c r="A189" s="80">
        <f t="shared" si="70"/>
        <v>171</v>
      </c>
      <c r="B189" s="116" t="s">
        <v>449</v>
      </c>
      <c r="C189" s="234">
        <v>63080</v>
      </c>
      <c r="D189" s="127">
        <f>C189</f>
        <v>63080</v>
      </c>
      <c r="E189" s="127">
        <f t="shared" si="73"/>
        <v>0</v>
      </c>
      <c r="F189" s="127">
        <v>0</v>
      </c>
      <c r="G189" s="139">
        <f t="shared" si="74"/>
        <v>0</v>
      </c>
      <c r="H189" s="127">
        <v>0</v>
      </c>
      <c r="I189" s="139">
        <f t="shared" si="75"/>
        <v>0</v>
      </c>
      <c r="J189" s="143">
        <v>0</v>
      </c>
      <c r="K189" s="139">
        <f t="shared" si="76"/>
        <v>0</v>
      </c>
      <c r="L189" s="142" t="s">
        <v>384</v>
      </c>
      <c r="M189" s="127">
        <v>0</v>
      </c>
      <c r="N189" s="139">
        <f t="shared" si="77"/>
        <v>0</v>
      </c>
    </row>
    <row r="190" spans="1:14">
      <c r="A190" s="80">
        <f t="shared" si="70"/>
        <v>172</v>
      </c>
      <c r="B190" s="116" t="s">
        <v>448</v>
      </c>
      <c r="C190" s="234">
        <v>0</v>
      </c>
      <c r="D190" s="139">
        <f>C190</f>
        <v>0</v>
      </c>
      <c r="E190" s="127">
        <f>+C190-D190</f>
        <v>0</v>
      </c>
      <c r="F190" s="127">
        <v>0</v>
      </c>
      <c r="G190" s="139">
        <f t="shared" si="74"/>
        <v>0</v>
      </c>
      <c r="H190" s="127">
        <v>0</v>
      </c>
      <c r="I190" s="139">
        <f>+G190+H190</f>
        <v>0</v>
      </c>
      <c r="J190" s="143">
        <v>0</v>
      </c>
      <c r="K190" s="139">
        <f>IF(I190*J190=0,0, ROUND(I190*J190,0))</f>
        <v>0</v>
      </c>
      <c r="L190" s="142" t="s">
        <v>384</v>
      </c>
      <c r="M190" s="127">
        <v>0</v>
      </c>
      <c r="N190" s="139">
        <f t="shared" si="77"/>
        <v>0</v>
      </c>
    </row>
    <row r="191" spans="1:14">
      <c r="A191" s="80">
        <f t="shared" si="70"/>
        <v>173</v>
      </c>
      <c r="B191" s="116" t="s">
        <v>447</v>
      </c>
      <c r="C191" s="234">
        <v>183694</v>
      </c>
      <c r="D191" s="127">
        <f>C191</f>
        <v>183694</v>
      </c>
      <c r="E191" s="127">
        <f t="shared" si="73"/>
        <v>0</v>
      </c>
      <c r="F191" s="127">
        <v>0</v>
      </c>
      <c r="G191" s="139">
        <f t="shared" si="74"/>
        <v>0</v>
      </c>
      <c r="H191" s="127">
        <v>0</v>
      </c>
      <c r="I191" s="139">
        <f t="shared" si="75"/>
        <v>0</v>
      </c>
      <c r="J191" s="143">
        <v>0</v>
      </c>
      <c r="K191" s="139">
        <f t="shared" si="76"/>
        <v>0</v>
      </c>
      <c r="L191" s="142" t="s">
        <v>384</v>
      </c>
      <c r="M191" s="127">
        <v>0</v>
      </c>
      <c r="N191" s="139">
        <f t="shared" si="77"/>
        <v>0</v>
      </c>
    </row>
    <row r="192" spans="1:14">
      <c r="A192" s="80">
        <f t="shared" si="70"/>
        <v>174</v>
      </c>
      <c r="B192" s="116" t="s">
        <v>446</v>
      </c>
      <c r="C192" s="234">
        <v>7503</v>
      </c>
      <c r="D192" s="234">
        <f>C192</f>
        <v>7503</v>
      </c>
      <c r="E192" s="127">
        <f>+C192-D192</f>
        <v>0</v>
      </c>
      <c r="F192" s="127">
        <v>0</v>
      </c>
      <c r="G192" s="139">
        <f t="shared" si="74"/>
        <v>0</v>
      </c>
      <c r="H192" s="127">
        <v>0</v>
      </c>
      <c r="I192" s="139">
        <f>+G192+H192</f>
        <v>0</v>
      </c>
      <c r="J192" s="143">
        <v>0.99</v>
      </c>
      <c r="K192" s="139">
        <f>IF(I192*J192=0,0, ROUND(I192*J192,0))</f>
        <v>0</v>
      </c>
      <c r="L192" s="142" t="s">
        <v>390</v>
      </c>
      <c r="M192" s="127">
        <v>0</v>
      </c>
      <c r="N192" s="139">
        <f t="shared" si="77"/>
        <v>0</v>
      </c>
    </row>
    <row r="193" spans="1:14">
      <c r="A193" s="80">
        <f t="shared" si="70"/>
        <v>175</v>
      </c>
      <c r="B193" s="152" t="s">
        <v>445</v>
      </c>
      <c r="C193" s="234">
        <v>24938</v>
      </c>
      <c r="D193" s="127">
        <v>0</v>
      </c>
      <c r="E193" s="127">
        <f t="shared" si="73"/>
        <v>24938</v>
      </c>
      <c r="F193" s="127">
        <v>0</v>
      </c>
      <c r="G193" s="139">
        <f t="shared" si="74"/>
        <v>24938</v>
      </c>
      <c r="H193" s="127">
        <v>0</v>
      </c>
      <c r="I193" s="139">
        <f>+G193+H193</f>
        <v>24938</v>
      </c>
      <c r="J193" s="143">
        <v>0</v>
      </c>
      <c r="K193" s="139">
        <f>IF(I193*J193=0,0, ROUND(I193*J193,0))</f>
        <v>0</v>
      </c>
      <c r="L193" s="158" t="s">
        <v>384</v>
      </c>
      <c r="M193" s="127">
        <v>0</v>
      </c>
      <c r="N193" s="139">
        <f t="shared" si="77"/>
        <v>0</v>
      </c>
    </row>
    <row r="194" spans="1:14">
      <c r="A194" s="80">
        <f t="shared" si="70"/>
        <v>176</v>
      </c>
      <c r="B194" s="116" t="s">
        <v>444</v>
      </c>
      <c r="C194" s="127">
        <v>0</v>
      </c>
      <c r="D194" s="127">
        <v>0</v>
      </c>
      <c r="E194" s="127">
        <f t="shared" si="73"/>
        <v>0</v>
      </c>
      <c r="F194" s="127">
        <v>0</v>
      </c>
      <c r="G194" s="139">
        <f t="shared" si="74"/>
        <v>0</v>
      </c>
      <c r="H194" s="139">
        <v>0</v>
      </c>
      <c r="I194" s="139">
        <f t="shared" si="75"/>
        <v>0</v>
      </c>
      <c r="J194" s="143">
        <v>0.98599999999999999</v>
      </c>
      <c r="K194" s="139">
        <f t="shared" si="76"/>
        <v>0</v>
      </c>
      <c r="L194" s="142" t="s">
        <v>395</v>
      </c>
      <c r="M194" s="139">
        <v>-117148</v>
      </c>
      <c r="N194" s="139">
        <f t="shared" si="77"/>
        <v>-117148</v>
      </c>
    </row>
    <row r="195" spans="1:14">
      <c r="A195" s="80">
        <f t="shared" si="70"/>
        <v>177</v>
      </c>
      <c r="B195" s="152" t="s">
        <v>443</v>
      </c>
      <c r="C195" s="127">
        <v>0</v>
      </c>
      <c r="D195" s="127">
        <v>0</v>
      </c>
      <c r="E195" s="127">
        <f t="shared" si="73"/>
        <v>0</v>
      </c>
      <c r="F195" s="127">
        <v>0</v>
      </c>
      <c r="G195" s="139">
        <f t="shared" si="74"/>
        <v>0</v>
      </c>
      <c r="H195" s="127">
        <v>0</v>
      </c>
      <c r="I195" s="139">
        <f>+G195+H195</f>
        <v>0</v>
      </c>
      <c r="J195" s="143">
        <v>0</v>
      </c>
      <c r="K195" s="139">
        <f>IF(I195*J195=0,0, ROUND(I195*J195,0))</f>
        <v>0</v>
      </c>
      <c r="L195" s="158" t="s">
        <v>384</v>
      </c>
      <c r="M195" s="127">
        <v>0</v>
      </c>
      <c r="N195" s="139">
        <f t="shared" si="77"/>
        <v>0</v>
      </c>
    </row>
    <row r="196" spans="1:14">
      <c r="A196" s="80">
        <f t="shared" si="70"/>
        <v>178</v>
      </c>
      <c r="B196" s="96" t="s">
        <v>442</v>
      </c>
      <c r="C196" s="147">
        <f t="shared" ref="C196:I196" si="78">SUM(C186:C195)</f>
        <v>347183</v>
      </c>
      <c r="D196" s="147">
        <f t="shared" si="78"/>
        <v>254277</v>
      </c>
      <c r="E196" s="147">
        <f t="shared" si="78"/>
        <v>92906</v>
      </c>
      <c r="F196" s="147">
        <f t="shared" si="78"/>
        <v>0</v>
      </c>
      <c r="G196" s="147">
        <f t="shared" si="78"/>
        <v>92906</v>
      </c>
      <c r="H196" s="147">
        <f t="shared" si="78"/>
        <v>0</v>
      </c>
      <c r="I196" s="147">
        <f t="shared" si="78"/>
        <v>92906</v>
      </c>
      <c r="J196" s="153"/>
      <c r="K196" s="147">
        <f>SUM(K186:K195)</f>
        <v>67289</v>
      </c>
      <c r="L196" s="116"/>
      <c r="M196" s="147">
        <f t="shared" ref="M196:N196" si="79">SUM(M186:M195)</f>
        <v>-117148</v>
      </c>
      <c r="N196" s="147">
        <f t="shared" si="79"/>
        <v>-49859</v>
      </c>
    </row>
    <row r="197" spans="1:14">
      <c r="A197" s="80">
        <f t="shared" si="70"/>
        <v>179</v>
      </c>
      <c r="B197" s="63" t="s">
        <v>408</v>
      </c>
      <c r="C197" s="127"/>
      <c r="D197" s="116"/>
      <c r="E197" s="116"/>
      <c r="F197" s="116"/>
      <c r="G197" s="116"/>
      <c r="H197" s="116"/>
      <c r="I197" s="116"/>
      <c r="J197" s="154"/>
      <c r="K197" s="141"/>
      <c r="L197" s="116"/>
      <c r="M197" s="116"/>
      <c r="N197" s="116"/>
    </row>
    <row r="198" spans="1:14">
      <c r="A198" s="80">
        <f t="shared" si="70"/>
        <v>180</v>
      </c>
      <c r="B198" s="96" t="s">
        <v>441</v>
      </c>
      <c r="C198" s="127"/>
      <c r="D198" s="116"/>
      <c r="E198" s="116"/>
      <c r="F198" s="116"/>
      <c r="G198" s="116"/>
      <c r="H198" s="116"/>
      <c r="I198" s="116"/>
      <c r="J198" s="154"/>
      <c r="K198" s="141"/>
      <c r="L198" s="116"/>
      <c r="M198" s="116"/>
      <c r="N198" s="116"/>
    </row>
    <row r="199" spans="1:14">
      <c r="A199" s="80">
        <f t="shared" si="70"/>
        <v>181</v>
      </c>
      <c r="B199" s="63" t="s">
        <v>440</v>
      </c>
      <c r="C199" s="127">
        <v>4324</v>
      </c>
      <c r="D199" s="127">
        <v>0</v>
      </c>
      <c r="E199" s="127">
        <f>+C199-D199</f>
        <v>4324</v>
      </c>
      <c r="F199" s="127">
        <v>0</v>
      </c>
      <c r="G199" s="139">
        <f t="shared" ref="G199:G200" si="80">+E199+F199</f>
        <v>4324</v>
      </c>
      <c r="H199" s="127">
        <v>0</v>
      </c>
      <c r="I199" s="139">
        <f>+G199+H199</f>
        <v>4324</v>
      </c>
      <c r="J199" s="143">
        <v>0.98899999999999999</v>
      </c>
      <c r="K199" s="139">
        <f>IF(I199*J199=0,0, ROUND(I199*J199,0))</f>
        <v>4276</v>
      </c>
      <c r="L199" s="142" t="s">
        <v>397</v>
      </c>
      <c r="M199" s="127">
        <v>0</v>
      </c>
      <c r="N199" s="139">
        <f t="shared" ref="N199:N200" si="81">K199+M199</f>
        <v>4276</v>
      </c>
    </row>
    <row r="200" spans="1:14">
      <c r="A200" s="80">
        <f t="shared" si="70"/>
        <v>182</v>
      </c>
      <c r="B200" s="63" t="s">
        <v>439</v>
      </c>
      <c r="C200" s="155">
        <v>-429000</v>
      </c>
      <c r="D200" s="155">
        <v>0</v>
      </c>
      <c r="E200" s="155">
        <f>+C200-D200</f>
        <v>-429000</v>
      </c>
      <c r="F200" s="127">
        <v>0</v>
      </c>
      <c r="G200" s="139">
        <f t="shared" si="80"/>
        <v>-429000</v>
      </c>
      <c r="H200" s="127">
        <v>0</v>
      </c>
      <c r="I200" s="155">
        <f>+G200+H200</f>
        <v>-429000</v>
      </c>
      <c r="J200" s="143">
        <v>0.98899999999999999</v>
      </c>
      <c r="K200" s="139">
        <f>IF(I200*J200=0,0, ROUND(I200*J200,0))</f>
        <v>-424281</v>
      </c>
      <c r="L200" s="142" t="s">
        <v>397</v>
      </c>
      <c r="M200" s="127">
        <v>0</v>
      </c>
      <c r="N200" s="139">
        <f t="shared" si="81"/>
        <v>-424281</v>
      </c>
    </row>
    <row r="201" spans="1:14">
      <c r="A201" s="80">
        <f t="shared" si="70"/>
        <v>183</v>
      </c>
      <c r="B201" s="96" t="s">
        <v>438</v>
      </c>
      <c r="C201" s="147">
        <f t="shared" ref="C201:I201" si="82">SUM(C199:C200)</f>
        <v>-424676</v>
      </c>
      <c r="D201" s="147">
        <f t="shared" si="82"/>
        <v>0</v>
      </c>
      <c r="E201" s="147">
        <f t="shared" si="82"/>
        <v>-424676</v>
      </c>
      <c r="F201" s="147">
        <f t="shared" si="82"/>
        <v>0</v>
      </c>
      <c r="G201" s="147">
        <f t="shared" si="82"/>
        <v>-424676</v>
      </c>
      <c r="H201" s="147">
        <f t="shared" si="82"/>
        <v>0</v>
      </c>
      <c r="I201" s="147">
        <f t="shared" si="82"/>
        <v>-424676</v>
      </c>
      <c r="J201" s="153"/>
      <c r="K201" s="147">
        <f>SUM(K199:K200)</f>
        <v>-420005</v>
      </c>
      <c r="L201" s="116"/>
      <c r="M201" s="147">
        <f t="shared" ref="M201:N201" si="83">SUM(M199:M200)</f>
        <v>0</v>
      </c>
      <c r="N201" s="147">
        <f t="shared" si="83"/>
        <v>-420005</v>
      </c>
    </row>
    <row r="202" spans="1:14">
      <c r="A202" s="80">
        <f t="shared" si="70"/>
        <v>184</v>
      </c>
      <c r="B202" s="63" t="s">
        <v>408</v>
      </c>
      <c r="C202" s="127"/>
      <c r="D202" s="116"/>
      <c r="E202" s="116"/>
      <c r="F202" s="116"/>
      <c r="G202" s="116"/>
      <c r="H202" s="116"/>
      <c r="I202" s="116"/>
      <c r="J202" s="154"/>
      <c r="K202" s="141"/>
      <c r="L202" s="116"/>
      <c r="M202" s="116"/>
      <c r="N202" s="116"/>
    </row>
    <row r="203" spans="1:14">
      <c r="A203" s="80">
        <f t="shared" si="70"/>
        <v>185</v>
      </c>
      <c r="B203" s="96" t="s">
        <v>437</v>
      </c>
      <c r="C203" s="127"/>
      <c r="D203" s="116"/>
      <c r="E203" s="116"/>
      <c r="F203" s="116"/>
      <c r="G203" s="116"/>
      <c r="H203" s="116"/>
      <c r="I203" s="116"/>
      <c r="J203" s="154"/>
      <c r="K203" s="141"/>
      <c r="L203" s="116"/>
      <c r="M203" s="116"/>
      <c r="N203" s="116"/>
    </row>
    <row r="204" spans="1:14">
      <c r="A204" s="80">
        <f t="shared" si="70"/>
        <v>186</v>
      </c>
      <c r="B204" s="63" t="s">
        <v>436</v>
      </c>
      <c r="C204" s="127">
        <v>-502837</v>
      </c>
      <c r="D204" s="127">
        <v>0</v>
      </c>
      <c r="E204" s="127">
        <f>+C204-D204</f>
        <v>-502837</v>
      </c>
      <c r="F204" s="127">
        <v>0</v>
      </c>
      <c r="G204" s="139">
        <f>+E204+F204</f>
        <v>-502837</v>
      </c>
      <c r="H204" s="127">
        <v>0</v>
      </c>
      <c r="I204" s="139">
        <f>+G204+H204</f>
        <v>-502837</v>
      </c>
      <c r="J204" s="143">
        <v>0.98899999999999999</v>
      </c>
      <c r="K204" s="139">
        <f>IF(I204*J204=0,0, ROUND(I204*J204,0))</f>
        <v>-497306</v>
      </c>
      <c r="L204" s="142" t="s">
        <v>397</v>
      </c>
      <c r="M204" s="127">
        <v>0</v>
      </c>
      <c r="N204" s="139">
        <f>K204+M204</f>
        <v>-497306</v>
      </c>
    </row>
    <row r="205" spans="1:14">
      <c r="A205" s="80">
        <f t="shared" si="70"/>
        <v>187</v>
      </c>
      <c r="B205" s="96" t="s">
        <v>435</v>
      </c>
      <c r="C205" s="147">
        <f t="shared" ref="C205:I205" si="84">SUM(C204:C204)</f>
        <v>-502837</v>
      </c>
      <c r="D205" s="147">
        <f t="shared" si="84"/>
        <v>0</v>
      </c>
      <c r="E205" s="147">
        <f t="shared" si="84"/>
        <v>-502837</v>
      </c>
      <c r="F205" s="147">
        <f t="shared" si="84"/>
        <v>0</v>
      </c>
      <c r="G205" s="147">
        <f t="shared" si="84"/>
        <v>-502837</v>
      </c>
      <c r="H205" s="147">
        <f t="shared" si="84"/>
        <v>0</v>
      </c>
      <c r="I205" s="147">
        <f t="shared" si="84"/>
        <v>-502837</v>
      </c>
      <c r="J205" s="153"/>
      <c r="K205" s="149">
        <f>SUM(K204:K204)</f>
        <v>-497306</v>
      </c>
      <c r="L205" s="116"/>
      <c r="M205" s="147">
        <f t="shared" ref="M205:N205" si="85">SUM(M204:M204)</f>
        <v>0</v>
      </c>
      <c r="N205" s="147">
        <f t="shared" si="85"/>
        <v>-497306</v>
      </c>
    </row>
    <row r="206" spans="1:14">
      <c r="A206" s="80">
        <f t="shared" si="70"/>
        <v>188</v>
      </c>
      <c r="B206" s="63" t="s">
        <v>408</v>
      </c>
      <c r="C206" s="127"/>
      <c r="D206" s="116"/>
      <c r="E206" s="116"/>
      <c r="F206" s="116"/>
      <c r="G206" s="116"/>
      <c r="H206" s="116"/>
      <c r="I206" s="116"/>
      <c r="J206" s="154"/>
      <c r="K206" s="141"/>
      <c r="L206" s="116"/>
      <c r="M206" s="116"/>
      <c r="N206" s="116"/>
    </row>
    <row r="207" spans="1:14">
      <c r="A207" s="80">
        <f t="shared" si="70"/>
        <v>189</v>
      </c>
      <c r="B207" s="96" t="s">
        <v>434</v>
      </c>
      <c r="C207" s="127"/>
      <c r="D207" s="116"/>
      <c r="E207" s="116"/>
      <c r="F207" s="116"/>
      <c r="G207" s="116"/>
      <c r="H207" s="116"/>
      <c r="I207" s="116"/>
      <c r="J207" s="154"/>
      <c r="K207" s="141"/>
      <c r="L207" s="116"/>
      <c r="M207" s="116"/>
      <c r="N207" s="116"/>
    </row>
    <row r="208" spans="1:14">
      <c r="A208" s="80">
        <f t="shared" si="70"/>
        <v>190</v>
      </c>
      <c r="B208" s="63" t="s">
        <v>433</v>
      </c>
      <c r="C208" s="155">
        <v>0</v>
      </c>
      <c r="D208" s="155">
        <v>0</v>
      </c>
      <c r="E208" s="155">
        <f>+C208-D208</f>
        <v>0</v>
      </c>
      <c r="F208" s="155">
        <v>0</v>
      </c>
      <c r="G208" s="139">
        <f>+E208+F208</f>
        <v>0</v>
      </c>
      <c r="H208" s="127">
        <v>0</v>
      </c>
      <c r="I208" s="155">
        <f>+G208+H208</f>
        <v>0</v>
      </c>
      <c r="J208" s="143">
        <f>VLOOKUP(L208,$C$263:$D$277,2,FALSE)</f>
        <v>0.98599999999999999</v>
      </c>
      <c r="K208" s="139">
        <f>IF(I208*J208=0,0, ROUND(I208*J208,0))</f>
        <v>0</v>
      </c>
      <c r="L208" s="142" t="s">
        <v>395</v>
      </c>
      <c r="M208" s="127">
        <v>0</v>
      </c>
      <c r="N208" s="139">
        <f>K208+M208</f>
        <v>0</v>
      </c>
    </row>
    <row r="209" spans="1:14">
      <c r="A209" s="80">
        <f t="shared" si="70"/>
        <v>191</v>
      </c>
      <c r="B209" s="96" t="s">
        <v>432</v>
      </c>
      <c r="C209" s="147">
        <f t="shared" ref="C209:I209" si="86">SUM(C208:C208)</f>
        <v>0</v>
      </c>
      <c r="D209" s="147">
        <f t="shared" si="86"/>
        <v>0</v>
      </c>
      <c r="E209" s="147">
        <f t="shared" si="86"/>
        <v>0</v>
      </c>
      <c r="F209" s="147">
        <f t="shared" si="86"/>
        <v>0</v>
      </c>
      <c r="G209" s="147">
        <f t="shared" si="86"/>
        <v>0</v>
      </c>
      <c r="H209" s="147">
        <f t="shared" si="86"/>
        <v>0</v>
      </c>
      <c r="I209" s="147">
        <f t="shared" si="86"/>
        <v>0</v>
      </c>
      <c r="J209" s="153"/>
      <c r="K209" s="149">
        <f>SUM(K208:K208)</f>
        <v>0</v>
      </c>
      <c r="L209" s="116"/>
      <c r="M209" s="147">
        <f t="shared" ref="M209:N209" si="87">SUM(M208:M208)</f>
        <v>0</v>
      </c>
      <c r="N209" s="147">
        <f t="shared" si="87"/>
        <v>0</v>
      </c>
    </row>
    <row r="210" spans="1:14">
      <c r="A210" s="80">
        <f t="shared" si="70"/>
        <v>192</v>
      </c>
      <c r="B210" s="63" t="s">
        <v>408</v>
      </c>
      <c r="C210" s="127"/>
      <c r="D210" s="116"/>
      <c r="E210" s="116"/>
      <c r="F210" s="116"/>
      <c r="G210" s="116"/>
      <c r="H210" s="116"/>
      <c r="I210" s="116"/>
      <c r="J210" s="154"/>
      <c r="K210" s="141"/>
      <c r="L210" s="116"/>
      <c r="M210" s="116"/>
      <c r="N210" s="116"/>
    </row>
    <row r="211" spans="1:14">
      <c r="A211" s="80">
        <f t="shared" si="70"/>
        <v>193</v>
      </c>
      <c r="B211" s="96" t="s">
        <v>431</v>
      </c>
      <c r="C211" s="127"/>
      <c r="D211" s="116"/>
      <c r="E211" s="116"/>
      <c r="F211" s="116"/>
      <c r="G211" s="116"/>
      <c r="H211" s="116"/>
      <c r="I211" s="116"/>
      <c r="J211" s="154"/>
      <c r="K211" s="141"/>
      <c r="L211" s="116"/>
      <c r="M211" s="116"/>
      <c r="N211" s="116"/>
    </row>
    <row r="212" spans="1:14">
      <c r="A212" s="80">
        <f t="shared" si="70"/>
        <v>194</v>
      </c>
      <c r="B212" s="63" t="s">
        <v>430</v>
      </c>
      <c r="C212" s="234">
        <v>0</v>
      </c>
      <c r="D212" s="127">
        <f>C212</f>
        <v>0</v>
      </c>
      <c r="E212" s="127">
        <f t="shared" ref="E212:E222" si="88">+C212-D212</f>
        <v>0</v>
      </c>
      <c r="F212" s="127">
        <v>0</v>
      </c>
      <c r="G212" s="139">
        <f t="shared" ref="G212:G222" si="89">+E212+F212</f>
        <v>0</v>
      </c>
      <c r="H212" s="127">
        <v>0</v>
      </c>
      <c r="I212" s="139">
        <f t="shared" ref="I212:I222" si="90">+G212+H212</f>
        <v>0</v>
      </c>
      <c r="J212" s="143">
        <v>0</v>
      </c>
      <c r="K212" s="139">
        <f t="shared" ref="K212:K222" si="91">IF(I212*J212=0,0, ROUND(I212*J212,0))</f>
        <v>0</v>
      </c>
      <c r="L212" s="158" t="s">
        <v>383</v>
      </c>
      <c r="M212" s="127">
        <v>0</v>
      </c>
      <c r="N212" s="139">
        <f t="shared" ref="N212:N222" si="92">K212+M212</f>
        <v>0</v>
      </c>
    </row>
    <row r="213" spans="1:14">
      <c r="A213" s="80">
        <f t="shared" si="70"/>
        <v>195</v>
      </c>
      <c r="B213" s="63" t="s">
        <v>429</v>
      </c>
      <c r="C213" s="234">
        <v>3131413</v>
      </c>
      <c r="D213" s="127">
        <v>0</v>
      </c>
      <c r="E213" s="127">
        <f t="shared" si="88"/>
        <v>3131413</v>
      </c>
      <c r="F213" s="127">
        <v>0</v>
      </c>
      <c r="G213" s="139">
        <f t="shared" si="89"/>
        <v>3131413</v>
      </c>
      <c r="H213" s="127">
        <v>0</v>
      </c>
      <c r="I213" s="139">
        <f t="shared" si="90"/>
        <v>3131413</v>
      </c>
      <c r="J213" s="143">
        <v>0.98599999999999999</v>
      </c>
      <c r="K213" s="139">
        <f t="shared" si="91"/>
        <v>3087573</v>
      </c>
      <c r="L213" s="142" t="s">
        <v>391</v>
      </c>
      <c r="M213" s="127">
        <v>0</v>
      </c>
      <c r="N213" s="139">
        <f t="shared" si="92"/>
        <v>3087573</v>
      </c>
    </row>
    <row r="214" spans="1:14">
      <c r="A214" s="80">
        <f t="shared" si="70"/>
        <v>196</v>
      </c>
      <c r="B214" s="63" t="s">
        <v>428</v>
      </c>
      <c r="C214" s="234">
        <v>0</v>
      </c>
      <c r="D214" s="127">
        <v>0</v>
      </c>
      <c r="E214" s="127">
        <f t="shared" si="88"/>
        <v>0</v>
      </c>
      <c r="F214" s="127">
        <v>0</v>
      </c>
      <c r="G214" s="139">
        <f t="shared" si="89"/>
        <v>0</v>
      </c>
      <c r="H214" s="127">
        <v>0</v>
      </c>
      <c r="I214" s="139">
        <f t="shared" si="90"/>
        <v>0</v>
      </c>
      <c r="J214" s="143">
        <v>0</v>
      </c>
      <c r="K214" s="139">
        <f t="shared" si="91"/>
        <v>0</v>
      </c>
      <c r="L214" s="158" t="s">
        <v>383</v>
      </c>
      <c r="M214" s="127">
        <v>0</v>
      </c>
      <c r="N214" s="139">
        <f t="shared" si="92"/>
        <v>0</v>
      </c>
    </row>
    <row r="215" spans="1:14">
      <c r="A215" s="80">
        <f t="shared" si="70"/>
        <v>197</v>
      </c>
      <c r="B215" s="63" t="s">
        <v>427</v>
      </c>
      <c r="C215" s="234">
        <v>0</v>
      </c>
      <c r="D215" s="127">
        <v>0</v>
      </c>
      <c r="E215" s="127">
        <f t="shared" si="88"/>
        <v>0</v>
      </c>
      <c r="F215" s="127">
        <v>0</v>
      </c>
      <c r="G215" s="139">
        <f t="shared" si="89"/>
        <v>0</v>
      </c>
      <c r="H215" s="127">
        <v>0</v>
      </c>
      <c r="I215" s="139">
        <f t="shared" si="90"/>
        <v>0</v>
      </c>
      <c r="J215" s="143">
        <v>0</v>
      </c>
      <c r="K215" s="139">
        <f t="shared" si="91"/>
        <v>0</v>
      </c>
      <c r="L215" s="158" t="s">
        <v>383</v>
      </c>
      <c r="M215" s="127">
        <v>0</v>
      </c>
      <c r="N215" s="139">
        <f t="shared" si="92"/>
        <v>0</v>
      </c>
    </row>
    <row r="216" spans="1:14">
      <c r="A216" s="80">
        <f t="shared" si="70"/>
        <v>198</v>
      </c>
      <c r="B216" s="63" t="s">
        <v>426</v>
      </c>
      <c r="C216" s="234">
        <v>-32971</v>
      </c>
      <c r="D216" s="127">
        <v>0</v>
      </c>
      <c r="E216" s="127">
        <f t="shared" si="88"/>
        <v>-32971</v>
      </c>
      <c r="F216" s="127">
        <v>0</v>
      </c>
      <c r="G216" s="139">
        <f t="shared" si="89"/>
        <v>-32971</v>
      </c>
      <c r="H216" s="127">
        <v>0</v>
      </c>
      <c r="I216" s="139">
        <f t="shared" si="90"/>
        <v>-32971</v>
      </c>
      <c r="J216" s="143">
        <v>0.98599999999999999</v>
      </c>
      <c r="K216" s="139">
        <f t="shared" si="91"/>
        <v>-32509</v>
      </c>
      <c r="L216" s="142" t="s">
        <v>391</v>
      </c>
      <c r="M216" s="127">
        <v>0</v>
      </c>
      <c r="N216" s="139">
        <f t="shared" si="92"/>
        <v>-32509</v>
      </c>
    </row>
    <row r="217" spans="1:14">
      <c r="A217" s="80">
        <f t="shared" si="70"/>
        <v>199</v>
      </c>
      <c r="B217" s="63" t="s">
        <v>425</v>
      </c>
      <c r="C217" s="234">
        <v>310576</v>
      </c>
      <c r="D217" s="127">
        <v>0</v>
      </c>
      <c r="E217" s="127">
        <f t="shared" si="88"/>
        <v>310576</v>
      </c>
      <c r="F217" s="127">
        <v>0</v>
      </c>
      <c r="G217" s="139">
        <f t="shared" si="89"/>
        <v>310576</v>
      </c>
      <c r="H217" s="127">
        <v>0</v>
      </c>
      <c r="I217" s="139">
        <f t="shared" si="90"/>
        <v>310576</v>
      </c>
      <c r="J217" s="143">
        <v>0.98599999999999999</v>
      </c>
      <c r="K217" s="139">
        <f t="shared" si="91"/>
        <v>306228</v>
      </c>
      <c r="L217" s="142" t="s">
        <v>391</v>
      </c>
      <c r="M217" s="127">
        <v>0</v>
      </c>
      <c r="N217" s="139">
        <f t="shared" si="92"/>
        <v>306228</v>
      </c>
    </row>
    <row r="218" spans="1:14">
      <c r="A218" s="80">
        <f t="shared" si="70"/>
        <v>200</v>
      </c>
      <c r="B218" s="63" t="s">
        <v>424</v>
      </c>
      <c r="C218" s="234">
        <v>-129479</v>
      </c>
      <c r="D218" s="127">
        <v>0</v>
      </c>
      <c r="E218" s="127">
        <f t="shared" si="88"/>
        <v>-129479</v>
      </c>
      <c r="F218" s="127">
        <v>0</v>
      </c>
      <c r="G218" s="139">
        <f t="shared" si="89"/>
        <v>-129479</v>
      </c>
      <c r="H218" s="127">
        <v>0</v>
      </c>
      <c r="I218" s="139">
        <f t="shared" si="90"/>
        <v>-129479</v>
      </c>
      <c r="J218" s="143">
        <v>0.98599999999999999</v>
      </c>
      <c r="K218" s="139">
        <f t="shared" si="91"/>
        <v>-127666</v>
      </c>
      <c r="L218" s="142" t="s">
        <v>391</v>
      </c>
      <c r="M218" s="127">
        <v>0</v>
      </c>
      <c r="N218" s="139">
        <f t="shared" si="92"/>
        <v>-127666</v>
      </c>
    </row>
    <row r="219" spans="1:14">
      <c r="A219" s="80">
        <f t="shared" si="70"/>
        <v>201</v>
      </c>
      <c r="B219" s="116" t="s">
        <v>423</v>
      </c>
      <c r="C219" s="234">
        <v>14970</v>
      </c>
      <c r="D219" s="127">
        <v>0</v>
      </c>
      <c r="E219" s="127">
        <f t="shared" si="88"/>
        <v>14970</v>
      </c>
      <c r="F219" s="127">
        <v>0</v>
      </c>
      <c r="G219" s="139">
        <f t="shared" si="89"/>
        <v>14970</v>
      </c>
      <c r="H219" s="127">
        <v>0</v>
      </c>
      <c r="I219" s="139">
        <f>+G219+H219</f>
        <v>14970</v>
      </c>
      <c r="J219" s="143">
        <v>0.98599999999999999</v>
      </c>
      <c r="K219" s="139">
        <f>IF(I219*J219=0,0, ROUND(I219*J219,0))</f>
        <v>14760</v>
      </c>
      <c r="L219" s="158" t="s">
        <v>391</v>
      </c>
      <c r="M219" s="127">
        <v>0</v>
      </c>
      <c r="N219" s="139">
        <f t="shared" si="92"/>
        <v>14760</v>
      </c>
    </row>
    <row r="220" spans="1:14">
      <c r="A220" s="80">
        <f t="shared" si="70"/>
        <v>202</v>
      </c>
      <c r="B220" s="116" t="s">
        <v>422</v>
      </c>
      <c r="C220" s="234">
        <v>0</v>
      </c>
      <c r="D220" s="127">
        <f t="shared" ref="D220:D221" si="93">C220</f>
        <v>0</v>
      </c>
      <c r="E220" s="127">
        <f t="shared" si="88"/>
        <v>0</v>
      </c>
      <c r="F220" s="127">
        <v>0</v>
      </c>
      <c r="G220" s="139">
        <f t="shared" si="89"/>
        <v>0</v>
      </c>
      <c r="H220" s="127">
        <v>0</v>
      </c>
      <c r="I220" s="139">
        <f t="shared" si="90"/>
        <v>0</v>
      </c>
      <c r="J220" s="143">
        <v>0</v>
      </c>
      <c r="K220" s="139">
        <f t="shared" si="91"/>
        <v>0</v>
      </c>
      <c r="L220" s="158" t="s">
        <v>383</v>
      </c>
      <c r="M220" s="127">
        <v>0</v>
      </c>
      <c r="N220" s="139">
        <f t="shared" si="92"/>
        <v>0</v>
      </c>
    </row>
    <row r="221" spans="1:14">
      <c r="A221" s="80">
        <f t="shared" si="70"/>
        <v>203</v>
      </c>
      <c r="B221" s="116" t="s">
        <v>421</v>
      </c>
      <c r="C221" s="234">
        <v>0</v>
      </c>
      <c r="D221" s="127">
        <f t="shared" si="93"/>
        <v>0</v>
      </c>
      <c r="E221" s="127">
        <f t="shared" si="88"/>
        <v>0</v>
      </c>
      <c r="F221" s="127">
        <v>0</v>
      </c>
      <c r="G221" s="139">
        <f t="shared" si="89"/>
        <v>0</v>
      </c>
      <c r="H221" s="127">
        <v>0</v>
      </c>
      <c r="I221" s="139">
        <f>+G221+H221</f>
        <v>0</v>
      </c>
      <c r="J221" s="143">
        <v>0</v>
      </c>
      <c r="K221" s="139">
        <f>IF(I221*J221=0,0, ROUND(I221*J221,0))</f>
        <v>0</v>
      </c>
      <c r="L221" s="158" t="s">
        <v>383</v>
      </c>
      <c r="M221" s="127">
        <v>0</v>
      </c>
      <c r="N221" s="139">
        <f t="shared" si="92"/>
        <v>0</v>
      </c>
    </row>
    <row r="222" spans="1:14">
      <c r="A222" s="80">
        <f t="shared" si="70"/>
        <v>204</v>
      </c>
      <c r="B222" s="63" t="s">
        <v>420</v>
      </c>
      <c r="C222" s="236">
        <v>-355106</v>
      </c>
      <c r="D222" s="155">
        <v>0</v>
      </c>
      <c r="E222" s="155">
        <f t="shared" si="88"/>
        <v>-355106</v>
      </c>
      <c r="F222" s="127">
        <v>0</v>
      </c>
      <c r="G222" s="139">
        <f t="shared" si="89"/>
        <v>-355106</v>
      </c>
      <c r="H222" s="127">
        <v>0</v>
      </c>
      <c r="I222" s="157">
        <f t="shared" si="90"/>
        <v>-355106</v>
      </c>
      <c r="J222" s="143">
        <v>0.98599999999999999</v>
      </c>
      <c r="K222" s="139">
        <f t="shared" si="91"/>
        <v>-350135</v>
      </c>
      <c r="L222" s="142" t="s">
        <v>391</v>
      </c>
      <c r="M222" s="127">
        <v>0</v>
      </c>
      <c r="N222" s="139">
        <f t="shared" si="92"/>
        <v>-350135</v>
      </c>
    </row>
    <row r="223" spans="1:14">
      <c r="A223" s="80">
        <f t="shared" si="70"/>
        <v>205</v>
      </c>
      <c r="B223" s="96" t="s">
        <v>419</v>
      </c>
      <c r="C223" s="147">
        <f t="shared" ref="C223:I223" si="94">SUM(C212:C222)</f>
        <v>2939403</v>
      </c>
      <c r="D223" s="147">
        <f t="shared" si="94"/>
        <v>0</v>
      </c>
      <c r="E223" s="147">
        <f t="shared" si="94"/>
        <v>2939403</v>
      </c>
      <c r="F223" s="147">
        <f t="shared" si="94"/>
        <v>0</v>
      </c>
      <c r="G223" s="147">
        <f t="shared" si="94"/>
        <v>2939403</v>
      </c>
      <c r="H223" s="147">
        <f t="shared" si="94"/>
        <v>0</v>
      </c>
      <c r="I223" s="147">
        <f t="shared" si="94"/>
        <v>2939403</v>
      </c>
      <c r="J223" s="153"/>
      <c r="K223" s="149">
        <f>SUM(K212:K222)</f>
        <v>2898251</v>
      </c>
      <c r="L223" s="116"/>
      <c r="M223" s="147">
        <f t="shared" ref="M223:N223" si="95">SUM(M212:M222)</f>
        <v>0</v>
      </c>
      <c r="N223" s="147">
        <f t="shared" si="95"/>
        <v>2898251</v>
      </c>
    </row>
    <row r="224" spans="1:14">
      <c r="A224" s="80">
        <f t="shared" si="70"/>
        <v>206</v>
      </c>
      <c r="B224" s="63" t="s">
        <v>408</v>
      </c>
      <c r="C224" s="127"/>
      <c r="D224" s="116"/>
      <c r="E224" s="116"/>
      <c r="F224" s="116"/>
      <c r="G224" s="116"/>
      <c r="H224" s="116"/>
      <c r="I224" s="116"/>
      <c r="J224" s="154"/>
      <c r="K224" s="141"/>
      <c r="L224" s="116"/>
      <c r="M224" s="116"/>
      <c r="N224" s="116"/>
    </row>
    <row r="225" spans="1:14">
      <c r="A225" s="80">
        <f t="shared" si="70"/>
        <v>207</v>
      </c>
      <c r="B225" s="96" t="s">
        <v>418</v>
      </c>
      <c r="C225" s="127"/>
      <c r="D225" s="116"/>
      <c r="E225" s="116"/>
      <c r="F225" s="116"/>
      <c r="G225" s="116"/>
      <c r="H225" s="116"/>
      <c r="I225" s="116"/>
      <c r="J225" s="154"/>
      <c r="K225" s="141"/>
      <c r="L225" s="116"/>
      <c r="M225" s="116"/>
      <c r="N225" s="116"/>
    </row>
    <row r="226" spans="1:14">
      <c r="A226" s="80">
        <f t="shared" ref="A226:A252" si="96">+A225+1</f>
        <v>208</v>
      </c>
      <c r="B226" s="63" t="s">
        <v>417</v>
      </c>
      <c r="C226" s="234">
        <v>-1658579</v>
      </c>
      <c r="D226" s="127">
        <v>0</v>
      </c>
      <c r="E226" s="127">
        <f t="shared" ref="E226:E232" si="97">+C226-D226</f>
        <v>-1658579</v>
      </c>
      <c r="F226" s="127">
        <v>0</v>
      </c>
      <c r="G226" s="139">
        <f t="shared" ref="G226:G232" si="98">+E226+F226</f>
        <v>-1658579</v>
      </c>
      <c r="H226" s="127">
        <v>0</v>
      </c>
      <c r="I226" s="139">
        <f t="shared" ref="I226:I232" si="99">+G226+H226</f>
        <v>-1658579</v>
      </c>
      <c r="J226" s="143">
        <f t="shared" ref="J226:J232" si="100">VLOOKUP(L226,$C$263:$D$277,2,FALSE)</f>
        <v>0.98599999999999999</v>
      </c>
      <c r="K226" s="139">
        <f t="shared" ref="K226:K232" si="101">IF(I226*J226=0,0, ROUND(I226*J226,0))</f>
        <v>-1635359</v>
      </c>
      <c r="L226" s="142" t="s">
        <v>391</v>
      </c>
      <c r="M226" s="127">
        <v>0</v>
      </c>
      <c r="N226" s="139">
        <f t="shared" ref="N226:N232" si="102">K226+M226</f>
        <v>-1635359</v>
      </c>
    </row>
    <row r="227" spans="1:14">
      <c r="A227" s="80">
        <f t="shared" si="96"/>
        <v>209</v>
      </c>
      <c r="B227" s="63" t="s">
        <v>416</v>
      </c>
      <c r="C227" s="127">
        <v>0</v>
      </c>
      <c r="D227" s="127">
        <v>0</v>
      </c>
      <c r="E227" s="127">
        <f t="shared" si="97"/>
        <v>0</v>
      </c>
      <c r="F227" s="127">
        <v>0</v>
      </c>
      <c r="G227" s="139">
        <f t="shared" si="98"/>
        <v>0</v>
      </c>
      <c r="H227" s="127">
        <v>0</v>
      </c>
      <c r="I227" s="139">
        <f t="shared" si="99"/>
        <v>0</v>
      </c>
      <c r="J227" s="143">
        <f t="shared" si="100"/>
        <v>0.98599999999999999</v>
      </c>
      <c r="K227" s="139">
        <f t="shared" si="101"/>
        <v>0</v>
      </c>
      <c r="L227" s="158" t="s">
        <v>391</v>
      </c>
      <c r="M227" s="127">
        <v>0</v>
      </c>
      <c r="N227" s="139">
        <f t="shared" si="102"/>
        <v>0</v>
      </c>
    </row>
    <row r="228" spans="1:14">
      <c r="A228" s="80">
        <f t="shared" si="96"/>
        <v>210</v>
      </c>
      <c r="B228" s="116" t="s">
        <v>415</v>
      </c>
      <c r="C228" s="127">
        <v>0</v>
      </c>
      <c r="D228" s="127">
        <f>C228</f>
        <v>0</v>
      </c>
      <c r="E228" s="127">
        <f t="shared" si="97"/>
        <v>0</v>
      </c>
      <c r="F228" s="127">
        <v>0</v>
      </c>
      <c r="G228" s="139">
        <f t="shared" si="98"/>
        <v>0</v>
      </c>
      <c r="H228" s="127">
        <v>0</v>
      </c>
      <c r="I228" s="139">
        <f t="shared" si="99"/>
        <v>0</v>
      </c>
      <c r="J228" s="143">
        <f t="shared" si="100"/>
        <v>0</v>
      </c>
      <c r="K228" s="139">
        <f t="shared" si="101"/>
        <v>0</v>
      </c>
      <c r="L228" s="158" t="s">
        <v>383</v>
      </c>
      <c r="M228" s="127">
        <v>0</v>
      </c>
      <c r="N228" s="139">
        <f t="shared" si="102"/>
        <v>0</v>
      </c>
    </row>
    <row r="229" spans="1:14">
      <c r="A229" s="80">
        <f t="shared" si="96"/>
        <v>211</v>
      </c>
      <c r="B229" s="63" t="s">
        <v>414</v>
      </c>
      <c r="C229" s="127">
        <v>0</v>
      </c>
      <c r="D229" s="127">
        <f>C229</f>
        <v>0</v>
      </c>
      <c r="E229" s="127">
        <f t="shared" si="97"/>
        <v>0</v>
      </c>
      <c r="F229" s="127">
        <v>0</v>
      </c>
      <c r="G229" s="139">
        <f t="shared" si="98"/>
        <v>0</v>
      </c>
      <c r="H229" s="127">
        <v>0</v>
      </c>
      <c r="I229" s="139">
        <f t="shared" si="99"/>
        <v>0</v>
      </c>
      <c r="J229" s="143">
        <f t="shared" si="100"/>
        <v>0</v>
      </c>
      <c r="K229" s="139">
        <f t="shared" si="101"/>
        <v>0</v>
      </c>
      <c r="L229" s="158" t="s">
        <v>383</v>
      </c>
      <c r="M229" s="127">
        <v>0</v>
      </c>
      <c r="N229" s="139">
        <f t="shared" si="102"/>
        <v>0</v>
      </c>
    </row>
    <row r="230" spans="1:14">
      <c r="A230" s="80">
        <f t="shared" si="96"/>
        <v>212</v>
      </c>
      <c r="B230" s="63" t="s">
        <v>413</v>
      </c>
      <c r="C230" s="127">
        <v>0</v>
      </c>
      <c r="D230" s="127">
        <v>0</v>
      </c>
      <c r="E230" s="127">
        <f t="shared" si="97"/>
        <v>0</v>
      </c>
      <c r="F230" s="127">
        <v>0</v>
      </c>
      <c r="G230" s="139">
        <f t="shared" si="98"/>
        <v>0</v>
      </c>
      <c r="H230" s="127">
        <v>0</v>
      </c>
      <c r="I230" s="139">
        <f t="shared" si="99"/>
        <v>0</v>
      </c>
      <c r="J230" s="143">
        <f t="shared" si="100"/>
        <v>0.98599999999999999</v>
      </c>
      <c r="K230" s="139">
        <f t="shared" si="101"/>
        <v>0</v>
      </c>
      <c r="L230" s="158" t="s">
        <v>391</v>
      </c>
      <c r="M230" s="127">
        <v>0</v>
      </c>
      <c r="N230" s="139">
        <f t="shared" si="102"/>
        <v>0</v>
      </c>
    </row>
    <row r="231" spans="1:14">
      <c r="A231" s="80">
        <f t="shared" si="96"/>
        <v>213</v>
      </c>
      <c r="B231" s="63" t="s">
        <v>412</v>
      </c>
      <c r="C231" s="127">
        <v>0</v>
      </c>
      <c r="D231" s="127">
        <v>0</v>
      </c>
      <c r="E231" s="127">
        <f t="shared" si="97"/>
        <v>0</v>
      </c>
      <c r="F231" s="127">
        <v>0</v>
      </c>
      <c r="G231" s="139">
        <f t="shared" si="98"/>
        <v>0</v>
      </c>
      <c r="H231" s="127">
        <v>0</v>
      </c>
      <c r="I231" s="139">
        <f t="shared" si="99"/>
        <v>0</v>
      </c>
      <c r="J231" s="143">
        <f t="shared" si="100"/>
        <v>0.98599999999999999</v>
      </c>
      <c r="K231" s="139">
        <f t="shared" si="101"/>
        <v>0</v>
      </c>
      <c r="L231" s="158" t="s">
        <v>391</v>
      </c>
      <c r="M231" s="127">
        <v>0</v>
      </c>
      <c r="N231" s="139">
        <f t="shared" si="102"/>
        <v>0</v>
      </c>
    </row>
    <row r="232" spans="1:14">
      <c r="A232" s="80">
        <f t="shared" si="96"/>
        <v>214</v>
      </c>
      <c r="B232" s="63" t="s">
        <v>411</v>
      </c>
      <c r="C232" s="155">
        <v>0</v>
      </c>
      <c r="D232" s="155">
        <v>0</v>
      </c>
      <c r="E232" s="155">
        <f t="shared" si="97"/>
        <v>0</v>
      </c>
      <c r="F232" s="127">
        <v>0</v>
      </c>
      <c r="G232" s="139">
        <f t="shared" si="98"/>
        <v>0</v>
      </c>
      <c r="H232" s="127">
        <v>0</v>
      </c>
      <c r="I232" s="155">
        <f t="shared" si="99"/>
        <v>0</v>
      </c>
      <c r="J232" s="143">
        <f t="shared" si="100"/>
        <v>0.98599999999999999</v>
      </c>
      <c r="K232" s="139">
        <f t="shared" si="101"/>
        <v>0</v>
      </c>
      <c r="L232" s="142" t="s">
        <v>391</v>
      </c>
      <c r="M232" s="127">
        <v>0</v>
      </c>
      <c r="N232" s="139">
        <f t="shared" si="102"/>
        <v>0</v>
      </c>
    </row>
    <row r="233" spans="1:14">
      <c r="A233" s="80">
        <f t="shared" si="96"/>
        <v>215</v>
      </c>
      <c r="B233" s="96" t="s">
        <v>410</v>
      </c>
      <c r="C233" s="147">
        <f t="shared" ref="C233:I233" si="103">SUM(C226:C232)</f>
        <v>-1658579</v>
      </c>
      <c r="D233" s="147">
        <f t="shared" si="103"/>
        <v>0</v>
      </c>
      <c r="E233" s="147">
        <f t="shared" si="103"/>
        <v>-1658579</v>
      </c>
      <c r="F233" s="147">
        <f t="shared" si="103"/>
        <v>0</v>
      </c>
      <c r="G233" s="147">
        <f t="shared" si="103"/>
        <v>-1658579</v>
      </c>
      <c r="H233" s="147">
        <f t="shared" si="103"/>
        <v>0</v>
      </c>
      <c r="I233" s="147">
        <f t="shared" si="103"/>
        <v>-1658579</v>
      </c>
      <c r="J233" s="153"/>
      <c r="K233" s="149">
        <f>SUM(K226:K232)</f>
        <v>-1635359</v>
      </c>
      <c r="L233" s="116"/>
      <c r="M233" s="147">
        <f t="shared" ref="M233:N233" si="104">SUM(M226:M232)</f>
        <v>0</v>
      </c>
      <c r="N233" s="147">
        <f t="shared" si="104"/>
        <v>-1635359</v>
      </c>
    </row>
    <row r="234" spans="1:14">
      <c r="A234" s="80">
        <f t="shared" si="96"/>
        <v>216</v>
      </c>
      <c r="B234" s="63" t="s">
        <v>408</v>
      </c>
      <c r="C234" s="127"/>
      <c r="D234" s="116"/>
      <c r="E234" s="116"/>
      <c r="F234" s="116"/>
      <c r="G234" s="116"/>
      <c r="H234" s="116"/>
      <c r="I234" s="116"/>
      <c r="J234" s="154"/>
      <c r="K234" s="141"/>
      <c r="L234" s="116"/>
      <c r="M234" s="116"/>
      <c r="N234" s="116"/>
    </row>
    <row r="235" spans="1:14">
      <c r="A235" s="80">
        <f t="shared" si="96"/>
        <v>217</v>
      </c>
      <c r="B235" s="96" t="s">
        <v>409</v>
      </c>
      <c r="C235" s="159">
        <f t="shared" ref="C235:I235" si="105">+C39+C51+C58+C67+C72+C76+C80+C84+C93+C97+C123+C151+C155+C182+C196+C201+C205+C209+C223+C233</f>
        <v>-6195636</v>
      </c>
      <c r="D235" s="159">
        <f t="shared" si="105"/>
        <v>-2314593</v>
      </c>
      <c r="E235" s="159">
        <f t="shared" si="105"/>
        <v>-3881043</v>
      </c>
      <c r="F235" s="159">
        <f t="shared" si="105"/>
        <v>0</v>
      </c>
      <c r="G235" s="159">
        <f t="shared" si="105"/>
        <v>-3881043</v>
      </c>
      <c r="H235" s="159">
        <f t="shared" si="105"/>
        <v>0</v>
      </c>
      <c r="I235" s="159">
        <f t="shared" si="105"/>
        <v>-3881043</v>
      </c>
      <c r="J235" s="153"/>
      <c r="K235" s="159">
        <f>+K39+K51+K58+K67+K72+K76+K80+K84+K93+K97+K123+K151+K155+K182+K196+K201+K205+K209+K223+K233</f>
        <v>-3717126</v>
      </c>
      <c r="L235" s="116"/>
      <c r="M235" s="159">
        <f>+M39+M51+M58+M67+M72+M76+M80+M84+M93+M97+M123+M151+M155+M182+M196+M201+M205+M209+M223+M233</f>
        <v>497703</v>
      </c>
      <c r="N235" s="159">
        <f>+N39+N51+N58+N67+N72+N76+N80+N84+N93+N97+N123+N151+N155+N182+N196+N201+N205+N209+N223+N233</f>
        <v>-3219423</v>
      </c>
    </row>
    <row r="236" spans="1:14">
      <c r="A236" s="80">
        <f t="shared" si="96"/>
        <v>218</v>
      </c>
      <c r="B236" s="63" t="s">
        <v>408</v>
      </c>
      <c r="C236" s="127"/>
      <c r="D236" s="116"/>
      <c r="E236" s="116"/>
      <c r="F236" s="116"/>
      <c r="G236" s="116"/>
      <c r="H236" s="116"/>
      <c r="I236" s="116"/>
      <c r="J236" s="154"/>
      <c r="K236" s="141"/>
      <c r="L236" s="116"/>
      <c r="M236" s="116"/>
      <c r="N236" s="116"/>
    </row>
    <row r="237" spans="1:14" ht="105" customHeight="1">
      <c r="A237" s="136"/>
      <c r="C237" s="127"/>
      <c r="D237" s="116"/>
      <c r="E237" s="116"/>
      <c r="F237" s="116"/>
      <c r="G237" s="116"/>
      <c r="H237" s="116"/>
      <c r="I237" s="116"/>
      <c r="J237" s="154"/>
      <c r="K237" s="141"/>
      <c r="L237" s="116"/>
      <c r="M237" s="116"/>
      <c r="N237" s="176" t="s">
        <v>654</v>
      </c>
    </row>
    <row r="238" spans="1:14">
      <c r="A238" s="80">
        <f>+A236+1</f>
        <v>219</v>
      </c>
      <c r="C238" s="127"/>
      <c r="D238" s="116"/>
      <c r="E238" s="127"/>
      <c r="F238" s="127"/>
      <c r="G238" s="127"/>
      <c r="H238" s="127"/>
      <c r="I238" s="127"/>
      <c r="J238" s="154"/>
      <c r="K238" s="146"/>
      <c r="L238" s="116"/>
      <c r="M238" s="127"/>
      <c r="N238" s="127"/>
    </row>
    <row r="239" spans="1:14">
      <c r="A239" s="80">
        <f t="shared" si="96"/>
        <v>220</v>
      </c>
      <c r="B239" s="65" t="s">
        <v>407</v>
      </c>
      <c r="C239" s="233">
        <v>-180111</v>
      </c>
      <c r="D239" s="128">
        <f>+C239</f>
        <v>-180111</v>
      </c>
      <c r="E239" s="128">
        <f>+C239-D239</f>
        <v>0</v>
      </c>
      <c r="F239" s="128">
        <v>0</v>
      </c>
      <c r="G239" s="144">
        <f>+E239+F239</f>
        <v>0</v>
      </c>
      <c r="H239" s="128">
        <v>0</v>
      </c>
      <c r="I239" s="128">
        <f>+G239-H239</f>
        <v>0</v>
      </c>
      <c r="J239" s="116"/>
      <c r="K239" s="160">
        <v>0</v>
      </c>
      <c r="L239" s="116"/>
      <c r="M239" s="128">
        <v>0</v>
      </c>
      <c r="N239" s="139">
        <f>K239+M239</f>
        <v>0</v>
      </c>
    </row>
    <row r="240" spans="1:14">
      <c r="A240" s="80">
        <f t="shared" si="96"/>
        <v>221</v>
      </c>
      <c r="B240" s="96" t="s">
        <v>406</v>
      </c>
      <c r="C240" s="127">
        <f t="shared" ref="C240:I240" si="106">+C20+C235+C239</f>
        <v>95676158</v>
      </c>
      <c r="D240" s="127">
        <f t="shared" si="106"/>
        <v>759175</v>
      </c>
      <c r="E240" s="127">
        <f>+E20+E235+E239</f>
        <v>94916983</v>
      </c>
      <c r="F240" s="127">
        <f t="shared" si="106"/>
        <v>-467080</v>
      </c>
      <c r="G240" s="127">
        <f t="shared" si="106"/>
        <v>94449903</v>
      </c>
      <c r="H240" s="127">
        <f t="shared" si="106"/>
        <v>0</v>
      </c>
      <c r="I240" s="127">
        <f t="shared" si="106"/>
        <v>94449903</v>
      </c>
      <c r="J240" s="116"/>
      <c r="K240" s="127">
        <f>+K20+K235+K239</f>
        <v>92939069</v>
      </c>
      <c r="L240" s="116"/>
      <c r="M240" s="127">
        <f>+M20+M235+M239</f>
        <v>-14884104</v>
      </c>
      <c r="N240" s="127">
        <f>+N20+N235+N239</f>
        <v>78054966</v>
      </c>
    </row>
    <row r="241" spans="1:14">
      <c r="A241" s="80">
        <f t="shared" si="96"/>
        <v>222</v>
      </c>
      <c r="B241" s="63" t="s">
        <v>405</v>
      </c>
      <c r="C241" s="161">
        <v>0.35</v>
      </c>
      <c r="D241" s="161">
        <v>0.35</v>
      </c>
      <c r="E241" s="161">
        <v>0.35</v>
      </c>
      <c r="F241" s="161">
        <v>0.35</v>
      </c>
      <c r="G241" s="161">
        <v>0.35</v>
      </c>
      <c r="H241" s="161">
        <v>0.35</v>
      </c>
      <c r="I241" s="161">
        <v>0.35</v>
      </c>
      <c r="J241" s="116"/>
      <c r="K241" s="162">
        <v>0.35</v>
      </c>
      <c r="L241" s="116"/>
      <c r="M241" s="161">
        <v>0.35</v>
      </c>
      <c r="N241" s="161">
        <v>0.35</v>
      </c>
    </row>
    <row r="242" spans="1:14">
      <c r="A242" s="80">
        <f t="shared" si="96"/>
        <v>223</v>
      </c>
      <c r="B242" s="63" t="s">
        <v>404</v>
      </c>
      <c r="C242" s="127">
        <f t="shared" ref="C242:I242" si="107">ROUND(C240*C241,0)</f>
        <v>33486655</v>
      </c>
      <c r="D242" s="127">
        <f t="shared" si="107"/>
        <v>265711</v>
      </c>
      <c r="E242" s="127">
        <f t="shared" si="107"/>
        <v>33220944</v>
      </c>
      <c r="F242" s="127">
        <f t="shared" si="107"/>
        <v>-163478</v>
      </c>
      <c r="G242" s="127">
        <f t="shared" si="107"/>
        <v>33057466</v>
      </c>
      <c r="H242" s="127">
        <f t="shared" si="107"/>
        <v>0</v>
      </c>
      <c r="I242" s="127">
        <f t="shared" si="107"/>
        <v>33057466</v>
      </c>
      <c r="J242" s="116"/>
      <c r="K242" s="127">
        <f>ROUND(K240*K241,0)</f>
        <v>32528674</v>
      </c>
      <c r="L242" s="116"/>
      <c r="M242" s="127">
        <f t="shared" ref="M242:N242" si="108">ROUND(M240*M241,0)</f>
        <v>-5209436</v>
      </c>
      <c r="N242" s="127">
        <f t="shared" si="108"/>
        <v>27319238</v>
      </c>
    </row>
    <row r="243" spans="1:14">
      <c r="A243" s="80">
        <f t="shared" si="96"/>
        <v>224</v>
      </c>
      <c r="B243" s="63" t="s">
        <v>403</v>
      </c>
      <c r="C243" s="234">
        <v>571316</v>
      </c>
      <c r="D243" s="127">
        <f>+C243</f>
        <v>571316</v>
      </c>
      <c r="E243" s="127">
        <f>+C243-D243</f>
        <v>0</v>
      </c>
      <c r="F243" s="127">
        <v>0</v>
      </c>
      <c r="G243" s="139">
        <f>+E243+F243</f>
        <v>0</v>
      </c>
      <c r="H243" s="127">
        <v>0</v>
      </c>
      <c r="I243" s="127">
        <f>+G243+H243</f>
        <v>0</v>
      </c>
      <c r="J243" s="116"/>
      <c r="K243" s="146">
        <v>0</v>
      </c>
      <c r="L243" s="116"/>
      <c r="M243" s="127">
        <v>0</v>
      </c>
      <c r="N243" s="139">
        <f t="shared" ref="N243:N246" si="109">K243+M243</f>
        <v>0</v>
      </c>
    </row>
    <row r="244" spans="1:14">
      <c r="A244" s="80">
        <f t="shared" si="96"/>
        <v>225</v>
      </c>
      <c r="B244" s="65" t="s">
        <v>402</v>
      </c>
      <c r="C244" s="234">
        <v>-2835307</v>
      </c>
      <c r="D244" s="127">
        <f>+C244</f>
        <v>-2835307</v>
      </c>
      <c r="E244" s="127">
        <f>+C244-D244</f>
        <v>0</v>
      </c>
      <c r="F244" s="127">
        <v>0</v>
      </c>
      <c r="G244" s="139">
        <f>+E244+F244</f>
        <v>0</v>
      </c>
      <c r="H244" s="127">
        <v>0</v>
      </c>
      <c r="I244" s="127">
        <f>+G244+H244</f>
        <v>0</v>
      </c>
      <c r="J244" s="116"/>
      <c r="K244" s="146">
        <v>0</v>
      </c>
      <c r="L244" s="116"/>
      <c r="M244" s="127">
        <v>0</v>
      </c>
      <c r="N244" s="139">
        <f t="shared" si="109"/>
        <v>0</v>
      </c>
    </row>
    <row r="245" spans="1:14">
      <c r="A245" s="80">
        <f t="shared" si="96"/>
        <v>226</v>
      </c>
      <c r="B245" s="65" t="s">
        <v>401</v>
      </c>
      <c r="C245" s="234">
        <v>0</v>
      </c>
      <c r="D245" s="127">
        <v>0</v>
      </c>
      <c r="E245" s="127">
        <f>+C245-D245</f>
        <v>0</v>
      </c>
      <c r="F245" s="127">
        <v>0</v>
      </c>
      <c r="G245" s="139">
        <f>+E245+F245</f>
        <v>0</v>
      </c>
      <c r="H245" s="127">
        <v>0</v>
      </c>
      <c r="I245" s="127">
        <f>+G245+H245</f>
        <v>0</v>
      </c>
      <c r="J245" s="116"/>
      <c r="K245" s="146">
        <v>0</v>
      </c>
      <c r="L245" s="116"/>
      <c r="M245" s="127">
        <v>0</v>
      </c>
      <c r="N245" s="139">
        <f t="shared" si="109"/>
        <v>0</v>
      </c>
    </row>
    <row r="246" spans="1:14">
      <c r="A246" s="80">
        <f t="shared" si="96"/>
        <v>227</v>
      </c>
      <c r="B246" s="63" t="s">
        <v>400</v>
      </c>
      <c r="C246" s="233">
        <v>-203000</v>
      </c>
      <c r="D246" s="127">
        <f>C246</f>
        <v>-203000</v>
      </c>
      <c r="E246" s="127">
        <f>+C246-D246</f>
        <v>0</v>
      </c>
      <c r="F246" s="127">
        <v>0</v>
      </c>
      <c r="G246" s="139">
        <f>+E246+F246</f>
        <v>0</v>
      </c>
      <c r="H246" s="128">
        <v>0</v>
      </c>
      <c r="I246" s="128">
        <f>+G246+H246</f>
        <v>0</v>
      </c>
      <c r="J246" s="143">
        <v>0.98899999999999999</v>
      </c>
      <c r="K246" s="139">
        <f>IF(I246*J246=0,0, ROUND(I246*J246,0))</f>
        <v>0</v>
      </c>
      <c r="L246" s="142" t="s">
        <v>397</v>
      </c>
      <c r="M246" s="128">
        <v>0</v>
      </c>
      <c r="N246" s="139">
        <f t="shared" si="109"/>
        <v>0</v>
      </c>
    </row>
    <row r="247" spans="1:14" ht="13.5" thickBot="1">
      <c r="A247" s="80">
        <f t="shared" si="96"/>
        <v>228</v>
      </c>
      <c r="B247" s="96" t="s">
        <v>399</v>
      </c>
      <c r="C247" s="163">
        <f t="shared" ref="C247:I247" si="110">SUM(C242:C246)</f>
        <v>31019664</v>
      </c>
      <c r="D247" s="163">
        <f t="shared" si="110"/>
        <v>-2201280</v>
      </c>
      <c r="E247" s="163">
        <f t="shared" si="110"/>
        <v>33220944</v>
      </c>
      <c r="F247" s="163">
        <f t="shared" si="110"/>
        <v>-163478</v>
      </c>
      <c r="G247" s="163">
        <f t="shared" si="110"/>
        <v>33057466</v>
      </c>
      <c r="H247" s="163">
        <f t="shared" si="110"/>
        <v>0</v>
      </c>
      <c r="I247" s="163">
        <f t="shared" si="110"/>
        <v>33057466</v>
      </c>
      <c r="J247" s="164"/>
      <c r="K247" s="165">
        <f>SUM(K242:K246)</f>
        <v>32528674</v>
      </c>
      <c r="L247" s="116"/>
      <c r="M247" s="163">
        <f t="shared" ref="M247:N247" si="111">SUM(M242:M246)</f>
        <v>-5209436</v>
      </c>
      <c r="N247" s="163">
        <f t="shared" si="111"/>
        <v>27319238</v>
      </c>
    </row>
    <row r="248" spans="1:14" ht="13.5" thickTop="1">
      <c r="A248" s="80">
        <f t="shared" si="96"/>
        <v>229</v>
      </c>
      <c r="K248" s="166"/>
    </row>
    <row r="249" spans="1:14">
      <c r="A249" s="80">
        <f t="shared" si="96"/>
        <v>230</v>
      </c>
      <c r="K249" s="166"/>
    </row>
    <row r="250" spans="1:14">
      <c r="A250" s="80">
        <f t="shared" si="96"/>
        <v>231</v>
      </c>
      <c r="K250" s="166"/>
    </row>
    <row r="251" spans="1:14">
      <c r="A251" s="80">
        <f t="shared" si="96"/>
        <v>232</v>
      </c>
      <c r="K251" s="166"/>
    </row>
    <row r="252" spans="1:14">
      <c r="A252" s="80">
        <f t="shared" si="96"/>
        <v>233</v>
      </c>
      <c r="K252" s="166"/>
    </row>
    <row r="253" spans="1:14">
      <c r="K253" s="166"/>
    </row>
    <row r="254" spans="1:14">
      <c r="K254" s="166"/>
    </row>
    <row r="255" spans="1:14">
      <c r="K255" s="166"/>
    </row>
    <row r="256" spans="1:14">
      <c r="K256" s="166"/>
    </row>
    <row r="257" spans="3:11">
      <c r="K257" s="166"/>
    </row>
    <row r="258" spans="3:11">
      <c r="K258" s="166"/>
    </row>
    <row r="259" spans="3:11">
      <c r="K259" s="166"/>
    </row>
    <row r="260" spans="3:11">
      <c r="K260" s="166"/>
    </row>
    <row r="261" spans="3:11">
      <c r="K261" s="166"/>
    </row>
    <row r="262" spans="3:11">
      <c r="C262" s="167" t="s">
        <v>398</v>
      </c>
      <c r="D262" s="168"/>
      <c r="K262" s="166"/>
    </row>
    <row r="263" spans="3:11">
      <c r="C263" s="109" t="s">
        <v>397</v>
      </c>
      <c r="D263" s="169">
        <v>0.98899999999999999</v>
      </c>
      <c r="K263" s="166"/>
    </row>
    <row r="264" spans="3:11">
      <c r="C264" s="109" t="s">
        <v>396</v>
      </c>
      <c r="D264" s="169">
        <v>0.99</v>
      </c>
      <c r="K264" s="166"/>
    </row>
    <row r="265" spans="3:11">
      <c r="C265" s="109" t="s">
        <v>395</v>
      </c>
      <c r="D265" s="169">
        <v>0.98599999999999999</v>
      </c>
      <c r="K265" s="166"/>
    </row>
    <row r="266" spans="3:11">
      <c r="C266" s="109" t="s">
        <v>394</v>
      </c>
      <c r="D266" s="169">
        <v>0.98599999999999999</v>
      </c>
      <c r="K266" s="166"/>
    </row>
    <row r="267" spans="3:11">
      <c r="C267" s="109" t="s">
        <v>393</v>
      </c>
      <c r="D267" s="169">
        <v>0.999</v>
      </c>
      <c r="K267" s="166"/>
    </row>
    <row r="268" spans="3:11">
      <c r="C268" s="109" t="s">
        <v>392</v>
      </c>
      <c r="D268" s="169">
        <v>0.99299999999999999</v>
      </c>
      <c r="K268" s="166"/>
    </row>
    <row r="269" spans="3:11">
      <c r="C269" s="109" t="s">
        <v>391</v>
      </c>
      <c r="D269" s="169">
        <v>0.98599999999999999</v>
      </c>
      <c r="K269" s="166"/>
    </row>
    <row r="270" spans="3:11">
      <c r="C270" s="109" t="s">
        <v>390</v>
      </c>
      <c r="D270" s="169">
        <v>0.99</v>
      </c>
      <c r="K270" s="166"/>
    </row>
    <row r="271" spans="3:11">
      <c r="C271" s="109" t="s">
        <v>389</v>
      </c>
      <c r="D271" s="169">
        <v>0.99</v>
      </c>
      <c r="K271" s="166"/>
    </row>
    <row r="272" spans="3:11">
      <c r="C272" s="170" t="s">
        <v>388</v>
      </c>
      <c r="D272" s="169">
        <v>0.98899999999999999</v>
      </c>
      <c r="K272" s="166"/>
    </row>
    <row r="273" spans="3:11">
      <c r="C273" s="170" t="s">
        <v>387</v>
      </c>
      <c r="D273" s="169">
        <v>0</v>
      </c>
      <c r="K273" s="166"/>
    </row>
    <row r="274" spans="3:11">
      <c r="C274" s="109" t="s">
        <v>386</v>
      </c>
      <c r="D274" s="169">
        <v>0.98599999999999999</v>
      </c>
      <c r="K274" s="166"/>
    </row>
    <row r="275" spans="3:11">
      <c r="C275" s="109" t="s">
        <v>385</v>
      </c>
      <c r="D275" s="169">
        <v>1</v>
      </c>
      <c r="K275" s="166"/>
    </row>
    <row r="276" spans="3:11">
      <c r="C276" s="109" t="s">
        <v>384</v>
      </c>
      <c r="D276" s="169">
        <v>0</v>
      </c>
      <c r="K276" s="166"/>
    </row>
    <row r="277" spans="3:11">
      <c r="C277" s="109" t="s">
        <v>383</v>
      </c>
      <c r="D277" s="169">
        <v>0</v>
      </c>
      <c r="K277" s="166"/>
    </row>
    <row r="278" spans="3:11">
      <c r="C278" s="109"/>
      <c r="D278" s="169"/>
      <c r="K278" s="166"/>
    </row>
    <row r="279" spans="3:11">
      <c r="C279" s="109"/>
      <c r="D279" s="169"/>
      <c r="K279" s="166"/>
    </row>
    <row r="280" spans="3:11">
      <c r="C280" s="109"/>
      <c r="D280" s="169"/>
      <c r="K280" s="166"/>
    </row>
    <row r="281" spans="3:11">
      <c r="C281" s="109"/>
      <c r="D281" s="169"/>
      <c r="K281" s="166"/>
    </row>
    <row r="282" spans="3:11">
      <c r="C282" s="109"/>
      <c r="D282" s="169"/>
      <c r="K282" s="166"/>
    </row>
    <row r="283" spans="3:11">
      <c r="C283" s="109"/>
      <c r="D283" s="169"/>
      <c r="K283" s="166"/>
    </row>
    <row r="284" spans="3:11">
      <c r="C284" s="109"/>
      <c r="D284" s="169"/>
      <c r="K284" s="166"/>
    </row>
    <row r="285" spans="3:11">
      <c r="C285" s="109"/>
      <c r="D285" s="169"/>
      <c r="K285" s="166"/>
    </row>
    <row r="286" spans="3:11">
      <c r="C286" s="109"/>
      <c r="D286" s="169"/>
      <c r="K286" s="166"/>
    </row>
    <row r="287" spans="3:11">
      <c r="K287" s="166"/>
    </row>
    <row r="288" spans="3:11">
      <c r="K288" s="166"/>
    </row>
    <row r="289" spans="11:14">
      <c r="K289" s="166"/>
    </row>
    <row r="291" spans="11:14" ht="110.25" customHeight="1">
      <c r="N291" s="176" t="s">
        <v>655</v>
      </c>
    </row>
  </sheetData>
  <mergeCells count="5">
    <mergeCell ref="A1:J1"/>
    <mergeCell ref="A2:J2"/>
    <mergeCell ref="A3:J3"/>
    <mergeCell ref="A4:J4"/>
    <mergeCell ref="A5:J5"/>
  </mergeCells>
  <pageMargins left="0.25" right="0.25" top="1" bottom="0.5" header="0.5" footer="0.5"/>
  <pageSetup scale="50" orientation="landscape" r:id="rId1"/>
  <headerFooter alignWithMargins="0"/>
  <rowBreaks count="4" manualBreakCount="4">
    <brk id="69" max="13" man="1"/>
    <brk id="125" max="13" man="1"/>
    <brk id="184" max="13" man="1"/>
    <brk id="237" max="1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75"/>
  <sheetViews>
    <sheetView zoomScale="85" zoomScaleNormal="85" workbookViewId="0">
      <pane xSplit="2" ySplit="5" topLeftCell="C6" activePane="bottomRight" state="frozen"/>
      <selection activeCell="H6" sqref="H6"/>
      <selection pane="topRight" activeCell="H6" sqref="H6"/>
      <selection pane="bottomLeft" activeCell="H6" sqref="H6"/>
      <selection pane="bottomRight" activeCell="C6" sqref="C6"/>
    </sheetView>
  </sheetViews>
  <sheetFormatPr defaultRowHeight="12.75"/>
  <cols>
    <col min="1" max="1" width="5" style="64" customWidth="1"/>
    <col min="2" max="2" width="35" style="63" bestFit="1" customWidth="1"/>
    <col min="3" max="15" width="16.42578125" style="63" bestFit="1" customWidth="1"/>
    <col min="16" max="16384" width="9.140625" style="63"/>
  </cols>
  <sheetData>
    <row r="1" spans="1:16" ht="16.5">
      <c r="B1" s="293" t="s">
        <v>13</v>
      </c>
      <c r="C1" s="293"/>
      <c r="D1" s="293"/>
      <c r="E1" s="293"/>
      <c r="F1" s="293"/>
      <c r="G1" s="293"/>
      <c r="H1" s="293"/>
      <c r="I1" s="293"/>
      <c r="J1" s="293"/>
      <c r="K1" s="293"/>
      <c r="L1" s="293"/>
      <c r="M1" s="293"/>
      <c r="N1" s="293"/>
      <c r="O1" s="73"/>
    </row>
    <row r="2" spans="1:16" ht="15">
      <c r="B2" s="291" t="s">
        <v>110</v>
      </c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72"/>
    </row>
    <row r="3" spans="1:16" ht="15">
      <c r="B3" s="291" t="s">
        <v>702</v>
      </c>
      <c r="C3" s="291"/>
      <c r="D3" s="291"/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72"/>
    </row>
    <row r="4" spans="1:16">
      <c r="A4" s="64" t="s">
        <v>328</v>
      </c>
    </row>
    <row r="5" spans="1:16">
      <c r="A5" s="64" t="s">
        <v>249</v>
      </c>
      <c r="C5" s="71">
        <v>41895</v>
      </c>
      <c r="D5" s="71">
        <v>41925</v>
      </c>
      <c r="E5" s="71">
        <v>41956</v>
      </c>
      <c r="F5" s="71">
        <v>41986</v>
      </c>
      <c r="G5" s="71">
        <v>41653</v>
      </c>
      <c r="H5" s="71">
        <v>41684</v>
      </c>
      <c r="I5" s="71">
        <v>41712</v>
      </c>
      <c r="J5" s="71">
        <v>41743</v>
      </c>
      <c r="K5" s="71">
        <v>41773</v>
      </c>
      <c r="L5" s="71">
        <v>41804</v>
      </c>
      <c r="M5" s="71">
        <v>41834</v>
      </c>
      <c r="N5" s="71">
        <v>41865</v>
      </c>
      <c r="O5" s="71">
        <v>41896</v>
      </c>
    </row>
    <row r="6" spans="1:16">
      <c r="B6" s="68" t="s">
        <v>327</v>
      </c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</row>
    <row r="7" spans="1:16">
      <c r="A7" s="64">
        <v>1</v>
      </c>
      <c r="B7" s="63" t="s">
        <v>326</v>
      </c>
      <c r="C7" s="203">
        <v>3614563.35</v>
      </c>
      <c r="D7" s="203">
        <v>3614563.35</v>
      </c>
      <c r="E7" s="203">
        <v>3614563.35</v>
      </c>
      <c r="F7" s="203">
        <v>3614563.35</v>
      </c>
      <c r="G7" s="203">
        <v>16408685.09</v>
      </c>
      <c r="H7" s="203">
        <v>16408685.09</v>
      </c>
      <c r="I7" s="203">
        <v>16408685.09</v>
      </c>
      <c r="J7" s="203">
        <v>16408685.09</v>
      </c>
      <c r="K7" s="203">
        <v>16408685.09</v>
      </c>
      <c r="L7" s="203">
        <v>58986497.719999999</v>
      </c>
      <c r="M7" s="203">
        <v>58986497.719999999</v>
      </c>
      <c r="N7" s="203">
        <v>58986497.719999999</v>
      </c>
      <c r="O7" s="203">
        <v>58986497.719999999</v>
      </c>
      <c r="P7" s="67"/>
    </row>
    <row r="8" spans="1:16">
      <c r="A8" s="64">
        <v>2</v>
      </c>
      <c r="B8" s="63" t="s">
        <v>325</v>
      </c>
      <c r="C8" s="204">
        <v>81054.350000000006</v>
      </c>
      <c r="D8" s="204">
        <v>81054.350000000006</v>
      </c>
      <c r="E8" s="204">
        <v>81054.350000000006</v>
      </c>
      <c r="F8" s="204">
        <v>81054.350000000006</v>
      </c>
      <c r="G8" s="204">
        <v>81054.350000000006</v>
      </c>
      <c r="H8" s="204">
        <v>81054.350000000006</v>
      </c>
      <c r="I8" s="204">
        <v>81054.350000000006</v>
      </c>
      <c r="J8" s="204">
        <v>81054.350000000006</v>
      </c>
      <c r="K8" s="204">
        <v>81054.350000000006</v>
      </c>
      <c r="L8" s="204">
        <v>81054.350000000006</v>
      </c>
      <c r="M8" s="204">
        <v>81054.350000000006</v>
      </c>
      <c r="N8" s="204">
        <v>81054.350000000006</v>
      </c>
      <c r="O8" s="204">
        <v>81054.350000000006</v>
      </c>
      <c r="P8" s="67"/>
    </row>
    <row r="9" spans="1:16">
      <c r="A9" s="64">
        <v>3</v>
      </c>
      <c r="B9" s="68" t="s">
        <v>324</v>
      </c>
      <c r="C9" s="69">
        <f t="shared" ref="C9:O9" si="0">SUM(C7:C8)</f>
        <v>3695617.7</v>
      </c>
      <c r="D9" s="69">
        <f t="shared" si="0"/>
        <v>3695617.7</v>
      </c>
      <c r="E9" s="69">
        <f t="shared" si="0"/>
        <v>3695617.7</v>
      </c>
      <c r="F9" s="69">
        <f t="shared" si="0"/>
        <v>3695617.7</v>
      </c>
      <c r="G9" s="69">
        <f t="shared" si="0"/>
        <v>16489739.439999999</v>
      </c>
      <c r="H9" s="69">
        <f t="shared" si="0"/>
        <v>16489739.439999999</v>
      </c>
      <c r="I9" s="69">
        <f t="shared" si="0"/>
        <v>16489739.439999999</v>
      </c>
      <c r="J9" s="69">
        <f t="shared" si="0"/>
        <v>16489739.439999999</v>
      </c>
      <c r="K9" s="69">
        <f t="shared" si="0"/>
        <v>16489739.439999999</v>
      </c>
      <c r="L9" s="69">
        <f t="shared" si="0"/>
        <v>59067552.07</v>
      </c>
      <c r="M9" s="69">
        <f t="shared" si="0"/>
        <v>59067552.07</v>
      </c>
      <c r="N9" s="69">
        <f t="shared" si="0"/>
        <v>59067552.07</v>
      </c>
      <c r="O9" s="69">
        <f t="shared" si="0"/>
        <v>59067552.07</v>
      </c>
      <c r="P9" s="67"/>
    </row>
    <row r="10" spans="1:16"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7"/>
    </row>
    <row r="11" spans="1:16">
      <c r="B11" s="68" t="s">
        <v>1</v>
      </c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7"/>
    </row>
    <row r="12" spans="1:16">
      <c r="A12" s="64">
        <v>4</v>
      </c>
      <c r="B12" s="63" t="s">
        <v>323</v>
      </c>
      <c r="C12" s="205">
        <v>52919.18</v>
      </c>
      <c r="D12" s="205">
        <v>52919.18</v>
      </c>
      <c r="E12" s="205">
        <v>52919.18</v>
      </c>
      <c r="F12" s="205">
        <v>52919.18</v>
      </c>
      <c r="G12" s="205">
        <v>52919.18</v>
      </c>
      <c r="H12" s="205">
        <v>52919.18</v>
      </c>
      <c r="I12" s="205">
        <v>52919.18</v>
      </c>
      <c r="J12" s="205">
        <v>52919.18</v>
      </c>
      <c r="K12" s="205">
        <v>52919.18</v>
      </c>
      <c r="L12" s="205">
        <v>52919.18</v>
      </c>
      <c r="M12" s="205">
        <v>52919.18</v>
      </c>
      <c r="N12" s="205">
        <v>52919.18</v>
      </c>
      <c r="O12" s="205">
        <v>52919.18</v>
      </c>
      <c r="P12" s="67"/>
    </row>
    <row r="13" spans="1:16">
      <c r="A13" s="64">
        <v>5</v>
      </c>
      <c r="B13" s="63" t="s">
        <v>322</v>
      </c>
      <c r="C13" s="206">
        <v>19667819.989999998</v>
      </c>
      <c r="D13" s="206">
        <v>19977301.140000001</v>
      </c>
      <c r="E13" s="206">
        <v>14998846.84</v>
      </c>
      <c r="F13" s="206">
        <v>15484377.01</v>
      </c>
      <c r="G13" s="206">
        <v>16198641.33</v>
      </c>
      <c r="H13" s="206">
        <v>16429942.279999999</v>
      </c>
      <c r="I13" s="206">
        <v>16614782.75</v>
      </c>
      <c r="J13" s="206">
        <v>16889284.48</v>
      </c>
      <c r="K13" s="206">
        <v>17071827.280000001</v>
      </c>
      <c r="L13" s="206">
        <v>17497662.73</v>
      </c>
      <c r="M13" s="206">
        <v>17778023.289999999</v>
      </c>
      <c r="N13" s="206">
        <v>18254301.739999998</v>
      </c>
      <c r="O13" s="206">
        <v>18357179.609999999</v>
      </c>
      <c r="P13" s="67"/>
    </row>
    <row r="14" spans="1:16">
      <c r="A14" s="64">
        <v>6</v>
      </c>
      <c r="B14" s="68" t="s">
        <v>111</v>
      </c>
      <c r="C14" s="69">
        <f t="shared" ref="C14:O14" si="1">SUM(C12:C13)</f>
        <v>19720739.169999998</v>
      </c>
      <c r="D14" s="69">
        <f t="shared" si="1"/>
        <v>20030220.32</v>
      </c>
      <c r="E14" s="69">
        <f t="shared" si="1"/>
        <v>15051766.02</v>
      </c>
      <c r="F14" s="69">
        <f t="shared" si="1"/>
        <v>15537296.189999999</v>
      </c>
      <c r="G14" s="69">
        <f t="shared" si="1"/>
        <v>16251560.51</v>
      </c>
      <c r="H14" s="69">
        <f t="shared" si="1"/>
        <v>16482861.459999999</v>
      </c>
      <c r="I14" s="69">
        <f t="shared" si="1"/>
        <v>16667701.93</v>
      </c>
      <c r="J14" s="69">
        <f t="shared" si="1"/>
        <v>16942203.66</v>
      </c>
      <c r="K14" s="69">
        <f t="shared" si="1"/>
        <v>17124746.460000001</v>
      </c>
      <c r="L14" s="69">
        <f t="shared" si="1"/>
        <v>17550581.91</v>
      </c>
      <c r="M14" s="69">
        <f t="shared" si="1"/>
        <v>17830942.469999999</v>
      </c>
      <c r="N14" s="69">
        <f t="shared" si="1"/>
        <v>18307220.919999998</v>
      </c>
      <c r="O14" s="69">
        <f t="shared" si="1"/>
        <v>18410098.789999999</v>
      </c>
      <c r="P14" s="67"/>
    </row>
    <row r="15" spans="1:16"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7"/>
    </row>
    <row r="16" spans="1:16">
      <c r="B16" s="68" t="s">
        <v>321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7"/>
    </row>
    <row r="17" spans="1:16">
      <c r="A17" s="64">
        <v>7</v>
      </c>
      <c r="B17" s="63" t="s">
        <v>320</v>
      </c>
      <c r="C17" s="207">
        <v>1748519.1800000002</v>
      </c>
      <c r="D17" s="207">
        <v>1748519.1800000002</v>
      </c>
      <c r="E17" s="207">
        <v>1748519.1800000002</v>
      </c>
      <c r="F17" s="207">
        <v>1748519.1800000002</v>
      </c>
      <c r="G17" s="207">
        <v>2353109.64</v>
      </c>
      <c r="H17" s="207">
        <v>2353109.64</v>
      </c>
      <c r="I17" s="207">
        <v>2353109.64</v>
      </c>
      <c r="J17" s="207">
        <v>2353109.64</v>
      </c>
      <c r="K17" s="207">
        <v>2353109.64</v>
      </c>
      <c r="L17" s="207">
        <v>2353109.64</v>
      </c>
      <c r="M17" s="207">
        <v>2353109.64</v>
      </c>
      <c r="N17" s="207">
        <v>2353109.64</v>
      </c>
      <c r="O17" s="207">
        <v>2353109.64</v>
      </c>
      <c r="P17" s="67"/>
    </row>
    <row r="18" spans="1:16">
      <c r="A18" s="64">
        <v>8</v>
      </c>
      <c r="B18" s="63" t="s">
        <v>319</v>
      </c>
      <c r="C18" s="207">
        <v>5420</v>
      </c>
      <c r="D18" s="207">
        <v>5420</v>
      </c>
      <c r="E18" s="207">
        <v>5420</v>
      </c>
      <c r="F18" s="207">
        <v>5420</v>
      </c>
      <c r="G18" s="207">
        <v>5420</v>
      </c>
      <c r="H18" s="207">
        <v>5420</v>
      </c>
      <c r="I18" s="207">
        <v>5420</v>
      </c>
      <c r="J18" s="207">
        <v>5420</v>
      </c>
      <c r="K18" s="207">
        <v>5420</v>
      </c>
      <c r="L18" s="207">
        <v>5420</v>
      </c>
      <c r="M18" s="207">
        <v>5420</v>
      </c>
      <c r="N18" s="207">
        <v>5420</v>
      </c>
      <c r="O18" s="207">
        <v>5420</v>
      </c>
      <c r="P18" s="67"/>
    </row>
    <row r="19" spans="1:16">
      <c r="A19" s="64">
        <v>9</v>
      </c>
      <c r="B19" s="63" t="s">
        <v>659</v>
      </c>
      <c r="C19" s="207">
        <v>43276056.119999997</v>
      </c>
      <c r="D19" s="207">
        <v>43276056.119999997</v>
      </c>
      <c r="E19" s="207">
        <v>43291664.659999996</v>
      </c>
      <c r="F19" s="207">
        <v>43291664.659999996</v>
      </c>
      <c r="G19" s="207">
        <v>85490393.030000001</v>
      </c>
      <c r="H19" s="207">
        <v>85516498.670000002</v>
      </c>
      <c r="I19" s="207">
        <v>85637225.379999995</v>
      </c>
      <c r="J19" s="207">
        <v>85620732.129999995</v>
      </c>
      <c r="K19" s="207">
        <v>85622398.5</v>
      </c>
      <c r="L19" s="207">
        <v>85622398.5</v>
      </c>
      <c r="M19" s="207">
        <v>94935001.760000005</v>
      </c>
      <c r="N19" s="207">
        <v>94943872.209999993</v>
      </c>
      <c r="O19" s="207">
        <v>95023652.859999999</v>
      </c>
      <c r="P19" s="67"/>
    </row>
    <row r="20" spans="1:16">
      <c r="A20" s="64">
        <v>10</v>
      </c>
      <c r="B20" s="63" t="s">
        <v>318</v>
      </c>
      <c r="C20" s="207">
        <v>369818417.62</v>
      </c>
      <c r="D20" s="207">
        <v>370354291.44</v>
      </c>
      <c r="E20" s="207">
        <v>370480424.63</v>
      </c>
      <c r="F20" s="207">
        <v>370603691.56999999</v>
      </c>
      <c r="G20" s="207">
        <v>1144433866.74</v>
      </c>
      <c r="H20" s="207">
        <v>1144436582.1199999</v>
      </c>
      <c r="I20" s="207">
        <v>1148400253.3199999</v>
      </c>
      <c r="J20" s="207">
        <v>1148680685.5699999</v>
      </c>
      <c r="K20" s="207">
        <v>1148647294.23</v>
      </c>
      <c r="L20" s="207">
        <v>1211318126.6600001</v>
      </c>
      <c r="M20" s="207">
        <v>1211971618.3699999</v>
      </c>
      <c r="N20" s="207">
        <v>1211912043.1600001</v>
      </c>
      <c r="O20" s="207">
        <v>1212041425.97</v>
      </c>
      <c r="P20" s="67"/>
    </row>
    <row r="21" spans="1:16">
      <c r="A21" s="64">
        <v>11</v>
      </c>
      <c r="B21" s="63" t="s">
        <v>660</v>
      </c>
      <c r="C21" s="207">
        <v>109277908.68000001</v>
      </c>
      <c r="D21" s="207">
        <v>109351019.81</v>
      </c>
      <c r="E21" s="207">
        <v>109363771.26000001</v>
      </c>
      <c r="F21" s="207">
        <v>109522949.2</v>
      </c>
      <c r="G21" s="207">
        <v>165163871.33000001</v>
      </c>
      <c r="H21" s="207">
        <v>165229055.25</v>
      </c>
      <c r="I21" s="207">
        <v>165189513.81</v>
      </c>
      <c r="J21" s="207">
        <v>165116559.58000001</v>
      </c>
      <c r="K21" s="207">
        <v>165116797.40000001</v>
      </c>
      <c r="L21" s="207">
        <v>165116908.59</v>
      </c>
      <c r="M21" s="207">
        <v>165191666.16999999</v>
      </c>
      <c r="N21" s="207">
        <v>165204323.19999999</v>
      </c>
      <c r="O21" s="207">
        <v>165186747.19</v>
      </c>
      <c r="P21" s="67"/>
    </row>
    <row r="22" spans="1:16">
      <c r="A22" s="64">
        <v>12</v>
      </c>
      <c r="B22" s="63" t="s">
        <v>317</v>
      </c>
      <c r="C22" s="207">
        <v>16435057.49</v>
      </c>
      <c r="D22" s="207">
        <v>16501977.970000001</v>
      </c>
      <c r="E22" s="207">
        <v>16507944.949999999</v>
      </c>
      <c r="F22" s="207">
        <v>16513202.27</v>
      </c>
      <c r="G22" s="207">
        <v>33606989.420000002</v>
      </c>
      <c r="H22" s="207">
        <v>33607182.460000001</v>
      </c>
      <c r="I22" s="207">
        <v>33607182.460000001</v>
      </c>
      <c r="J22" s="207">
        <v>33607182.460000001</v>
      </c>
      <c r="K22" s="207">
        <v>33645408.130000003</v>
      </c>
      <c r="L22" s="207">
        <v>33644628.950000003</v>
      </c>
      <c r="M22" s="207">
        <v>33660623.909999996</v>
      </c>
      <c r="N22" s="207">
        <v>33916490.5</v>
      </c>
      <c r="O22" s="207">
        <v>34041530.43</v>
      </c>
      <c r="P22" s="67"/>
    </row>
    <row r="23" spans="1:16">
      <c r="A23" s="64">
        <v>13</v>
      </c>
      <c r="B23" s="63" t="s">
        <v>316</v>
      </c>
      <c r="C23" s="208">
        <v>8682207.0299999993</v>
      </c>
      <c r="D23" s="208">
        <v>8710634.3800000008</v>
      </c>
      <c r="E23" s="208">
        <v>8696683.5600000005</v>
      </c>
      <c r="F23" s="208">
        <v>8709178.3699999992</v>
      </c>
      <c r="G23" s="208">
        <v>16414708.73</v>
      </c>
      <c r="H23" s="208">
        <v>16441802.35</v>
      </c>
      <c r="I23" s="208">
        <v>16453569.41</v>
      </c>
      <c r="J23" s="208">
        <v>16459023.300000001</v>
      </c>
      <c r="K23" s="208">
        <v>16490400.51</v>
      </c>
      <c r="L23" s="208">
        <v>16500877.060000001</v>
      </c>
      <c r="M23" s="208">
        <v>16504703.359999999</v>
      </c>
      <c r="N23" s="208">
        <v>16499488.83</v>
      </c>
      <c r="O23" s="208">
        <v>16499488.83</v>
      </c>
      <c r="P23" s="67"/>
    </row>
    <row r="24" spans="1:16">
      <c r="A24" s="64">
        <v>14</v>
      </c>
      <c r="B24" s="68" t="s">
        <v>315</v>
      </c>
      <c r="C24" s="69">
        <f t="shared" ref="C24:O24" si="2">SUM(C17:C23)</f>
        <v>549243586.12</v>
      </c>
      <c r="D24" s="69">
        <f t="shared" si="2"/>
        <v>549947918.89999998</v>
      </c>
      <c r="E24" s="69">
        <f t="shared" si="2"/>
        <v>550094428.23999989</v>
      </c>
      <c r="F24" s="69">
        <f t="shared" si="2"/>
        <v>550394625.25</v>
      </c>
      <c r="G24" s="69">
        <f t="shared" si="2"/>
        <v>1447468358.8900001</v>
      </c>
      <c r="H24" s="69">
        <f t="shared" si="2"/>
        <v>1447589650.4899998</v>
      </c>
      <c r="I24" s="69">
        <f t="shared" si="2"/>
        <v>1451646274.02</v>
      </c>
      <c r="J24" s="69">
        <f t="shared" si="2"/>
        <v>1451842712.6799998</v>
      </c>
      <c r="K24" s="69">
        <f t="shared" si="2"/>
        <v>1451880828.4100003</v>
      </c>
      <c r="L24" s="69">
        <f t="shared" si="2"/>
        <v>1514561469.4000001</v>
      </c>
      <c r="M24" s="69">
        <f t="shared" si="2"/>
        <v>1524622143.21</v>
      </c>
      <c r="N24" s="69">
        <f t="shared" si="2"/>
        <v>1524834747.54</v>
      </c>
      <c r="O24" s="69">
        <f t="shared" si="2"/>
        <v>1525151374.9200001</v>
      </c>
      <c r="P24" s="67"/>
    </row>
    <row r="25" spans="1:16"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7"/>
    </row>
    <row r="26" spans="1:16">
      <c r="B26" s="68" t="s">
        <v>2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7"/>
    </row>
    <row r="27" spans="1:16">
      <c r="A27" s="64">
        <v>15</v>
      </c>
      <c r="B27" s="63" t="s">
        <v>314</v>
      </c>
      <c r="C27" s="209">
        <v>3244231.49</v>
      </c>
      <c r="D27" s="209">
        <v>3244231.49</v>
      </c>
      <c r="E27" s="209">
        <v>3510457.17</v>
      </c>
      <c r="F27" s="209">
        <v>3508635.43</v>
      </c>
      <c r="G27" s="209">
        <v>3508635.43</v>
      </c>
      <c r="H27" s="209">
        <v>3508635.43</v>
      </c>
      <c r="I27" s="209">
        <v>3508635.43</v>
      </c>
      <c r="J27" s="209">
        <v>3508635.43</v>
      </c>
      <c r="K27" s="209">
        <v>3508635.43</v>
      </c>
      <c r="L27" s="209">
        <v>3508635.43</v>
      </c>
      <c r="M27" s="209">
        <v>3508635.43</v>
      </c>
      <c r="N27" s="209">
        <v>3508635.43</v>
      </c>
      <c r="O27" s="209">
        <v>3838779.62</v>
      </c>
      <c r="P27" s="67"/>
    </row>
    <row r="28" spans="1:16">
      <c r="A28" s="64">
        <v>16</v>
      </c>
      <c r="B28" s="63" t="s">
        <v>313</v>
      </c>
      <c r="C28" s="209">
        <v>26149705.09</v>
      </c>
      <c r="D28" s="209">
        <v>26312160.09</v>
      </c>
      <c r="E28" s="209">
        <v>26375232.149999999</v>
      </c>
      <c r="F28" s="209">
        <v>26456146.850000001</v>
      </c>
      <c r="G28" s="209">
        <v>26443454.16</v>
      </c>
      <c r="H28" s="209">
        <v>26444128.43</v>
      </c>
      <c r="I28" s="209">
        <v>26443281.629999999</v>
      </c>
      <c r="J28" s="209">
        <v>26443416.82</v>
      </c>
      <c r="K28" s="209">
        <v>27329698.300000001</v>
      </c>
      <c r="L28" s="209">
        <v>27338586.149999999</v>
      </c>
      <c r="M28" s="209">
        <v>27349697.440000001</v>
      </c>
      <c r="N28" s="209">
        <v>27349703.449999999</v>
      </c>
      <c r="O28" s="209">
        <v>27349703.829999998</v>
      </c>
      <c r="P28" s="67"/>
    </row>
    <row r="29" spans="1:16">
      <c r="A29" s="64">
        <v>17</v>
      </c>
      <c r="B29" s="63" t="s">
        <v>312</v>
      </c>
      <c r="C29" s="209">
        <v>6642863.4199999999</v>
      </c>
      <c r="D29" s="209">
        <v>6636668.4199999999</v>
      </c>
      <c r="E29" s="209">
        <v>6636668.4199999999</v>
      </c>
      <c r="F29" s="209">
        <v>6636668.4199999999</v>
      </c>
      <c r="G29" s="209">
        <v>6708784.9000000004</v>
      </c>
      <c r="H29" s="209">
        <v>6708784.9000000004</v>
      </c>
      <c r="I29" s="209">
        <v>6708784.9000000004</v>
      </c>
      <c r="J29" s="209">
        <v>6708784.9000000004</v>
      </c>
      <c r="K29" s="209">
        <v>6708784.9000000004</v>
      </c>
      <c r="L29" s="209">
        <v>6708784.9000000004</v>
      </c>
      <c r="M29" s="209">
        <v>6708784.9000000004</v>
      </c>
      <c r="N29" s="209">
        <v>6708784.9000000004</v>
      </c>
      <c r="O29" s="209">
        <v>6708784.9000000004</v>
      </c>
      <c r="P29" s="67"/>
    </row>
    <row r="30" spans="1:16">
      <c r="A30" s="64">
        <v>18</v>
      </c>
      <c r="B30" s="63" t="s">
        <v>311</v>
      </c>
      <c r="C30" s="209">
        <v>168589377.19</v>
      </c>
      <c r="D30" s="209">
        <v>170795076.69</v>
      </c>
      <c r="E30" s="209">
        <v>170800534.72999999</v>
      </c>
      <c r="F30" s="209">
        <v>170843670.53</v>
      </c>
      <c r="G30" s="209">
        <v>181071409.06999999</v>
      </c>
      <c r="H30" s="209">
        <v>181192525.38</v>
      </c>
      <c r="I30" s="209">
        <v>181217731.80000001</v>
      </c>
      <c r="J30" s="209">
        <v>181227142.36000001</v>
      </c>
      <c r="K30" s="209">
        <v>181250814.16999999</v>
      </c>
      <c r="L30" s="209">
        <v>181266502.25</v>
      </c>
      <c r="M30" s="209">
        <v>181742804.37</v>
      </c>
      <c r="N30" s="209">
        <v>189000819.84</v>
      </c>
      <c r="O30" s="209">
        <v>189133437.25</v>
      </c>
      <c r="P30" s="67"/>
    </row>
    <row r="31" spans="1:16">
      <c r="A31" s="64">
        <v>19</v>
      </c>
      <c r="B31" s="63" t="s">
        <v>310</v>
      </c>
      <c r="C31" s="209">
        <v>94474423.209999993</v>
      </c>
      <c r="D31" s="209">
        <v>94474541.459999993</v>
      </c>
      <c r="E31" s="209">
        <v>94474564.120000005</v>
      </c>
      <c r="F31" s="209">
        <v>94517543.319999993</v>
      </c>
      <c r="G31" s="209">
        <v>94521372.079999998</v>
      </c>
      <c r="H31" s="209">
        <v>94522116.799999997</v>
      </c>
      <c r="I31" s="209">
        <v>94528004.319999993</v>
      </c>
      <c r="J31" s="209">
        <v>94532525.290000007</v>
      </c>
      <c r="K31" s="209">
        <v>94535804.329999998</v>
      </c>
      <c r="L31" s="209">
        <v>94543709.010000005</v>
      </c>
      <c r="M31" s="209">
        <v>94550219.890000001</v>
      </c>
      <c r="N31" s="209">
        <v>94549920.159999996</v>
      </c>
      <c r="O31" s="209">
        <v>94550729.930000007</v>
      </c>
      <c r="P31" s="67"/>
    </row>
    <row r="32" spans="1:16">
      <c r="A32" s="64">
        <v>20</v>
      </c>
      <c r="B32" s="63" t="s">
        <v>309</v>
      </c>
      <c r="C32" s="209">
        <v>71230402.049999997</v>
      </c>
      <c r="D32" s="209">
        <v>72764597.480000004</v>
      </c>
      <c r="E32" s="209">
        <v>73221151.379999995</v>
      </c>
      <c r="F32" s="209">
        <v>74696719.989999995</v>
      </c>
      <c r="G32" s="209">
        <v>75186401.920000002</v>
      </c>
      <c r="H32" s="209">
        <v>76197133</v>
      </c>
      <c r="I32" s="209">
        <v>76356617.030000001</v>
      </c>
      <c r="J32" s="209">
        <v>76557102.739999995</v>
      </c>
      <c r="K32" s="209">
        <v>76573102.659999996</v>
      </c>
      <c r="L32" s="209">
        <v>76889457.129999995</v>
      </c>
      <c r="M32" s="209">
        <v>77052600.090000004</v>
      </c>
      <c r="N32" s="209">
        <v>77241091.030000001</v>
      </c>
      <c r="O32" s="209">
        <v>77305727.629999995</v>
      </c>
      <c r="P32" s="67"/>
    </row>
    <row r="33" spans="1:16">
      <c r="A33" s="64">
        <v>21</v>
      </c>
      <c r="B33" s="63" t="s">
        <v>308</v>
      </c>
      <c r="C33" s="209">
        <v>120860194.78</v>
      </c>
      <c r="D33" s="209">
        <v>121366395.31999999</v>
      </c>
      <c r="E33" s="209">
        <v>121753130.37</v>
      </c>
      <c r="F33" s="209">
        <v>122537908.04000001</v>
      </c>
      <c r="G33" s="209">
        <v>122760297.29000001</v>
      </c>
      <c r="H33" s="209">
        <v>123227534.31999999</v>
      </c>
      <c r="I33" s="209">
        <v>123302586.86</v>
      </c>
      <c r="J33" s="209">
        <v>123448393.08</v>
      </c>
      <c r="K33" s="209">
        <v>123461249.86</v>
      </c>
      <c r="L33" s="209">
        <v>123473507.7</v>
      </c>
      <c r="M33" s="209">
        <v>123719379.67</v>
      </c>
      <c r="N33" s="209">
        <v>123858027.89</v>
      </c>
      <c r="O33" s="209">
        <v>123870838.92</v>
      </c>
      <c r="P33" s="67"/>
    </row>
    <row r="34" spans="1:16">
      <c r="A34" s="64">
        <v>22</v>
      </c>
      <c r="B34" s="63" t="s">
        <v>307</v>
      </c>
      <c r="C34" s="209">
        <v>0</v>
      </c>
      <c r="D34" s="209">
        <v>166353.1</v>
      </c>
      <c r="E34" s="209">
        <v>304364.53000000003</v>
      </c>
      <c r="F34" s="209">
        <v>0</v>
      </c>
      <c r="G34" s="209">
        <v>0</v>
      </c>
      <c r="H34" s="209">
        <v>0</v>
      </c>
      <c r="I34" s="209">
        <v>0</v>
      </c>
      <c r="J34" s="209">
        <v>0</v>
      </c>
      <c r="K34" s="209">
        <v>0</v>
      </c>
      <c r="L34" s="209">
        <v>0</v>
      </c>
      <c r="M34" s="209">
        <v>0</v>
      </c>
      <c r="N34" s="209">
        <v>0</v>
      </c>
      <c r="O34" s="209">
        <v>0</v>
      </c>
      <c r="P34" s="67"/>
    </row>
    <row r="35" spans="1:16">
      <c r="A35" s="64">
        <v>23</v>
      </c>
      <c r="B35" s="63" t="s">
        <v>306</v>
      </c>
      <c r="C35" s="209">
        <v>11590</v>
      </c>
      <c r="D35" s="209">
        <v>11590</v>
      </c>
      <c r="E35" s="209">
        <v>11590</v>
      </c>
      <c r="F35" s="209">
        <v>11590</v>
      </c>
      <c r="G35" s="209">
        <v>11590</v>
      </c>
      <c r="H35" s="209">
        <v>11590</v>
      </c>
      <c r="I35" s="209">
        <v>11590</v>
      </c>
      <c r="J35" s="209">
        <v>11590</v>
      </c>
      <c r="K35" s="209">
        <v>11590</v>
      </c>
      <c r="L35" s="209">
        <v>11590</v>
      </c>
      <c r="M35" s="209">
        <v>11590</v>
      </c>
      <c r="N35" s="209">
        <v>11590</v>
      </c>
      <c r="O35" s="209">
        <v>11590</v>
      </c>
      <c r="P35" s="67"/>
    </row>
    <row r="36" spans="1:16">
      <c r="A36" s="64">
        <v>24</v>
      </c>
      <c r="B36" s="63" t="s">
        <v>305</v>
      </c>
      <c r="C36" s="210">
        <v>106066</v>
      </c>
      <c r="D36" s="210">
        <v>106066</v>
      </c>
      <c r="E36" s="210">
        <v>106066</v>
      </c>
      <c r="F36" s="210">
        <v>106066</v>
      </c>
      <c r="G36" s="210">
        <v>106066</v>
      </c>
      <c r="H36" s="210">
        <v>106066</v>
      </c>
      <c r="I36" s="210">
        <v>106066</v>
      </c>
      <c r="J36" s="210">
        <v>106066</v>
      </c>
      <c r="K36" s="210">
        <v>106066</v>
      </c>
      <c r="L36" s="210">
        <v>106066</v>
      </c>
      <c r="M36" s="210">
        <v>106066</v>
      </c>
      <c r="N36" s="210">
        <v>106066</v>
      </c>
      <c r="O36" s="210">
        <v>106066</v>
      </c>
      <c r="P36" s="67"/>
    </row>
    <row r="37" spans="1:16">
      <c r="A37" s="64">
        <v>25</v>
      </c>
      <c r="B37" s="68" t="s">
        <v>304</v>
      </c>
      <c r="C37" s="69">
        <f t="shared" ref="C37:O37" si="3">SUM(C27:C36)</f>
        <v>491308853.23000002</v>
      </c>
      <c r="D37" s="69">
        <f t="shared" si="3"/>
        <v>495877680.05000001</v>
      </c>
      <c r="E37" s="69">
        <f t="shared" si="3"/>
        <v>497193758.87</v>
      </c>
      <c r="F37" s="69">
        <f t="shared" si="3"/>
        <v>499314948.58000004</v>
      </c>
      <c r="G37" s="69">
        <f t="shared" si="3"/>
        <v>510318010.85000002</v>
      </c>
      <c r="H37" s="69">
        <f t="shared" si="3"/>
        <v>511918514.25999999</v>
      </c>
      <c r="I37" s="69">
        <f t="shared" si="3"/>
        <v>512183297.97000003</v>
      </c>
      <c r="J37" s="69">
        <f t="shared" si="3"/>
        <v>512543656.62</v>
      </c>
      <c r="K37" s="69">
        <f t="shared" si="3"/>
        <v>513485745.64999998</v>
      </c>
      <c r="L37" s="69">
        <f t="shared" si="3"/>
        <v>513846838.56999999</v>
      </c>
      <c r="M37" s="69">
        <f t="shared" si="3"/>
        <v>514749777.79000002</v>
      </c>
      <c r="N37" s="69">
        <f t="shared" si="3"/>
        <v>522334638.69999993</v>
      </c>
      <c r="O37" s="69">
        <f t="shared" si="3"/>
        <v>522875658.07999998</v>
      </c>
      <c r="P37" s="67"/>
    </row>
    <row r="38" spans="1:16"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7"/>
    </row>
    <row r="39" spans="1:16">
      <c r="B39" s="68" t="s">
        <v>303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7"/>
    </row>
    <row r="40" spans="1:16">
      <c r="A40" s="64">
        <v>26</v>
      </c>
      <c r="B40" s="63" t="s">
        <v>302</v>
      </c>
      <c r="C40" s="211">
        <v>2150608.2400000002</v>
      </c>
      <c r="D40" s="211">
        <v>2150608.2400000002</v>
      </c>
      <c r="E40" s="211">
        <v>2150608.2400000002</v>
      </c>
      <c r="F40" s="211">
        <v>2150608.2400000002</v>
      </c>
      <c r="G40" s="211">
        <v>2150608.2400000002</v>
      </c>
      <c r="H40" s="211">
        <v>2150608.2400000002</v>
      </c>
      <c r="I40" s="211">
        <v>2150608.2400000002</v>
      </c>
      <c r="J40" s="211">
        <v>2150608.2400000002</v>
      </c>
      <c r="K40" s="211">
        <v>2150608.2400000002</v>
      </c>
      <c r="L40" s="211">
        <v>2150608.2400000002</v>
      </c>
      <c r="M40" s="211">
        <v>2150608.2400000002</v>
      </c>
      <c r="N40" s="211">
        <v>2150608.2400000002</v>
      </c>
      <c r="O40" s="211">
        <v>2150608.2400000002</v>
      </c>
      <c r="P40" s="67"/>
    </row>
    <row r="41" spans="1:16">
      <c r="A41" s="64">
        <v>27</v>
      </c>
      <c r="B41" s="63" t="s">
        <v>301</v>
      </c>
      <c r="C41" s="211">
        <v>5295714.8899999997</v>
      </c>
      <c r="D41" s="211">
        <v>5303006.96</v>
      </c>
      <c r="E41" s="211">
        <v>5329910.0599999996</v>
      </c>
      <c r="F41" s="211">
        <v>5343520.07</v>
      </c>
      <c r="G41" s="211">
        <v>5345230.8600000003</v>
      </c>
      <c r="H41" s="211">
        <v>5345318.38</v>
      </c>
      <c r="I41" s="211">
        <v>5345556.38</v>
      </c>
      <c r="J41" s="211">
        <v>5345556.38</v>
      </c>
      <c r="K41" s="211">
        <v>5345556.38</v>
      </c>
      <c r="L41" s="211">
        <v>5345556.38</v>
      </c>
      <c r="M41" s="211">
        <v>5345556.38</v>
      </c>
      <c r="N41" s="211">
        <v>5345556.38</v>
      </c>
      <c r="O41" s="211">
        <v>5345556.38</v>
      </c>
      <c r="P41" s="67"/>
    </row>
    <row r="42" spans="1:16">
      <c r="A42" s="64">
        <v>28</v>
      </c>
      <c r="B42" s="63" t="s">
        <v>300</v>
      </c>
      <c r="C42" s="211">
        <v>4372005.84</v>
      </c>
      <c r="D42" s="211">
        <v>4372005.84</v>
      </c>
      <c r="E42" s="211">
        <v>4372005.84</v>
      </c>
      <c r="F42" s="211">
        <v>4372005.84</v>
      </c>
      <c r="G42" s="211">
        <v>4372005.84</v>
      </c>
      <c r="H42" s="211">
        <v>4372005.84</v>
      </c>
      <c r="I42" s="211">
        <v>4372005.84</v>
      </c>
      <c r="J42" s="211">
        <v>4372005.84</v>
      </c>
      <c r="K42" s="211">
        <v>4372005.84</v>
      </c>
      <c r="L42" s="211">
        <v>4372005.84</v>
      </c>
      <c r="M42" s="211">
        <v>4372005.84</v>
      </c>
      <c r="N42" s="211">
        <v>4372005.84</v>
      </c>
      <c r="O42" s="211">
        <v>4372005.84</v>
      </c>
      <c r="P42" s="67"/>
    </row>
    <row r="43" spans="1:16">
      <c r="A43" s="64">
        <v>29</v>
      </c>
      <c r="B43" s="63" t="s">
        <v>299</v>
      </c>
      <c r="C43" s="211">
        <v>78483424.879999995</v>
      </c>
      <c r="D43" s="211">
        <v>78856666.129999995</v>
      </c>
      <c r="E43" s="211">
        <v>81888864.239999995</v>
      </c>
      <c r="F43" s="211">
        <v>83664562.25</v>
      </c>
      <c r="G43" s="211">
        <v>83735184.079999998</v>
      </c>
      <c r="H43" s="211">
        <v>83784283.079999998</v>
      </c>
      <c r="I43" s="211">
        <v>83882426.900000006</v>
      </c>
      <c r="J43" s="211">
        <v>83906976.129999995</v>
      </c>
      <c r="K43" s="211">
        <v>83935365.049999997</v>
      </c>
      <c r="L43" s="211">
        <v>84487720.780000001</v>
      </c>
      <c r="M43" s="211">
        <v>89363706.489999995</v>
      </c>
      <c r="N43" s="211">
        <v>89957300.640000001</v>
      </c>
      <c r="O43" s="211">
        <v>90077069.760000005</v>
      </c>
      <c r="P43" s="67"/>
    </row>
    <row r="44" spans="1:16">
      <c r="A44" s="64">
        <v>30</v>
      </c>
      <c r="B44" s="63" t="s">
        <v>298</v>
      </c>
      <c r="C44" s="211">
        <v>178828948.88</v>
      </c>
      <c r="D44" s="211">
        <v>179408445.22999999</v>
      </c>
      <c r="E44" s="211">
        <v>180136759.81</v>
      </c>
      <c r="F44" s="211">
        <v>180551330.84999999</v>
      </c>
      <c r="G44" s="211">
        <v>180982584.88</v>
      </c>
      <c r="H44" s="211">
        <v>181273378.31</v>
      </c>
      <c r="I44" s="211">
        <v>181528119.02000001</v>
      </c>
      <c r="J44" s="211">
        <v>181972127.58000001</v>
      </c>
      <c r="K44" s="211">
        <v>182628581.63999999</v>
      </c>
      <c r="L44" s="211">
        <v>182848076.77000001</v>
      </c>
      <c r="M44" s="211">
        <v>183527084.44</v>
      </c>
      <c r="N44" s="211">
        <v>183992763.03</v>
      </c>
      <c r="O44" s="211">
        <v>184542177.5</v>
      </c>
      <c r="P44" s="67"/>
    </row>
    <row r="45" spans="1:16">
      <c r="A45" s="64">
        <v>31</v>
      </c>
      <c r="B45" s="63" t="s">
        <v>297</v>
      </c>
      <c r="C45" s="211">
        <v>174990213.11000001</v>
      </c>
      <c r="D45" s="211">
        <v>177419698.43000001</v>
      </c>
      <c r="E45" s="211">
        <v>178193310.22</v>
      </c>
      <c r="F45" s="211">
        <v>179538720.78</v>
      </c>
      <c r="G45" s="211">
        <v>180333351.71000001</v>
      </c>
      <c r="H45" s="211">
        <v>181044498.78999999</v>
      </c>
      <c r="I45" s="211">
        <v>181899362.59999999</v>
      </c>
      <c r="J45" s="211">
        <v>182430747.81</v>
      </c>
      <c r="K45" s="211">
        <v>184132816.41999999</v>
      </c>
      <c r="L45" s="211">
        <v>185493462.37</v>
      </c>
      <c r="M45" s="211">
        <v>186613258.96000001</v>
      </c>
      <c r="N45" s="211">
        <v>187186710.84</v>
      </c>
      <c r="O45" s="211">
        <v>188359441.97</v>
      </c>
      <c r="P45" s="67"/>
    </row>
    <row r="46" spans="1:16">
      <c r="A46" s="64">
        <v>32</v>
      </c>
      <c r="B46" s="63" t="s">
        <v>296</v>
      </c>
      <c r="C46" s="211">
        <v>6290292.96</v>
      </c>
      <c r="D46" s="211">
        <v>6309598.5899999999</v>
      </c>
      <c r="E46" s="211">
        <v>6354926.8499999996</v>
      </c>
      <c r="F46" s="211">
        <v>6377091.3499999996</v>
      </c>
      <c r="G46" s="211">
        <v>6392318.4299999997</v>
      </c>
      <c r="H46" s="211">
        <v>6405984.7000000002</v>
      </c>
      <c r="I46" s="211">
        <v>6456397.0599999996</v>
      </c>
      <c r="J46" s="211">
        <v>6476945.0499999998</v>
      </c>
      <c r="K46" s="211">
        <v>6479373.9299999997</v>
      </c>
      <c r="L46" s="211">
        <v>6574293.4100000001</v>
      </c>
      <c r="M46" s="211">
        <v>6613468.8200000003</v>
      </c>
      <c r="N46" s="211">
        <v>6744186.21</v>
      </c>
      <c r="O46" s="211">
        <v>6761885.0899999999</v>
      </c>
      <c r="P46" s="67"/>
    </row>
    <row r="47" spans="1:16">
      <c r="A47" s="64">
        <v>33</v>
      </c>
      <c r="B47" s="63" t="s">
        <v>661</v>
      </c>
      <c r="C47" s="211">
        <v>9664834.9600000009</v>
      </c>
      <c r="D47" s="211">
        <v>9732152.1500000004</v>
      </c>
      <c r="E47" s="211">
        <v>9780910.1199999992</v>
      </c>
      <c r="F47" s="211">
        <v>9812955.5299999993</v>
      </c>
      <c r="G47" s="211">
        <v>9835356.7100000009</v>
      </c>
      <c r="H47" s="211">
        <v>9864044.1999999993</v>
      </c>
      <c r="I47" s="211">
        <v>9886307.5</v>
      </c>
      <c r="J47" s="211">
        <v>9954661.2899999991</v>
      </c>
      <c r="K47" s="211">
        <v>9973180.9000000004</v>
      </c>
      <c r="L47" s="211">
        <v>10016161.66</v>
      </c>
      <c r="M47" s="211">
        <v>10069201.58</v>
      </c>
      <c r="N47" s="211">
        <v>10097756.130000001</v>
      </c>
      <c r="O47" s="211">
        <v>10089372.65</v>
      </c>
      <c r="P47" s="67"/>
    </row>
    <row r="48" spans="1:16">
      <c r="A48" s="64">
        <v>34</v>
      </c>
      <c r="B48" s="63" t="s">
        <v>295</v>
      </c>
      <c r="C48" s="211">
        <v>117147708.95</v>
      </c>
      <c r="D48" s="211">
        <v>117469682.28</v>
      </c>
      <c r="E48" s="211">
        <v>118431768.72</v>
      </c>
      <c r="F48" s="211">
        <v>119012918.81</v>
      </c>
      <c r="G48" s="211">
        <v>119285325.01000001</v>
      </c>
      <c r="H48" s="211">
        <v>119700494.45</v>
      </c>
      <c r="I48" s="211">
        <v>120106632.76000001</v>
      </c>
      <c r="J48" s="211">
        <v>120473749.11</v>
      </c>
      <c r="K48" s="211">
        <v>120818657.26000001</v>
      </c>
      <c r="L48" s="211">
        <v>121030431.56999999</v>
      </c>
      <c r="M48" s="211">
        <v>121472273.54000001</v>
      </c>
      <c r="N48" s="211">
        <v>121979913.98</v>
      </c>
      <c r="O48" s="211">
        <v>122321623.27</v>
      </c>
      <c r="P48" s="67"/>
    </row>
    <row r="49" spans="1:16">
      <c r="A49" s="64">
        <v>35</v>
      </c>
      <c r="B49" s="63" t="s">
        <v>294</v>
      </c>
      <c r="C49" s="211">
        <v>52809926.090000004</v>
      </c>
      <c r="D49" s="211">
        <v>53033938.140000001</v>
      </c>
      <c r="E49" s="211">
        <v>53270143.399999999</v>
      </c>
      <c r="F49" s="211">
        <v>53900363.200000003</v>
      </c>
      <c r="G49" s="211">
        <v>54014567.82</v>
      </c>
      <c r="H49" s="211">
        <v>54101360.950000003</v>
      </c>
      <c r="I49" s="211">
        <v>54328717.200000003</v>
      </c>
      <c r="J49" s="211">
        <v>54417112.719999999</v>
      </c>
      <c r="K49" s="211">
        <v>54555825.850000001</v>
      </c>
      <c r="L49" s="211">
        <v>54852387.380000003</v>
      </c>
      <c r="M49" s="211">
        <v>54990238.130000003</v>
      </c>
      <c r="N49" s="211">
        <v>55129132.619999997</v>
      </c>
      <c r="O49" s="211">
        <v>55320556.700000003</v>
      </c>
      <c r="P49" s="67"/>
    </row>
    <row r="50" spans="1:16">
      <c r="A50" s="64">
        <v>36</v>
      </c>
      <c r="B50" s="63" t="s">
        <v>293</v>
      </c>
      <c r="C50" s="211">
        <v>24528966.050000001</v>
      </c>
      <c r="D50" s="211">
        <v>24549965.170000002</v>
      </c>
      <c r="E50" s="211">
        <v>24610355.129999999</v>
      </c>
      <c r="F50" s="211">
        <v>24723286.440000001</v>
      </c>
      <c r="G50" s="211">
        <v>24643645.800000001</v>
      </c>
      <c r="H50" s="211">
        <v>24673729.210000001</v>
      </c>
      <c r="I50" s="211">
        <v>24708198.5</v>
      </c>
      <c r="J50" s="211">
        <v>24721134.620000001</v>
      </c>
      <c r="K50" s="211">
        <v>24730693.670000002</v>
      </c>
      <c r="L50" s="211">
        <v>24786624.48</v>
      </c>
      <c r="M50" s="211">
        <v>24787228.039999999</v>
      </c>
      <c r="N50" s="211">
        <v>24459445.329999998</v>
      </c>
      <c r="O50" s="211">
        <v>24515243.23</v>
      </c>
      <c r="P50" s="67"/>
    </row>
    <row r="51" spans="1:16">
      <c r="A51" s="64">
        <v>37</v>
      </c>
      <c r="B51" s="63" t="s">
        <v>292</v>
      </c>
      <c r="C51" s="211">
        <v>19807350.890000001</v>
      </c>
      <c r="D51" s="211">
        <v>19823232.09</v>
      </c>
      <c r="E51" s="211">
        <v>19914748.809999999</v>
      </c>
      <c r="F51" s="211">
        <v>20056550.390000001</v>
      </c>
      <c r="G51" s="211">
        <v>20026181.079999998</v>
      </c>
      <c r="H51" s="211">
        <v>20007178.579999998</v>
      </c>
      <c r="I51" s="211">
        <v>20027829.34</v>
      </c>
      <c r="J51" s="211">
        <v>20009251.059999999</v>
      </c>
      <c r="K51" s="211">
        <v>20009834.890000001</v>
      </c>
      <c r="L51" s="211">
        <v>20041148.440000001</v>
      </c>
      <c r="M51" s="211">
        <v>20010960.190000001</v>
      </c>
      <c r="N51" s="211">
        <v>19958400.129999999</v>
      </c>
      <c r="O51" s="211">
        <v>19972765.960000001</v>
      </c>
      <c r="P51" s="67"/>
    </row>
    <row r="52" spans="1:16">
      <c r="A52" s="64">
        <v>38</v>
      </c>
      <c r="B52" s="63" t="s">
        <v>291</v>
      </c>
      <c r="C52" s="212">
        <v>3310668.6</v>
      </c>
      <c r="D52" s="212">
        <v>3330079.39</v>
      </c>
      <c r="E52" s="212">
        <v>3359796.46</v>
      </c>
      <c r="F52" s="212">
        <v>3349341.45</v>
      </c>
      <c r="G52" s="212">
        <v>3351168.99</v>
      </c>
      <c r="H52" s="212">
        <v>3358643.46</v>
      </c>
      <c r="I52" s="212">
        <v>3365572.94</v>
      </c>
      <c r="J52" s="212">
        <v>3372656.4</v>
      </c>
      <c r="K52" s="212">
        <v>3383917.47</v>
      </c>
      <c r="L52" s="212">
        <v>3409424.52</v>
      </c>
      <c r="M52" s="212">
        <v>3413440.27</v>
      </c>
      <c r="N52" s="212">
        <v>3403434.79</v>
      </c>
      <c r="O52" s="212">
        <v>3425848.0300000003</v>
      </c>
      <c r="P52" s="67"/>
    </row>
    <row r="53" spans="1:16">
      <c r="A53" s="64">
        <v>39</v>
      </c>
      <c r="B53" s="68" t="s">
        <v>290</v>
      </c>
      <c r="C53" s="69">
        <f t="shared" ref="C53:O53" si="4">SUM(C40:C52)</f>
        <v>677680664.34000003</v>
      </c>
      <c r="D53" s="69">
        <f t="shared" si="4"/>
        <v>681759078.63999987</v>
      </c>
      <c r="E53" s="69">
        <f t="shared" si="4"/>
        <v>687794107.89999998</v>
      </c>
      <c r="F53" s="69">
        <f t="shared" si="4"/>
        <v>692853255.20000017</v>
      </c>
      <c r="G53" s="69">
        <f t="shared" si="4"/>
        <v>694467529.45000005</v>
      </c>
      <c r="H53" s="69">
        <f t="shared" si="4"/>
        <v>696081528.19000018</v>
      </c>
      <c r="I53" s="69">
        <f t="shared" si="4"/>
        <v>698057734.28000021</v>
      </c>
      <c r="J53" s="69">
        <f t="shared" si="4"/>
        <v>699603532.23000002</v>
      </c>
      <c r="K53" s="69">
        <f t="shared" si="4"/>
        <v>702516417.53999996</v>
      </c>
      <c r="L53" s="69">
        <f t="shared" si="4"/>
        <v>705407901.84000003</v>
      </c>
      <c r="M53" s="69">
        <f t="shared" si="4"/>
        <v>712729030.91999996</v>
      </c>
      <c r="N53" s="69">
        <f t="shared" si="4"/>
        <v>714777214.15999997</v>
      </c>
      <c r="O53" s="69">
        <f t="shared" si="4"/>
        <v>717254154.62000012</v>
      </c>
      <c r="P53" s="67"/>
    </row>
    <row r="54" spans="1:16">
      <c r="C54" s="69"/>
      <c r="D54" s="69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7"/>
    </row>
    <row r="55" spans="1:16">
      <c r="B55" s="68" t="s">
        <v>4</v>
      </c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7"/>
    </row>
    <row r="56" spans="1:16">
      <c r="A56" s="64">
        <v>40</v>
      </c>
      <c r="B56" s="63" t="s">
        <v>289</v>
      </c>
      <c r="C56" s="213">
        <v>1487347.13</v>
      </c>
      <c r="D56" s="213">
        <v>1487347.13</v>
      </c>
      <c r="E56" s="213">
        <v>1487347.13</v>
      </c>
      <c r="F56" s="213">
        <v>1487347.13</v>
      </c>
      <c r="G56" s="213">
        <v>1487347.13</v>
      </c>
      <c r="H56" s="213">
        <v>1487347.13</v>
      </c>
      <c r="I56" s="213">
        <v>1487347.13</v>
      </c>
      <c r="J56" s="213">
        <v>1487347.13</v>
      </c>
      <c r="K56" s="213">
        <v>1487347.13</v>
      </c>
      <c r="L56" s="213">
        <v>1487347.13</v>
      </c>
      <c r="M56" s="213">
        <v>1487347.13</v>
      </c>
      <c r="N56" s="213">
        <v>1487347.13</v>
      </c>
      <c r="O56" s="213">
        <v>1487347.13</v>
      </c>
      <c r="P56" s="67"/>
    </row>
    <row r="57" spans="1:16">
      <c r="A57" s="64">
        <v>41</v>
      </c>
      <c r="B57" s="63" t="s">
        <v>288</v>
      </c>
      <c r="C57" s="213">
        <v>37383.870000000003</v>
      </c>
      <c r="D57" s="213">
        <v>37383.870000000003</v>
      </c>
      <c r="E57" s="213">
        <v>37383.870000000003</v>
      </c>
      <c r="F57" s="213">
        <v>37383.870000000003</v>
      </c>
      <c r="G57" s="213">
        <v>37383.870000000003</v>
      </c>
      <c r="H57" s="213">
        <v>37383.870000000003</v>
      </c>
      <c r="I57" s="213">
        <v>37383.870000000003</v>
      </c>
      <c r="J57" s="213">
        <v>37383.870000000003</v>
      </c>
      <c r="K57" s="213">
        <v>37383.870000000003</v>
      </c>
      <c r="L57" s="213">
        <v>37383.870000000003</v>
      </c>
      <c r="M57" s="213">
        <v>37383.870000000003</v>
      </c>
      <c r="N57" s="213">
        <v>37383.870000000003</v>
      </c>
      <c r="O57" s="213">
        <v>37383.870000000003</v>
      </c>
      <c r="P57" s="67"/>
    </row>
    <row r="58" spans="1:16">
      <c r="A58" s="64">
        <v>42</v>
      </c>
      <c r="B58" s="63" t="s">
        <v>287</v>
      </c>
      <c r="C58" s="213">
        <v>21142467.18</v>
      </c>
      <c r="D58" s="213">
        <v>21157216.329999998</v>
      </c>
      <c r="E58" s="213">
        <v>21215547.07</v>
      </c>
      <c r="F58" s="213">
        <v>21215547.07</v>
      </c>
      <c r="G58" s="213">
        <v>21386000.030000001</v>
      </c>
      <c r="H58" s="213">
        <v>21386000.030000001</v>
      </c>
      <c r="I58" s="213">
        <v>21389138.899999999</v>
      </c>
      <c r="J58" s="213">
        <v>21394770.5</v>
      </c>
      <c r="K58" s="213">
        <v>21394770.5</v>
      </c>
      <c r="L58" s="213">
        <v>21492280.289999999</v>
      </c>
      <c r="M58" s="213">
        <v>21495039.469999999</v>
      </c>
      <c r="N58" s="213">
        <v>21495203.489999998</v>
      </c>
      <c r="O58" s="213">
        <v>21495203.489999998</v>
      </c>
      <c r="P58" s="67"/>
    </row>
    <row r="59" spans="1:16">
      <c r="A59" s="64">
        <v>43</v>
      </c>
      <c r="B59" s="63" t="s">
        <v>286</v>
      </c>
      <c r="C59" s="213">
        <v>1687332.81</v>
      </c>
      <c r="D59" s="213">
        <v>1687332.81</v>
      </c>
      <c r="E59" s="213">
        <v>1687332.81</v>
      </c>
      <c r="F59" s="213">
        <v>1683332.81</v>
      </c>
      <c r="G59" s="213">
        <v>1683332.81</v>
      </c>
      <c r="H59" s="213">
        <v>1683332.81</v>
      </c>
      <c r="I59" s="213">
        <v>1683332.81</v>
      </c>
      <c r="J59" s="213">
        <v>1683332.81</v>
      </c>
      <c r="K59" s="213">
        <v>1683332.81</v>
      </c>
      <c r="L59" s="213">
        <v>1683332.81</v>
      </c>
      <c r="M59" s="213">
        <v>1683332.81</v>
      </c>
      <c r="N59" s="213">
        <v>1683332.81</v>
      </c>
      <c r="O59" s="213">
        <v>1683332.81</v>
      </c>
      <c r="P59" s="67"/>
    </row>
    <row r="60" spans="1:16">
      <c r="A60" s="64">
        <v>44</v>
      </c>
      <c r="B60" s="63" t="s">
        <v>285</v>
      </c>
      <c r="C60" s="213">
        <v>14767.6</v>
      </c>
      <c r="D60" s="213">
        <v>14767.6</v>
      </c>
      <c r="E60" s="213">
        <v>14767.6</v>
      </c>
      <c r="F60" s="213">
        <v>14767.6</v>
      </c>
      <c r="G60" s="213">
        <v>14767.6</v>
      </c>
      <c r="H60" s="213">
        <v>14767.6</v>
      </c>
      <c r="I60" s="213">
        <v>14767.6</v>
      </c>
      <c r="J60" s="213">
        <v>14767.6</v>
      </c>
      <c r="K60" s="213">
        <v>14767.6</v>
      </c>
      <c r="L60" s="213">
        <v>14767.6</v>
      </c>
      <c r="M60" s="213">
        <v>14767.6</v>
      </c>
      <c r="N60" s="213">
        <v>14767.6</v>
      </c>
      <c r="O60" s="213">
        <v>14767.6</v>
      </c>
      <c r="P60" s="67"/>
    </row>
    <row r="61" spans="1:16">
      <c r="A61" s="64">
        <v>45</v>
      </c>
      <c r="B61" s="63" t="s">
        <v>284</v>
      </c>
      <c r="C61" s="213">
        <v>164548.38</v>
      </c>
      <c r="D61" s="213">
        <v>164548.38</v>
      </c>
      <c r="E61" s="213">
        <v>164548.38</v>
      </c>
      <c r="F61" s="213">
        <v>164548.38</v>
      </c>
      <c r="G61" s="213">
        <v>164548.38</v>
      </c>
      <c r="H61" s="213">
        <v>164548.38</v>
      </c>
      <c r="I61" s="213">
        <v>164548.38</v>
      </c>
      <c r="J61" s="213">
        <v>164548.38</v>
      </c>
      <c r="K61" s="213">
        <v>164548.38</v>
      </c>
      <c r="L61" s="213">
        <v>164548.38</v>
      </c>
      <c r="M61" s="213">
        <v>164548.38</v>
      </c>
      <c r="N61" s="213">
        <v>164548.38</v>
      </c>
      <c r="O61" s="213">
        <v>164548.38</v>
      </c>
      <c r="P61" s="67"/>
    </row>
    <row r="62" spans="1:16">
      <c r="A62" s="64">
        <v>46</v>
      </c>
      <c r="B62" s="63" t="s">
        <v>283</v>
      </c>
      <c r="C62" s="213">
        <v>3553695.85</v>
      </c>
      <c r="D62" s="213">
        <v>3553695.85</v>
      </c>
      <c r="E62" s="213">
        <v>3553695.85</v>
      </c>
      <c r="F62" s="213">
        <v>3553695.85</v>
      </c>
      <c r="G62" s="213">
        <v>3553695.85</v>
      </c>
      <c r="H62" s="213">
        <v>3553695.85</v>
      </c>
      <c r="I62" s="213">
        <v>3553695.85</v>
      </c>
      <c r="J62" s="213">
        <v>3553695.85</v>
      </c>
      <c r="K62" s="213">
        <v>3553695.85</v>
      </c>
      <c r="L62" s="213">
        <v>3567435.8</v>
      </c>
      <c r="M62" s="213">
        <v>3567435.8</v>
      </c>
      <c r="N62" s="213">
        <v>3603768.42</v>
      </c>
      <c r="O62" s="213">
        <v>3603768.42</v>
      </c>
      <c r="P62" s="67"/>
    </row>
    <row r="63" spans="1:16">
      <c r="A63" s="64">
        <v>47</v>
      </c>
      <c r="B63" s="63" t="s">
        <v>282</v>
      </c>
      <c r="C63" s="213">
        <v>141764.70000000001</v>
      </c>
      <c r="D63" s="213">
        <v>141764.70000000001</v>
      </c>
      <c r="E63" s="213">
        <v>141764.70000000001</v>
      </c>
      <c r="F63" s="213">
        <v>141764.70000000001</v>
      </c>
      <c r="G63" s="213">
        <v>141764.70000000001</v>
      </c>
      <c r="H63" s="213">
        <v>141764.70000000001</v>
      </c>
      <c r="I63" s="213">
        <v>141764.70000000001</v>
      </c>
      <c r="J63" s="213">
        <v>141764.70000000001</v>
      </c>
      <c r="K63" s="213">
        <v>141764.70000000001</v>
      </c>
      <c r="L63" s="213">
        <v>141764.70000000001</v>
      </c>
      <c r="M63" s="213">
        <v>141764.70000000001</v>
      </c>
      <c r="N63" s="213">
        <v>141764.70000000001</v>
      </c>
      <c r="O63" s="213">
        <v>141764.70000000001</v>
      </c>
      <c r="P63" s="67"/>
    </row>
    <row r="64" spans="1:16">
      <c r="A64" s="64">
        <v>48</v>
      </c>
      <c r="B64" s="63" t="s">
        <v>281</v>
      </c>
      <c r="C64" s="213">
        <v>5931.29</v>
      </c>
      <c r="D64" s="213">
        <v>5931.29</v>
      </c>
      <c r="E64" s="213">
        <v>5931.29</v>
      </c>
      <c r="F64" s="213">
        <v>5931.29</v>
      </c>
      <c r="G64" s="213">
        <v>5931.29</v>
      </c>
      <c r="H64" s="213">
        <v>5931.29</v>
      </c>
      <c r="I64" s="213">
        <v>5931.29</v>
      </c>
      <c r="J64" s="213">
        <v>5931.29</v>
      </c>
      <c r="K64" s="213">
        <v>5931.29</v>
      </c>
      <c r="L64" s="213">
        <v>5931.29</v>
      </c>
      <c r="M64" s="213">
        <v>5931.29</v>
      </c>
      <c r="N64" s="213">
        <v>5931.29</v>
      </c>
      <c r="O64" s="213">
        <v>5931.29</v>
      </c>
      <c r="P64" s="67"/>
    </row>
    <row r="65" spans="1:16">
      <c r="A65" s="64">
        <v>49</v>
      </c>
      <c r="B65" s="63" t="s">
        <v>280</v>
      </c>
      <c r="C65" s="213">
        <v>6900234.8899999997</v>
      </c>
      <c r="D65" s="213">
        <v>6518565.8899999997</v>
      </c>
      <c r="E65" s="213">
        <v>6518565.8899999997</v>
      </c>
      <c r="F65" s="213">
        <v>6518565.8899999997</v>
      </c>
      <c r="G65" s="213">
        <v>6518565.8899999997</v>
      </c>
      <c r="H65" s="213">
        <v>6518565.8899999997</v>
      </c>
      <c r="I65" s="213">
        <v>6518565.8899999997</v>
      </c>
      <c r="J65" s="213">
        <v>6518565.8899999997</v>
      </c>
      <c r="K65" s="213">
        <v>6518565.8899999997</v>
      </c>
      <c r="L65" s="213">
        <v>6529282.5</v>
      </c>
      <c r="M65" s="213">
        <v>6707031.2300000004</v>
      </c>
      <c r="N65" s="213">
        <v>6751722.9299999997</v>
      </c>
      <c r="O65" s="213">
        <v>6777786.7000000002</v>
      </c>
      <c r="P65" s="67"/>
    </row>
    <row r="66" spans="1:16">
      <c r="A66" s="64">
        <v>50</v>
      </c>
      <c r="B66" s="63" t="s">
        <v>279</v>
      </c>
      <c r="C66" s="213">
        <v>704668.43</v>
      </c>
      <c r="D66" s="213">
        <v>713356.96</v>
      </c>
      <c r="E66" s="213">
        <v>757834.76</v>
      </c>
      <c r="F66" s="213">
        <v>800388.81</v>
      </c>
      <c r="G66" s="213">
        <v>812537.89</v>
      </c>
      <c r="H66" s="213">
        <v>855215.01</v>
      </c>
      <c r="I66" s="213">
        <v>871314.12</v>
      </c>
      <c r="J66" s="213">
        <v>874711.06</v>
      </c>
      <c r="K66" s="213">
        <v>876841.63</v>
      </c>
      <c r="L66" s="213">
        <v>879041.62</v>
      </c>
      <c r="M66" s="213">
        <v>881712.35</v>
      </c>
      <c r="N66" s="213">
        <v>886650.78</v>
      </c>
      <c r="O66" s="213">
        <v>915688.89</v>
      </c>
      <c r="P66" s="67"/>
    </row>
    <row r="67" spans="1:16">
      <c r="A67" s="64">
        <v>51</v>
      </c>
      <c r="B67" s="63" t="s">
        <v>278</v>
      </c>
      <c r="C67" s="214">
        <v>1067438.48</v>
      </c>
      <c r="D67" s="214">
        <v>1065616.48</v>
      </c>
      <c r="E67" s="214">
        <v>1065616.48</v>
      </c>
      <c r="F67" s="214">
        <v>1065616.48</v>
      </c>
      <c r="G67" s="214">
        <v>1073891</v>
      </c>
      <c r="H67" s="214">
        <v>1073891</v>
      </c>
      <c r="I67" s="214">
        <v>1089583.82</v>
      </c>
      <c r="J67" s="214">
        <v>1089583.82</v>
      </c>
      <c r="K67" s="214">
        <v>1563922.57</v>
      </c>
      <c r="L67" s="214">
        <v>1563842.24</v>
      </c>
      <c r="M67" s="214">
        <v>1563842.24</v>
      </c>
      <c r="N67" s="214">
        <v>1563842.24</v>
      </c>
      <c r="O67" s="214">
        <v>1569293.24</v>
      </c>
      <c r="P67" s="67"/>
    </row>
    <row r="68" spans="1:16">
      <c r="A68" s="64">
        <v>52</v>
      </c>
      <c r="B68" s="68" t="s">
        <v>112</v>
      </c>
      <c r="C68" s="69">
        <f t="shared" ref="C68:O68" si="5">SUM(C56:C67)</f>
        <v>36907580.609999992</v>
      </c>
      <c r="D68" s="69">
        <f t="shared" si="5"/>
        <v>36547527.289999992</v>
      </c>
      <c r="E68" s="69">
        <f t="shared" si="5"/>
        <v>36650335.829999991</v>
      </c>
      <c r="F68" s="69">
        <f t="shared" si="5"/>
        <v>36688889.879999995</v>
      </c>
      <c r="G68" s="69">
        <f t="shared" si="5"/>
        <v>36879766.439999998</v>
      </c>
      <c r="H68" s="69">
        <f t="shared" si="5"/>
        <v>36922443.559999995</v>
      </c>
      <c r="I68" s="69">
        <f t="shared" si="5"/>
        <v>36957374.359999992</v>
      </c>
      <c r="J68" s="69">
        <f t="shared" si="5"/>
        <v>36966402.899999999</v>
      </c>
      <c r="K68" s="69">
        <f t="shared" si="5"/>
        <v>37442872.219999999</v>
      </c>
      <c r="L68" s="69">
        <f t="shared" si="5"/>
        <v>37566958.229999997</v>
      </c>
      <c r="M68" s="69">
        <f t="shared" si="5"/>
        <v>37750136.870000005</v>
      </c>
      <c r="N68" s="69">
        <f t="shared" si="5"/>
        <v>37836263.639999993</v>
      </c>
      <c r="O68" s="69">
        <f t="shared" si="5"/>
        <v>37896816.519999996</v>
      </c>
    </row>
    <row r="69" spans="1:16"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</row>
    <row r="70" spans="1:16" ht="13.5" thickBot="1">
      <c r="B70" s="68" t="s">
        <v>14</v>
      </c>
      <c r="C70" s="202">
        <f t="shared" ref="C70:O70" si="6">+C68+C53+C37+C24+C14+C9</f>
        <v>1778557041.1700003</v>
      </c>
      <c r="D70" s="202">
        <f t="shared" si="6"/>
        <v>1787858042.8999996</v>
      </c>
      <c r="E70" s="202">
        <f t="shared" si="6"/>
        <v>1790480014.5599997</v>
      </c>
      <c r="F70" s="202">
        <f t="shared" si="6"/>
        <v>1798484632.8000004</v>
      </c>
      <c r="G70" s="202">
        <f t="shared" si="6"/>
        <v>2721874965.5800004</v>
      </c>
      <c r="H70" s="202">
        <f t="shared" si="6"/>
        <v>2725484737.4000001</v>
      </c>
      <c r="I70" s="202">
        <f t="shared" si="6"/>
        <v>2732002122</v>
      </c>
      <c r="J70" s="202">
        <f t="shared" si="6"/>
        <v>2734388247.5299997</v>
      </c>
      <c r="K70" s="202">
        <f t="shared" si="6"/>
        <v>2738940349.7200003</v>
      </c>
      <c r="L70" s="202">
        <f t="shared" si="6"/>
        <v>2848001302.02</v>
      </c>
      <c r="M70" s="202">
        <f t="shared" si="6"/>
        <v>2866749583.3299999</v>
      </c>
      <c r="N70" s="202">
        <f t="shared" si="6"/>
        <v>2877157637.0300002</v>
      </c>
      <c r="O70" s="202">
        <f t="shared" si="6"/>
        <v>2880655655.0000005</v>
      </c>
      <c r="P70" s="67"/>
    </row>
    <row r="71" spans="1:16" ht="13.5" thickTop="1"/>
    <row r="72" spans="1:16">
      <c r="B72" s="66" t="s">
        <v>277</v>
      </c>
    </row>
    <row r="73" spans="1:16">
      <c r="B73" s="65" t="s">
        <v>276</v>
      </c>
    </row>
    <row r="74" spans="1:16" ht="93.75" customHeight="1">
      <c r="O74" s="176" t="s">
        <v>650</v>
      </c>
    </row>
    <row r="75" spans="1:16" ht="12.75" customHeight="1"/>
  </sheetData>
  <mergeCells count="3">
    <mergeCell ref="B1:N1"/>
    <mergeCell ref="B2:N2"/>
    <mergeCell ref="B3:N3"/>
  </mergeCells>
  <printOptions horizontalCentered="1"/>
  <pageMargins left="0" right="0" top="0.5" bottom="0.5" header="0.5" footer="0.5"/>
  <pageSetup scale="53" fitToHeight="0" orientation="landscape" r:id="rId1"/>
  <rowBreaks count="1" manualBreakCount="1">
    <brk id="75" max="14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6B6BF96168BE34DAD0985F6C0DDEE0A" ma:contentTypeVersion="0" ma:contentTypeDescription="Create a new document." ma:contentTypeScope="" ma:versionID="f3fac7a4655b38e6280958c0360207c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CD9EA22-1F3D-4AC5-9A50-A5EFA728F0F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EEA5FD9-F01B-4733-B562-B172163D64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C892B3-CCBC-4BCD-A3BB-D0881DD95C73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7</vt:i4>
      </vt:variant>
    </vt:vector>
  </HeadingPairs>
  <TitlesOfParts>
    <vt:vector size="21" baseType="lpstr">
      <vt:lpstr>P 1-2</vt:lpstr>
      <vt:lpstr>P3</vt:lpstr>
      <vt:lpstr>P4</vt:lpstr>
      <vt:lpstr>P 5</vt:lpstr>
      <vt:lpstr>P 6</vt:lpstr>
      <vt:lpstr>P 7</vt:lpstr>
      <vt:lpstr>P 8</vt:lpstr>
      <vt:lpstr>P 9 - 13 CFIT Schedules</vt:lpstr>
      <vt:lpstr>P 14</vt:lpstr>
      <vt:lpstr>P15</vt:lpstr>
      <vt:lpstr>P16</vt:lpstr>
      <vt:lpstr>P 17</vt:lpstr>
      <vt:lpstr>P 18</vt:lpstr>
      <vt:lpstr>P 19</vt:lpstr>
      <vt:lpstr>'P 1-2'!Print_Area</vt:lpstr>
      <vt:lpstr>'P 14'!Print_Area</vt:lpstr>
      <vt:lpstr>'P 17'!Print_Area</vt:lpstr>
      <vt:lpstr>'P 6'!Print_Area</vt:lpstr>
      <vt:lpstr>'P 7'!Print_Area</vt:lpstr>
      <vt:lpstr>'P 9 - 13 CFIT Schedules'!Print_Area</vt:lpstr>
      <vt:lpstr>'P 9 - 13 CFIT Schedules'!Print_Titles</vt:lpstr>
    </vt:vector>
  </TitlesOfParts>
  <Company>IT-CPS-8/28/1-(Help#=8-835-3050) Full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American Electric Power®</dc:creator>
  <cp:lastModifiedBy>AEP</cp:lastModifiedBy>
  <cp:lastPrinted>2014-12-22T18:34:30Z</cp:lastPrinted>
  <dcterms:created xsi:type="dcterms:W3CDTF">2005-08-16T12:06:50Z</dcterms:created>
  <dcterms:modified xsi:type="dcterms:W3CDTF">2014-12-22T18:44:57Z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0x01010036B6BF96168BE34DAD0985F6C0DDEE0A</vt:lpwstr>
  </property>
</Properties>
</file>