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35" windowHeight="10560" tabRatio="848" activeTab="0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Rates'!$A$1:$U$56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Rates'!$A$1:$U$56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<sst xmlns="http://schemas.openxmlformats.org/spreadsheetml/2006/main" count="104" uniqueCount="57">
  <si>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</si>
  <si>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</si>
  <si>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</si>
  <si>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</si>
  <si>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</si>
  <si>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</si>
  <si>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</si>
  <si>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</si>
  <si>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</si>
  <si>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</si>
  <si>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</si>
  <si>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</si>
  <si>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</si>
  <si>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</si>
  <si>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</si>
  <si>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</si>
  <si>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</si>
  <si>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</si>
  <si>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</si>
  <si>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</si>
  <si>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</si>
  <si>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</si>
  <si>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</si>
  <si>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</si>
  <si>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</si>
  <si>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</si>
  <si>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</si>
  <si>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</si>
  <si>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</si>
  <si>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</si>
  <si>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</si>
  <si>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</si>
  <si>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</si>
  <si>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</si>
  <si>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</si>
  <si>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</si>
  <si>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</si>
  <si>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</si>
  <si>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</si>
  <si>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</si>
  <si>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</si>
  <si>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</si>
  <si>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</si>
  <si>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</si>
  <si>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</si>
  <si>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</si>
  <si>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</si>
  <si>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</si>
  <si>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</si>
  <si>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</si>
  <si>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</si>
  <si>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</si>
  <si>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(TCOS Ln 4)</t>
  </si>
  <si>
    <t>TRUE-UP ADJUSTMENT INCLUDING INTEREST</t>
  </si>
  <si>
    <t>26a</t>
  </si>
  <si>
    <t>Total Load Dispatch &amp; Scheduling (Account 561) (TCOS Line 14)</t>
  </si>
  <si>
    <t>ADJUSTMENT Schedule 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</si>
</sst>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173" fontId="10" fillId="4" borderId="0" xfId="42" applyNumberFormat="1" applyFont="1" applyFill="1" applyAlignment="1">
      <alignment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10" fillId="4" borderId="0" xfId="42" applyNumberFormat="1" applyFont="1" applyFill="1" applyAlignment="1">
      <alignment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170" fontId="10" fillId="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0" fontId="10" fillId="0" borderId="0" xfId="42" applyNumberFormat="1" applyFont="1" applyFill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0" fontId="10" fillId="33" borderId="0" xfId="42" applyNumberFormat="1" applyFont="1" applyFill="1" applyAlignment="1" applyProtection="1">
      <alignment/>
      <protection locked="0"/>
    </xf>
    <xf numFmtId="170" fontId="10" fillId="33" borderId="16" xfId="42" applyNumberFormat="1" applyFont="1" applyFill="1" applyBorder="1" applyAlignment="1" applyProtection="1">
      <alignment/>
      <protection locked="0"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0" fontId="10" fillId="4" borderId="0" xfId="42" applyNumberFormat="1" applyFont="1" applyFill="1" applyBorder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5"/>
  <sheetViews>
    <sheetView tabSelected="1" zoomScale="75" zoomScaleNormal="75" zoomScalePageLayoutView="0" workbookViewId="0" topLeftCell="A1">
      <selection activeCell="D35" sqref="D35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5">
        <v>2014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5">
      <c r="A5" s="118" t="str">
        <f>"For rates effective July 1, "&amp;V1&amp;""</f>
        <v>For rates effective July 1, 2014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20" t="s">
        <v>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.7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6.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8</v>
      </c>
      <c r="E15" s="15"/>
      <c r="F15" s="6"/>
      <c r="G15" s="8" t="s">
        <v>49</v>
      </c>
      <c r="H15" s="6"/>
      <c r="I15" s="74">
        <f>SUM(K15,M15,O15,Q15,S15,U15)</f>
        <v>723326098.0776606</v>
      </c>
      <c r="J15" s="20"/>
      <c r="K15" s="92">
        <v>222628601.5852113</v>
      </c>
      <c r="L15" s="93"/>
      <c r="M15" s="92">
        <v>132030250.52305785</v>
      </c>
      <c r="N15" s="94"/>
      <c r="O15" s="92">
        <v>59918302.049439475</v>
      </c>
      <c r="P15" s="94"/>
      <c r="Q15" s="92">
        <v>3790320.5916952686</v>
      </c>
      <c r="R15" s="94"/>
      <c r="S15" s="92">
        <v>287049492.1401759</v>
      </c>
      <c r="T15" s="94"/>
      <c r="U15" s="92">
        <v>17909131.188080788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4"/>
      <c r="J16" s="20"/>
      <c r="K16" s="94"/>
      <c r="L16" s="93"/>
      <c r="M16" s="94"/>
      <c r="N16" s="94"/>
      <c r="O16" s="94"/>
      <c r="P16" s="94"/>
      <c r="Q16" s="94"/>
      <c r="R16" s="94"/>
      <c r="S16" s="95"/>
      <c r="T16" s="94"/>
      <c r="U16" s="94"/>
    </row>
    <row r="17" spans="1:21" ht="15.7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50</v>
      </c>
      <c r="H17" s="6"/>
      <c r="I17" s="74">
        <f>SUM(K17,M17,O17,Q17,S17,U17)</f>
        <v>24982247.42</v>
      </c>
      <c r="J17" s="20"/>
      <c r="K17" s="92">
        <v>6073231</v>
      </c>
      <c r="L17" s="93"/>
      <c r="M17" s="92">
        <v>1276473.83</v>
      </c>
      <c r="N17" s="94"/>
      <c r="O17" s="92">
        <v>207513</v>
      </c>
      <c r="P17" s="94"/>
      <c r="Q17" s="92">
        <v>95300</v>
      </c>
      <c r="R17" s="94"/>
      <c r="S17" s="92">
        <v>15756754.59</v>
      </c>
      <c r="T17" s="94"/>
      <c r="U17" s="92">
        <v>1572975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6"/>
      <c r="J18" s="20"/>
      <c r="K18" s="66"/>
      <c r="L18" s="20"/>
      <c r="M18" s="66"/>
      <c r="N18" s="19"/>
      <c r="O18" s="66"/>
      <c r="P18" s="19"/>
      <c r="Q18" s="66"/>
      <c r="R18" s="19"/>
      <c r="S18" s="81"/>
      <c r="T18" s="19"/>
      <c r="U18" s="66"/>
    </row>
    <row r="19" spans="2:21" ht="33.75" customHeight="1">
      <c r="B19" s="7">
        <f>+B17+1</f>
        <v>3</v>
      </c>
      <c r="C19" s="8"/>
      <c r="D19" s="116" t="s">
        <v>10</v>
      </c>
      <c r="E19" s="117"/>
      <c r="F19" s="21"/>
      <c r="G19" s="8" t="s">
        <v>51</v>
      </c>
      <c r="H19" s="4"/>
      <c r="I19" s="19">
        <f>SUM(K19,M19,O19,Q19,S19,U19)</f>
        <v>698343850.6576606</v>
      </c>
      <c r="J19" s="22"/>
      <c r="K19" s="22">
        <f>+K15-K17</f>
        <v>216555370.5852113</v>
      </c>
      <c r="L19" s="22"/>
      <c r="M19" s="22">
        <f>+M15-M17</f>
        <v>130753776.69305785</v>
      </c>
      <c r="N19" s="19"/>
      <c r="O19" s="22">
        <f>+O15-O17</f>
        <v>59710789.049439475</v>
      </c>
      <c r="P19" s="19"/>
      <c r="Q19" s="22">
        <f>+Q15-Q17</f>
        <v>3695020.5916952686</v>
      </c>
      <c r="R19" s="19"/>
      <c r="S19" s="76">
        <f>+S15-S17</f>
        <v>271292737.5501759</v>
      </c>
      <c r="T19" s="19"/>
      <c r="U19" s="22">
        <f>+U15-U17</f>
        <v>16336156.188080788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6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5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52</v>
      </c>
      <c r="H22" s="4"/>
      <c r="I22" s="19">
        <f>SUM(K22,M22,O22,Q22,S22,U22)</f>
        <v>19416612.525972728</v>
      </c>
      <c r="J22" s="22"/>
      <c r="K22" s="96">
        <v>2222034.975895484</v>
      </c>
      <c r="L22" s="97"/>
      <c r="M22" s="96">
        <v>4959187.075572033</v>
      </c>
      <c r="N22" s="94"/>
      <c r="O22" s="96">
        <v>0</v>
      </c>
      <c r="P22" s="94"/>
      <c r="Q22" s="96">
        <v>0</v>
      </c>
      <c r="R22" s="94"/>
      <c r="S22" s="96">
        <v>12202156.063635366</v>
      </c>
      <c r="T22" s="94"/>
      <c r="U22" s="96">
        <v>33234.41086984536</v>
      </c>
    </row>
    <row r="23" spans="2:21" ht="15">
      <c r="B23" s="41">
        <f>+B22+1</f>
        <v>6</v>
      </c>
      <c r="C23" s="68"/>
      <c r="D23" s="35" t="s">
        <v>38</v>
      </c>
      <c r="E23" s="58"/>
      <c r="F23" s="69"/>
      <c r="G23" s="68" t="str">
        <f>"(Worksheet J)"</f>
        <v>(Worksheet J)</v>
      </c>
      <c r="H23" s="70"/>
      <c r="I23" s="66">
        <f>SUM(K23,M23,O23,Q23,S23,U23)</f>
        <v>0</v>
      </c>
      <c r="J23" s="22"/>
      <c r="K23" s="84">
        <v>0</v>
      </c>
      <c r="L23" s="82"/>
      <c r="M23" s="84">
        <v>0</v>
      </c>
      <c r="N23" s="19"/>
      <c r="O23" s="84">
        <v>0</v>
      </c>
      <c r="P23" s="19"/>
      <c r="Q23" s="84">
        <v>0</v>
      </c>
      <c r="R23" s="19"/>
      <c r="S23" s="85">
        <v>0</v>
      </c>
      <c r="T23" s="19"/>
      <c r="U23" s="84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82">
        <f>+I23+I22</f>
        <v>19416612.525972728</v>
      </c>
      <c r="J24" s="22"/>
      <c r="K24" s="82">
        <f>+K23+K22</f>
        <v>2222034.975895484</v>
      </c>
      <c r="L24" s="82"/>
      <c r="M24" s="82">
        <f>+M23+M22</f>
        <v>4959187.075572033</v>
      </c>
      <c r="N24" s="19"/>
      <c r="O24" s="82">
        <f>+O23+O22</f>
        <v>0</v>
      </c>
      <c r="P24" s="19"/>
      <c r="Q24" s="82">
        <f>+Q23+Q22</f>
        <v>0</v>
      </c>
      <c r="R24" s="19"/>
      <c r="S24" s="83">
        <f>+S23+S22</f>
        <v>12202156.063635366</v>
      </c>
      <c r="T24" s="19"/>
      <c r="U24" s="82">
        <f>+U23+U22</f>
        <v>33234.41086984536</v>
      </c>
    </row>
    <row r="25" spans="2:21" ht="15">
      <c r="B25" s="7"/>
      <c r="C25" s="8"/>
      <c r="D25" s="18"/>
      <c r="E25" s="6"/>
      <c r="F25" s="21"/>
      <c r="G25" s="4"/>
      <c r="H25" s="4"/>
      <c r="I25" s="86"/>
      <c r="J25" s="22"/>
      <c r="K25" s="84"/>
      <c r="L25" s="82"/>
      <c r="M25" s="84"/>
      <c r="N25" s="19"/>
      <c r="O25" s="84"/>
      <c r="P25" s="19"/>
      <c r="Q25" s="84"/>
      <c r="R25" s="19"/>
      <c r="S25" s="85"/>
      <c r="T25" s="19"/>
      <c r="U25" s="84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678927238.1316879</v>
      </c>
      <c r="J26" s="22"/>
      <c r="K26" s="82">
        <f>+K19-K24</f>
        <v>214333335.6093158</v>
      </c>
      <c r="L26" s="82"/>
      <c r="M26" s="82">
        <f>+M19-M24</f>
        <v>125794589.61748582</v>
      </c>
      <c r="N26" s="19"/>
      <c r="O26" s="82">
        <f>+O19-O24</f>
        <v>59710789.049439475</v>
      </c>
      <c r="P26" s="19"/>
      <c r="Q26" s="82">
        <f>+Q19-Q24</f>
        <v>3695020.5916952686</v>
      </c>
      <c r="R26" s="19"/>
      <c r="S26" s="83">
        <f>+S19-S24</f>
        <v>259090581.48654053</v>
      </c>
      <c r="T26" s="19"/>
      <c r="U26" s="82">
        <f>+U19-U24</f>
        <v>16302921.777210942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5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4">
        <f>SUM(K28,M28,O28,Q28,S28,U28)</f>
        <v>0</v>
      </c>
      <c r="J28" s="22"/>
      <c r="K28" s="96">
        <v>0</v>
      </c>
      <c r="L28" s="97"/>
      <c r="M28" s="96">
        <v>0</v>
      </c>
      <c r="N28" s="94"/>
      <c r="O28" s="96">
        <v>0</v>
      </c>
      <c r="P28" s="94"/>
      <c r="Q28" s="96">
        <v>0</v>
      </c>
      <c r="R28" s="94"/>
      <c r="S28" s="96">
        <v>0</v>
      </c>
      <c r="T28" s="94"/>
      <c r="U28" s="96">
        <v>0</v>
      </c>
    </row>
    <row r="29" spans="2:21" ht="15">
      <c r="B29" s="7"/>
      <c r="C29" s="8"/>
      <c r="D29" s="18"/>
      <c r="E29" s="6"/>
      <c r="F29" s="21"/>
      <c r="G29" s="4"/>
      <c r="H29" s="4"/>
      <c r="I29" s="86"/>
      <c r="J29" s="22"/>
      <c r="K29" s="84"/>
      <c r="L29" s="82"/>
      <c r="M29" s="85"/>
      <c r="N29" s="19"/>
      <c r="O29" s="84"/>
      <c r="P29" s="19"/>
      <c r="Q29" s="84"/>
      <c r="R29" s="19"/>
      <c r="S29" s="85"/>
      <c r="T29" s="19"/>
      <c r="U29" s="84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4">
        <f>+I26+I28</f>
        <v>678927238.1316879</v>
      </c>
      <c r="J30" s="22"/>
      <c r="K30" s="82">
        <f>+K26+K28</f>
        <v>214333335.6093158</v>
      </c>
      <c r="L30" s="82"/>
      <c r="M30" s="83">
        <f>+M26+M28</f>
        <v>125794589.61748582</v>
      </c>
      <c r="N30" s="19"/>
      <c r="O30" s="82">
        <f>+O26+O28</f>
        <v>59710789.049439475</v>
      </c>
      <c r="P30" s="19"/>
      <c r="Q30" s="82">
        <f>+Q26+Q28</f>
        <v>3695020.5916952686</v>
      </c>
      <c r="R30" s="19"/>
      <c r="S30" s="83">
        <f>+S26+S28</f>
        <v>259090581.48654053</v>
      </c>
      <c r="T30" s="19"/>
      <c r="U30" s="82">
        <f>+U26+U28</f>
        <v>16302921.777210942</v>
      </c>
    </row>
    <row r="31" spans="9:21" ht="15">
      <c r="I31" s="19"/>
      <c r="J31" s="19"/>
      <c r="K31" s="19"/>
      <c r="L31" s="19"/>
      <c r="M31" s="75"/>
      <c r="N31" s="19"/>
      <c r="O31" s="19"/>
      <c r="P31" s="19"/>
      <c r="Q31" s="19"/>
      <c r="R31" s="19"/>
      <c r="S31" s="75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(2013) ACTUAL ATRR</v>
      </c>
      <c r="E32" s="6"/>
      <c r="F32" s="21"/>
      <c r="G32" s="25" t="str">
        <f>"Input from "&amp;V1-1&amp;" True-up"</f>
        <v>Input from 2013 True-up</v>
      </c>
      <c r="H32" s="4"/>
      <c r="I32" s="87">
        <f>SUM(K32,M32,O32,Q32,S32,U32)</f>
        <v>668289837.8125001</v>
      </c>
      <c r="J32" s="22"/>
      <c r="K32" s="110">
        <v>208123649.29850003</v>
      </c>
      <c r="L32" s="98"/>
      <c r="M32" s="110">
        <v>121253056.31949998</v>
      </c>
      <c r="N32" s="95"/>
      <c r="O32" s="110">
        <v>55552367.966000006</v>
      </c>
      <c r="P32" s="95"/>
      <c r="Q32" s="110">
        <v>3309086.2405</v>
      </c>
      <c r="R32" s="95"/>
      <c r="S32" s="110">
        <v>266473730.91300002</v>
      </c>
      <c r="T32" s="95"/>
      <c r="U32" s="110">
        <v>13577947.075000003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(2013) ATRR FROM PRIOR YEAR</v>
      </c>
      <c r="E33" s="6"/>
      <c r="F33" s="21"/>
      <c r="G33" s="25" t="s">
        <v>17</v>
      </c>
      <c r="H33" s="4"/>
      <c r="I33" s="109">
        <f>SUM(K33,M33,O33,Q33,S33,U33)</f>
        <v>651278081.34788</v>
      </c>
      <c r="J33" s="22"/>
      <c r="K33" s="111">
        <v>213693642.6362732</v>
      </c>
      <c r="L33" s="98"/>
      <c r="M33" s="111">
        <v>118762229.5334416</v>
      </c>
      <c r="N33" s="95"/>
      <c r="O33" s="111">
        <v>51868445.30354145</v>
      </c>
      <c r="P33" s="95"/>
      <c r="Q33" s="111">
        <v>3045023.842278638</v>
      </c>
      <c r="R33" s="95"/>
      <c r="S33" s="111">
        <v>251921741.65498534</v>
      </c>
      <c r="T33" s="95"/>
      <c r="U33" s="111">
        <v>11986998.377359776</v>
      </c>
      <c r="V33" s="99"/>
      <c r="W33" s="99"/>
      <c r="X33" s="99"/>
      <c r="Y33" s="99"/>
      <c r="Z33" s="99"/>
      <c r="AA33" s="99"/>
      <c r="AB33" s="99"/>
      <c r="AC33" s="99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87">
        <f>I32-I33</f>
        <v>17011756.464620113</v>
      </c>
      <c r="J34" s="76"/>
      <c r="K34" s="87">
        <f>K32-K33</f>
        <v>-5569993.337773174</v>
      </c>
      <c r="L34" s="83"/>
      <c r="M34" s="87">
        <f>M32-M33</f>
        <v>2490826.786058381</v>
      </c>
      <c r="N34" s="75"/>
      <c r="O34" s="87">
        <f>O32-O33</f>
        <v>3683922.662458554</v>
      </c>
      <c r="P34" s="75"/>
      <c r="Q34" s="87">
        <f>Q32-Q33</f>
        <v>264062.3982213619</v>
      </c>
      <c r="R34" s="75"/>
      <c r="S34" s="87">
        <f>S32-S33</f>
        <v>14551989.258014679</v>
      </c>
      <c r="T34" s="75"/>
      <c r="U34" s="87">
        <f>U32-U33</f>
        <v>1590948.6976402272</v>
      </c>
      <c r="V34" s="99"/>
      <c r="W34" s="99"/>
      <c r="X34" s="99"/>
      <c r="Y34" s="99"/>
      <c r="Z34" s="99"/>
      <c r="AA34" s="99"/>
      <c r="AB34" s="99"/>
      <c r="AC34" s="99"/>
    </row>
    <row r="35" spans="5:29" ht="15">
      <c r="E35" s="6"/>
      <c r="F35" s="21"/>
      <c r="G35" s="4"/>
      <c r="H35" s="4"/>
      <c r="I35" s="74"/>
      <c r="J35" s="22"/>
      <c r="K35" s="82"/>
      <c r="L35" s="82"/>
      <c r="M35" s="83"/>
      <c r="N35" s="19"/>
      <c r="O35" s="82"/>
      <c r="P35" s="19"/>
      <c r="Q35" s="82"/>
      <c r="R35" s="19"/>
      <c r="S35" s="83"/>
      <c r="T35" s="19"/>
      <c r="U35" s="82"/>
      <c r="V35" s="99"/>
      <c r="W35" s="99"/>
      <c r="X35" s="99"/>
      <c r="Y35" s="99"/>
      <c r="Z35" s="99"/>
      <c r="AA35" s="99"/>
      <c r="AB35" s="99"/>
      <c r="AC35" s="99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87">
        <f>SUM(K36,M36,O36,Q36,S36,U36)</f>
        <v>1181766.5638732573</v>
      </c>
      <c r="J36" s="76"/>
      <c r="K36" s="110">
        <v>-386934.28872361674</v>
      </c>
      <c r="L36" s="98"/>
      <c r="M36" s="110">
        <v>173031.85701520852</v>
      </c>
      <c r="N36" s="95"/>
      <c r="O36" s="110">
        <v>255913.4111426222</v>
      </c>
      <c r="P36" s="95"/>
      <c r="Q36" s="110">
        <v>18343.7914622863</v>
      </c>
      <c r="R36" s="95"/>
      <c r="S36" s="110">
        <v>1010892.3425238247</v>
      </c>
      <c r="T36" s="95"/>
      <c r="U36" s="110">
        <v>110519.45045293236</v>
      </c>
      <c r="V36" s="99"/>
      <c r="W36" s="100"/>
      <c r="X36" s="100"/>
      <c r="Y36" s="99"/>
      <c r="Z36" s="101"/>
      <c r="AA36" s="99"/>
      <c r="AB36" s="100"/>
      <c r="AC36" s="99"/>
    </row>
    <row r="37" spans="5:29" ht="15.75" thickBot="1">
      <c r="E37" s="6"/>
      <c r="F37" s="21"/>
      <c r="G37" s="4"/>
      <c r="H37" s="4"/>
      <c r="I37" s="74"/>
      <c r="J37" s="22"/>
      <c r="K37" s="83"/>
      <c r="L37" s="91"/>
      <c r="M37" s="83"/>
      <c r="N37" s="75"/>
      <c r="O37" s="83"/>
      <c r="P37" s="75"/>
      <c r="Q37" s="83"/>
      <c r="R37" s="75"/>
      <c r="S37" s="90"/>
      <c r="T37" s="75"/>
      <c r="U37" s="83"/>
      <c r="V37" s="99"/>
      <c r="W37" s="101"/>
      <c r="X37" s="102"/>
      <c r="Y37" s="102"/>
      <c r="Z37" s="102"/>
      <c r="AA37" s="102"/>
      <c r="AB37" s="102"/>
      <c r="AC37" s="99"/>
    </row>
    <row r="38" spans="2:29" ht="16.5" thickBot="1">
      <c r="B38" s="7">
        <f>+B36+1</f>
        <v>15</v>
      </c>
      <c r="C38" s="8"/>
      <c r="D38" s="27" t="s">
        <v>46</v>
      </c>
      <c r="E38" s="28"/>
      <c r="F38" s="29"/>
      <c r="G38" s="30" t="str">
        <f>"(Ln "&amp;B30&amp;" + Ln "&amp;B34&amp;" + Ln "&amp;B36&amp;")"</f>
        <v>(Ln 10 + Ln 13 + Ln 14)</v>
      </c>
      <c r="H38" s="31"/>
      <c r="I38" s="32">
        <f>+I30+I34+I36</f>
        <v>697120761.1601813</v>
      </c>
      <c r="J38" s="22"/>
      <c r="K38" s="33">
        <f>+K30+K34+K36</f>
        <v>208376407.98281902</v>
      </c>
      <c r="L38" s="34"/>
      <c r="M38" s="33">
        <f>+M30+M34+M36</f>
        <v>128458448.26055941</v>
      </c>
      <c r="N38" s="19"/>
      <c r="O38" s="33">
        <f>+O30+O34+O36</f>
        <v>63650625.123040654</v>
      </c>
      <c r="P38" s="19"/>
      <c r="Q38" s="33">
        <f>+Q30+Q34+Q36</f>
        <v>3977426.781378917</v>
      </c>
      <c r="R38" s="19"/>
      <c r="S38" s="33">
        <f>+S30+S34+S36</f>
        <v>274653463.08707905</v>
      </c>
      <c r="T38" s="19"/>
      <c r="U38" s="33">
        <f>+U30+U34+U36</f>
        <v>18004389.9253041</v>
      </c>
      <c r="V38" s="99"/>
      <c r="W38" s="103"/>
      <c r="X38" s="104"/>
      <c r="Y38" s="104"/>
      <c r="Z38" s="104"/>
      <c r="AA38" s="104"/>
      <c r="AB38" s="104"/>
      <c r="AC38" s="99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9"/>
      <c r="P39" s="103"/>
      <c r="Q39" s="104"/>
      <c r="R39" s="104"/>
      <c r="S39" s="104"/>
      <c r="T39" s="104"/>
      <c r="U39" s="104"/>
      <c r="V39" s="99"/>
    </row>
    <row r="40" spans="1:22" ht="15.75">
      <c r="A40" s="12" t="s">
        <v>20</v>
      </c>
      <c r="B40" s="17" t="s">
        <v>21</v>
      </c>
      <c r="C40" s="15"/>
      <c r="D40" s="6"/>
      <c r="E40" s="15"/>
      <c r="F40" s="6"/>
      <c r="G40" s="6"/>
      <c r="H40" s="6"/>
      <c r="I40" s="34"/>
      <c r="J40" s="6"/>
      <c r="K40" s="108"/>
      <c r="L40" s="107"/>
      <c r="M40" s="108"/>
      <c r="N40" s="107"/>
      <c r="O40" s="99"/>
      <c r="P40" s="103"/>
      <c r="Q40" s="104"/>
      <c r="R40" s="104"/>
      <c r="S40" s="104"/>
      <c r="T40" s="104"/>
      <c r="U40" s="104"/>
      <c r="V40" s="99"/>
    </row>
    <row r="41" spans="2:22" ht="15">
      <c r="B41" s="7">
        <f>+B38+1</f>
        <v>16</v>
      </c>
      <c r="C41" s="8"/>
      <c r="D41" s="35" t="str">
        <f>""&amp;V1-1&amp;" AEP East Zone Network Service Peak Load"</f>
        <v>2013 AEP East Zone Network Service Peak Load</v>
      </c>
      <c r="E41" s="6"/>
      <c r="F41" s="21"/>
      <c r="G41" s="25"/>
      <c r="H41" s="4"/>
      <c r="I41" s="67">
        <v>22846.3</v>
      </c>
      <c r="J41" s="4" t="s">
        <v>22</v>
      </c>
      <c r="L41" s="22"/>
      <c r="N41" s="22"/>
      <c r="O41" s="99"/>
      <c r="P41" s="103"/>
      <c r="Q41" s="104"/>
      <c r="R41" s="104"/>
      <c r="S41" s="104"/>
      <c r="T41" s="104"/>
      <c r="U41" s="104"/>
      <c r="V41" s="99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100"/>
      <c r="P42" s="103"/>
      <c r="Q42" s="104"/>
      <c r="R42" s="104"/>
      <c r="S42" s="104"/>
      <c r="T42" s="104"/>
      <c r="U42" s="104"/>
      <c r="V42" s="99"/>
    </row>
    <row r="43" spans="1:22" ht="15">
      <c r="A43" s="36"/>
      <c r="B43" s="41">
        <f>+B41+1</f>
        <v>17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15 / Ln 16)</v>
      </c>
      <c r="H43" s="42"/>
      <c r="I43" s="73">
        <f>ROUND(+I38/I41,4)</f>
        <v>30513.5081</v>
      </c>
      <c r="J43" s="42"/>
      <c r="K43"/>
      <c r="L43"/>
      <c r="M43"/>
      <c r="N43"/>
      <c r="O43" s="100"/>
      <c r="P43" s="103"/>
      <c r="Q43" s="104"/>
      <c r="R43" s="104"/>
      <c r="S43" s="104"/>
      <c r="T43" s="104"/>
      <c r="U43" s="104"/>
      <c r="V43" s="99"/>
    </row>
    <row r="44" spans="1:22" ht="15">
      <c r="A44" s="36"/>
      <c r="B44" s="41">
        <f aca="true" t="shared" si="0" ref="B44:B49">+B43+1</f>
        <v>18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17 / 12)</v>
      </c>
      <c r="H44" s="42"/>
      <c r="I44" s="73">
        <f>ROUND(+I$43/12,4)</f>
        <v>2542.7923</v>
      </c>
      <c r="J44" s="42"/>
      <c r="K44"/>
      <c r="L44"/>
      <c r="M44"/>
      <c r="N44"/>
      <c r="O44" s="100"/>
      <c r="P44" s="103"/>
      <c r="Q44" s="104"/>
      <c r="R44" s="104"/>
      <c r="S44" s="104"/>
      <c r="T44" s="104"/>
      <c r="U44" s="104"/>
      <c r="V44" s="99"/>
    </row>
    <row r="45" spans="1:22" ht="15">
      <c r="A45" s="36"/>
      <c r="B45" s="41">
        <f t="shared" si="0"/>
        <v>19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17 / 52)</v>
      </c>
      <c r="H45" s="38"/>
      <c r="I45" s="73">
        <f>ROUND(+I43/52,4)</f>
        <v>586.7982</v>
      </c>
      <c r="J45" s="38"/>
      <c r="K45"/>
      <c r="L45"/>
      <c r="M45"/>
      <c r="N45"/>
      <c r="O45" s="100"/>
      <c r="P45" s="103"/>
      <c r="Q45" s="104"/>
      <c r="R45" s="104"/>
      <c r="S45" s="104"/>
      <c r="T45" s="104"/>
      <c r="U45" s="104"/>
      <c r="V45" s="99"/>
    </row>
    <row r="46" spans="2:22" ht="15">
      <c r="B46" s="41">
        <f t="shared" si="0"/>
        <v>20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17 / 260)</v>
      </c>
      <c r="H46" s="42"/>
      <c r="I46" s="73">
        <f>ROUND(+I43/260,4)</f>
        <v>117.3596</v>
      </c>
      <c r="J46" s="42"/>
      <c r="K46"/>
      <c r="L46"/>
      <c r="M46"/>
      <c r="N46"/>
      <c r="O46" s="100"/>
      <c r="P46" s="103"/>
      <c r="Q46" s="104"/>
      <c r="R46" s="104"/>
      <c r="S46" s="104"/>
      <c r="T46" s="104"/>
      <c r="U46" s="104"/>
      <c r="V46" s="99"/>
    </row>
    <row r="47" spans="2:22" ht="15">
      <c r="B47" s="41">
        <f t="shared" si="0"/>
        <v>21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17 / 365)</v>
      </c>
      <c r="H47" s="42"/>
      <c r="I47" s="73">
        <f>ROUND(+I43/365,4)</f>
        <v>83.5987</v>
      </c>
      <c r="J47" s="42"/>
      <c r="K47"/>
      <c r="L47"/>
      <c r="M47"/>
      <c r="N47"/>
      <c r="O47" s="100"/>
      <c r="P47" s="103"/>
      <c r="Q47" s="104"/>
      <c r="R47" s="104"/>
      <c r="S47" s="104"/>
      <c r="T47" s="104"/>
      <c r="U47" s="104"/>
      <c r="V47" s="99"/>
    </row>
    <row r="48" spans="2:22" ht="15">
      <c r="B48" s="41">
        <f t="shared" si="0"/>
        <v>22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17 / 4160)</v>
      </c>
      <c r="H48" s="42"/>
      <c r="I48" s="73">
        <f>ROUND(+I43/4160,4)</f>
        <v>7.335</v>
      </c>
      <c r="J48" s="42"/>
      <c r="K48"/>
      <c r="L48"/>
      <c r="M48"/>
      <c r="N48"/>
      <c r="O48" s="100"/>
      <c r="P48" s="103"/>
      <c r="Q48" s="104"/>
      <c r="R48" s="104"/>
      <c r="S48" s="104"/>
      <c r="T48" s="104"/>
      <c r="U48" s="104"/>
      <c r="V48" s="99"/>
    </row>
    <row r="49" spans="2:22" ht="15">
      <c r="B49" s="41">
        <f t="shared" si="0"/>
        <v>23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17 / 8760)</v>
      </c>
      <c r="H49" s="42"/>
      <c r="I49" s="73">
        <f>ROUND(+I43/8760,4)</f>
        <v>3.4833</v>
      </c>
      <c r="J49" s="42"/>
      <c r="K49"/>
      <c r="L49"/>
      <c r="M49"/>
      <c r="N49"/>
      <c r="O49" s="100"/>
      <c r="P49" s="103"/>
      <c r="Q49" s="104"/>
      <c r="R49" s="104"/>
      <c r="S49" s="104"/>
      <c r="T49" s="104"/>
      <c r="U49" s="104"/>
      <c r="V49" s="99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100"/>
      <c r="W50" s="105"/>
      <c r="X50" s="106"/>
      <c r="Y50" s="106"/>
      <c r="Z50" s="106"/>
      <c r="AA50" s="106"/>
      <c r="AB50" s="106"/>
      <c r="AC50" s="99"/>
    </row>
    <row r="51" spans="1:29" ht="15.75">
      <c r="A51" s="12" t="s">
        <v>23</v>
      </c>
      <c r="B51" s="17" t="s">
        <v>35</v>
      </c>
      <c r="C51" s="15"/>
      <c r="D51" s="6"/>
      <c r="E51" s="15"/>
      <c r="F51" s="6"/>
      <c r="G51" s="8"/>
      <c r="H51" s="6"/>
      <c r="J51" s="6"/>
      <c r="L51" s="6"/>
      <c r="V51" s="99"/>
      <c r="W51" s="99"/>
      <c r="X51" s="99"/>
      <c r="Y51" s="99"/>
      <c r="Z51" s="99"/>
      <c r="AA51" s="99"/>
      <c r="AB51" s="99"/>
      <c r="AC51" s="99"/>
    </row>
    <row r="52" spans="2:27" ht="15">
      <c r="B52" s="45">
        <f>+B49+1</f>
        <v>24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19416612.525972728</v>
      </c>
      <c r="J52" s="42"/>
      <c r="K52" s="47">
        <v>2222034.975895484</v>
      </c>
      <c r="L52" s="42"/>
      <c r="M52" s="47">
        <v>4959187.075572033</v>
      </c>
      <c r="N52" s="40"/>
      <c r="O52" s="47">
        <f>+O22</f>
        <v>0</v>
      </c>
      <c r="P52" s="40"/>
      <c r="Q52" s="47">
        <f>+Q22</f>
        <v>0</v>
      </c>
      <c r="R52" s="40"/>
      <c r="S52" s="47">
        <v>12202156.063635366</v>
      </c>
      <c r="T52" s="40"/>
      <c r="U52" s="47">
        <v>33234.41086984536</v>
      </c>
      <c r="Y52"/>
      <c r="AA52"/>
    </row>
    <row r="53" spans="2:21" ht="15">
      <c r="B53" s="45">
        <f>+B52+1</f>
        <v>25</v>
      </c>
      <c r="C53" s="42"/>
      <c r="D53" s="1" t="s">
        <v>39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">
      <c r="B54" s="45">
        <f>+B53+1</f>
        <v>26</v>
      </c>
      <c r="C54" s="42"/>
      <c r="D54" s="1" t="s">
        <v>53</v>
      </c>
      <c r="G54" s="25"/>
      <c r="H54" s="42"/>
      <c r="I54" s="46">
        <f>SUM(K54,M54,O54,Q54,S54,U54)</f>
        <v>1937086.5572004782</v>
      </c>
      <c r="J54" s="38"/>
      <c r="K54" s="112">
        <v>-143599.8928285213</v>
      </c>
      <c r="L54" s="38"/>
      <c r="M54" s="113">
        <v>986621.4829129257</v>
      </c>
      <c r="N54" s="40"/>
      <c r="O54" s="114">
        <v>0</v>
      </c>
      <c r="P54" s="40"/>
      <c r="Q54" s="114">
        <v>0</v>
      </c>
      <c r="R54" s="40"/>
      <c r="S54" s="113">
        <v>1267295.0411552107</v>
      </c>
      <c r="T54" s="40"/>
      <c r="U54" s="113">
        <v>-173230.07403913673</v>
      </c>
    </row>
    <row r="55" spans="2:21" ht="15.75" thickBot="1">
      <c r="B55" s="45" t="s">
        <v>54</v>
      </c>
      <c r="C55" s="42"/>
      <c r="D55" s="18" t="s">
        <v>56</v>
      </c>
      <c r="E55" s="1" t="s">
        <v>13</v>
      </c>
      <c r="G55" s="25"/>
      <c r="H55" s="42"/>
      <c r="I55" s="46">
        <f>SUM(K55,M55,O55,Q55,S55,U55)</f>
        <v>0</v>
      </c>
      <c r="J55" s="42"/>
      <c r="K55" s="23">
        <v>0</v>
      </c>
      <c r="L55" s="42"/>
      <c r="M55" s="49">
        <v>0</v>
      </c>
      <c r="N55" s="40"/>
      <c r="O55" s="48">
        <v>0</v>
      </c>
      <c r="P55" s="40"/>
      <c r="Q55" s="48">
        <v>0</v>
      </c>
      <c r="R55" s="40"/>
      <c r="S55" s="49">
        <v>0</v>
      </c>
      <c r="T55" s="40"/>
      <c r="U55" s="48">
        <v>0</v>
      </c>
    </row>
    <row r="56" spans="2:21" ht="16.5" thickBot="1">
      <c r="B56" s="45">
        <f>+B54+1</f>
        <v>27</v>
      </c>
      <c r="C56" s="42"/>
      <c r="D56" s="71" t="s">
        <v>44</v>
      </c>
      <c r="E56" s="29"/>
      <c r="F56" s="29"/>
      <c r="G56" s="50"/>
      <c r="H56" s="50"/>
      <c r="I56" s="51">
        <f>+I52+I53+I54+I55</f>
        <v>21353699.083173204</v>
      </c>
      <c r="J56" s="42"/>
      <c r="K56" s="52">
        <f>+K52+K53+K54</f>
        <v>2078435.0830669627</v>
      </c>
      <c r="L56" s="42"/>
      <c r="M56" s="52">
        <f>+M52+M53+M54</f>
        <v>5945808.558484959</v>
      </c>
      <c r="N56" s="40"/>
      <c r="O56" s="52">
        <f>+O52+O53</f>
        <v>0</v>
      </c>
      <c r="P56" s="40"/>
      <c r="Q56" s="52">
        <f>+Q52+Q53</f>
        <v>0</v>
      </c>
      <c r="R56" s="40"/>
      <c r="S56" s="52">
        <f>+S52+S53+S54+S55</f>
        <v>13469451.104790576</v>
      </c>
      <c r="T56" s="40"/>
      <c r="U56" s="52">
        <f>+U52+U53+U54</f>
        <v>-139995.66316929137</v>
      </c>
    </row>
    <row r="57" spans="2:21" ht="15">
      <c r="B57" s="53"/>
      <c r="C57" s="42"/>
      <c r="D57" s="42"/>
      <c r="E57" s="42"/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3"/>
      <c r="C58" s="42"/>
      <c r="D58" s="42"/>
      <c r="E58" s="54" t="s">
        <v>13</v>
      </c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3"/>
      <c r="C59" s="42"/>
      <c r="D59" s="42"/>
      <c r="E59" s="54" t="s">
        <v>13</v>
      </c>
      <c r="F59" s="42"/>
      <c r="G59" s="42"/>
      <c r="H59" s="42"/>
      <c r="I59" s="55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/>
      <c r="E60" s="42"/>
      <c r="F60" s="42"/>
      <c r="G60" s="56" t="s">
        <v>13</v>
      </c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7"/>
      <c r="C61" s="58"/>
      <c r="D61" s="58"/>
      <c r="E61" s="58"/>
      <c r="F61" s="58"/>
      <c r="G61" s="58"/>
      <c r="H61" s="58"/>
      <c r="I61" s="40"/>
      <c r="J61" s="58"/>
      <c r="K61" s="58"/>
      <c r="L61" s="58"/>
      <c r="M61" s="58"/>
      <c r="N61" s="40"/>
      <c r="O61" s="58"/>
      <c r="P61" s="40"/>
      <c r="Q61" s="58"/>
      <c r="R61" s="40"/>
      <c r="S61" s="58"/>
      <c r="T61" s="40"/>
      <c r="U61" s="58"/>
    </row>
    <row r="62" spans="2:21" ht="15">
      <c r="B62" s="57"/>
      <c r="C62" s="58"/>
      <c r="D62" s="58"/>
      <c r="E62" s="58"/>
      <c r="F62" s="58"/>
      <c r="G62" s="58"/>
      <c r="H62" s="58"/>
      <c r="I62" s="40"/>
      <c r="J62" s="58"/>
      <c r="K62" s="58"/>
      <c r="L62" s="58"/>
      <c r="M62" s="58"/>
      <c r="N62" s="40"/>
      <c r="O62" s="58"/>
      <c r="P62" s="40"/>
      <c r="Q62" s="58"/>
      <c r="R62" s="40"/>
      <c r="S62" s="58"/>
      <c r="T62" s="40"/>
      <c r="U62" s="58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12" ht="15">
      <c r="B128" s="60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60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G26" sqref="G26:G28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9">
        <v>2014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5"/>
    </row>
    <row r="3" spans="1:19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1" ht="15">
      <c r="A5" s="118" t="str">
        <f>"For rates effective July 1, "&amp;T1&amp;""</f>
        <v>For rates effective July 1, 2014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20" t="s">
        <v>42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.7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6.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8"/>
      <c r="D15" s="35" t="s">
        <v>55</v>
      </c>
      <c r="E15" s="6"/>
      <c r="F15" s="21"/>
      <c r="G15" s="34">
        <f>SUM(I15,K15,M15,O15,Q15,S15)</f>
        <v>32892016</v>
      </c>
      <c r="H15" s="78"/>
      <c r="I15" s="34">
        <v>9727640</v>
      </c>
      <c r="J15" s="34"/>
      <c r="K15" s="34">
        <v>5792632</v>
      </c>
      <c r="L15" s="19"/>
      <c r="M15" s="34">
        <v>2158022</v>
      </c>
      <c r="N15" s="19"/>
      <c r="O15" s="34">
        <v>49160</v>
      </c>
      <c r="P15" s="19"/>
      <c r="Q15" s="34">
        <v>15039473</v>
      </c>
      <c r="R15" s="19"/>
      <c r="S15" s="34">
        <v>125089</v>
      </c>
    </row>
    <row r="16" spans="2:19" ht="15">
      <c r="B16" s="41">
        <f>+B15+1</f>
        <v>2</v>
      </c>
      <c r="C16" s="68"/>
      <c r="D16" s="35" t="s">
        <v>24</v>
      </c>
      <c r="E16" s="6"/>
      <c r="F16" s="21"/>
      <c r="G16" s="34">
        <f>SUM(I16,K16,M16,O16,Q16,S16)</f>
        <v>15308397</v>
      </c>
      <c r="H16" s="78"/>
      <c r="I16" s="34">
        <v>4669413</v>
      </c>
      <c r="J16" s="34"/>
      <c r="K16" s="34">
        <v>3174684</v>
      </c>
      <c r="L16" s="19"/>
      <c r="M16" s="34">
        <v>955673</v>
      </c>
      <c r="N16" s="19"/>
      <c r="O16" s="34">
        <v>-3064</v>
      </c>
      <c r="P16" s="19"/>
      <c r="Q16" s="34">
        <v>6515903</v>
      </c>
      <c r="R16" s="19"/>
      <c r="S16" s="34">
        <v>-4212</v>
      </c>
    </row>
    <row r="17" spans="2:19" ht="15">
      <c r="B17" s="41">
        <f>+B16+1</f>
        <v>3</v>
      </c>
      <c r="C17" s="68"/>
      <c r="D17" s="35" t="s">
        <v>25</v>
      </c>
      <c r="E17" s="6"/>
      <c r="F17" s="21"/>
      <c r="G17" s="61">
        <f>SUM(I17,K17,M17,O17,Q17,S17)</f>
        <v>3602372</v>
      </c>
      <c r="H17" s="78"/>
      <c r="I17" s="61">
        <v>1097849</v>
      </c>
      <c r="J17" s="34"/>
      <c r="K17" s="61">
        <v>746285</v>
      </c>
      <c r="L17" s="19"/>
      <c r="M17" s="61">
        <v>225073</v>
      </c>
      <c r="N17" s="19"/>
      <c r="O17" s="61">
        <v>0</v>
      </c>
      <c r="P17" s="19"/>
      <c r="Q17" s="61">
        <v>1533165</v>
      </c>
      <c r="R17" s="19"/>
      <c r="S17" s="61">
        <v>0</v>
      </c>
    </row>
    <row r="18" spans="2:19" ht="15">
      <c r="B18" s="41">
        <f>+B17+1</f>
        <v>4</v>
      </c>
      <c r="C18" s="68"/>
      <c r="D18" s="35" t="s">
        <v>26</v>
      </c>
      <c r="E18" s="8" t="str">
        <f>"(Ln "&amp;B15&amp;" - Ln "&amp;B16&amp;" - Ln "&amp;B17&amp;")"</f>
        <v>(Ln 1 - Ln 2 - Ln 3)</v>
      </c>
      <c r="F18" s="21"/>
      <c r="G18" s="34">
        <f>+G15-G16-G17</f>
        <v>13981247</v>
      </c>
      <c r="H18" s="78"/>
      <c r="I18" s="34">
        <f>+I15-I16-I17</f>
        <v>3960378</v>
      </c>
      <c r="J18" s="34"/>
      <c r="K18" s="80">
        <f>+K15-K16-K17</f>
        <v>1871663</v>
      </c>
      <c r="L18" s="19"/>
      <c r="M18" s="34">
        <f>+M15-M16-M17</f>
        <v>977276</v>
      </c>
      <c r="N18" s="19"/>
      <c r="O18" s="34">
        <f>+O15-O16-O17</f>
        <v>52224</v>
      </c>
      <c r="P18" s="19"/>
      <c r="Q18" s="80">
        <f>+Q15-Q16-Q17</f>
        <v>6990405</v>
      </c>
      <c r="R18" s="19"/>
      <c r="S18" s="34">
        <f>+S15-S16-S17</f>
        <v>129301</v>
      </c>
    </row>
    <row r="19" spans="2:19" ht="15">
      <c r="B19" s="36"/>
      <c r="C19" s="68"/>
      <c r="D19" s="35"/>
      <c r="E19" s="8"/>
      <c r="F19" s="21"/>
      <c r="G19" s="34"/>
      <c r="H19" s="78"/>
      <c r="I19" s="34"/>
      <c r="J19" s="34"/>
      <c r="K19" s="80"/>
      <c r="L19" s="19"/>
      <c r="M19" s="34"/>
      <c r="N19" s="19"/>
      <c r="O19" s="34"/>
      <c r="P19" s="19"/>
      <c r="Q19" s="80"/>
      <c r="R19" s="19"/>
      <c r="S19" s="34"/>
    </row>
    <row r="20" spans="2:19" ht="15">
      <c r="B20" s="41">
        <f>+B18+1</f>
        <v>5</v>
      </c>
      <c r="C20" s="68"/>
      <c r="D20" s="35" t="s">
        <v>27</v>
      </c>
      <c r="E20" s="8"/>
      <c r="F20" s="21"/>
      <c r="G20" s="34">
        <f>SUM(I20,K20,M20,O20,Q20,S20)</f>
        <v>428810.36598400003</v>
      </c>
      <c r="H20" s="22"/>
      <c r="I20" s="79">
        <v>133262.40829583135</v>
      </c>
      <c r="J20" s="82"/>
      <c r="K20" s="79">
        <v>55475.20402974368</v>
      </c>
      <c r="L20" s="19"/>
      <c r="M20" s="79">
        <v>32576.27202674208</v>
      </c>
      <c r="N20" s="19"/>
      <c r="O20" s="79">
        <v>1769.7163915849599</v>
      </c>
      <c r="P20" s="19"/>
      <c r="Q20" s="79">
        <v>202241.95904066338</v>
      </c>
      <c r="R20" s="19"/>
      <c r="S20" s="79">
        <v>3484.8061994345594</v>
      </c>
    </row>
    <row r="21" spans="2:19" ht="15">
      <c r="B21" s="41"/>
      <c r="C21" s="68"/>
      <c r="D21" s="35"/>
      <c r="E21" s="8"/>
      <c r="F21" s="21"/>
      <c r="G21" s="34"/>
      <c r="H21" s="78"/>
      <c r="I21" s="34"/>
      <c r="J21" s="34"/>
      <c r="K21" s="80"/>
      <c r="L21" s="19"/>
      <c r="M21" s="34"/>
      <c r="N21" s="19"/>
      <c r="O21" s="34"/>
      <c r="P21" s="19"/>
      <c r="Q21" s="80"/>
      <c r="R21" s="19"/>
      <c r="S21" s="34"/>
    </row>
    <row r="22" spans="2:19" ht="15">
      <c r="B22" s="41">
        <f>+B20+1</f>
        <v>6</v>
      </c>
      <c r="C22" s="68"/>
      <c r="D22" s="35" t="s">
        <v>28</v>
      </c>
      <c r="E22" s="21" t="str">
        <f>"(Ln "&amp;B18&amp;" - Ln "&amp;B20&amp;")"</f>
        <v>(Ln 4 - Ln 5)</v>
      </c>
      <c r="F22" s="4"/>
      <c r="G22" s="34">
        <f>SUM(I22,K22,M22,O22,Q22,S22)</f>
        <v>13552436.634016</v>
      </c>
      <c r="H22" s="22"/>
      <c r="I22" s="74">
        <f>I18-I20</f>
        <v>3827115.591704169</v>
      </c>
      <c r="J22" s="82"/>
      <c r="K22" s="87">
        <f>K18-K20</f>
        <v>1816187.7959702562</v>
      </c>
      <c r="L22" s="19"/>
      <c r="M22" s="74">
        <f>M18-M20</f>
        <v>944699.7279732579</v>
      </c>
      <c r="N22" s="19"/>
      <c r="O22" s="74">
        <f>O18-O20</f>
        <v>50454.28360841504</v>
      </c>
      <c r="P22" s="19"/>
      <c r="Q22" s="87">
        <f>Q18-Q20</f>
        <v>6788163.040959337</v>
      </c>
      <c r="R22" s="19"/>
      <c r="S22" s="74">
        <f>S18-S20</f>
        <v>125816.19380056544</v>
      </c>
    </row>
    <row r="23" spans="2:19" ht="15">
      <c r="B23" s="60"/>
      <c r="C23" s="36"/>
      <c r="D23" s="36"/>
      <c r="G23" s="19"/>
      <c r="H23" s="19"/>
      <c r="I23" s="19"/>
      <c r="J23" s="19"/>
      <c r="K23" s="75"/>
      <c r="L23" s="19"/>
      <c r="M23" s="19"/>
      <c r="N23" s="19"/>
      <c r="O23" s="19"/>
      <c r="P23" s="19"/>
      <c r="Q23" s="75"/>
      <c r="R23" s="19"/>
      <c r="S23" s="19"/>
    </row>
    <row r="24" spans="2:19" ht="15">
      <c r="B24" s="41">
        <f>+B22+1</f>
        <v>7</v>
      </c>
      <c r="C24" s="68"/>
      <c r="D24" s="35" t="str">
        <f>"BILLED HISTORICAL YEAR ("&amp;T1-1&amp;") ACTUAL ARR"</f>
        <v>BILLED HISTORICAL YEAR (2013) ACTUAL ARR</v>
      </c>
      <c r="E24" s="25" t="str">
        <f>"Input from "&amp;T1-1&amp;" True-up"</f>
        <v>Input from 2013 True-up</v>
      </c>
      <c r="F24" s="4"/>
      <c r="G24" s="34">
        <f>SUM(I24,K24,M24,O24,Q24,S24)</f>
        <v>13552436.634016</v>
      </c>
      <c r="H24" s="22"/>
      <c r="I24" s="115">
        <v>4209456.440575387</v>
      </c>
      <c r="J24" s="82"/>
      <c r="K24" s="79">
        <v>1759471.5173661802</v>
      </c>
      <c r="L24" s="19"/>
      <c r="M24" s="79">
        <v>1031595.7671398044</v>
      </c>
      <c r="N24" s="19"/>
      <c r="O24" s="79">
        <v>56046.08922741364</v>
      </c>
      <c r="P24" s="19"/>
      <c r="Q24" s="79">
        <v>6385970.730263122</v>
      </c>
      <c r="R24" s="19"/>
      <c r="S24" s="79">
        <v>109896.08944409217</v>
      </c>
    </row>
    <row r="25" spans="2:19" ht="15">
      <c r="B25" s="41">
        <f>+B24+1</f>
        <v>8</v>
      </c>
      <c r="C25" s="68"/>
      <c r="D25" s="35" t="str">
        <f>"BILLED PROJECTED ("&amp;T1-1&amp;") ARR FROM PRIOR YEAR"</f>
        <v>BILLED PROJECTED (2013) ARR FROM PRIOR YEAR</v>
      </c>
      <c r="E25" s="25" t="s">
        <v>17</v>
      </c>
      <c r="F25" s="4"/>
      <c r="G25" s="61">
        <f>SUM(I25,K25,M25,O25,Q25,S25)</f>
        <v>10396373.9082558</v>
      </c>
      <c r="H25" s="22"/>
      <c r="I25" s="88">
        <v>3230060.6647888506</v>
      </c>
      <c r="J25" s="82"/>
      <c r="K25" s="88">
        <v>1347287.9476652036</v>
      </c>
      <c r="L25" s="19"/>
      <c r="M25" s="88">
        <v>790558.9921846676</v>
      </c>
      <c r="N25" s="19"/>
      <c r="O25" s="88">
        <v>42948.980450889605</v>
      </c>
      <c r="P25" s="19"/>
      <c r="Q25" s="88">
        <v>4901118.867483143</v>
      </c>
      <c r="R25" s="19"/>
      <c r="S25" s="88">
        <v>84398.45568304586</v>
      </c>
    </row>
    <row r="26" spans="2:19" ht="15">
      <c r="B26" s="41">
        <f>+B25+1</f>
        <v>9</v>
      </c>
      <c r="C26" s="68"/>
      <c r="D26" s="35" t="s">
        <v>18</v>
      </c>
      <c r="E26" s="21" t="str">
        <f>"(Ln "&amp;B24&amp;" - Ln "&amp;B25&amp;")"</f>
        <v>(Ln 7 - Ln 8)</v>
      </c>
      <c r="F26" s="4"/>
      <c r="G26" s="34">
        <f>SUM(I26,K26,M26,O26,Q26,S26)</f>
        <v>3156062.7257602</v>
      </c>
      <c r="H26" s="22"/>
      <c r="I26" s="87">
        <f>I24-I25</f>
        <v>979395.7757865367</v>
      </c>
      <c r="J26" s="82"/>
      <c r="K26" s="87">
        <f>K24-K25</f>
        <v>412183.5697009766</v>
      </c>
      <c r="L26" s="19"/>
      <c r="M26" s="87">
        <f>M24-M25</f>
        <v>241036.77495513682</v>
      </c>
      <c r="N26" s="19"/>
      <c r="O26" s="87">
        <f>O24-O25</f>
        <v>13097.108776524037</v>
      </c>
      <c r="P26" s="19"/>
      <c r="Q26" s="87">
        <f>Q24-Q25</f>
        <v>1484851.8627799796</v>
      </c>
      <c r="R26" s="19"/>
      <c r="S26" s="87">
        <f>S24-S25</f>
        <v>25497.63376104631</v>
      </c>
    </row>
    <row r="27" spans="2:19" ht="15">
      <c r="B27" s="60"/>
      <c r="C27" s="36"/>
      <c r="D27" s="36"/>
      <c r="E27" s="4"/>
      <c r="F27" s="4"/>
      <c r="G27" s="74"/>
      <c r="H27" s="22"/>
      <c r="I27" s="82"/>
      <c r="J27" s="82"/>
      <c r="K27" s="83"/>
      <c r="L27" s="19"/>
      <c r="M27" s="82"/>
      <c r="N27" s="19"/>
      <c r="O27" s="82"/>
      <c r="P27" s="19"/>
      <c r="Q27" s="83"/>
      <c r="R27" s="19"/>
      <c r="S27" s="82"/>
    </row>
    <row r="28" spans="2:19" ht="15">
      <c r="B28" s="41">
        <f>+B26+1</f>
        <v>10</v>
      </c>
      <c r="C28" s="68"/>
      <c r="D28" s="35" t="s">
        <v>19</v>
      </c>
      <c r="E28" s="4"/>
      <c r="F28" s="34"/>
      <c r="G28" s="34">
        <f>SUM(I28,K28,M28,O28,Q28,S28)</f>
        <v>161560.25891939783</v>
      </c>
      <c r="H28" s="22"/>
      <c r="I28" s="96">
        <v>50183.03982424876</v>
      </c>
      <c r="J28" s="82"/>
      <c r="K28" s="96">
        <v>20970.521607737843</v>
      </c>
      <c r="L28" s="19"/>
      <c r="M28" s="96">
        <v>12296.351306355371</v>
      </c>
      <c r="N28" s="19"/>
      <c r="O28" s="96">
        <v>668.0516706317101</v>
      </c>
      <c r="P28" s="19"/>
      <c r="Q28" s="96">
        <v>76132.04081058785</v>
      </c>
      <c r="R28" s="19"/>
      <c r="S28" s="96">
        <v>1310.2536998363166</v>
      </c>
    </row>
    <row r="29" spans="2:19" ht="15.75" thickBot="1">
      <c r="B29" s="7"/>
      <c r="C29" s="8"/>
      <c r="D29" s="18"/>
      <c r="E29" s="6"/>
      <c r="F29" s="21"/>
      <c r="G29" s="19"/>
      <c r="H29" s="78"/>
      <c r="I29" s="34"/>
      <c r="J29" s="34"/>
      <c r="K29" s="80"/>
      <c r="L29" s="19"/>
      <c r="M29" s="34"/>
      <c r="N29" s="19"/>
      <c r="O29" s="34"/>
      <c r="P29" s="19"/>
      <c r="Q29" s="80"/>
      <c r="R29" s="19"/>
      <c r="S29" s="34"/>
    </row>
    <row r="30" spans="2:19" ht="15.75" thickBot="1">
      <c r="B30" s="7">
        <f>+B28+1</f>
        <v>11</v>
      </c>
      <c r="C30" s="8"/>
      <c r="D30" s="62" t="s">
        <v>40</v>
      </c>
      <c r="E30" s="28"/>
      <c r="F30" s="30"/>
      <c r="G30" s="63">
        <f>SUM(I30,K30,M30,O30,Q30,S30)</f>
        <v>16870059.618695598</v>
      </c>
      <c r="H30" s="78"/>
      <c r="I30" s="33">
        <f>+I22+I26+I28</f>
        <v>4856694.407314954</v>
      </c>
      <c r="J30" s="34"/>
      <c r="K30" s="77">
        <f>+K22+K26+K28</f>
        <v>2249341.887278971</v>
      </c>
      <c r="L30" s="19"/>
      <c r="M30" s="33">
        <f>+M22+M26+M28</f>
        <v>1198032.8542347501</v>
      </c>
      <c r="N30" s="19"/>
      <c r="O30" s="33">
        <f>+O22+O26+O28</f>
        <v>64219.444055570784</v>
      </c>
      <c r="P30" s="19"/>
      <c r="Q30" s="77">
        <f>+Q22+Q26+Q28</f>
        <v>8349146.944549904</v>
      </c>
      <c r="R30" s="19"/>
      <c r="S30" s="33">
        <f>+S22+S26+S28</f>
        <v>152624.08126144807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20</v>
      </c>
      <c r="B32" s="17" t="s">
        <v>45</v>
      </c>
      <c r="C32" s="15"/>
      <c r="D32" s="6"/>
      <c r="E32" s="15"/>
      <c r="F32" s="6"/>
      <c r="H32" s="6"/>
    </row>
    <row r="33" spans="2:8" ht="15">
      <c r="B33" s="7">
        <f>+B30+1</f>
        <v>12</v>
      </c>
      <c r="C33" s="8"/>
      <c r="D33" s="35" t="str">
        <f>""&amp;T1-1&amp;" AEP East Zone Annual MWh"</f>
        <v>2013 AEP East Zone Annual MWh</v>
      </c>
      <c r="E33" s="8"/>
      <c r="F33" s="21"/>
      <c r="G33" s="64">
        <v>133111623.17700596</v>
      </c>
      <c r="H33" s="6" t="s">
        <v>47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13</v>
      </c>
      <c r="C35" s="38"/>
      <c r="D35" s="35" t="s">
        <v>48</v>
      </c>
      <c r="E35" s="42" t="str">
        <f>"(Line "&amp;B30&amp;" / Line "&amp;B33&amp;")"</f>
        <v>(Line 11 / Line 12)</v>
      </c>
      <c r="F35" s="42"/>
      <c r="G35" s="72">
        <f>+G30/G33</f>
        <v>0.12673618738960563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35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Alex Vaughan</cp:lastModifiedBy>
  <cp:lastPrinted>2014-05-26T13:57:35Z</cp:lastPrinted>
  <dcterms:created xsi:type="dcterms:W3CDTF">2008-07-20T22:34:28Z</dcterms:created>
  <dcterms:modified xsi:type="dcterms:W3CDTF">2015-02-06T22:13:22Z</dcterms:modified>
  <cp:category/>
  <cp:version/>
  <cp:contentType/>
  <cp:contentStatus/>
</cp:coreProperties>
</file>