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330" windowWidth="15480" windowHeight="6390" tabRatio="878" activeTab="0"/>
  </bookViews>
  <sheets>
    <sheet name="KPCo Projected TCOS" sheetId="1" r:id="rId1"/>
    <sheet name="KPCo Historic TCOS" sheetId="2" r:id="rId2"/>
    <sheet name="KPCo True-UP TCOS" sheetId="3" r:id="rId3"/>
    <sheet name="KPCo WS A  - RB Support " sheetId="4" r:id="rId4"/>
    <sheet name="KPCo WS B ADIT &amp; ITC" sheetId="5" r:id="rId5"/>
    <sheet name="KPCo WS C  - Working Capital" sheetId="6" r:id="rId6"/>
    <sheet name="KPCo WS D IPP Credits" sheetId="7" r:id="rId7"/>
    <sheet name="KPCo WS E Rev Credits" sheetId="8" r:id="rId8"/>
    <sheet name="KPCo WS F Misc Exp" sheetId="9" r:id="rId9"/>
    <sheet name="KPCo WS G  State Tax Rate" sheetId="10" r:id="rId10"/>
    <sheet name="KPCo WS H Other Taxes" sheetId="11" r:id="rId11"/>
    <sheet name="KPCo WS H-1-Detail of Tax Amts" sheetId="12" r:id="rId12"/>
    <sheet name="KPCo WS I Projected Plant" sheetId="13" r:id="rId13"/>
    <sheet name="KPCo WS J PROJECTED RTEP RR" sheetId="14" r:id="rId14"/>
    <sheet name="KPCo WS K TRUE-UP RTEP RR" sheetId="15" r:id="rId15"/>
    <sheet name="KPCo WS L Cost of Debt" sheetId="16" r:id="rId16"/>
    <sheet name="KPCo WS M - Avg Cap Structure" sheetId="17" r:id="rId17"/>
    <sheet name="KPCo WS N - Sale of Plant Held" sheetId="18" r:id="rId18"/>
    <sheet name="KPCo -WS O" sheetId="19" r:id="rId19"/>
    <sheet name="KPCo-WS P Dep. Rates" sheetId="20" r:id="rId20"/>
  </sheets>
  <externalReferences>
    <externalReference r:id="rId23"/>
    <externalReference r:id="rId24"/>
  </externalReferences>
  <definedNames>
    <definedName name="ActExcessAmt">#REF!</definedName>
    <definedName name="ActGrTaxAmt">#REF!</definedName>
    <definedName name="ActKWHExcess">#REF!</definedName>
    <definedName name="ActKWHNotUsed">#REF!</definedName>
    <definedName name="ActKWHRes">#REF!</definedName>
    <definedName name="ActKWHSubTot">#REF!</definedName>
    <definedName name="ActKWHTot">#REF!</definedName>
    <definedName name="ActNotUsedAmt">#REF!</definedName>
    <definedName name="ActResAmt">#REF!</definedName>
    <definedName name="ActSubTotAmt">#REF!</definedName>
    <definedName name="ActTotAmt">#REF!</definedName>
    <definedName name="AdminChg">#REF!</definedName>
    <definedName name="AEP">#REF!</definedName>
    <definedName name="allocator" localSheetId="16">#REF!</definedName>
    <definedName name="allocator">#REF!</definedName>
    <definedName name="allocators" localSheetId="16">#REF!</definedName>
    <definedName name="allocators">#REF!</definedName>
    <definedName name="allocatorsSWP" localSheetId="16">#REF!</definedName>
    <definedName name="allocatorsSWP">#REF!</definedName>
    <definedName name="allocatorSWP1">'[1]SWP TCOS 2008 13 Month'!$I$317:$J$328</definedName>
    <definedName name="APCO">#REF!</definedName>
    <definedName name="APCo_Hist_Allocators" localSheetId="11">#REF!</definedName>
    <definedName name="APCo_Hist_Allocators">'KPCo Historic TCOS'!$I$383:$J$391</definedName>
    <definedName name="APCo_Proj_Allocators" localSheetId="11">#REF!</definedName>
    <definedName name="APCo_Proj_Allocators">'KPCo Projected TCOS'!$I$360:$J$368</definedName>
    <definedName name="APCo_TU_Allocators" localSheetId="11">#REF!</definedName>
    <definedName name="APCo_TU_Allocators">'KPCo True-UP TCOS'!$I$384:$J$392</definedName>
    <definedName name="AVRGPWRFCTR">#REF!</definedName>
    <definedName name="B1HRSCRMO">#REF!</definedName>
    <definedName name="B2HRSCRMO">#REF!</definedName>
    <definedName name="BASERATECHG">#REF!</definedName>
    <definedName name="BILLKWH">#REF!</definedName>
    <definedName name="BIRPCCHG">#REF!</definedName>
    <definedName name="BIRPDCHG1">#REF!</definedName>
    <definedName name="BIRPDCHG2">#REF!</definedName>
    <definedName name="BIRPECHG1">#REF!</definedName>
    <definedName name="BIRPECHGB1">#REF!</definedName>
    <definedName name="BIRPECHGB2">#REF!</definedName>
    <definedName name="BIRPECHGB3">#REF!</definedName>
    <definedName name="BIRPECHGW">#REF!</definedName>
    <definedName name="BIRPKWH1">#REF!</definedName>
    <definedName name="BIRPKWHB1">#REF!</definedName>
    <definedName name="BIRPKWHB2">#REF!</definedName>
    <definedName name="BIRPKWHB3">#REF!</definedName>
    <definedName name="BIRPKWHWH">#REF!</definedName>
    <definedName name="BIRPMECHG1">#REF!</definedName>
    <definedName name="BIRPOFKWH">#REF!</definedName>
    <definedName name="BIRPOPKWH">#REF!</definedName>
    <definedName name="BIRPP1EC">#REF!</definedName>
    <definedName name="BIRPP2EC">#REF!</definedName>
    <definedName name="BIRPP3EC">#REF!</definedName>
    <definedName name="BIRPP4EC">#REF!</definedName>
    <definedName name="BIRPP5EC">#REF!</definedName>
    <definedName name="BIRPPDMDCHG">#REF!</definedName>
    <definedName name="BIRPRCHG">#REF!</definedName>
    <definedName name="BIRPXKVA">#REF!</definedName>
    <definedName name="BIRPXKVAPCT">#REF!</definedName>
    <definedName name="BIRPXOFKW">#REF!</definedName>
    <definedName name="BKUPKWH">#REF!</definedName>
    <definedName name="BLDAMNT">#REF!</definedName>
    <definedName name="BLDDMND">#REF!</definedName>
    <definedName name="BLDKWH">#REF!</definedName>
    <definedName name="BLDOPDMND">#REF!</definedName>
    <definedName name="BLNGKWB4EDR">#REF!</definedName>
    <definedName name="BLNGKWH">#REF!</definedName>
    <definedName name="BLNGKWHTTL">#REF!</definedName>
    <definedName name="BndBlkKwh1">#REF!</definedName>
    <definedName name="BndBlkKwh2">#REF!</definedName>
    <definedName name="BndBlkKwh3">#REF!</definedName>
    <definedName name="BndBlkKwhChg1">#REF!</definedName>
    <definedName name="BndBlkKwhChg2">#REF!</definedName>
    <definedName name="BndBlkKwhChg3">#REF!</definedName>
    <definedName name="BndBlkKwhChgT">#REF!</definedName>
    <definedName name="BndBlkKwhChgW">#REF!</definedName>
    <definedName name="BndBlkKwhT">#REF!</definedName>
    <definedName name="BndBlkKwhW">#REF!</definedName>
    <definedName name="BndCustChg">#REF!</definedName>
    <definedName name="BndDmdChg1">#REF!</definedName>
    <definedName name="BndDmdChg2">#REF!</definedName>
    <definedName name="BndExcsKvaPct">#REF!</definedName>
    <definedName name="BndMEChg">#REF!</definedName>
    <definedName name="BndOffPkKwh">#REF!</definedName>
    <definedName name="BndOnPkKwh">#REF!</definedName>
    <definedName name="BndPL1Chg">#REF!</definedName>
    <definedName name="BndPL2Chg">#REF!</definedName>
    <definedName name="BndPL3Chg">#REF!</definedName>
    <definedName name="BndPL4Chg">#REF!</definedName>
    <definedName name="BndPL5Chg">#REF!</definedName>
    <definedName name="BndReactiveChg">#REF!</definedName>
    <definedName name="BndXOfpKvaChg">#REF!</definedName>
    <definedName name="BndXOfpKwChg">#REF!</definedName>
    <definedName name="BTTrueUp">#REF!</definedName>
    <definedName name="BUNCCHG">#REF!</definedName>
    <definedName name="BUNDCHG1">#REF!</definedName>
    <definedName name="BUNDCHG2">#REF!</definedName>
    <definedName name="BUNECHG1">#REF!</definedName>
    <definedName name="BUNECHGB1">#REF!</definedName>
    <definedName name="BUNECHGB2">#REF!</definedName>
    <definedName name="BUNECHGB3">#REF!</definedName>
    <definedName name="BUNECHGW">#REF!</definedName>
    <definedName name="BUNKWH1">#REF!</definedName>
    <definedName name="BUNKWHB1">#REF!</definedName>
    <definedName name="BUNKWHB2">#REF!</definedName>
    <definedName name="BUNKWHB3">#REF!</definedName>
    <definedName name="BUNKWHWH">#REF!</definedName>
    <definedName name="BUNMECHG1">#REF!</definedName>
    <definedName name="BUNOFKWH">#REF!</definedName>
    <definedName name="BUNOPKWH">#REF!</definedName>
    <definedName name="BUNP1EC">#REF!</definedName>
    <definedName name="BUNP2EC">#REF!</definedName>
    <definedName name="BUNP3EC">#REF!</definedName>
    <definedName name="BUNP4EC">#REF!</definedName>
    <definedName name="BUNP5EC">#REF!</definedName>
    <definedName name="BUNPDMDCHG">#REF!</definedName>
    <definedName name="BUNRCHG">#REF!</definedName>
    <definedName name="BUNXKVA">#REF!</definedName>
    <definedName name="BUNXKVAPCT">#REF!</definedName>
    <definedName name="BUNXOFKW">#REF!</definedName>
    <definedName name="CALCPFCC">#REF!</definedName>
    <definedName name="CAPDEFA">#REF!</definedName>
    <definedName name="CBLKWH">#REF!</definedName>
    <definedName name="City">#REF!</definedName>
    <definedName name="CNTRCTDMND">#REF!</definedName>
    <definedName name="CoPhoneLine">#REF!</definedName>
    <definedName name="CRMOINTRPTHRS">#REF!</definedName>
    <definedName name="CRNTMOBTKWH">#REF!</definedName>
    <definedName name="CRNTMOFPKHRS">#REF!</definedName>
    <definedName name="CRNTMONPKHRS">#REF!</definedName>
    <definedName name="CRTLBLONPKHRS">#REF!</definedName>
    <definedName name="CRTLBLONPKKWH">#REF!</definedName>
    <definedName name="CSTMRCHG">#REF!</definedName>
    <definedName name="CurMoAddr1">#REF!</definedName>
    <definedName name="CurMoAddr2">#REF!</definedName>
    <definedName name="CurMoBTDetail">#REF!</definedName>
    <definedName name="CurMoBuyThrgh_Sheet">#REF!</definedName>
    <definedName name="CurMoCityStZip">#REF!</definedName>
    <definedName name="CurMoCustName">#REF!</definedName>
    <definedName name="CurMoExcessAmt">#REF!</definedName>
    <definedName name="CurMoGrTaxAmt">#REF!</definedName>
    <definedName name="CurMoKWHExcess">#REF!</definedName>
    <definedName name="CurMoKWHNotUsed">#REF!</definedName>
    <definedName name="CurMoKWHRes">#REF!</definedName>
    <definedName name="CurMoKWHSubTot">#REF!</definedName>
    <definedName name="CurMoKWHTot">#REF!</definedName>
    <definedName name="CurMoMtrMult">#REF!</definedName>
    <definedName name="CurMoNotUsedAmt">#REF!</definedName>
    <definedName name="CurMoResAmt">#REF!</definedName>
    <definedName name="CurMoSubTotAmt">#REF!</definedName>
    <definedName name="CurMoTotAmt">#REF!</definedName>
    <definedName name="CurrYear">#REF!</definedName>
    <definedName name="CustAddr1">#REF!</definedName>
    <definedName name="CustAddr2">#REF!</definedName>
    <definedName name="CustCityStZip">#REF!</definedName>
    <definedName name="CustName2">#REF!</definedName>
    <definedName name="CustTable">#REF!</definedName>
    <definedName name="DetailTotCbl">#REF!</definedName>
    <definedName name="DetailTotChg">#REF!</definedName>
    <definedName name="DetailTotKw">#REF!</definedName>
    <definedName name="DetailTotMargin">#REF!</definedName>
    <definedName name="DIRPCCHG">#REF!</definedName>
    <definedName name="DIRPDCHG1">#REF!</definedName>
    <definedName name="DIRPDCHG2">#REF!</definedName>
    <definedName name="DIRPECHG1">#REF!</definedName>
    <definedName name="DIRPECHGB1">#REF!</definedName>
    <definedName name="DIRPECHGB2">#REF!</definedName>
    <definedName name="DIRPECHGB3">#REF!</definedName>
    <definedName name="DIRPMECHG1">#REF!</definedName>
    <definedName name="DIRPMINDC">#REF!</definedName>
    <definedName name="DIRPMINEC">#REF!</definedName>
    <definedName name="DIRPOFKVA">#REF!</definedName>
    <definedName name="DIRPOFKW">#REF!</definedName>
    <definedName name="DIRPOFKWH">#REF!</definedName>
    <definedName name="DIRPOPKWH">#REF!</definedName>
    <definedName name="DIRPP1EC">#REF!</definedName>
    <definedName name="DIRPP2EC">#REF!</definedName>
    <definedName name="DIRPP3EC">#REF!</definedName>
    <definedName name="DIRPP4EC">#REF!</definedName>
    <definedName name="DIRPP5EC">#REF!</definedName>
    <definedName name="DIRPRCHG">#REF!</definedName>
    <definedName name="DisBlkKwhChg1">#REF!</definedName>
    <definedName name="DisBlkKwhChg2">#REF!</definedName>
    <definedName name="DisBlkKwhChg3">#REF!</definedName>
    <definedName name="DisBlkKwhChgT">#REF!</definedName>
    <definedName name="DisCustChg">#REF!</definedName>
    <definedName name="DisDmdChg1">#REF!</definedName>
    <definedName name="DisDmdChg2">#REF!</definedName>
    <definedName name="DisMEChg">#REF!</definedName>
    <definedName name="DisMinDChg">#REF!</definedName>
    <definedName name="DisMinEChg">#REF!</definedName>
    <definedName name="DisOffPkKwh">#REF!</definedName>
    <definedName name="DisOnPkKwh">#REF!</definedName>
    <definedName name="DisPL1Chg">#REF!</definedName>
    <definedName name="DisPL2Chg">#REF!</definedName>
    <definedName name="DisPL3Chg">#REF!</definedName>
    <definedName name="DisPL4Chg">#REF!</definedName>
    <definedName name="DisPL5Chg">#REF!</definedName>
    <definedName name="DisReactiveChg">#REF!</definedName>
    <definedName name="DisXOfpKvaChg">#REF!</definedName>
    <definedName name="DisXOfpKwChg">#REF!</definedName>
    <definedName name="DSTCCHG">#REF!</definedName>
    <definedName name="DSTDCHG1">#REF!</definedName>
    <definedName name="DSTDCHG2">#REF!</definedName>
    <definedName name="DSTECHG1">#REF!</definedName>
    <definedName name="DSTECHGB1">#REF!</definedName>
    <definedName name="DSTECHGB2">#REF!</definedName>
    <definedName name="DSTECHGB3">#REF!</definedName>
    <definedName name="DSTMECHG1">#REF!</definedName>
    <definedName name="DSTMINDC">#REF!</definedName>
    <definedName name="DSTMINEC">#REF!</definedName>
    <definedName name="DSTOFKWH">#REF!</definedName>
    <definedName name="DSTOPKWH">#REF!</definedName>
    <definedName name="DSTP1EC">#REF!</definedName>
    <definedName name="DSTP2EC">#REF!</definedName>
    <definedName name="DSTP3EC">#REF!</definedName>
    <definedName name="DSTP4EC">#REF!</definedName>
    <definedName name="DSTP5EC">#REF!</definedName>
    <definedName name="DSTRCHG">#REF!</definedName>
    <definedName name="DSTXOFKVA">#REF!</definedName>
    <definedName name="DSTXOFKW">#REF!</definedName>
    <definedName name="EDRBASE">#REF!</definedName>
    <definedName name="EDRDATE">#REF!</definedName>
    <definedName name="EDRDSCNT">#REF!</definedName>
    <definedName name="EDRLVLPCT">#REF!</definedName>
    <definedName name="EDRTYPE">#REF!</definedName>
    <definedName name="EffDate">#REF!</definedName>
    <definedName name="ELKMCGN1">#REF!</definedName>
    <definedName name="ELKMCGN2">#REF!</definedName>
    <definedName name="ENDDTM">#REF!</definedName>
    <definedName name="ENDTIME">#REF!</definedName>
    <definedName name="EstExcessAmt">#REF!</definedName>
    <definedName name="EstGrTaxAmt">#REF!</definedName>
    <definedName name="EstKWHExcess">#REF!</definedName>
    <definedName name="EstKWHNotUsed">#REF!</definedName>
    <definedName name="EstKWHRes">#REF!</definedName>
    <definedName name="EstKWHSubTot">#REF!</definedName>
    <definedName name="EstKWHTot">#REF!</definedName>
    <definedName name="EstNotUsedAmt">#REF!</definedName>
    <definedName name="EstResAmt">#REF!</definedName>
    <definedName name="EstSubTotAmt">#REF!</definedName>
    <definedName name="EstTotAmt">#REF!</definedName>
    <definedName name="EXCSKVACHG">#REF!</definedName>
    <definedName name="EXCSKVADMND">#REF!</definedName>
    <definedName name="EXCSKVAR">#REF!</definedName>
    <definedName name="FIRMKWH">#REF!</definedName>
    <definedName name="FIRSTDAY">#REF!</definedName>
    <definedName name="FRMCPCT">#REF!</definedName>
    <definedName name="FUELCHG">#REF!</definedName>
    <definedName name="FUELRATE">#REF!</definedName>
    <definedName name="GenBlkKwhChg1">#REF!</definedName>
    <definedName name="GenBlkKwhChg2">#REF!</definedName>
    <definedName name="GenBlkKwhChg3">#REF!</definedName>
    <definedName name="GenBlkKwhChgT">#REF!</definedName>
    <definedName name="GENCCHG">#REF!</definedName>
    <definedName name="GenCustChg">#REF!</definedName>
    <definedName name="GENDCHG1">#REF!</definedName>
    <definedName name="GENDCHG2">#REF!</definedName>
    <definedName name="GenDmdChg1">#REF!</definedName>
    <definedName name="GenDmdChg2">#REF!</definedName>
    <definedName name="GENECHG1">#REF!</definedName>
    <definedName name="GENECHGB1">#REF!</definedName>
    <definedName name="GENECHGB2">#REF!</definedName>
    <definedName name="GENECHGB3">#REF!</definedName>
    <definedName name="GenMEChg">#REF!</definedName>
    <definedName name="GENMECHG1">#REF!</definedName>
    <definedName name="GENMINDC">#REF!</definedName>
    <definedName name="GenMinDChg">#REF!</definedName>
    <definedName name="GENMINEC">#REF!</definedName>
    <definedName name="GenMinEChg">#REF!</definedName>
    <definedName name="GenOffPkKwh">#REF!</definedName>
    <definedName name="GENOFKWH">#REF!</definedName>
    <definedName name="GenOnPkKwh">#REF!</definedName>
    <definedName name="GENOPKWH">#REF!</definedName>
    <definedName name="GENP1EC">#REF!</definedName>
    <definedName name="GENP2EC">#REF!</definedName>
    <definedName name="GENP3EC">#REF!</definedName>
    <definedName name="GENP4EC">#REF!</definedName>
    <definedName name="GENP5EC">#REF!</definedName>
    <definedName name="GenPL1Chg">#REF!</definedName>
    <definedName name="GenPL2Chg">#REF!</definedName>
    <definedName name="GenPL3Chg">#REF!</definedName>
    <definedName name="GenPL4Chg">#REF!</definedName>
    <definedName name="GenPL5Chg">#REF!</definedName>
    <definedName name="GENRCHG">#REF!</definedName>
    <definedName name="GenReactiveChg">#REF!</definedName>
    <definedName name="GENXOFKVA">#REF!</definedName>
    <definedName name="GENXOFKW">#REF!</definedName>
    <definedName name="GenXOfpKvaChg">#REF!</definedName>
    <definedName name="GenXOfpKwChg">#REF!</definedName>
    <definedName name="GIRPCCHG">#REF!</definedName>
    <definedName name="GIRPDCHG1">#REF!</definedName>
    <definedName name="GIRPDCHG2">#REF!</definedName>
    <definedName name="GIRPECHG1">#REF!</definedName>
    <definedName name="GIRPECHGB1">#REF!</definedName>
    <definedName name="GIRPECHGB2">#REF!</definedName>
    <definedName name="GIRPECHGB3">#REF!</definedName>
    <definedName name="GIRPMECHG1">#REF!</definedName>
    <definedName name="GIRPMINDC">#REF!</definedName>
    <definedName name="GIRPMINEC">#REF!</definedName>
    <definedName name="GIRPOFKVA">#REF!</definedName>
    <definedName name="GIRPOFKW">#REF!</definedName>
    <definedName name="GIRPOFKWH">#REF!</definedName>
    <definedName name="GIRPOPKWH">#REF!</definedName>
    <definedName name="GIRPP1EC">#REF!</definedName>
    <definedName name="GIRPP2EC">#REF!</definedName>
    <definedName name="GIRPP3EC">#REF!</definedName>
    <definedName name="GIRPP4EC">#REF!</definedName>
    <definedName name="GIRPP5EC">#REF!</definedName>
    <definedName name="GIRPRCHG">#REF!</definedName>
    <definedName name="HIPREKW">#REF!</definedName>
    <definedName name="HRCRDKW">#REF!</definedName>
    <definedName name="HRCRDKWDT">#REF!</definedName>
    <definedName name="HRCRDKWTM">#REF!</definedName>
    <definedName name="HROFPKDT">#REF!</definedName>
    <definedName name="HROFPKKW">#REF!</definedName>
    <definedName name="HROFPKTM">#REF!</definedName>
    <definedName name="HRONPKDT">#REF!</definedName>
    <definedName name="HRONPKKW">#REF!</definedName>
    <definedName name="HRONPKTM">#REF!</definedName>
    <definedName name="IM_Allocators" localSheetId="0">'KPCo Projected TCOS'!$I$360:$J$368</definedName>
    <definedName name="IM_Allocators" localSheetId="2">'KPCo True-UP TCOS'!$I$384:$J$392</definedName>
    <definedName name="IM_Allocators" localSheetId="11">#REF!</definedName>
    <definedName name="IM_Allocators">'KPCo Historic TCOS'!$I$383:$J$391</definedName>
    <definedName name="IMCO">#REF!</definedName>
    <definedName name="InterruptCapacity">#REF!</definedName>
    <definedName name="InterruptOfpCapacity">#REF!</definedName>
    <definedName name="InterruptType">#REF!</definedName>
    <definedName name="INTRPBLCAP">#REF!</definedName>
    <definedName name="Invdetails">#REF!</definedName>
    <definedName name="KWCHG">#REF!</definedName>
    <definedName name="KWH1NOCMM">#REF!</definedName>
    <definedName name="KWH3NOCMM">#REF!</definedName>
    <definedName name="KWHCHG">#REF!</definedName>
    <definedName name="LASTDAY">#REF!</definedName>
    <definedName name="LASTFUEL">#REF!</definedName>
    <definedName name="LASTMSRR">#REF!</definedName>
    <definedName name="LASTPFCC">#REF!</definedName>
    <definedName name="LDFCTR">#REF!</definedName>
    <definedName name="LRCREDIT">#REF!</definedName>
    <definedName name="M_A" localSheetId="11">#REF!</definedName>
    <definedName name="M_A">'KPCo WS I Projected Plant'!$G$49</definedName>
    <definedName name="MACC1">#REF!</definedName>
    <definedName name="MACC2">#REF!</definedName>
    <definedName name="MAINTHRSCRMO">#REF!</definedName>
    <definedName name="MAINTKWH">#REF!</definedName>
    <definedName name="MinBillDem">#REF!</definedName>
    <definedName name="MinBillDem2">#REF!</definedName>
    <definedName name="MinBillDmd">#REF!</definedName>
    <definedName name="MSRRBLD">#REF!</definedName>
    <definedName name="MSRRCHG">#REF!</definedName>
    <definedName name="MTRMLTPLR1">#REF!</definedName>
    <definedName name="MTRMLTPLR2">#REF!</definedName>
    <definedName name="NETMRGCHG">#REF!</definedName>
    <definedName name="NODAYSINPRD">#REF!</definedName>
    <definedName name="NODELPOINTS">#REF!</definedName>
    <definedName name="NP_h" localSheetId="0">'KPCo Projected TCOS'!$J$100</definedName>
    <definedName name="NP_h" localSheetId="2">'KPCo True-UP TCOS'!$J$100</definedName>
    <definedName name="NP_h" localSheetId="11">'KPCo Historic TCOS'!$J$100</definedName>
    <definedName name="NP_h">'KPCo Historic TCOS'!$J$100</definedName>
    <definedName name="NP_h1">#REF!</definedName>
    <definedName name="NPh" localSheetId="0">'KPCo Projected TCOS'!$J$100</definedName>
    <definedName name="NPh" localSheetId="2">'KPCo True-UP TCOS'!$J$100</definedName>
    <definedName name="NPh" localSheetId="11">#REF!</definedName>
    <definedName name="NPh">'KPCo Historic TCOS'!$J$100</definedName>
    <definedName name="NPh1">#REF!</definedName>
    <definedName name="NvsASD">"V2006-12-31"</definedName>
    <definedName name="NvsAutoDrillOk">"VN"</definedName>
    <definedName name="NvsElapsedTime">0.000231481484661344</definedName>
    <definedName name="NvsEndTime">39091.5909490741</definedName>
    <definedName name="NvsInstLang">"VENG"</definedName>
    <definedName name="NvsInstSpec">"%"</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"%,X,RZF..,CNF.."</definedName>
    <definedName name="NvsPanelBusUnit">"V100"</definedName>
    <definedName name="NvsPanelEffdt">"V2004-06-30"</definedName>
    <definedName name="NvsPanelSetid">"VAEP"</definedName>
    <definedName name="NvsReqBU">"VX999"</definedName>
    <definedName name="NvsReqBUOnly">"VN"</definedName>
    <definedName name="NvsTransLed">"VN"</definedName>
    <definedName name="NvsTreeASD">"V2099-01-01"</definedName>
    <definedName name="NvsValTbl.ACCOUNT">"GL_ACCOUNT_TBL"</definedName>
    <definedName name="NvsValTbl.AEP_STATE_JURIS">"AEP_ST_JD_TBL"</definedName>
    <definedName name="NvsValTbl.CURRENCY_CD">"CURRENCY_CD_TBL"</definedName>
    <definedName name="OFPCBLKW">#REF!</definedName>
    <definedName name="OFPKBILLKWH">#REF!</definedName>
    <definedName name="OFPKCGNKWH">#REF!</definedName>
    <definedName name="OFPKCNTRCTCPCT">#REF!</definedName>
    <definedName name="OFPKDMPKWH">#REF!</definedName>
    <definedName name="OFPKDSCRKWH">#REF!</definedName>
    <definedName name="OFPKDT">#REF!</definedName>
    <definedName name="OFPKEXCSKW">#REF!</definedName>
    <definedName name="OFPKINCRKWH">#REF!</definedName>
    <definedName name="OFPKKVADT">#REF!</definedName>
    <definedName name="OFPKKVATM">#REF!</definedName>
    <definedName name="OFPKKVW">#REF!</definedName>
    <definedName name="OFPKKW">#REF!</definedName>
    <definedName name="OFPKKWH1NOCMM">#REF!</definedName>
    <definedName name="OFPKKWH3NOCMM">#REF!</definedName>
    <definedName name="OFPKRCRDKWH">#REF!</definedName>
    <definedName name="OFPKTM">#REF!</definedName>
    <definedName name="OFPXCSKW">#REF!</definedName>
    <definedName name="OFPXCSKWDT">#REF!</definedName>
    <definedName name="OFPXCSKWH">#REF!</definedName>
    <definedName name="OFPXCSKWTM">#REF!</definedName>
    <definedName name="ONPKBILLKWH">#REF!</definedName>
    <definedName name="ONPKCAPB">#REF!</definedName>
    <definedName name="ONPKCGNKWH">#REF!</definedName>
    <definedName name="ONPKCNTRCTCPCT">#REF!</definedName>
    <definedName name="ONPKDMPKWH">#REF!</definedName>
    <definedName name="ONPKDSCRKWH">#REF!</definedName>
    <definedName name="ONPKDT">#REF!</definedName>
    <definedName name="ONPKINCRKWH">#REF!</definedName>
    <definedName name="ONPKKVA">#REF!</definedName>
    <definedName name="ONPKKVADT">#REF!</definedName>
    <definedName name="ONPKKVATM">#REF!</definedName>
    <definedName name="ONPKKW">#REF!</definedName>
    <definedName name="ONPKKWH1NOCMM">#REF!</definedName>
    <definedName name="ONPKKWH3NOCMM">#REF!</definedName>
    <definedName name="ONPKRCRDKWH">#REF!</definedName>
    <definedName name="ONPKTM">#REF!</definedName>
    <definedName name="OPCBLKW">#REF!</definedName>
    <definedName name="OPCO">#REF!</definedName>
    <definedName name="OPXCSKW">#REF!</definedName>
    <definedName name="OPXCSKWDT">#REF!</definedName>
    <definedName name="OPXCSKWH">#REF!</definedName>
    <definedName name="OPXCSKWTM">#REF!</definedName>
    <definedName name="OTHRTRNSKWH">#REF!</definedName>
    <definedName name="P1PENPERC">#REF!</definedName>
    <definedName name="P2PENPERC">#REF!</definedName>
    <definedName name="PeakDemandChg">#REF!</definedName>
    <definedName name="PenaltyDays">#REF!</definedName>
    <definedName name="PenaltyPct">#REF!</definedName>
    <definedName name="PENDAYS">#REF!</definedName>
    <definedName name="PENDAYS2">#REF!</definedName>
    <definedName name="PFCC">#REF!</definedName>
    <definedName name="PKKVAR">#REF!</definedName>
    <definedName name="PKKVARDATE">#REF!</definedName>
    <definedName name="PKKVARTIME">#REF!</definedName>
    <definedName name="PLVLKWH1">#REF!</definedName>
    <definedName name="PLVLKWH1A">#REF!</definedName>
    <definedName name="PLVLKWH2">#REF!</definedName>
    <definedName name="PLVLKWH23A">#REF!</definedName>
    <definedName name="PLVLKWH25">#REF!</definedName>
    <definedName name="PLVLKWH2A">#REF!</definedName>
    <definedName name="PLVLKWH3">#REF!</definedName>
    <definedName name="PLVLKWH3A">#REF!</definedName>
    <definedName name="PLVLKWH4">#REF!</definedName>
    <definedName name="PLVLKWH4A">#REF!</definedName>
    <definedName name="PRICEDESIG">#REF!</definedName>
    <definedName name="PriMoAddr1">#REF!</definedName>
    <definedName name="PriMoAddr2">#REF!</definedName>
    <definedName name="PriMoBTDetail">#REF!</definedName>
    <definedName name="PriMoBuyThrgh_Sheet">#REF!</definedName>
    <definedName name="PriMoCityStZip">#REF!</definedName>
    <definedName name="PriMoCustName">#REF!</definedName>
    <definedName name="PriMoMtrMult">#REF!</definedName>
    <definedName name="_xlnm.Print_Area" localSheetId="1">'KPCo Historic TCOS'!$A$1:$L$358</definedName>
    <definedName name="_xlnm.Print_Area" localSheetId="0">'KPCo Projected TCOS'!$A$1:$L$358</definedName>
    <definedName name="_xlnm.Print_Area" localSheetId="2">'KPCo True-UP TCOS'!$A$1:$L$360</definedName>
    <definedName name="_xlnm.Print_Area" localSheetId="3">'KPCo WS A  - RB Support '!$A$1:$G$93</definedName>
    <definedName name="_xlnm.Print_Area" localSheetId="4">'KPCo WS B ADIT &amp; ITC'!$A$1:$I$54</definedName>
    <definedName name="_xlnm.Print_Area" localSheetId="5">'KPCo WS C  - Working Capital'!$A$1:$L$64</definedName>
    <definedName name="_xlnm.Print_Area" localSheetId="6">'KPCo WS D IPP Credits'!$A$1:$E$26</definedName>
    <definedName name="_xlnm.Print_Area" localSheetId="7">'KPCo WS E Rev Credits'!$A$1:$K$28</definedName>
    <definedName name="_xlnm.Print_Area" localSheetId="8">'KPCo WS F Misc Exp'!$A$1:$G$63</definedName>
    <definedName name="_xlnm.Print_Area" localSheetId="9">'KPCo WS G  State Tax Rate'!$A$1:$H$36</definedName>
    <definedName name="_xlnm.Print_Area" localSheetId="10">'KPCo WS H Other Taxes'!$A$1:$M$62</definedName>
    <definedName name="_xlnm.Print_Area" localSheetId="11">'KPCo WS H-1-Detail of Tax Amts'!$A$1:$G$75</definedName>
    <definedName name="_xlnm.Print_Area" localSheetId="12">'KPCo WS I Projected Plant'!$A$1:$J$54</definedName>
    <definedName name="_xlnm.Print_Area" localSheetId="13">'KPCo WS J PROJECTED RTEP RR'!$A$1:$O$169</definedName>
    <definedName name="_xlnm.Print_Area" localSheetId="15">'KPCo WS L Cost of Debt'!$A$1:$F$65</definedName>
    <definedName name="_xlnm.Print_Area" localSheetId="16">'KPCo WS M - Avg Cap Structure'!$A$1:$I$88</definedName>
    <definedName name="_xlnm.Print_Area" localSheetId="17">'KPCo WS N - Sale of Plant Held'!$A$1:$U$33</definedName>
    <definedName name="_xlnm.Print_Area" localSheetId="18">'KPCo -WS O'!$A$1:$K$46</definedName>
    <definedName name="_xlnm.Print_Area" localSheetId="19">'KPCo-WS P Dep. Rates'!$A$1:$D$31</definedName>
    <definedName name="_xlnm.Print_Titles" localSheetId="0">'KPCo Projected TCOS'!$A:$F</definedName>
    <definedName name="_xlnm.Print_Titles" localSheetId="3">'KPCo WS A  - RB Support '!$2:$9</definedName>
    <definedName name="_xlnm.Print_Titles" localSheetId="5">'KPCo WS C  - Working Capital'!$1:$7</definedName>
    <definedName name="_xlnm.Print_Titles" localSheetId="10">'KPCo WS H Other Taxes'!$1:$5</definedName>
    <definedName name="_xlnm.Print_Titles" localSheetId="11">'KPCo WS H-1-Detail of Tax Amts'!$1:$5</definedName>
    <definedName name="_xlnm.Print_Titles" localSheetId="18">'KPCo -WS O'!$1:$59</definedName>
    <definedName name="_xlnm.Print_Titles" localSheetId="19">'KPCo-WS P Dep. Rates'!$3:$9</definedName>
    <definedName name="PRVCNT">#REF!</definedName>
    <definedName name="PRVDATE">#REF!</definedName>
    <definedName name="PRVFUEL">#REF!</definedName>
    <definedName name="PRVKW">#REF!</definedName>
    <definedName name="PRVKWH">#REF!</definedName>
    <definedName name="PRVMSRR">#REF!</definedName>
    <definedName name="PRVPFCC">#REF!</definedName>
    <definedName name="PSO_Proj_Allocators" localSheetId="11">#REF!</definedName>
    <definedName name="PSO_Proj_Allocators">'KPCo Projected TCOS'!$I$346:$J$359</definedName>
    <definedName name="PSOallocatorsH" localSheetId="2">'KPCo True-UP TCOS'!$I$426:$J$437</definedName>
    <definedName name="PSOallocatorsP" localSheetId="16">#REF!</definedName>
    <definedName name="PSOallocatorsP">#REF!</definedName>
    <definedName name="PVHIOFPCBL">#REF!</definedName>
    <definedName name="PVHIOPCBL">#REF!</definedName>
    <definedName name="RatchetFactor">#REF!</definedName>
    <definedName name="RCRDRID">#REF!</definedName>
    <definedName name="RCTVHRS">#REF!</definedName>
    <definedName name="RDRBLK1C">#REF!</definedName>
    <definedName name="RDRBLK1Q">#REF!</definedName>
    <definedName name="RDRBLK2C">#REF!</definedName>
    <definedName name="RDRBLK2Q">#REF!</definedName>
    <definedName name="RDRBLK3C">#REF!</definedName>
    <definedName name="RDRBLK3Q">#REF!</definedName>
    <definedName name="RDRBLKTC">#REF!</definedName>
    <definedName name="RDRBLKTC1">#REF!</definedName>
    <definedName name="RDRBLKTC10">#REF!</definedName>
    <definedName name="RDRBLKTC11">#REF!</definedName>
    <definedName name="RDRBLKTC12">#REF!</definedName>
    <definedName name="RDRBLKTC13">#REF!</definedName>
    <definedName name="RDRBLKTC14">#REF!</definedName>
    <definedName name="RDRBLKTC15">#REF!</definedName>
    <definedName name="RDRBLKTC16">#REF!</definedName>
    <definedName name="RDRBLKTC17">#REF!</definedName>
    <definedName name="RDRBLKTC18">#REF!</definedName>
    <definedName name="RDRBLKTC19">#REF!</definedName>
    <definedName name="RDRBLKTC2">#REF!</definedName>
    <definedName name="RDRBLKTC20">#REF!</definedName>
    <definedName name="RDRBLKTC3">#REF!</definedName>
    <definedName name="RDRBLKTC4">#REF!</definedName>
    <definedName name="RDRBLKTC5">#REF!</definedName>
    <definedName name="RDRBLKTC6">#REF!</definedName>
    <definedName name="RDRBLKTC7">#REF!</definedName>
    <definedName name="RDRBLKTC8">#REF!</definedName>
    <definedName name="RDRBLKTC9">#REF!</definedName>
    <definedName name="RDRBLKTQ">#REF!</definedName>
    <definedName name="RDRCODE">#REF!</definedName>
    <definedName name="RDRCYCLE">#REF!</definedName>
    <definedName name="RDRDATE">#REF!</definedName>
    <definedName name="RDRNAME">#REF!</definedName>
    <definedName name="RDRRATEB">#REF!</definedName>
    <definedName name="RDRRATEB1">#REF!</definedName>
    <definedName name="RDRRATEB10">#REF!</definedName>
    <definedName name="RDRRATEB11">#REF!</definedName>
    <definedName name="RDRRATEB12">#REF!</definedName>
    <definedName name="RDRRATEB13">#REF!</definedName>
    <definedName name="RDRRATEB14">#REF!</definedName>
    <definedName name="RDRRATEB15">#REF!</definedName>
    <definedName name="RDRRATEB16">#REF!</definedName>
    <definedName name="RDRRATEB17">#REF!</definedName>
    <definedName name="RDRRATEB18">#REF!</definedName>
    <definedName name="RDRRATEB19">#REF!</definedName>
    <definedName name="RDRRATEB2">#REF!</definedName>
    <definedName name="RDRRATEB20">#REF!</definedName>
    <definedName name="RDRRATEB3">#REF!</definedName>
    <definedName name="RDRRATEB4">#REF!</definedName>
    <definedName name="RDRRATEB5">#REF!</definedName>
    <definedName name="RDRRATEB6">#REF!</definedName>
    <definedName name="RDRRATEB7">#REF!</definedName>
    <definedName name="RDRRATEB8">#REF!</definedName>
    <definedName name="RDRRATEB9">#REF!</definedName>
    <definedName name="RDRRATED">#REF!</definedName>
    <definedName name="RDRRATED1">#REF!</definedName>
    <definedName name="RDRRATED10">#REF!</definedName>
    <definedName name="RDRRATED11">#REF!</definedName>
    <definedName name="RDRRATED12">#REF!</definedName>
    <definedName name="RDRRATED13">#REF!</definedName>
    <definedName name="RDRRATED14">#REF!</definedName>
    <definedName name="RDRRATED15">#REF!</definedName>
    <definedName name="RDRRATED16">#REF!</definedName>
    <definedName name="RDRRATED17">#REF!</definedName>
    <definedName name="RDRRATED18">#REF!</definedName>
    <definedName name="RDRRATED19">#REF!</definedName>
    <definedName name="RDRRATED2">#REF!</definedName>
    <definedName name="RDRRATED20">#REF!</definedName>
    <definedName name="RDRRATED3">#REF!</definedName>
    <definedName name="RDRRATED4">#REF!</definedName>
    <definedName name="RDRRATED5">#REF!</definedName>
    <definedName name="RDRRATED6">#REF!</definedName>
    <definedName name="RDRRATED7">#REF!</definedName>
    <definedName name="RDRRATED8">#REF!</definedName>
    <definedName name="RDRRATED9">#REF!</definedName>
    <definedName name="RDRRATEG">#REF!</definedName>
    <definedName name="RDRRATEG1">#REF!</definedName>
    <definedName name="RDRRATEG10">#REF!</definedName>
    <definedName name="RDRRATEG11">#REF!</definedName>
    <definedName name="RDRRATEG12">#REF!</definedName>
    <definedName name="RDRRATEG13">#REF!</definedName>
    <definedName name="RDRRATEG14">#REF!</definedName>
    <definedName name="RDRRATEG15">#REF!</definedName>
    <definedName name="RDRRATEG16">#REF!</definedName>
    <definedName name="RDRRATEG17">#REF!</definedName>
    <definedName name="RDRRATEG18">#REF!</definedName>
    <definedName name="RDRRATEG19">#REF!</definedName>
    <definedName name="RDRRATEG2">#REF!</definedName>
    <definedName name="RDRRATEG20">#REF!</definedName>
    <definedName name="RDRRATEG3">#REF!</definedName>
    <definedName name="RDRRATEG4">#REF!</definedName>
    <definedName name="RDRRATEG5">#REF!</definedName>
    <definedName name="RDRRATEG6">#REF!</definedName>
    <definedName name="RDRRATEG7">#REF!</definedName>
    <definedName name="RDRRATEG8">#REF!</definedName>
    <definedName name="RDRRATEG9">#REF!</definedName>
    <definedName name="RDRRATET">#REF!</definedName>
    <definedName name="RDRRATET1">#REF!</definedName>
    <definedName name="RDRRATET10">#REF!</definedName>
    <definedName name="RDRRATET11">#REF!</definedName>
    <definedName name="RDRRATET12">#REF!</definedName>
    <definedName name="RDRRATET13">#REF!</definedName>
    <definedName name="RDRRATET14">#REF!</definedName>
    <definedName name="RDRRATET15">#REF!</definedName>
    <definedName name="RDRRATET16">#REF!</definedName>
    <definedName name="RDRRATET17">#REF!</definedName>
    <definedName name="RDRRATET18">#REF!</definedName>
    <definedName name="RDRRATET19">#REF!</definedName>
    <definedName name="RDRRATET2">#REF!</definedName>
    <definedName name="RDRRATET20">#REF!</definedName>
    <definedName name="RDRRATET3">#REF!</definedName>
    <definedName name="RDRRATET4">#REF!</definedName>
    <definedName name="RDRRATET5">#REF!</definedName>
    <definedName name="RDRRATET6">#REF!</definedName>
    <definedName name="RDRRATET7">#REF!</definedName>
    <definedName name="RDRRATET8">#REF!</definedName>
    <definedName name="RDRRATET9">#REF!</definedName>
    <definedName name="RDRTYPE">#REF!</definedName>
    <definedName name="RDRUNITS">#REF!</definedName>
    <definedName name="Reserved_Section">#REF!</definedName>
    <definedName name="RIDERS">#REF!</definedName>
    <definedName name="RKVAHRDNG">#REF!</definedName>
    <definedName name="RTCHTCNTRCTCPCT">#REF!</definedName>
    <definedName name="RTCHTFCTR">#REF!</definedName>
    <definedName name="RTCHTFCTR2">#REF!</definedName>
    <definedName name="RTCHTHIPREVKW">#REF!</definedName>
    <definedName name="RTP_Detail">#REF!</definedName>
    <definedName name="RTPLRKW">#REF!</definedName>
    <definedName name="SDI">#REF!</definedName>
    <definedName name="SHLDRPKKW">#REF!</definedName>
    <definedName name="SHLDRPKKWDT">#REF!</definedName>
    <definedName name="SHLDRPKKWTM">#REF!</definedName>
    <definedName name="SHRDTRNSKWH">#REF!</definedName>
    <definedName name="SRPLSKWH">#REF!</definedName>
    <definedName name="STARTDTM">#REF!</definedName>
    <definedName name="State">#REF!</definedName>
    <definedName name="STDKW">#REF!</definedName>
    <definedName name="STDKWDT">#REF!</definedName>
    <definedName name="STDKWTM">#REF!</definedName>
    <definedName name="STRTTIME">#REF!</definedName>
    <definedName name="SWP_Proj_Allocators">#REF!</definedName>
    <definedName name="SWPallocatorsH">#REF!</definedName>
    <definedName name="SWPallocatorsP">#REF!</definedName>
    <definedName name="SYSPKKW">#REF!</definedName>
    <definedName name="SYSPKKWDT">#REF!</definedName>
    <definedName name="SYSPKKWTM">#REF!</definedName>
    <definedName name="TARIFF1">#REF!</definedName>
    <definedName name="TARIFF2">#REF!</definedName>
    <definedName name="TariffCode">#REF!</definedName>
    <definedName name="TariffLongName">#REF!</definedName>
    <definedName name="TariffShortName">#REF!</definedName>
    <definedName name="TAXDATE">#REF!</definedName>
    <definedName name="TAXES">#REF!</definedName>
    <definedName name="TAXNAME">#REF!</definedName>
    <definedName name="TAXRATE">#REF!</definedName>
    <definedName name="TAXTYPE">#REF!</definedName>
    <definedName name="TCst">#REF!</definedName>
    <definedName name="TCst1">#REF!</definedName>
    <definedName name="TIRPCCHG">#REF!</definedName>
    <definedName name="TIRPDCHG1">#REF!</definedName>
    <definedName name="TIRPDCHG2">#REF!</definedName>
    <definedName name="TIRPECHG1">#REF!</definedName>
    <definedName name="TIRPECHGB1">#REF!</definedName>
    <definedName name="TIRPECHGB2">#REF!</definedName>
    <definedName name="TIRPECHGB3">#REF!</definedName>
    <definedName name="TIRPMECHG1">#REF!</definedName>
    <definedName name="TIRPMINDC">#REF!</definedName>
    <definedName name="TIRPMINEC">#REF!</definedName>
    <definedName name="TIRPOFKVA">#REF!</definedName>
    <definedName name="TIRPOFKW">#REF!</definedName>
    <definedName name="TIRPOFKWH">#REF!</definedName>
    <definedName name="TIRPOPKWH">#REF!</definedName>
    <definedName name="TIRPP1EC">#REF!</definedName>
    <definedName name="TIRPP2EC">#REF!</definedName>
    <definedName name="TIRPP3EC">#REF!</definedName>
    <definedName name="TIRPP4EC">#REF!</definedName>
    <definedName name="TIRPP5EC">#REF!</definedName>
    <definedName name="TIRPRCHG">#REF!</definedName>
    <definedName name="TLsFctr">#REF!</definedName>
    <definedName name="TRCRDKWH">#REF!</definedName>
    <definedName name="TRCRDKWH2P">#REF!</definedName>
    <definedName name="TRFDATE1">#REF!</definedName>
    <definedName name="TRFDATE2">#REF!</definedName>
    <definedName name="TRFNAME1">#REF!</definedName>
    <definedName name="TRFNAME2">#REF!</definedName>
    <definedName name="TRFSHORTNM1">#REF!</definedName>
    <definedName name="TRFSHORTNM2">#REF!</definedName>
    <definedName name="TrnBlkKwhChg1">#REF!</definedName>
    <definedName name="TrnBlkKwhChg2">#REF!</definedName>
    <definedName name="TrnBlkKwhChg3">#REF!</definedName>
    <definedName name="TrnBlkKwhChgT">#REF!</definedName>
    <definedName name="TRNCCHG">#REF!</definedName>
    <definedName name="TrnCustChg">#REF!</definedName>
    <definedName name="TRNDCHG1">#REF!</definedName>
    <definedName name="TRNDCHG2">#REF!</definedName>
    <definedName name="TrnDmdChg1">#REF!</definedName>
    <definedName name="TrnDmdChg2">#REF!</definedName>
    <definedName name="TRNECHG1">#REF!</definedName>
    <definedName name="TRNECHGB1">#REF!</definedName>
    <definedName name="TRNECHGB2">#REF!</definedName>
    <definedName name="TRNECHGB3">#REF!</definedName>
    <definedName name="TrnMEChg">#REF!</definedName>
    <definedName name="TRNMECHG1">#REF!</definedName>
    <definedName name="TRNMINDC">#REF!</definedName>
    <definedName name="TrnMinDChg">#REF!</definedName>
    <definedName name="TRNMINEC">#REF!</definedName>
    <definedName name="TrnMinEChg">#REF!</definedName>
    <definedName name="TrnOffPkKwh">#REF!</definedName>
    <definedName name="TRNOFKWH">#REF!</definedName>
    <definedName name="TrnOnPkKwh">#REF!</definedName>
    <definedName name="TRNOPKWH">#REF!</definedName>
    <definedName name="TRNP1EC">#REF!</definedName>
    <definedName name="TRNP2EC">#REF!</definedName>
    <definedName name="TRNP3EC">#REF!</definedName>
    <definedName name="TRNP4EC">#REF!</definedName>
    <definedName name="TRNP5EC">#REF!</definedName>
    <definedName name="TrnPL1Chg">#REF!</definedName>
    <definedName name="TrnPL2Chg">#REF!</definedName>
    <definedName name="TrnPL3Chg">#REF!</definedName>
    <definedName name="TrnPL4Chg">#REF!</definedName>
    <definedName name="TrnPL5Chg">#REF!</definedName>
    <definedName name="TRNRCHG">#REF!</definedName>
    <definedName name="TrnReactiveChg">#REF!</definedName>
    <definedName name="TRNSKWTOFPK">#REF!</definedName>
    <definedName name="TRNSKWTONPK">#REF!</definedName>
    <definedName name="TRNXOFKVA">#REF!</definedName>
    <definedName name="TRNXOFKW">#REF!</definedName>
    <definedName name="TrnXOfpKvaChg">#REF!</definedName>
    <definedName name="TrnXOfpKwChg">#REF!</definedName>
    <definedName name="TTLBSRATETTL">#REF!</definedName>
    <definedName name="TTLCOGENKWH">#REF!</definedName>
    <definedName name="UNBUNDIND">#REF!</definedName>
    <definedName name="Z_3768C7C8_9953_11DA_B318_000FB55D51DC_.wvu.PrintArea" localSheetId="3" hidden="1">'KPCo WS A  - RB Support '!#REF!</definedName>
    <definedName name="Z_3768C7C8_9953_11DA_B318_000FB55D51DC_.wvu.PrintArea" localSheetId="5" hidden="1">'KPCo WS C  - Working Capital'!$A$8:$N$64</definedName>
    <definedName name="Z_3768C7C8_9953_11DA_B318_000FB55D51DC_.wvu.PrintTitles" localSheetId="3" hidden="1">'KPCo WS A  - RB Support '!#REF!</definedName>
    <definedName name="Z_3768C7C8_9953_11DA_B318_000FB55D51DC_.wvu.PrintTitles" localSheetId="5" hidden="1">'KPCo WS C  - Working Capital'!#REF!</definedName>
    <definedName name="Z_3768C7C8_9953_11DA_B318_000FB55D51DC_.wvu.Rows" localSheetId="3" hidden="1">'KPCo WS A  - RB Support '!#REF!</definedName>
    <definedName name="Z_3768C7C8_9953_11DA_B318_000FB55D51DC_.wvu.Rows" localSheetId="5" hidden="1">'KPCo WS C  - Working Capital'!#REF!</definedName>
    <definedName name="Z_3BDD6235_B127_4929_8311_BDAF7BB89818_.wvu.PrintArea" localSheetId="3" hidden="1">'KPCo WS A  - RB Support '!#REF!</definedName>
    <definedName name="Z_3BDD6235_B127_4929_8311_BDAF7BB89818_.wvu.PrintArea" localSheetId="5" hidden="1">'KPCo WS C  - Working Capital'!$A$8:$N$64</definedName>
    <definedName name="Z_3BDD6235_B127_4929_8311_BDAF7BB89818_.wvu.PrintTitles" localSheetId="3" hidden="1">'KPCo WS A  - RB Support '!#REF!</definedName>
    <definedName name="Z_3BDD6235_B127_4929_8311_BDAF7BB89818_.wvu.PrintTitles" localSheetId="5" hidden="1">'KPCo WS C  - Working Capital'!#REF!</definedName>
    <definedName name="Z_3BDD6235_B127_4929_8311_BDAF7BB89818_.wvu.Rows" localSheetId="3" hidden="1">'KPCo WS A  - RB Support '!#REF!</definedName>
    <definedName name="Z_3BDD6235_B127_4929_8311_BDAF7BB89818_.wvu.Rows" localSheetId="5" hidden="1">'KPCo WS C  - Working Capital'!#REF!</definedName>
    <definedName name="Z_B0241363_5C8A_48FC_89A6_56D55586BABE_.wvu.PrintArea" localSheetId="3" hidden="1">'KPCo WS A  - RB Support '!#REF!</definedName>
    <definedName name="Z_B0241363_5C8A_48FC_89A6_56D55586BABE_.wvu.PrintArea" localSheetId="5" hidden="1">'KPCo WS C  - Working Capital'!$A$8:$N$64</definedName>
    <definedName name="Z_B0241363_5C8A_48FC_89A6_56D55586BABE_.wvu.PrintTitles" localSheetId="3" hidden="1">'KPCo WS A  - RB Support '!#REF!</definedName>
    <definedName name="Z_B0241363_5C8A_48FC_89A6_56D55586BABE_.wvu.PrintTitles" localSheetId="5" hidden="1">'KPCo WS C  - Working Capital'!#REF!</definedName>
    <definedName name="Z_B0241363_5C8A_48FC_89A6_56D55586BABE_.wvu.Rows" localSheetId="3" hidden="1">'KPCo WS A  - RB Support '!#REF!</definedName>
    <definedName name="Z_B0241363_5C8A_48FC_89A6_56D55586BABE_.wvu.Rows" localSheetId="5" hidden="1">'KPCo WS C  - Working Capital'!#REF!</definedName>
    <definedName name="Z_C0EA0F9F_7310_4201_82C9_7B8FC8DB9137_.wvu.PrintArea" localSheetId="3" hidden="1">'KPCo WS A  - RB Support '!#REF!</definedName>
    <definedName name="Z_C0EA0F9F_7310_4201_82C9_7B8FC8DB9137_.wvu.PrintArea" localSheetId="5" hidden="1">'KPCo WS C  - Working Capital'!$A$8:$N$64</definedName>
    <definedName name="Z_C0EA0F9F_7310_4201_82C9_7B8FC8DB9137_.wvu.PrintTitles" localSheetId="3" hidden="1">'KPCo WS A  - RB Support '!#REF!</definedName>
    <definedName name="Z_C0EA0F9F_7310_4201_82C9_7B8FC8DB9137_.wvu.PrintTitles" localSheetId="5" hidden="1">'KPCo WS C  - Working Capital'!#REF!</definedName>
    <definedName name="Z_C0EA0F9F_7310_4201_82C9_7B8FC8DB9137_.wvu.Rows" localSheetId="3" hidden="1">'KPCo WS A  - RB Support '!#REF!</definedName>
    <definedName name="Z_C0EA0F9F_7310_4201_82C9_7B8FC8DB9137_.wvu.Rows" localSheetId="5" hidden="1">'KPCo WS C  - Working Capital'!#REF!</definedName>
    <definedName name="Z_C5140E12_E05E_4473_9142_42F37320A417_.wvu.Cols" localSheetId="10" hidden="1">'KPCo WS H Other Taxes'!$N:$N</definedName>
    <definedName name="Z_C5140E12_E05E_4473_9142_42F37320A417_.wvu.Cols" localSheetId="11" hidden="1">'KPCo WS H-1-Detail of Tax Amts'!#REF!</definedName>
    <definedName name="Z_C5140E12_E05E_4473_9142_42F37320A417_.wvu.PrintArea" localSheetId="1" hidden="1">'KPCo Historic TCOS'!$B$1:$L$358</definedName>
    <definedName name="Z_C5140E12_E05E_4473_9142_42F37320A417_.wvu.PrintArea" localSheetId="0" hidden="1">'KPCo Projected TCOS'!$B$1:$L$358</definedName>
    <definedName name="Z_C5140E12_E05E_4473_9142_42F37320A417_.wvu.PrintArea" localSheetId="2" hidden="1">'KPCo True-UP TCOS'!$B$1:$L$358</definedName>
    <definedName name="Z_C5140E12_E05E_4473_9142_42F37320A417_.wvu.PrintArea" localSheetId="3" hidden="1">'KPCo WS A  - RB Support '!$A$1:$G$89</definedName>
    <definedName name="Z_C5140E12_E05E_4473_9142_42F37320A417_.wvu.PrintArea" localSheetId="4" hidden="1">'KPCo WS B ADIT &amp; ITC'!$A$1:$I$54</definedName>
    <definedName name="Z_C5140E12_E05E_4473_9142_42F37320A417_.wvu.PrintArea" localSheetId="5" hidden="1">'KPCo WS C  - Working Capital'!$A$1:$L$64</definedName>
    <definedName name="Z_C5140E12_E05E_4473_9142_42F37320A417_.wvu.PrintArea" localSheetId="6" hidden="1">'KPCo WS D IPP Credits'!$A$1:$E$26</definedName>
    <definedName name="Z_C5140E12_E05E_4473_9142_42F37320A417_.wvu.PrintArea" localSheetId="7" hidden="1">'KPCo WS E Rev Credits'!$A$1:$K$27</definedName>
    <definedName name="Z_C5140E12_E05E_4473_9142_42F37320A417_.wvu.PrintArea" localSheetId="8" hidden="1">'KPCo WS F Misc Exp'!$A$1:$G$63</definedName>
    <definedName name="Z_C5140E12_E05E_4473_9142_42F37320A417_.wvu.PrintArea" localSheetId="9" hidden="1">'KPCo WS G  State Tax Rate'!$A$1:$H$36</definedName>
    <definedName name="Z_C5140E12_E05E_4473_9142_42F37320A417_.wvu.PrintArea" localSheetId="10" hidden="1">'KPCo WS H Other Taxes'!$A$1:$N$62</definedName>
    <definedName name="Z_C5140E12_E05E_4473_9142_42F37320A417_.wvu.PrintArea" localSheetId="11" hidden="1">'KPCo WS H-1-Detail of Tax Amts'!$A$1:$F$70</definedName>
    <definedName name="Z_C5140E12_E05E_4473_9142_42F37320A417_.wvu.PrintArea" localSheetId="12" hidden="1">'KPCo WS I Projected Plant'!$A$1:$J$54</definedName>
    <definedName name="Z_C5140E12_E05E_4473_9142_42F37320A417_.wvu.PrintArea" localSheetId="13" hidden="1">'KPCo WS J PROJECTED RTEP RR'!$A$1:$O$166</definedName>
    <definedName name="Z_C5140E12_E05E_4473_9142_42F37320A417_.wvu.PrintArea" localSheetId="14" hidden="1">'KPCo WS K TRUE-UP RTEP RR'!$A$1:$P$166</definedName>
    <definedName name="Z_C5140E12_E05E_4473_9142_42F37320A417_.wvu.PrintArea" localSheetId="15" hidden="1">'KPCo WS L Cost of Debt'!$B$1:$F$61</definedName>
    <definedName name="Z_C5140E12_E05E_4473_9142_42F37320A417_.wvu.PrintTitles" localSheetId="3" hidden="1">'KPCo WS A  - RB Support '!$2:$9</definedName>
    <definedName name="Z_C5140E12_E05E_4473_9142_42F37320A417_.wvu.PrintTitles" localSheetId="5" hidden="1">'KPCo WS C  - Working Capital'!$1:$7</definedName>
    <definedName name="Z_C5140E12_E05E_4473_9142_42F37320A417_.wvu.PrintTitles" localSheetId="10" hidden="1">'KPCo WS H Other Taxes'!$1:$5</definedName>
    <definedName name="Z_C5140E12_E05E_4473_9142_42F37320A417_.wvu.PrintTitles" localSheetId="11" hidden="1">'KPCo WS H-1-Detail of Tax Amts'!$1:$5</definedName>
    <definedName name="Zip">#REF!</definedName>
  </definedNames>
  <calcPr fullCalcOnLoad="1"/>
</workbook>
</file>

<file path=xl/sharedStrings.xml><?xml version="1.0" encoding="utf-8"?>
<sst xmlns="http://schemas.openxmlformats.org/spreadsheetml/2006/main" count="2141" uniqueCount="932">
  <si>
    <t>Regulatory Commission Exp</t>
  </si>
  <si>
    <t>Regulatory Commission Exp-Adm</t>
  </si>
  <si>
    <t>Regulatory Commission Exp-Case</t>
  </si>
  <si>
    <t>9301002</t>
  </si>
  <si>
    <t>Radio Station Advertising Time</t>
  </si>
  <si>
    <t>Other Adjustments</t>
  </si>
  <si>
    <t>Production</t>
  </si>
  <si>
    <t xml:space="preserve">           Acct. 928 - Transmission Specific</t>
  </si>
  <si>
    <t xml:space="preserve">the percentage of federal income tax deductible for state income taxes.  See Worksheet G for the development of the Company's composite SIT. </t>
  </si>
  <si>
    <t>A utility that elected to utilize amortization of tax credits against taxable income, rather than book tax credits to Account No. 255 and reduce rate base,</t>
  </si>
  <si>
    <t>must reduce its income tax expense by the amount of the Amortized Investment Tax Credit (Form 1, 266.8.f)</t>
  </si>
  <si>
    <t>Remaining Unamortized Balance</t>
  </si>
  <si>
    <t>Amortization Period</t>
  </si>
  <si>
    <t xml:space="preserve">Removes the impact of state regulatory deferrals or their amortization from O&amp;M expense. </t>
  </si>
  <si>
    <t>the percentage of federal income tax deductible for state income taxes.  See Worksheet G for the development of the Company's composite SIT.</t>
  </si>
  <si>
    <t>A utility that elected to utilize amortization of tax credits against taxable income, rather than book tax credits to Account No. 255 and reduce rate base, must reduce its income tax</t>
  </si>
  <si>
    <t>expense by the amount of the Amortized Investment Tax Credit (Form 1, 266.8.f)</t>
  </si>
  <si>
    <t>Regulatory Assets and Liabilities Approved for Recovery In Ratebase</t>
  </si>
  <si>
    <t xml:space="preserve"> Worksheet E Supporting Revenue Credits</t>
  </si>
  <si>
    <t xml:space="preserve"> Worksheet H Supporting Taxes Other than Income</t>
  </si>
  <si>
    <t>LT Advances from Assoc. Companies  (112.20.c&amp;d)</t>
  </si>
  <si>
    <t xml:space="preserve"> Worksheet N - Gains (Losses) on Sales of Plant Held For Future Use</t>
  </si>
  <si>
    <t xml:space="preserve">           Acct 930.1 - Only safety related ads -Direct</t>
  </si>
  <si>
    <t xml:space="preserve">           Acct 930.2 - Misc Gen. Exp. - Trans</t>
  </si>
  <si>
    <t>Development of Common Stock:</t>
  </si>
  <si>
    <t xml:space="preserve">Proprietary Capital </t>
  </si>
  <si>
    <t>Common Stock</t>
  </si>
  <si>
    <t>The total-company balances shown for Accounts 281, 282, 283, 190 only reflect ADIT that relates to utility operations. The balance of Account 255 is reduced by prior flow</t>
  </si>
  <si>
    <t>N</t>
  </si>
  <si>
    <t xml:space="preserve">  Customer Related Expense</t>
  </si>
  <si>
    <t xml:space="preserve">  Regional Marketing Expenses</t>
  </si>
  <si>
    <t>TOTAL O&amp;M EXPENSES</t>
  </si>
  <si>
    <t xml:space="preserve">TOTAL REVENUE REQUIREMENT </t>
  </si>
  <si>
    <t xml:space="preserve">  Annual Rate</t>
  </si>
  <si>
    <t xml:space="preserve">  Monthly Rate</t>
  </si>
  <si>
    <t xml:space="preserve">   Project ROE Incentive Adder</t>
  </si>
  <si>
    <t>Weighted cost</t>
  </si>
  <si>
    <t>Rev Require</t>
  </si>
  <si>
    <t xml:space="preserve"> W Incentives</t>
  </si>
  <si>
    <t>Incentive Amounts</t>
  </si>
  <si>
    <t>Long Term Debt</t>
  </si>
  <si>
    <t>Preferred Stock</t>
  </si>
  <si>
    <t>Actual after True-up</t>
  </si>
  <si>
    <t>R =</t>
  </si>
  <si>
    <t>The company will not include the ADIT portion of deferred hedge gains and losses in rate base.</t>
  </si>
  <si>
    <t>PROJECTED YEAR</t>
  </si>
  <si>
    <t xml:space="preserve">   Return (Rate Base  x  R)</t>
  </si>
  <si>
    <t xml:space="preserve">   Return   (from B. above)</t>
  </si>
  <si>
    <t xml:space="preserve">   Income Tax Calculation  (Return  x  CIT)</t>
  </si>
  <si>
    <t xml:space="preserve">   Income Taxes</t>
  </si>
  <si>
    <t xml:space="preserve">   Income Taxes  (from I.C. above)</t>
  </si>
  <si>
    <t>Calculation of Composite Depreciation Rate</t>
  </si>
  <si>
    <t>Composite Depreciation Rate</t>
  </si>
  <si>
    <t>Depreciable Life for Composite Depreciation Rate</t>
  </si>
  <si>
    <t>Round to nearest whole year</t>
  </si>
  <si>
    <t xml:space="preserve">   (e.g. ER05-925-000)</t>
  </si>
  <si>
    <t>Investment</t>
  </si>
  <si>
    <t>Current Year</t>
  </si>
  <si>
    <t>TRUE UP OF PROJECT REVENUE REQUIREMENT FOR PRIOR YEAR:</t>
  </si>
  <si>
    <t>Service Year (yyyy)</t>
  </si>
  <si>
    <t>ROE increase accepted by FERC (Basis Points)</t>
  </si>
  <si>
    <t>Service Month (1-12)</t>
  </si>
  <si>
    <t>FCR w/o incentives, less depreciation</t>
  </si>
  <si>
    <t>Useful life</t>
  </si>
  <si>
    <t>FCR w/incentives approved for these facilities, less dep.</t>
  </si>
  <si>
    <t>CIAC (Yes or No)</t>
  </si>
  <si>
    <t>No</t>
  </si>
  <si>
    <t>Annual Depreciation Expense</t>
  </si>
  <si>
    <t>Beginning</t>
  </si>
  <si>
    <t>Depreciation</t>
  </si>
  <si>
    <t>Ending</t>
  </si>
  <si>
    <t>True-up of Incentive</t>
  </si>
  <si>
    <t xml:space="preserve">w/o Incentives </t>
  </si>
  <si>
    <t>Project Totals</t>
  </si>
  <si>
    <t xml:space="preserve">should be incremented by the amount of the incentive revenue calculated for that year on this project. </t>
  </si>
  <si>
    <t>Determine the Revenue Requirement, and Additional Revenue Requirement for facilities receiving incentives.</t>
  </si>
  <si>
    <t>A. Base Plan Facilities</t>
  </si>
  <si>
    <t>Facilities receiving incentives accepted by FERC in Docket No.</t>
  </si>
  <si>
    <t>Project Description:</t>
  </si>
  <si>
    <t>Details</t>
  </si>
  <si>
    <t>Incentive Rev.</t>
  </si>
  <si>
    <t>Current Projected Year ARR</t>
  </si>
  <si>
    <t>Current Projected Year ARR w/ Incentive</t>
  </si>
  <si>
    <t>w/o Incentives</t>
  </si>
  <si>
    <r>
      <t xml:space="preserve">   Return   (from </t>
    </r>
    <r>
      <rPr>
        <sz val="10"/>
        <rFont val="MS Serif"/>
        <family val="1"/>
      </rPr>
      <t>I</t>
    </r>
    <r>
      <rPr>
        <sz val="10"/>
        <rFont val="Arial"/>
        <family val="2"/>
      </rPr>
      <t>.B. above)</t>
    </r>
  </si>
  <si>
    <r>
      <t xml:space="preserve">Requirement </t>
    </r>
    <r>
      <rPr>
        <b/>
        <sz val="10"/>
        <color indexed="10"/>
        <rFont val="Arial"/>
        <family val="2"/>
      </rPr>
      <t>##</t>
    </r>
  </si>
  <si>
    <r>
      <t>with Incentives</t>
    </r>
    <r>
      <rPr>
        <b/>
        <sz val="10"/>
        <color indexed="10"/>
        <rFont val="Arial"/>
        <family val="2"/>
      </rPr>
      <t xml:space="preserve"> **</t>
    </r>
  </si>
  <si>
    <r>
      <t xml:space="preserve">## </t>
    </r>
    <r>
      <rPr>
        <b/>
        <sz val="10"/>
        <color indexed="8"/>
        <rFont val="Arial"/>
        <family val="2"/>
      </rPr>
      <t>This is the calculation of  additional incentive revenue on projects deemed by the FERC to be eligible for an incentive return.  This</t>
    </r>
  </si>
  <si>
    <t>TOTAL DEPRECIATION AND AMORTIZATI0N</t>
  </si>
  <si>
    <t xml:space="preserve">   ITC Adjustment  </t>
  </si>
  <si>
    <t>(Note D)</t>
  </si>
  <si>
    <t>O</t>
  </si>
  <si>
    <t xml:space="preserve">  Prepayments (Account 165) - Transmission Only</t>
  </si>
  <si>
    <t>Account</t>
  </si>
  <si>
    <t>Gross Receipts Tax</t>
  </si>
  <si>
    <t>Federal Excise Tax</t>
  </si>
  <si>
    <t>Property</t>
  </si>
  <si>
    <t>Non-Allocable</t>
  </si>
  <si>
    <t xml:space="preserve"> Total Taxes by Allocable Basis</t>
  </si>
  <si>
    <t xml:space="preserve">Federal Unemployment Tax </t>
  </si>
  <si>
    <t xml:space="preserve">State Unemployment Insurance </t>
  </si>
  <si>
    <t xml:space="preserve">State Public Service Commission Fees </t>
  </si>
  <si>
    <t xml:space="preserve">State Franchise Taxes </t>
  </si>
  <si>
    <t xml:space="preserve">State Lic/Registration Fee  </t>
  </si>
  <si>
    <t xml:space="preserve">Misc. State and Local Tax </t>
  </si>
  <si>
    <t xml:space="preserve">Sales &amp; Use </t>
  </si>
  <si>
    <t xml:space="preserve">Federal Insurance Contribution (FICA ) </t>
  </si>
  <si>
    <t xml:space="preserve">Miscellaneous Taxes </t>
  </si>
  <si>
    <t>Revenue Taxes</t>
  </si>
  <si>
    <t>Real Estate and Personal Property Taxes</t>
  </si>
  <si>
    <t xml:space="preserve">Payroll Taxes </t>
  </si>
  <si>
    <t xml:space="preserve">(Note A) (Worksheet E) </t>
  </si>
  <si>
    <t>DEFERRED TAX ADJUSTMENTS TO RATE BASE</t>
  </si>
  <si>
    <t>REGULATORY ASSETS</t>
  </si>
  <si>
    <t xml:space="preserve">     Less: Total Account 561</t>
  </si>
  <si>
    <t xml:space="preserve">               Acct. 928, Reg. Com. Exp.</t>
  </si>
  <si>
    <t xml:space="preserve">  Less:    Acct. 924, Property Insurance</t>
  </si>
  <si>
    <t xml:space="preserve">               Acct. 930.2, Misc. Gen. Exp.</t>
  </si>
  <si>
    <t xml:space="preserve">     Less: Regulatory Deferrals &amp; Amortizations</t>
  </si>
  <si>
    <t>Transmsission</t>
  </si>
  <si>
    <t>General</t>
  </si>
  <si>
    <t xml:space="preserve"> Transmission Materials &amp; Supplies</t>
  </si>
  <si>
    <t xml:space="preserve">  A&amp;G Materials &amp; Supplies </t>
  </si>
  <si>
    <t>GP(h)</t>
  </si>
  <si>
    <t>NP(h)</t>
  </si>
  <si>
    <t>INCOME TAXES</t>
  </si>
  <si>
    <t xml:space="preserve">     T=1 - {[(1 - SIT) * (1 - FIT)] / (1 - SIT * FIT * p)} =</t>
  </si>
  <si>
    <t xml:space="preserve">    EIT=(T/(1-T)) * (1-(WCLTD/WACC)) =</t>
  </si>
  <si>
    <t>Amortized Investment Tax Credit (enter negative)</t>
  </si>
  <si>
    <t xml:space="preserve">Income Tax Calculation </t>
  </si>
  <si>
    <t xml:space="preserve">     ITC adjustment</t>
  </si>
  <si>
    <t>(Note R)</t>
  </si>
  <si>
    <t>The currently effective income tax rate,  where FIT is the Federal income tax rate; SIT is the State income tax rate, and p =</t>
  </si>
  <si>
    <t xml:space="preserve">         Inputs Required:</t>
  </si>
  <si>
    <t>FIT =</t>
  </si>
  <si>
    <t>SIT=</t>
  </si>
  <si>
    <t>p =</t>
  </si>
  <si>
    <t xml:space="preserve">  (percent of federal income tax deductible for state purposes)</t>
  </si>
  <si>
    <t>P</t>
  </si>
  <si>
    <t>Q</t>
  </si>
  <si>
    <t>R</t>
  </si>
  <si>
    <t>S</t>
  </si>
  <si>
    <t>NOTE C</t>
  </si>
  <si>
    <t>Distribution Asset Retirement Obligation</t>
  </si>
  <si>
    <t>General Asset Retirement Obligation</t>
  </si>
  <si>
    <t>Total Property Investment Balance</t>
  </si>
  <si>
    <t>General Accumulated Depreciation</t>
  </si>
  <si>
    <t>Distribution ARO Accumulated Depreciation</t>
  </si>
  <si>
    <t>General ARO Accumulated Depreciation</t>
  </si>
  <si>
    <t>Transmission ARO Accumulated Depreciation</t>
  </si>
  <si>
    <t>Production ARO Accumulated Depreciation</t>
  </si>
  <si>
    <t>Accumulated Depreciation &amp; Amortization Balances</t>
  </si>
  <si>
    <t>Intangible Accumulated Amortization</t>
  </si>
  <si>
    <t>Total Accumulated Depreciation or Amortization</t>
  </si>
  <si>
    <t>Generation Step-Up Units</t>
  </si>
  <si>
    <t>GSU Investment Amount</t>
  </si>
  <si>
    <t>GSU Accumulated Depreciation</t>
  </si>
  <si>
    <t>Expenses reported for these A&amp;G accounts will be included in the cost of service only to the extent they are directly assignable to transmission service. Worksheet F allocates</t>
  </si>
  <si>
    <t>Includes only FICA, unemployment, highway, property and other assessments charged in the current year.  Gross receipts, sales &amp; use and taxes related to income are excluded.</t>
  </si>
  <si>
    <t>RETURN ON RATE BASE (Rate Base * WACC)</t>
  </si>
  <si>
    <t xml:space="preserve">Removes the impact of state regulatory deferrals or their amortization from O&amp;M expense. applicable only for state regulatory purposes. </t>
  </si>
  <si>
    <t>&lt;==ROE Adder Cannot Exceed 125 Basis Points</t>
  </si>
  <si>
    <t>RTEP Rev. Req't.</t>
  </si>
  <si>
    <t xml:space="preserve">          TEMPLATE BELOW TO MAINTAIN HISTORY OF PROJECTED ARRS OVER THE </t>
  </si>
  <si>
    <t>RTEP Projected Rev. Req't.From Prior Year WS J</t>
  </si>
  <si>
    <t>HEDGE AMOUNTS BY ISSUANCE (FROM p. 256-257 (i) of the FERC Form 1)</t>
  </si>
  <si>
    <t>P.263.1 ln 28 (i)</t>
  </si>
  <si>
    <t>P.263 ln 32 (i)</t>
  </si>
  <si>
    <t>P.263 ln 38 (i)</t>
  </si>
  <si>
    <t>P.263 ln 39 (i)</t>
  </si>
  <si>
    <t>P.263.1 ln 13 (i)</t>
  </si>
  <si>
    <t>P.263.1 ln 14 (i)</t>
  </si>
  <si>
    <t>P.263.1 ln 35 (i)</t>
  </si>
  <si>
    <t xml:space="preserve"> P.263.1 ln 17 (i)</t>
  </si>
  <si>
    <t>P.263 ln 23 (i)</t>
  </si>
  <si>
    <t>P.263.1 ln 5 (i)</t>
  </si>
  <si>
    <t xml:space="preserve">P.263.1 ln 6 (i) </t>
  </si>
  <si>
    <t>P.263.1 ln 23 (i)</t>
  </si>
  <si>
    <t>P.263.1 ln 15 (i)</t>
  </si>
  <si>
    <t>P.263.1 ln 36 (i)</t>
  </si>
  <si>
    <t>P.263 ln 27 (i)</t>
  </si>
  <si>
    <t>been removed from ratebase. Transmission ADIT allocations are shown on WS B.</t>
  </si>
  <si>
    <t>Note: Regulatory Assets &amp; Liabilities can only be included in ratebase pursuant to a 205 filing with the FERC.</t>
  </si>
  <si>
    <t xml:space="preserve">Less: Account 216.1 </t>
  </si>
  <si>
    <t xml:space="preserve">          TEMPLATE BELOW TO MAINTAIN HISTORY OF TRUED-UP ARRS OVER THE </t>
  </si>
  <si>
    <t xml:space="preserve">         LIFE OF THE PROJECT.</t>
  </si>
  <si>
    <t>RTEP Rev Req't True-up</t>
  </si>
  <si>
    <t>RTEP Projected Rev. Req't.From Prior Year Template</t>
  </si>
  <si>
    <t>RTEP  Rev Req't True-up</t>
  </si>
  <si>
    <t>Less: Account 219</t>
  </si>
  <si>
    <t>Worksheet H-1 Form 1 Source Reference of Company Amounts on WS H</t>
  </si>
  <si>
    <t>Less: Account 216.1</t>
  </si>
  <si>
    <t>Less: Preferred Stock</t>
  </si>
  <si>
    <t>1) Forfeited Discounts.</t>
  </si>
  <si>
    <t>2) Miscellaneous Service Revenues.</t>
  </si>
  <si>
    <t>5) Other electric revenues.</t>
  </si>
  <si>
    <t>6) Revenues for grandfathered PTP contracts included in the load divisor.</t>
  </si>
  <si>
    <t>Not applicable on  this template</t>
  </si>
  <si>
    <t>NET PLANT CARRYING CHARGE w/o intra-AEP charges or credits or ROE incentives (Note B)</t>
  </si>
  <si>
    <t>GSU Net Balance</t>
  </si>
  <si>
    <t>Transmission Plant Held For Future</t>
  </si>
  <si>
    <t xml:space="preserve">Balances @ </t>
  </si>
  <si>
    <t>FF1, page 214, ln 47, Col. (d)</t>
  </si>
  <si>
    <t>N/A</t>
  </si>
  <si>
    <t xml:space="preserve">  Less: Distribution ARO (Enter Negative) </t>
  </si>
  <si>
    <t xml:space="preserve">  Less: General Plant ARO (Enter Negative) </t>
  </si>
  <si>
    <t xml:space="preserve">  Less: Production ARO (Enter Negative) </t>
  </si>
  <si>
    <t xml:space="preserve">  Less: Transmission ARO (Enter Negative) </t>
  </si>
  <si>
    <t>FF1, page 219, lns 20-24, Col. (b)</t>
  </si>
  <si>
    <t>FF1, page 219, ln 25, Col. (b)</t>
  </si>
  <si>
    <r>
      <t xml:space="preserve">Note: Gain or loss on plant held for future </t>
    </r>
    <r>
      <rPr>
        <b/>
        <sz val="10"/>
        <color indexed="10"/>
        <rFont val="Arial"/>
        <family val="2"/>
      </rPr>
      <t>are recorded in accounts 411.6 or 411.7 respectiviely.  Sales</t>
    </r>
    <r>
      <rPr>
        <b/>
        <sz val="10"/>
        <rFont val="Arial"/>
        <family val="2"/>
      </rPr>
      <t xml:space="preserve"> will be funtionalized based on the description of that asset. Sales of transmission assets will be direct assigned; sales of general assets will be functionalized on labor.  Sales of plant held for future use related to generation or distribution will not be included in the formula.</t>
    </r>
  </si>
  <si>
    <t>(Total Company Amount Ties to FFI p.114, Ln 14,(c))</t>
  </si>
  <si>
    <t>Average Balance of Transmission Investment</t>
  </si>
  <si>
    <t>Calculation of Property Placed in Service by Month and the Related Depreciation Expense</t>
  </si>
  <si>
    <t>Month in Service</t>
  </si>
  <si>
    <t>Capitalized Balance</t>
  </si>
  <si>
    <t>Composite Annual Depreciation Rate</t>
  </si>
  <si>
    <t>Annual Depreciation</t>
  </si>
  <si>
    <t xml:space="preserve">Monthly Depreciation </t>
  </si>
  <si>
    <t>No. Months Depreciation</t>
  </si>
  <si>
    <t>First Year Depreciation Expense</t>
  </si>
  <si>
    <t xml:space="preserve">February </t>
  </si>
  <si>
    <t>June</t>
  </si>
  <si>
    <t xml:space="preserve">November </t>
  </si>
  <si>
    <t>Depreciation Expense</t>
  </si>
  <si>
    <t xml:space="preserve">Plant Transferred </t>
  </si>
  <si>
    <t>&lt;== This input area is for original cost plant</t>
  </si>
  <si>
    <t>Total O&amp;M Allocable to Transmission</t>
  </si>
  <si>
    <t xml:space="preserve">AEP East Companies </t>
  </si>
  <si>
    <t>Transmission Cost of Service Formula Rate</t>
  </si>
  <si>
    <t>AEP East Companies</t>
  </si>
  <si>
    <t>Historic Year</t>
  </si>
  <si>
    <t>Projected Year</t>
  </si>
  <si>
    <t xml:space="preserve">ITC Balances Includeable Ratebase </t>
  </si>
  <si>
    <t xml:space="preserve"> O &amp; M EXPENSE SUBTOTAL</t>
  </si>
  <si>
    <t xml:space="preserve">Includes functional wages &amp; salaries billed by AEP Service Corporation  for support of the operating company. </t>
  </si>
  <si>
    <t>The annual and monthly net plant carrying charges on page 1 are used to compute the revenue requirement for RTEP sponsored upgrades or those projects receiving approved incentive-ROE's.</t>
  </si>
  <si>
    <t>321.112.b</t>
  </si>
  <si>
    <t>322.164,171,178.b</t>
  </si>
  <si>
    <t>322.131.b</t>
  </si>
  <si>
    <t>323.185.b</t>
  </si>
  <si>
    <t>336.7.f</t>
  </si>
  <si>
    <t>336.10.f</t>
  </si>
  <si>
    <t>336.1.f</t>
  </si>
  <si>
    <t>(Note N)</t>
  </si>
  <si>
    <t>336.8.f</t>
  </si>
  <si>
    <t>336.2-6.f</t>
  </si>
  <si>
    <t xml:space="preserve"> (Note O)</t>
  </si>
  <si>
    <t xml:space="preserve">  Less transmission plant excluded from PJM Tariff  (Note P)</t>
  </si>
  <si>
    <t>T</t>
  </si>
  <si>
    <t>(Note S)</t>
  </si>
  <si>
    <t xml:space="preserve">       and FIT, SIT &amp; p are as given in Note O.</t>
  </si>
  <si>
    <t>354.23.b</t>
  </si>
  <si>
    <t>354.24,25,26.b</t>
  </si>
  <si>
    <t>354.20.b</t>
  </si>
  <si>
    <t>REVENUE REQUIREMENT FOR SCHEDULE 1A CHARGES</t>
  </si>
  <si>
    <t>Total 561 Internally Developed Costs</t>
  </si>
  <si>
    <t xml:space="preserve">Total Load Dispatch &amp; Scheduling (Account 561) </t>
  </si>
  <si>
    <t>( A )</t>
  </si>
  <si>
    <t>( B )</t>
  </si>
  <si>
    <t>( D )</t>
  </si>
  <si>
    <t xml:space="preserve">( E ) </t>
  </si>
  <si>
    <t>( F )</t>
  </si>
  <si>
    <t>( G )</t>
  </si>
  <si>
    <t>( H )</t>
  </si>
  <si>
    <t>( I )</t>
  </si>
  <si>
    <t>FF1, p. 227, ln 8, Col. (c) &amp; (b)</t>
  </si>
  <si>
    <t>FF1, p. 227, ln 11, Col. (c) &amp; (b)</t>
  </si>
  <si>
    <t>FF1, p. 227, ln 16, Col. (c) &amp; (b)</t>
  </si>
  <si>
    <t>Distribution</t>
  </si>
  <si>
    <t>State Business &amp; Occupation Tax</t>
  </si>
  <si>
    <t>Production Taxes</t>
  </si>
  <si>
    <t>State Severance Taxes</t>
  </si>
  <si>
    <t xml:space="preserve">         Settlement Approved PBOP Recovery</t>
  </si>
  <si>
    <t xml:space="preserve">     Less: State Regulatory Deferrals &amp; Amortizations</t>
  </si>
  <si>
    <t>FF1, page 205 Col.(g) &amp; pg. 204 Col. (b), ln 46</t>
  </si>
  <si>
    <t>FF1, page 207 Col.(g) &amp; pg. 206 Col. (b), ln 58</t>
  </si>
  <si>
    <t>FF1, page 207 Col.(g) &amp; pg. 206 Col. (b), ln 57</t>
  </si>
  <si>
    <t>During the period ended December 31, 2011 the equity cap is in effect. During this period, a change in the cap percentage must be approved via a 205 filing with the FERC.</t>
  </si>
  <si>
    <t>FF1, page 207 Col.(g) &amp; pg. 206 Col. (b), ln 75</t>
  </si>
  <si>
    <t>FF1, page 207 Col.(g) &amp; pg. 206 Col. (b), ln 74</t>
  </si>
  <si>
    <t>FF1, page 207 Col.(g) &amp; pg. 206 Col. (b), ln 99</t>
  </si>
  <si>
    <t>FF1, page 207 Col.(g) &amp; pg. 206 Col. (b), ln 98</t>
  </si>
  <si>
    <t>FF1, page 205 Col.(g) &amp; pg. 204 Col. (b), ln 5</t>
  </si>
  <si>
    <t>FF1, page 205&amp;204, Col.(g)&amp;(b), lns 15,24,34,44</t>
  </si>
  <si>
    <t xml:space="preserve">   Effective State Tax Rate</t>
  </si>
  <si>
    <t>FF1, p. 274 - 275, ln 5, Col. (k)</t>
  </si>
  <si>
    <t>FF1.p. 117.65.c</t>
  </si>
  <si>
    <t>Issuance Discount, Premium, &amp; Expenses:</t>
  </si>
  <si>
    <t>FF1.p. 117.63.c</t>
  </si>
  <si>
    <t>FF1.p. 117.64.c</t>
  </si>
  <si>
    <t>FF1.p. 117.66.c</t>
  </si>
  <si>
    <t>Long Term Debt (FF1.p. 256-257.h)</t>
  </si>
  <si>
    <t>Preferred Stock (FF1.p. 250-251)</t>
  </si>
  <si>
    <t>This note only applies to Indiana Michigan Power Company.</t>
  </si>
  <si>
    <t>APCo_Proj_Allocators</t>
  </si>
  <si>
    <t>APCo_Hist_Allocators</t>
  </si>
  <si>
    <t>APCo_TU_Allocators</t>
  </si>
  <si>
    <t>Current Projected Year Incentive ARR</t>
  </si>
  <si>
    <t>SUMMARY OF PROJECTED ANNUAL RTEP  REVENUE REQUIREMENTS</t>
  </si>
  <si>
    <t>TRUE-UP YEAR</t>
  </si>
  <si>
    <t>As Projected in Prior Year WS J</t>
  </si>
  <si>
    <t>SUMMARY OF TRUED-UP ANNUAL REVENUE REQUIREMENTS FOR RTEPPROJECTS</t>
  </si>
  <si>
    <t>Prior Yr Projected</t>
  </si>
  <si>
    <t>Prior Yr True-Up</t>
  </si>
  <si>
    <t>List of Major Projects Expected to be In-Service in 2010</t>
  </si>
  <si>
    <t>True-Up Adjustment</t>
  </si>
  <si>
    <t xml:space="preserve">Average </t>
  </si>
  <si>
    <t>CUMULATIVE HISTORY OF PROJECTED ANNUAL REVENUE REQUIREMENTS:</t>
  </si>
  <si>
    <t>Amort of Debt Premimums (Enter Negative)</t>
  </si>
  <si>
    <t>Year End Total Agrees to FF1 p.112, Ln 3, col (c ) &amp; (d)</t>
  </si>
  <si>
    <t>Relative Valuation Factor</t>
  </si>
  <si>
    <t>Functional Property Tax Allocation</t>
  </si>
  <si>
    <t>ADDITIONAL REVENUE REQUIREMENT for projects w/ incentive ROE's (Note B) (Worksheet J)</t>
  </si>
  <si>
    <t>REVENUE REQUIREMENT For All Company Facilities</t>
  </si>
  <si>
    <t xml:space="preserve">   Annual Revenue Requirement, Less TEA Charges, Return and Taxes</t>
  </si>
  <si>
    <t>A.   Determine Annual Revenue Requirement less return and Income Taxes.</t>
  </si>
  <si>
    <t>(Worksheet C, ln 2.(D))</t>
  </si>
  <si>
    <t>(Worksheet C, ln 3.(D))</t>
  </si>
  <si>
    <t>354.22.b</t>
  </si>
  <si>
    <t>165000208</t>
  </si>
  <si>
    <t>Line Number</t>
  </si>
  <si>
    <t>&lt;==ROE Adder Cannot Exceed 100 Basis Points</t>
  </si>
  <si>
    <t>with Incentives **</t>
  </si>
  <si>
    <t xml:space="preserve"> Worksheet J Supporting Calculation of PROJECTED PJM RTEP Project Revenue Requirement Billed to Benefiting Zones</t>
  </si>
  <si>
    <t xml:space="preserve"> Worksheet K Supporting Calculation of TRUE-UP PJM RTEP Project Revenue Requirement Billed to Benefiting Zones</t>
  </si>
  <si>
    <t>&lt;== This input area is for accumulated depreciation that may be associated with capital</t>
  </si>
  <si>
    <t>expenditures.  It  would have an impact if a company had assets transferred from a subsidiary.</t>
  </si>
  <si>
    <t>FF1, p. 266-267, ln 8, Col. (h)</t>
  </si>
  <si>
    <t xml:space="preserve"> Worksheet B Supporting ADIT and ITC Balances</t>
  </si>
  <si>
    <t xml:space="preserve"> Worksheet I Supporting Transmission Plant in Service Additions</t>
  </si>
  <si>
    <t>&lt;== This input area is for additional Depreciation Expense</t>
  </si>
  <si>
    <t>Senior Unsecured Notes - 7.250%</t>
  </si>
  <si>
    <t>Senior Unsecured Notes - 8.030%</t>
  </si>
  <si>
    <t>Senior Unsecured Notes - 8.130%</t>
  </si>
  <si>
    <t>Estimated Cost (000's)</t>
  </si>
  <si>
    <t>Subtotal</t>
  </si>
  <si>
    <r>
      <t xml:space="preserve">** </t>
    </r>
    <r>
      <rPr>
        <sz val="10"/>
        <rFont val="Arial"/>
        <family val="0"/>
      </rPr>
      <t xml:space="preserve"> This is the total amount that needs to be reported to PJM for billing to all regions. </t>
    </r>
  </si>
  <si>
    <t>additional incentive requirement is applicable for the life of this specific project.  Each year the revenue requirement calculated for PJM</t>
  </si>
  <si>
    <t>Issuance</t>
  </si>
  <si>
    <t>Interest Rate</t>
  </si>
  <si>
    <t>Annual Expense</t>
  </si>
  <si>
    <t>Amort of Debt Discount and Expenses</t>
  </si>
  <si>
    <t>Reacquired Debt:</t>
  </si>
  <si>
    <t>Amortization of Loss</t>
  </si>
  <si>
    <t>Amortization of Gain</t>
  </si>
  <si>
    <t>Total Interest on Long Term Debt</t>
  </si>
  <si>
    <t>Preferred Shares Outstanding</t>
  </si>
  <si>
    <t>Dividends on Preferred Stock</t>
  </si>
  <si>
    <t xml:space="preserve">     Plus: Transmission Plant-in-Service Additions (Worksheet I)</t>
  </si>
  <si>
    <t xml:space="preserve">     Plus: Additional Trans Plant on Transferred Assets (Worksheet I)</t>
  </si>
  <si>
    <t xml:space="preserve">     Plus: Additional Accum Deprec on Transferred Assets (Worksheet I)</t>
  </si>
  <si>
    <t xml:space="preserve">     Plus: Additional Projected Deprec on Transferred Assets (Worksheet I)</t>
  </si>
  <si>
    <t xml:space="preserve">     Plus: TEA  Settlement in Account 565</t>
  </si>
  <si>
    <t>Revenue credits include:</t>
  </si>
  <si>
    <t>3) Rental revenues earned on assets included in the rate base.</t>
  </si>
  <si>
    <t>4) Revenues for associated business projects provided by employees whose labor and overhead costs are in the transmission cost of service.</t>
  </si>
  <si>
    <t>(Note I) (Worksheet F, ln 4.C)</t>
  </si>
  <si>
    <t>323.197.b (Note J)</t>
  </si>
  <si>
    <t xml:space="preserve">these expense items. Acct 928 Includes Regulatory Commission expenses itemized in FERC Form-1 at page 351, column H.  FERC Assessment Fees and Annual Charges </t>
  </si>
  <si>
    <t xml:space="preserve">shall not be allocated to transmission.  Only safety-related and educational advertising costs in Account 930.1 are included in the TCOS. Account 930.2 includes the </t>
  </si>
  <si>
    <t>expenses incurred by the transmission function for Associated Business Development revenues given as a credit to the TCOS on Worksheet E.</t>
  </si>
  <si>
    <t>Company Records (Note H)</t>
  </si>
  <si>
    <t xml:space="preserve">     Plus: Transmission Lease Payments To Affiliates in Acct 565 (Company Records) (Note H)</t>
  </si>
  <si>
    <t>See Worksheet E for details.</t>
  </si>
  <si>
    <t>Production Asset Retirement Obligation (ARO)</t>
  </si>
  <si>
    <t xml:space="preserve">Transmission Asset Retirement Obligation </t>
  </si>
  <si>
    <t xml:space="preserve">NOTE:  Functional ARO investment and accumulated depreciation balances shown below are included in the total functional balances shown here. </t>
  </si>
  <si>
    <t xml:space="preserve"> Worksheet F Supporting Allocation of Specific O&amp;M or  A&amp;G Expenses</t>
  </si>
  <si>
    <t xml:space="preserve">               PBOP Expense Billed From AEPSC</t>
  </si>
  <si>
    <t>Financial Hedge Recovery Limit  - Five Basis Points of Total Capital</t>
  </si>
  <si>
    <t>Limit of Recoverable Amount</t>
  </si>
  <si>
    <t>throughs and is completely excluded if the utility chose to utilize amortization of tax credits against FIT expense. An exception to this is pre-1971 ITC balances, which are</t>
  </si>
  <si>
    <t>T =  Transmission</t>
  </si>
  <si>
    <t>G = General</t>
  </si>
  <si>
    <t>(Gain) / Loss</t>
  </si>
  <si>
    <t xml:space="preserve"> Worksheet L Supporting Projected Cost of Debt</t>
  </si>
  <si>
    <t xml:space="preserve">Actual </t>
  </si>
  <si>
    <t>Cap Limit</t>
  </si>
  <si>
    <t>Capital Structure Equity Limit (Note U)</t>
  </si>
  <si>
    <t>U</t>
  </si>
  <si>
    <t>Worksheet C Supporting Working Capital Rate Base Adjustments</t>
  </si>
  <si>
    <t xml:space="preserve"> Worksheet A Supporting Plant Balances</t>
  </si>
  <si>
    <t xml:space="preserve">          Acct. 9260039 PBOP Expense</t>
  </si>
  <si>
    <t>Regulatory O&amp;M Deferrals &amp; Amortizations</t>
  </si>
  <si>
    <t>Note 1: The taxes assessed on each operating company can differ from year to year and between operating companies by both the type of taxes and the states in which they were assessed.  Therefore, for each company, the types and jurisdictions of tax expense recorded on this page could differ from the same page in the same company's prior year template or from this page in other operating companies' current year templates. For each update, this sheet will be revised to ensure that the total activity recorded hereon equals the total reported in account 408.1 on P. 114, Ln 14 of the Ferc Form 1.</t>
  </si>
  <si>
    <t>required to be taken as an offset to rate base. Account 281 is not allocated.  In compliance with FERC Rulemaking RM02-7-000, Asset Retirement Obligation deferrals have</t>
  </si>
  <si>
    <t>Total Regulatory Deferrals Included in Ratebase</t>
  </si>
  <si>
    <t>(Note E)</t>
  </si>
  <si>
    <t>Note 1</t>
  </si>
  <si>
    <t>(FF1 p 112, Ln 16.c)</t>
  </si>
  <si>
    <t>(FF1 p 112, Ln 3.c)</t>
  </si>
  <si>
    <t>(FF1 p 112, Ln 15.c)</t>
  </si>
  <si>
    <t>(I)</t>
  </si>
  <si>
    <t xml:space="preserve">Average of </t>
  </si>
  <si>
    <t>Balances</t>
  </si>
  <si>
    <t xml:space="preserve">Subtotal - Form 1, p 111.57.c  </t>
  </si>
  <si>
    <t>(FF1 p.114, ln 19.c)</t>
  </si>
  <si>
    <t xml:space="preserve">  (State Income Tax Rate or Composite SIT.  Worksheet G))</t>
  </si>
  <si>
    <t>Average</t>
  </si>
  <si>
    <t>The Ohio State Income Tax is being phased-out prorata over a 5 year period from 2005 through 2009.  The taxable portion of income is 0% in 2009.  The phase-out factors can be found in the Ohio Revised Code at  5733.01(G)2(a)(v).  This tax has been replaced with a Commercial Activites Tax that is included in Schedule H and H-1.</t>
  </si>
  <si>
    <t>Average $</t>
  </si>
  <si>
    <t>FF1, page 219, ln 26, Col. (b)</t>
  </si>
  <si>
    <t>FF1, page 200, ln 21, Col. (b)</t>
  </si>
  <si>
    <t>Account 281</t>
  </si>
  <si>
    <t>Account 282</t>
  </si>
  <si>
    <t>Account 283</t>
  </si>
  <si>
    <t xml:space="preserve">Account 190 </t>
  </si>
  <si>
    <t>Account 255</t>
  </si>
  <si>
    <t>FF1, p. 234, ln 8, Col. (c)</t>
  </si>
  <si>
    <t>Transmission Accumulated Depreciation Net of GSU Accumulated Depreciation</t>
  </si>
  <si>
    <t>Subtotal of Transmission Net of GSU</t>
  </si>
  <si>
    <t>Less: GSU Accumulated Depreciation</t>
  </si>
  <si>
    <t>NP(h)=</t>
  </si>
  <si>
    <t>GP(h)=</t>
  </si>
  <si>
    <t>Year End Utility Deferrals</t>
  </si>
  <si>
    <t>Transmission Related Deferrals</t>
  </si>
  <si>
    <t>FF1, p. 272 - 273, ln 8, Col. (k)</t>
  </si>
  <si>
    <t>FF1, p. 276 - 277, ln 9, Col. (k)</t>
  </si>
  <si>
    <t>Less:  ARO Related Deferrals</t>
  </si>
  <si>
    <t>Less: Other Excluded Deferrals</t>
  </si>
  <si>
    <t>Year End ITC Balances</t>
  </si>
  <si>
    <t xml:space="preserve">Less:  Balances Not Qualified for Ratebase </t>
  </si>
  <si>
    <t xml:space="preserve">Plant </t>
  </si>
  <si>
    <t>Related</t>
  </si>
  <si>
    <t>(E)+(F)+(G)</t>
  </si>
  <si>
    <t>1650001</t>
  </si>
  <si>
    <t>Prepaid Insurance</t>
  </si>
  <si>
    <t>Prepaid Taxes</t>
  </si>
  <si>
    <t>1650004</t>
  </si>
  <si>
    <t>Prepaid Interest</t>
  </si>
  <si>
    <t>1650009</t>
  </si>
  <si>
    <t>Prepaid Carry Cost-Factored AR</t>
  </si>
  <si>
    <t>AR Factoring - Retail Only</t>
  </si>
  <si>
    <t>1650010</t>
  </si>
  <si>
    <t>Prepaid Pension Benefits</t>
  </si>
  <si>
    <t>Prefunded Pension Expense</t>
  </si>
  <si>
    <t>1650014</t>
  </si>
  <si>
    <t>FAS 158 Qual Contra Asset</t>
  </si>
  <si>
    <t>Transmission Materials &amp; Supplies</t>
  </si>
  <si>
    <t>General Materials &amp; Supplies</t>
  </si>
  <si>
    <t>Stores Expense (Undistributed)</t>
  </si>
  <si>
    <t xml:space="preserve">  Stores Expense </t>
  </si>
  <si>
    <t>1650016</t>
  </si>
  <si>
    <t>FAS 112 ASSETS</t>
  </si>
  <si>
    <t>Excludable</t>
  </si>
  <si>
    <t>Prepaid PSC Fees</t>
  </si>
  <si>
    <t>Plant Related Insurance Policies</t>
  </si>
  <si>
    <t>SFAS 112 Overfunding Asset</t>
  </si>
  <si>
    <t>Prepayment Balance Summary</t>
  </si>
  <si>
    <t>9302005</t>
  </si>
  <si>
    <t>Nucl Fac Ins - Replce Engy Cst</t>
  </si>
  <si>
    <t>Assoc Business Development Exp</t>
  </si>
  <si>
    <t>CALCULATION OF RECOVERABLE HEDGE GAINS/LOSSES</t>
  </si>
  <si>
    <t>Net Includable Hedge Amount</t>
  </si>
  <si>
    <t xml:space="preserve">Senior Unsecured Notes </t>
  </si>
  <si>
    <t>NOTE:  The balance of fair value hedges on outstanding long term debt are to be excluded from the balance of long term debt included in the formula's capital structure. (Column H of the FF1)</t>
  </si>
  <si>
    <t>Source of Data</t>
  </si>
  <si>
    <t>Rate Base Item &amp; Supporting Balance</t>
  </si>
  <si>
    <t>Plant Held For Future Use</t>
  </si>
  <si>
    <t>( C )</t>
  </si>
  <si>
    <t>General Notes:  a)  References to data from Worksheets are indicated as:  Worksheet X, Line#.Column.X</t>
  </si>
  <si>
    <t>I&amp;M</t>
  </si>
  <si>
    <t>(C )</t>
  </si>
  <si>
    <t>Development of Average Balance of Common Equity</t>
  </si>
  <si>
    <t>Average Balance of Common Equity</t>
  </si>
  <si>
    <t>Development of Cost of  Long Term Debt Based on Average Outstanding Balance</t>
  </si>
  <si>
    <t>Total Average Debt</t>
  </si>
  <si>
    <t>Amort of Debt Discount &amp; Expense (117.63.c)</t>
  </si>
  <si>
    <t>Amort of Loss on Reacquired Debt (117.64.c)</t>
  </si>
  <si>
    <t>Less: Amort of Premium on Debt (117.65.c)</t>
  </si>
  <si>
    <t>Less: Amort of Gain on Reacquired Debt (117.66.c)</t>
  </si>
  <si>
    <t>Total Hedge Amortization</t>
  </si>
  <si>
    <t>Development of Cost of Preferred Stock</t>
  </si>
  <si>
    <t>Proprietary Capital (112.16.c&amp;d)</t>
  </si>
  <si>
    <t>Less Account 216.1 (112.12.c&amp;d)</t>
  </si>
  <si>
    <t xml:space="preserve">Less Account 219.1 (112.15.c&amp;d) </t>
  </si>
  <si>
    <t>Bonds (112.18.c&amp;d)</t>
  </si>
  <si>
    <t>Less: Reacquired Bonds (112.19.c&amp;d)</t>
  </si>
  <si>
    <t>Senior Unsecured Notes (112.21.c&amp;d)</t>
  </si>
  <si>
    <t>Interest on Long Term Debt (256-257.33.i)</t>
  </si>
  <si>
    <t xml:space="preserve"> Revenue Requirement for PJM Schedule 12 Facilities (w/o incentives)  (Worksheet J)</t>
  </si>
  <si>
    <t>(Worksheet A ln 1.C)</t>
  </si>
  <si>
    <t>(Worksheet A ln 2.C)</t>
  </si>
  <si>
    <t xml:space="preserve">     Plus: Transmission Plant-in-Service Additions (Worksheet I, ln 21.D)</t>
  </si>
  <si>
    <t xml:space="preserve">     Plus: Additional Trans Plant on Transferred Assets (Worksheet I, ln 22.D)</t>
  </si>
  <si>
    <t>(Worksheet A ln 5.C)</t>
  </si>
  <si>
    <t>(Worksheet A ln 6.C)</t>
  </si>
  <si>
    <t>(Worksheet A ln 7.C)</t>
  </si>
  <si>
    <t>(Worksheet A ln 8.C)</t>
  </si>
  <si>
    <t>(Worksheet A ln 9.C)</t>
  </si>
  <si>
    <t>(Worksheet A ln 12.C)</t>
  </si>
  <si>
    <t>(Worksheet A ln 13.C)</t>
  </si>
  <si>
    <t>(Worksheet A ln 14.C &amp; 28.C)</t>
  </si>
  <si>
    <t>(Worksheet A ln 15.C)</t>
  </si>
  <si>
    <t xml:space="preserve">     Plus: Transmission Plant-in-Service Additions (Worksheet I, ln 21.I)</t>
  </si>
  <si>
    <t xml:space="preserve">     Plus: Additional Projected Deprec on Transferred Assets (Worksheet I ln. 24.D)</t>
  </si>
  <si>
    <t xml:space="preserve">     Plus: Additional Accum Deprec on Transferred Assets (Worksheet I ln 23.D)</t>
  </si>
  <si>
    <t>(Worksheet A ln 16.C)</t>
  </si>
  <si>
    <t>(Worksheet A ln 17.C)</t>
  </si>
  <si>
    <t>(Worksheet A ln 18.C)</t>
  </si>
  <si>
    <t>(Worksheet A ln 19.C)</t>
  </si>
  <si>
    <t>(Worksheet A ln 20.C)</t>
  </si>
  <si>
    <t xml:space="preserve"> (ln 20 + ln 21 - ln 33 - ln 34)</t>
  </si>
  <si>
    <t>(Worksheet B, ln 2 &amp; ln 5.C)</t>
  </si>
  <si>
    <t>(Worksheet B, ln 7 &amp; ln 10.C)</t>
  </si>
  <si>
    <t>(Worksheet B, ln 12 &amp; ln 15.C)</t>
  </si>
  <si>
    <t>(Worksheet B, ln 17 &amp; ln 20.C)</t>
  </si>
  <si>
    <t>(Worksheet B, ln 24 &amp; ln 25.C)</t>
  </si>
  <si>
    <t>(Worksheet C, ln 4.(D))</t>
  </si>
  <si>
    <t>(Worksheet C, ln 6.G)</t>
  </si>
  <si>
    <t>(Worksheet C, ln 6.F)</t>
  </si>
  <si>
    <t>(Worksheet C, ln 6.E)</t>
  </si>
  <si>
    <t>(Worksheet C, ln 6.D)</t>
  </si>
  <si>
    <t>(Note F) (Worksheet D, ln 7.B)</t>
  </si>
  <si>
    <t>321.80.b</t>
  </si>
  <si>
    <t>322.156.b</t>
  </si>
  <si>
    <t xml:space="preserve">     Plus: Transmission Plant-in-Service Additions (Worksheet I ln 21.I)</t>
  </si>
  <si>
    <t>354.21.b</t>
  </si>
  <si>
    <t>(FF1 p 112, Ln 12.c)</t>
  </si>
  <si>
    <t>(FF1 p 112, Ln 12 .c)</t>
  </si>
  <si>
    <t xml:space="preserve"> Revenue Requirement for PJM Schedule 12 Facilities (w/o incentives)  (Worksheet K)</t>
  </si>
  <si>
    <t>ADDITIONAL REVENUE REQUIREMENT for projects w/ incentive ROE's (Note B) (Worksheet K)</t>
  </si>
  <si>
    <t>(Worksheet A ln 1.E)</t>
  </si>
  <si>
    <t>(Worksheet A ln 2.E)</t>
  </si>
  <si>
    <t>(Worksheet A ln 5.E)</t>
  </si>
  <si>
    <t>(Worksheet A ln 6.E)</t>
  </si>
  <si>
    <t>(Worksheet A ln 7.E)</t>
  </si>
  <si>
    <t>(Worksheet A ln 8.E)</t>
  </si>
  <si>
    <t>(Worksheet A ln 9.E)</t>
  </si>
  <si>
    <t>(Worksheet A ln 12.E)</t>
  </si>
  <si>
    <t>(Worksheet A ln 13.E)</t>
  </si>
  <si>
    <t>(Worksheet A ln 14.E &amp; 28.E)</t>
  </si>
  <si>
    <t>(Worksheet A ln 15.E)</t>
  </si>
  <si>
    <t>(Worksheet A ln 16.E)</t>
  </si>
  <si>
    <t>(Worksheet A ln 17.E)</t>
  </si>
  <si>
    <t>(Worksheet A ln 18.E)</t>
  </si>
  <si>
    <t>(Worksheet A ln 19.E)</t>
  </si>
  <si>
    <t>(Worksheet A ln 20.E)</t>
  </si>
  <si>
    <t>(Worksheet C, ln 2.F)</t>
  </si>
  <si>
    <t>(Worksheet C, ln 3.F)</t>
  </si>
  <si>
    <t>(Worksheet C, ln 8.G)</t>
  </si>
  <si>
    <t>(Worksheet C, ln 8.F)</t>
  </si>
  <si>
    <t xml:space="preserve">(Worksheet C, ln 8.E) </t>
  </si>
  <si>
    <t>(Worksheet C, ln 8.D)</t>
  </si>
  <si>
    <t>(Note F) (Worksheet D, ln 8 (B))</t>
  </si>
  <si>
    <t>Date</t>
  </si>
  <si>
    <t>Property Description</t>
  </si>
  <si>
    <t>Basis</t>
  </si>
  <si>
    <t>Proceeds</t>
  </si>
  <si>
    <t xml:space="preserve">Line </t>
  </si>
  <si>
    <t>Function (T) or (G)</t>
  </si>
  <si>
    <t>Functional Allocator</t>
  </si>
  <si>
    <t xml:space="preserve">(G) </t>
  </si>
  <si>
    <t>Functionalized Proceeds</t>
  </si>
  <si>
    <t>Removes transmission plant (e.g. step-up transformers) included in the development of OATT ancillary service rates and not already removed for reasons indicated in Note P.</t>
  </si>
  <si>
    <t xml:space="preserve">     Less: Account 565</t>
  </si>
  <si>
    <t>ACCUMULATED DEPRECIATION AND AMORTIZATION</t>
  </si>
  <si>
    <t>WACC=</t>
  </si>
  <si>
    <t>TP1</t>
  </si>
  <si>
    <t>TP1=</t>
  </si>
  <si>
    <t>Non-</t>
  </si>
  <si>
    <t xml:space="preserve">IPP CONTRIBUTIONS FOR CONSTRUCTION  </t>
  </si>
  <si>
    <t>Less:  Load Dispatch - Scheduling, System Control and Dispatch Services (321.88.b)</t>
  </si>
  <si>
    <t>Less:  Load Dispatch - Reliability, Planning &amp; Standards Development Services (321.92.b)</t>
  </si>
  <si>
    <t>Plant Investment Balances</t>
  </si>
  <si>
    <t xml:space="preserve">   R   (from A. above)</t>
  </si>
  <si>
    <t>CUMULATIVE HISTORY OF TRUED-UP ANNUAL REVENUE REQUIREMENTS:</t>
  </si>
  <si>
    <t>Actual Expense (Including AEPSC Billed OPEB)</t>
  </si>
  <si>
    <t>TAXES OTHER THAN INCOME</t>
  </si>
  <si>
    <t>TOTAL OTHER TAXES</t>
  </si>
  <si>
    <t>TOTAL INCOME TAXES</t>
  </si>
  <si>
    <t>Item No.</t>
  </si>
  <si>
    <t>Expense</t>
  </si>
  <si>
    <t>Specific</t>
  </si>
  <si>
    <t>Explanation</t>
  </si>
  <si>
    <t>SUPPORTING CALCULATIONS</t>
  </si>
  <si>
    <t>WAGES &amp; SALARY ALLOCATOR (W/S)</t>
  </si>
  <si>
    <t>P.263 ln 19 (i)</t>
  </si>
  <si>
    <t>Transmission related amount</t>
  </si>
  <si>
    <t>W/S=</t>
  </si>
  <si>
    <t>TOTAL WORKING CAPITAL</t>
  </si>
  <si>
    <t>TOTAL NET PLANT IN SERVICE</t>
  </si>
  <si>
    <t>TOTAL ACCUMULATED DEPRECIATION</t>
  </si>
  <si>
    <t>TOTAL GROSS PLANT</t>
  </si>
  <si>
    <t>TO Total</t>
  </si>
  <si>
    <t>GROSS PLANT IN SERVICE</t>
  </si>
  <si>
    <t>NET PLANT IN SERVICE</t>
  </si>
  <si>
    <t>(E)</t>
  </si>
  <si>
    <t>(F)</t>
  </si>
  <si>
    <t>(G)</t>
  </si>
  <si>
    <t>100%</t>
  </si>
  <si>
    <t>YE Balance</t>
  </si>
  <si>
    <t>Non-Transmission</t>
  </si>
  <si>
    <t>Acc. No.</t>
  </si>
  <si>
    <t>(H)</t>
  </si>
  <si>
    <t>TOTAL ADJUSTMENTS</t>
  </si>
  <si>
    <t>WORKING CAPITAL</t>
  </si>
  <si>
    <t>RATE BASE CALCULATION</t>
  </si>
  <si>
    <t>Data Sources</t>
  </si>
  <si>
    <t>323.189.b</t>
  </si>
  <si>
    <t>323.191.b</t>
  </si>
  <si>
    <t>323.192.b</t>
  </si>
  <si>
    <t>Major Zonal Projects</t>
  </si>
  <si>
    <t>PJM Socialized/Beneficiary Allocated Regional Projects</t>
  </si>
  <si>
    <t>INTEREST ON IPP CONTRIBUTION FOR CONST. (Note F) (Worksheet D, ln 2.(B))</t>
  </si>
  <si>
    <t>(Note H) 321.96.b</t>
  </si>
  <si>
    <t>General Plant and Administrative &amp; General expenses, other than in accounts 924, 928, and 930, will be functionalized  based on the Wages &amp; Salaries "W/S" allocator. The allocation basis for accounts 924, 928 and 930 are separately presented in the formula. A change in the allocation method for an account must be approved via a 205 filing with the FERC.</t>
  </si>
  <si>
    <t>This note only applies to the true-up template.</t>
  </si>
  <si>
    <t>Worksheet O - Calculation of Postemployment Benefits Other than Pensions Expenses Allocable to Transmission Service</t>
  </si>
  <si>
    <t>AEP EAST COMPANIES</t>
  </si>
  <si>
    <t>PJM FORMULA RATE</t>
  </si>
  <si>
    <t>WORKSHEET P - TRANSMISSION DEPRECIATION RATES</t>
  </si>
  <si>
    <t>EFFECTIVE AS OF 1/1/2009</t>
  </si>
  <si>
    <t>FOR SINGLE JURISDICTION COMPANIES</t>
  </si>
  <si>
    <t>KENTUCKY  POWER COMPANY</t>
  </si>
  <si>
    <t>PLANT</t>
  </si>
  <si>
    <t>ACCT.</t>
  </si>
  <si>
    <t>RATES</t>
  </si>
  <si>
    <t xml:space="preserve"> TRANSMISSION PLANT</t>
  </si>
  <si>
    <t xml:space="preserve">  Structures &amp; Improvements</t>
  </si>
  <si>
    <t xml:space="preserve">  Station Equipment</t>
  </si>
  <si>
    <t xml:space="preserve">  Towers &amp; Fixtures</t>
  </si>
  <si>
    <t xml:space="preserve">  Poles &amp; Fixtures</t>
  </si>
  <si>
    <t xml:space="preserve">  Overhead Conductors</t>
  </si>
  <si>
    <t xml:space="preserve">  Underground Conduit</t>
  </si>
  <si>
    <t xml:space="preserve">  Underground Conductors</t>
  </si>
  <si>
    <t xml:space="preserve">  Trails &amp; Roads</t>
  </si>
  <si>
    <t>Reference:</t>
  </si>
  <si>
    <t>Note 1:   Rates Approved in Kentucky Public Service Commission Case No. 91-066.</t>
  </si>
  <si>
    <t>General Note</t>
  </si>
  <si>
    <t>165000209</t>
  </si>
  <si>
    <t>Prepaid Sales/Use Taxes</t>
  </si>
  <si>
    <t>Prepaid Insurance - EIS</t>
  </si>
  <si>
    <t>Illinios Income Tax</t>
  </si>
  <si>
    <t>In the Projected &amp; Historic templates, the interest expense on long-term debt is the sum of a full year's  interest expense at the coupon rate for each issuance outstanding as of December 31 of the historic year. The projected expense for variable rate debt will be based on the effective rate at December 31. These conventions ensure that the expense used in the projection will reflect a full year, similar to the actual expense that will appear in the subsequent true-up of the projection, and minimize the impact on the true-up of using a partial year interest expense.   The projection will reflect the actual historic-year expense recorded for issuance expenses, discounts and premiums, and gains or losses on reacquired debt. Eligible hedging gains or losses will be limited to five basis points of the projected capital structure. Details and calculations are shown on Worksheet L.</t>
  </si>
  <si>
    <r>
      <t xml:space="preserve">          Acct. 9260057 PBOP Medicare </t>
    </r>
    <r>
      <rPr>
        <sz val="12"/>
        <color indexed="10"/>
        <rFont val="Arial"/>
        <family val="2"/>
      </rPr>
      <t>Subsidy</t>
    </r>
  </si>
  <si>
    <t>Detail of Account 561 Per FERC Form 1</t>
  </si>
  <si>
    <t>FF1 p 321.84.b</t>
  </si>
  <si>
    <t>561 - Load Dispatching</t>
  </si>
  <si>
    <t>FF1 p 321.85.b</t>
  </si>
  <si>
    <t>561.1 - Load Dispatch - Reliability</t>
  </si>
  <si>
    <t>FF1 p 321.86.b</t>
  </si>
  <si>
    <t>561.2 - Load Dispatch - Monitor &amp; Operate Trans System</t>
  </si>
  <si>
    <t>FF1 p 321.87.b</t>
  </si>
  <si>
    <t>561.3 - Load Dispatch - Trans Service &amp; Scheduling</t>
  </si>
  <si>
    <t>FF1 p 321.88.b</t>
  </si>
  <si>
    <t>561.4 - Scheduling, System Control &amp; Dispatch</t>
  </si>
  <si>
    <t>FF1 p 321.89.b</t>
  </si>
  <si>
    <t>561.5 -  Reliability, Planning and Standards Development</t>
  </si>
  <si>
    <t>FF1 p 321.90.b</t>
  </si>
  <si>
    <t>561.6 - Transmission Service Studies</t>
  </si>
  <si>
    <t>FF1 p 321.91.b</t>
  </si>
  <si>
    <t>561.7 - Generation Interconnection Studies</t>
  </si>
  <si>
    <t>FF1 p 321.92.b</t>
  </si>
  <si>
    <t>561.8 -  Reliability, Planning and Standards Development Services</t>
  </si>
  <si>
    <t>Total of Account 561</t>
  </si>
  <si>
    <t xml:space="preserve">Company Records - Note 1 </t>
  </si>
  <si>
    <t xml:space="preserve">NOTE 1 </t>
  </si>
  <si>
    <t>On this worksheet, "Company Records" refers to AEP's property accounting ledger.</t>
  </si>
  <si>
    <t>NOTE 1</t>
  </si>
  <si>
    <t>On this worksheet, "Company Records" refers to AEP's tax accounting ledger.</t>
  </si>
  <si>
    <t xml:space="preserve">NOTE 2 </t>
  </si>
  <si>
    <t xml:space="preserve">ADIT balances should exclude balances related to hedging activity. </t>
  </si>
  <si>
    <t>Company Records - Note 1</t>
  </si>
  <si>
    <t>Interest Accrual (Company Records - Note 1)</t>
  </si>
  <si>
    <t>Revenue Credits to Generators (Company Records - Note 1)</t>
  </si>
  <si>
    <t>Accounting Adjustment  (Company Records - Note 1)</t>
  </si>
  <si>
    <r>
      <t xml:space="preserve">Account 450, Forfeited Discounts  </t>
    </r>
    <r>
      <rPr>
        <b/>
        <sz val="10"/>
        <color indexed="10"/>
        <rFont val="Arial"/>
        <family val="2"/>
      </rPr>
      <t xml:space="preserve">(FF1 p.300.16.(b); Company Records - Note 1) </t>
    </r>
  </si>
  <si>
    <r>
      <t xml:space="preserve">Account 451,Miscellaneous Service Revenues  </t>
    </r>
    <r>
      <rPr>
        <b/>
        <sz val="10"/>
        <color indexed="10"/>
        <rFont val="Arial"/>
        <family val="2"/>
      </rPr>
      <t xml:space="preserve">(FF1 p.300.17.(b); Company Records - Note 1) </t>
    </r>
  </si>
  <si>
    <r>
      <t>Account 454, Rent from Electric Property</t>
    </r>
    <r>
      <rPr>
        <b/>
        <sz val="10"/>
        <color indexed="10"/>
        <rFont val="Arial"/>
        <family val="2"/>
      </rPr>
      <t xml:space="preserve"> (FF1 p.300.19.(b); Company Records - Note 1)</t>
    </r>
    <r>
      <rPr>
        <b/>
        <sz val="10"/>
        <rFont val="Arial"/>
        <family val="2"/>
      </rPr>
      <t xml:space="preserve"> </t>
    </r>
  </si>
  <si>
    <r>
      <t xml:space="preserve">Account 4560015, Associated Business Development </t>
    </r>
    <r>
      <rPr>
        <b/>
        <sz val="10"/>
        <color indexed="10"/>
        <rFont val="Arial"/>
        <family val="2"/>
      </rPr>
      <t>- (Company Records - Note 1)</t>
    </r>
  </si>
  <si>
    <r>
      <t>Account 456 - Other Electric Revenues</t>
    </r>
    <r>
      <rPr>
        <b/>
        <sz val="10"/>
        <color indexed="10"/>
        <rFont val="Arial"/>
        <family val="2"/>
      </rPr>
      <t xml:space="preserve"> - (Company Records - Note 1)</t>
    </r>
  </si>
  <si>
    <t>Subtotal - Other Operating Revenues (Company Total equals (FF1 p. 300.26.(b))</t>
  </si>
  <si>
    <r>
      <t>Accounts  4470004 &amp; 5, Revenues from Grandfathered Transmission Contracts</t>
    </r>
    <r>
      <rPr>
        <b/>
        <sz val="10"/>
        <color indexed="10"/>
        <rFont val="Arial"/>
        <family val="2"/>
      </rPr>
      <t xml:space="preserve"> - (Company Records - Note 1)</t>
    </r>
  </si>
  <si>
    <r>
      <t xml:space="preserve">Phase-out Factor </t>
    </r>
    <r>
      <rPr>
        <sz val="12"/>
        <color indexed="10"/>
        <rFont val="Arial"/>
        <family val="2"/>
      </rPr>
      <t>Note 1</t>
    </r>
  </si>
  <si>
    <r>
      <t xml:space="preserve">Apportionment Factor </t>
    </r>
    <r>
      <rPr>
        <sz val="12"/>
        <color indexed="10"/>
        <rFont val="Arial"/>
        <family val="2"/>
      </rPr>
      <t>- Note 2</t>
    </r>
  </si>
  <si>
    <t>Note 2</t>
  </si>
  <si>
    <t>Apportionment Factors are determined as part of the Company's annual tax return for that jurisdiction.</t>
  </si>
  <si>
    <t>FERC FORM 1</t>
  </si>
  <si>
    <t>Tie-Back</t>
  </si>
  <si>
    <t>FERC FORM 1 Reference</t>
  </si>
  <si>
    <t>P.263.1 ln 27 (i)</t>
  </si>
  <si>
    <t>P.263 ln 28 (i)</t>
  </si>
  <si>
    <t>P.263 ln 30 (i)</t>
  </si>
  <si>
    <t>P.263 ln 31 (i)</t>
  </si>
  <si>
    <t>P.263 ln 33 (i)</t>
  </si>
  <si>
    <t>P.263 ln 35 (i)</t>
  </si>
  <si>
    <t>P.263 ln 36 (i)</t>
  </si>
  <si>
    <t>P.263 ln 37 (i)</t>
  </si>
  <si>
    <t>P.263.1 ln 11 (i)</t>
  </si>
  <si>
    <t>P.263.1 ln 12 (i)</t>
  </si>
  <si>
    <t>P.263 ln 4 (i)</t>
  </si>
  <si>
    <t>P.263 ln 5 (i)</t>
  </si>
  <si>
    <t>P.263 ln 21 (i)</t>
  </si>
  <si>
    <t>P.263 ln 24 (i)</t>
  </si>
  <si>
    <t>P.263 ln 26 (i)</t>
  </si>
  <si>
    <t>P.263 ln 7 (i)</t>
  </si>
  <si>
    <t xml:space="preserve">NOTE 1: The detail of each total company number and its source in the FERC Form 1 is shown on WS H-1. </t>
  </si>
  <si>
    <t>Interest expense for the true-up WACC is based on actual expenses for the true-up year.  The amount of eligible hedging gains or losses included in total interest expense is limited to five basis points of the true-up capital structure. Details and calculations of the true-up weighted average cost of capital are shown on Worksheet M. Eligible Hedging Gains and Losses are defined in the Formula Protocols in the tariff, and on Worksheet M.</t>
  </si>
  <si>
    <t>Installment Purchase Contracts (FF1.p. 256-257.h, a)</t>
  </si>
  <si>
    <r>
      <rPr>
        <b/>
        <u val="single"/>
        <sz val="10"/>
        <rFont val="Arial"/>
        <family val="2"/>
      </rPr>
      <t xml:space="preserve">Principle </t>
    </r>
    <r>
      <rPr>
        <b/>
        <u val="single"/>
        <sz val="10"/>
        <color indexed="10"/>
        <rFont val="Arial"/>
        <family val="2"/>
      </rPr>
      <t>Outstanding</t>
    </r>
  </si>
  <si>
    <t>FERC</t>
  </si>
  <si>
    <r>
      <t xml:space="preserve">      </t>
    </r>
    <r>
      <rPr>
        <sz val="12"/>
        <rFont val="Arial"/>
        <family val="2"/>
      </rPr>
      <t xml:space="preserve">    Acct. 9260057 PBOP Medicare </t>
    </r>
    <r>
      <rPr>
        <sz val="12"/>
        <color indexed="10"/>
        <rFont val="Arial"/>
        <family val="2"/>
      </rPr>
      <t>Subsidy</t>
    </r>
  </si>
  <si>
    <t>EXPENSE, TAXES, RETURN &amp; REVENUE</t>
  </si>
  <si>
    <t>REQUIREMENTS  CALCULATION</t>
  </si>
  <si>
    <t>OPERATION &amp; MAINTENANCE EXPENSE</t>
  </si>
  <si>
    <r>
      <t xml:space="preserve"> Calculation of </t>
    </r>
    <r>
      <rPr>
        <b/>
        <sz val="14"/>
        <color indexed="10"/>
        <rFont val="Arial"/>
        <family val="2"/>
      </rPr>
      <t xml:space="preserve">Projected </t>
    </r>
    <r>
      <rPr>
        <b/>
        <sz val="14"/>
        <rFont val="Arial"/>
        <family val="2"/>
      </rPr>
      <t>Interest Expense Based on Outstanding Debt at Year End</t>
    </r>
  </si>
  <si>
    <t>(See Note S on Projected Template)</t>
  </si>
  <si>
    <t>Auction Fees</t>
  </si>
  <si>
    <t>FF1.p. 256 &amp; 257.Lines Described as Fees</t>
  </si>
  <si>
    <t xml:space="preserve">  Administrative and General</t>
  </si>
  <si>
    <t xml:space="preserve">  Prepayments (Account 165) - Unallocable</t>
  </si>
  <si>
    <t>Number</t>
  </si>
  <si>
    <t>Michigan Single Business Tax</t>
  </si>
  <si>
    <t xml:space="preserve">               Acct. 930.1, Gen. Advert. Exp.</t>
  </si>
  <si>
    <t xml:space="preserve">     Balance of A &amp; G</t>
  </si>
  <si>
    <t xml:space="preserve">     A &amp; G Subtotal</t>
  </si>
  <si>
    <t>TOTAL O &amp; M EXPENSE</t>
  </si>
  <si>
    <t>REVENUE REQUIREMENT (w/o incentives)</t>
  </si>
  <si>
    <t>(See "General Notes")</t>
  </si>
  <si>
    <t>DEPRECIATION AND AMORTIZATION EXPENSE</t>
  </si>
  <si>
    <t xml:space="preserve"> </t>
  </si>
  <si>
    <t>Transmission</t>
  </si>
  <si>
    <t>ln</t>
  </si>
  <si>
    <t>No.</t>
  </si>
  <si>
    <t>Total</t>
  </si>
  <si>
    <t>Allocator</t>
  </si>
  <si>
    <t>TP</t>
  </si>
  <si>
    <t>(1)</t>
  </si>
  <si>
    <t>(2)</t>
  </si>
  <si>
    <t>(3)</t>
  </si>
  <si>
    <t>(4)</t>
  </si>
  <si>
    <t>(5)</t>
  </si>
  <si>
    <t xml:space="preserve">  Production</t>
  </si>
  <si>
    <t>NA</t>
  </si>
  <si>
    <t xml:space="preserve">  Transmission</t>
  </si>
  <si>
    <t>DA</t>
  </si>
  <si>
    <t xml:space="preserve">  Distribution</t>
  </si>
  <si>
    <t xml:space="preserve">  General Plant   </t>
  </si>
  <si>
    <t>W/S</t>
  </si>
  <si>
    <t xml:space="preserve">  Intangible Plant</t>
  </si>
  <si>
    <t xml:space="preserve">  Account No. 255 (enter negative)</t>
  </si>
  <si>
    <t xml:space="preserve">  Transmission </t>
  </si>
  <si>
    <t xml:space="preserve">  General </t>
  </si>
  <si>
    <t xml:space="preserve">  Intangible</t>
  </si>
  <si>
    <t xml:space="preserve">  Labor Related</t>
  </si>
  <si>
    <t xml:space="preserve">          Payroll</t>
  </si>
  <si>
    <t xml:space="preserve">  Plant Related</t>
  </si>
  <si>
    <t xml:space="preserve">         Property</t>
  </si>
  <si>
    <t xml:space="preserve">         Other</t>
  </si>
  <si>
    <t>TP=</t>
  </si>
  <si>
    <t>$</t>
  </si>
  <si>
    <t>Cost</t>
  </si>
  <si>
    <t>%</t>
  </si>
  <si>
    <t>Weighted</t>
  </si>
  <si>
    <t>A</t>
  </si>
  <si>
    <t>B</t>
  </si>
  <si>
    <t>C</t>
  </si>
  <si>
    <t>D</t>
  </si>
  <si>
    <t>E</t>
  </si>
  <si>
    <t>F</t>
  </si>
  <si>
    <t>G</t>
  </si>
  <si>
    <t>H</t>
  </si>
  <si>
    <t>I</t>
  </si>
  <si>
    <t>J</t>
  </si>
  <si>
    <t>K</t>
  </si>
  <si>
    <t>L</t>
  </si>
  <si>
    <t>M</t>
  </si>
  <si>
    <t>Labor</t>
  </si>
  <si>
    <t>(A)</t>
  </si>
  <si>
    <t>(B)</t>
  </si>
  <si>
    <t>(C)</t>
  </si>
  <si>
    <t>(D)</t>
  </si>
  <si>
    <t xml:space="preserve">Total transmission plant   </t>
  </si>
  <si>
    <t>Description</t>
  </si>
  <si>
    <t xml:space="preserve">REVENUE CREDITS </t>
  </si>
  <si>
    <t>Line</t>
  </si>
  <si>
    <t>Amount</t>
  </si>
  <si>
    <t>I.</t>
  </si>
  <si>
    <t>II.</t>
  </si>
  <si>
    <t>III.</t>
  </si>
  <si>
    <t>IV.</t>
  </si>
  <si>
    <t>Notes</t>
  </si>
  <si>
    <t>Letter</t>
  </si>
  <si>
    <t>Year</t>
  </si>
  <si>
    <t>Balance</t>
  </si>
  <si>
    <t>Total Included</t>
  </si>
  <si>
    <t>in Ratebase</t>
  </si>
  <si>
    <t>In order to calculate the proper monthly RTEP billing amount, PJM requires a 12 month revenue requirement for each RTEP project.  As a result, notwithstanding the fact that the project was in service for a partial year, the project revenue requirement in the year that the project goes into service has been annualized (shown at the full-year level) so that PJM will collect the correct monthly billings.</t>
  </si>
  <si>
    <t>Other</t>
  </si>
  <si>
    <t>9301001</t>
  </si>
  <si>
    <t>Newspaper Advertising Space</t>
  </si>
  <si>
    <t>9301008</t>
  </si>
  <si>
    <t>Direct Mail and Handouts</t>
  </si>
  <si>
    <t>9301009</t>
  </si>
  <si>
    <t>Fairs, Shows, and Exhibits</t>
  </si>
  <si>
    <t>Subtotal - Form 1, p 111.57.d</t>
  </si>
  <si>
    <t>9301010</t>
  </si>
  <si>
    <t>Publicity</t>
  </si>
  <si>
    <t>9301014</t>
  </si>
  <si>
    <t>Video Communications</t>
  </si>
  <si>
    <t>9301015</t>
  </si>
  <si>
    <t>Other Corporate Comm Exp</t>
  </si>
  <si>
    <t>9280000</t>
  </si>
  <si>
    <t>9280002</t>
  </si>
  <si>
    <t>9301011</t>
  </si>
  <si>
    <t>Dedications, Tours, &amp; Openings</t>
  </si>
  <si>
    <t>9301013</t>
  </si>
  <si>
    <t>Movies Slide Films &amp; Speeches</t>
  </si>
  <si>
    <t xml:space="preserve">Total  </t>
  </si>
  <si>
    <t>Company</t>
  </si>
  <si>
    <t>Capital Structure Weighting</t>
  </si>
  <si>
    <t>Direct Payroll</t>
  </si>
  <si>
    <t>January</t>
  </si>
  <si>
    <t>March</t>
  </si>
  <si>
    <t>April</t>
  </si>
  <si>
    <t>May</t>
  </si>
  <si>
    <t>July</t>
  </si>
  <si>
    <t>August</t>
  </si>
  <si>
    <t xml:space="preserve">October </t>
  </si>
  <si>
    <t>December</t>
  </si>
  <si>
    <t>September</t>
  </si>
  <si>
    <t xml:space="preserve">  Account No. 281.1 (enter negative)</t>
  </si>
  <si>
    <t>Real and Personal Property - Kentucky</t>
  </si>
  <si>
    <t xml:space="preserve">  Account No. 282.1 (enter negative)</t>
  </si>
  <si>
    <t xml:space="preserve">  Account No. 283.1 (enter negative)</t>
  </si>
  <si>
    <t xml:space="preserve">  Account No. 190.1</t>
  </si>
  <si>
    <t>KPCo Worksheet J -  ATRR PROJECTED Calculation for PJM Projects Charged to Benefiting Zones</t>
  </si>
  <si>
    <t xml:space="preserve">     Plus: Acct. 924, Property Insurance</t>
  </si>
  <si>
    <r>
      <t xml:space="preserve">KPCo Worksheet </t>
    </r>
    <r>
      <rPr>
        <b/>
        <sz val="16"/>
        <color indexed="10"/>
        <rFont val="Arial"/>
        <family val="2"/>
      </rPr>
      <t>K</t>
    </r>
    <r>
      <rPr>
        <b/>
        <sz val="16"/>
        <rFont val="Arial"/>
        <family val="2"/>
      </rPr>
      <t xml:space="preserve"> -  ATRR </t>
    </r>
    <r>
      <rPr>
        <b/>
        <sz val="16"/>
        <color indexed="10"/>
        <rFont val="Arial"/>
        <family val="2"/>
      </rPr>
      <t>TRUE-UP</t>
    </r>
    <r>
      <rPr>
        <b/>
        <sz val="16"/>
        <rFont val="Arial"/>
        <family val="2"/>
      </rPr>
      <t xml:space="preserve"> Calculation for PJM Projects Charged to Benefiting Zones</t>
    </r>
  </si>
  <si>
    <t>WEIGHTED AVERAGE COST OF CAPITAL (WACC)</t>
  </si>
  <si>
    <t>RETURN ON RATE BASE (Rate Base*WACC)</t>
  </si>
  <si>
    <t xml:space="preserve">         Gross Receipts/Sales &amp; Use</t>
  </si>
  <si>
    <t xml:space="preserve">  Other (Excludes A&amp;G) </t>
  </si>
  <si>
    <t>9280001</t>
  </si>
  <si>
    <t>9301012</t>
  </si>
  <si>
    <t>Public Opinion Surveys</t>
  </si>
  <si>
    <t>Total Effective State Income Tax Rate</t>
  </si>
  <si>
    <t>Cash Working Capital</t>
  </si>
  <si>
    <t>PLANT HELD FOR FUTURE USE</t>
  </si>
  <si>
    <t>9302000</t>
  </si>
  <si>
    <t>Misc General Expenses</t>
  </si>
  <si>
    <t>9302003</t>
  </si>
  <si>
    <t>Corporate &amp; Fiscal Expenses</t>
  </si>
  <si>
    <t>9302004</t>
  </si>
  <si>
    <t>KENTUCKY POWER COMPANY</t>
  </si>
  <si>
    <t>No Applicable Charges for KPCO</t>
  </si>
  <si>
    <t>Kentucky Corporate Income Tax</t>
  </si>
  <si>
    <t>Michigan Business Income Tax</t>
  </si>
  <si>
    <t>KENTUCKY JURISDICTION</t>
  </si>
  <si>
    <t>Notes Payable to Parent</t>
  </si>
  <si>
    <t>Senior Unsecured Notes - Series D</t>
  </si>
  <si>
    <t>Senior Unsecured Notes - Series E</t>
  </si>
  <si>
    <t>September 2007</t>
  </si>
  <si>
    <t>September 2017</t>
  </si>
  <si>
    <t>Cost of Service Formula Rate Using 2008 FF1 Balances</t>
  </si>
  <si>
    <t>Allowable Expense</t>
  </si>
  <si>
    <t>Actual Expense</t>
  </si>
  <si>
    <t>See note K above.  Per the settlement in Docket ER08-1329, recoverable PBOP expense is based on an annual total for the seven operating companies that is ratioed to them based on the total of actual annual PBOP costs, including charges from the AEP Service Corportation. The calculation of the recoverable amount for each company is shown on Worksheet O, and the process for updating the annual total is documented on Attachment F, Allowable PBOP Expense Formula.</t>
  </si>
  <si>
    <t>PBOP Worksheet O Line 9 &amp; 10, (Note K)</t>
  </si>
  <si>
    <t>PBOP Worksheet O  Line 11, (Note K)</t>
  </si>
  <si>
    <t>PBOP Worksheet O Line 13, (Note K)</t>
  </si>
  <si>
    <t>PBOP Worksheet O, Col. C, Line 4, (Note M)</t>
  </si>
  <si>
    <t>Total Company Amount</t>
  </si>
  <si>
    <t>Total AEP East Operating Company PBOP Settlement Amount</t>
  </si>
  <si>
    <t>Allocation of PBOP Settlement Amount for 2008:</t>
  </si>
  <si>
    <t>Detail of Actual PBOP Expenses to be Removed in Cost of Service</t>
  </si>
  <si>
    <t>Direct Charged PBOP Expense per Actuarial Report</t>
  </si>
  <si>
    <t>PBOP Expenses From AEP Service Corporation (from Company Records)</t>
  </si>
  <si>
    <t>Ratio of Company Actual to Total</t>
  </si>
  <si>
    <t>Allocation of PBOB Recovery Allowance</t>
  </si>
  <si>
    <t>One Year Functional Expense (Over)/Under</t>
  </si>
  <si>
    <t>Line#</t>
  </si>
  <si>
    <t>(B)=(A)/Total (A)</t>
  </si>
  <si>
    <t>(E)=(A) * (D)</t>
  </si>
  <si>
    <t>(F)=(C) * (D)</t>
  </si>
  <si>
    <t>(G)=(E) - (F)</t>
  </si>
  <si>
    <t>APCo</t>
  </si>
  <si>
    <t>CSP</t>
  </si>
  <si>
    <t>KPCo</t>
  </si>
  <si>
    <t>KNGP</t>
  </si>
  <si>
    <t>OPCo</t>
  </si>
  <si>
    <t>WPCo</t>
  </si>
  <si>
    <t>KNGSPT</t>
  </si>
  <si>
    <t>AEP East Total</t>
  </si>
  <si>
    <t>Additional PBOP Ledger Entries (from Company Records)</t>
  </si>
  <si>
    <t>Medicare Subsidy</t>
  </si>
  <si>
    <r>
      <t xml:space="preserve">NOTE:  The net amount of hedging gains or losses recorded in account 427 to be recovered in this formula rate should be limited to the effective portion of pre-issuance cash flow hedges that are amortized over the life of the underlying debt issuances.  The recovery of a net loss or passback of a net gain will be limited to five basis points of the total Capital Structure.  </t>
    </r>
    <r>
      <rPr>
        <u val="single"/>
        <sz val="11"/>
        <rFont val="Arial"/>
        <family val="2"/>
      </rPr>
      <t>Amounts related to the ineffective portion of pre-issuance hedges, cash settlements of fair value hedges issued on Long Term Debt, post-issuance cash flow hedges, and cash flow hedges of variable rate debt issuances are not recoverable in this formula and are to be recorded in the “Excludable” column below.</t>
    </r>
  </si>
  <si>
    <t>Research, Develop&amp;Demonstr Exp</t>
  </si>
  <si>
    <t>9302007</t>
  </si>
  <si>
    <t>Source</t>
  </si>
  <si>
    <t>Transmission Plant In Service</t>
  </si>
  <si>
    <t>Distribution Plant In Service</t>
  </si>
  <si>
    <t>Intangible Plant In Service</t>
  </si>
  <si>
    <t>General Plant In Service</t>
  </si>
  <si>
    <t>Production Plant In Service</t>
  </si>
  <si>
    <t>Transmission Accumulated Depreciation</t>
  </si>
  <si>
    <t>Distribution Accumulated Depreciation</t>
  </si>
  <si>
    <t>Real and Personal Property - Other</t>
  </si>
  <si>
    <t>Multiple</t>
  </si>
  <si>
    <t>SFAS 158 Offset</t>
  </si>
  <si>
    <t>West Virginia Corporate Income Tax</t>
  </si>
  <si>
    <t>State Income Tax Rate - Ohio</t>
  </si>
  <si>
    <t>Production Accumulated Depreciation</t>
  </si>
  <si>
    <t>Materials &amp; Supplies</t>
  </si>
  <si>
    <t xml:space="preserve">  Prepayments (Account 165) - Labor Allocated</t>
  </si>
  <si>
    <t xml:space="preserve">  Prepayments (Account 165) - Gross Plant</t>
  </si>
  <si>
    <t>Account 930.2</t>
  </si>
  <si>
    <t>Account 930.1</t>
  </si>
  <si>
    <t>Account 928</t>
  </si>
  <si>
    <t>Average Balance</t>
  </si>
  <si>
    <t>Payroll Billed from AEP Service Corp.</t>
  </si>
  <si>
    <t>Total Other Operating Revenues To Reduce Revenue Requirement</t>
  </si>
  <si>
    <t>GTD=</t>
  </si>
  <si>
    <t xml:space="preserve">GTD </t>
  </si>
  <si>
    <t>made contributions toward the construction of System upgrades, and includes accrued interest and unreturned balance of contributions.  The annual interest</t>
  </si>
  <si>
    <t>Long Term Interest</t>
  </si>
  <si>
    <t xml:space="preserve">Preferred Dividends </t>
  </si>
  <si>
    <t>TRANSMISSION PLANT INCLUDED IN PJM TARIFF</t>
  </si>
  <si>
    <t>Transmission plant included in PJM Tariff</t>
  </si>
  <si>
    <t>Percent of transmission plant in PJM Tariff</t>
  </si>
  <si>
    <t>Removes plant excluded from the OATT because it does not meet the PJM's definition of Transmission Facilities or is otherwise ineligible to be recovered under the OATT.</t>
  </si>
  <si>
    <t>Per the terms of the settlement in this case, AEP will make a 205 filing whenever a company's rates are changed by their commission(s), or if the methodology to calculate the jurisdictional allocator in multiple-state companies changes.   Changes in the allocation factors will not necessitate a 205 filing.</t>
  </si>
  <si>
    <t>Annual Tax Expenses by Type (Note 1)</t>
  </si>
  <si>
    <t>NOTE: The ratebase should not include the unamoritzed balance of hedging gains or losses.</t>
  </si>
  <si>
    <t>Less: Net Value of Exempted Generation Plant</t>
  </si>
  <si>
    <t>322 &amp; 323.164,171,178.b</t>
  </si>
  <si>
    <t>FF1, page 219, ln 28, Col. (b)</t>
  </si>
  <si>
    <t xml:space="preserve"> Worksheet G Supporting - Development of Composite State Income Tax Rate</t>
  </si>
  <si>
    <t xml:space="preserve">  Regional Market Expenses</t>
  </si>
  <si>
    <t>Worksheet D Supporting  IPP Credits</t>
  </si>
</sst>
</file>

<file path=xl/styles.xml><?xml version="1.0" encoding="utf-8"?>
<styleSheet xmlns="http://schemas.openxmlformats.org/spreadsheetml/2006/main">
  <numFmts count="4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0"/>
    <numFmt numFmtId="166" formatCode="0.00000"/>
    <numFmt numFmtId="167" formatCode="#,##0.0000"/>
    <numFmt numFmtId="168" formatCode="#,##0.000"/>
    <numFmt numFmtId="169" formatCode="0.0000"/>
    <numFmt numFmtId="170" formatCode="&quot;$&quot;#,##0"/>
    <numFmt numFmtId="171" formatCode="&quot;$&quot;#,##0.000"/>
    <numFmt numFmtId="172" formatCode="&quot;$&quot;#,##0.00"/>
    <numFmt numFmtId="173" formatCode="_(* #,##0_);_(* \(#,##0\);_(* &quot;-&quot;??_);_(@_)"/>
    <numFmt numFmtId="174" formatCode="_(&quot;$&quot;* #,##0_);_(&quot;$&quot;* \(#,##0\);_(&quot;$&quot;* &quot;-&quot;??_);_(@_)"/>
    <numFmt numFmtId="175" formatCode="&quot;$&quot;#,##0.000000000000"/>
    <numFmt numFmtId="176" formatCode="0.0000%"/>
    <numFmt numFmtId="177" formatCode="_(* #,##0.0_);_(* \(#,##0.0\);_(* &quot;-&quot;??_);_(@_)"/>
    <numFmt numFmtId="178" formatCode="0.000000"/>
    <numFmt numFmtId="179" formatCode="_(* #,##0.0000_);_(* \(#,##0.0000\);_(* &quot;-&quot;_);_(@_)"/>
    <numFmt numFmtId="180" formatCode="_(* #,##0.00000_);_(* \(#,##0.00000\);_(* &quot;-&quot;_);_(@_)"/>
    <numFmt numFmtId="181" formatCode="_(* #,##0.0000000000_);_(* \(#,##0.0000000000\);_(* &quot;-&quot;_);_(@_)"/>
    <numFmt numFmtId="182" formatCode="_(* #,##0.00000_);_(* \(#,##0.00000\);_(* &quot;-&quot;??_);_(@_)"/>
    <numFmt numFmtId="183" formatCode="0.00%_);[Red]\(0.00%\)"/>
    <numFmt numFmtId="184" formatCode="#,##0.0000000"/>
    <numFmt numFmtId="185" formatCode="_(* #,##0.0000000_);_(* \(#,##0.0000000\);_(* &quot;-&quot;_);_(@_)"/>
    <numFmt numFmtId="186" formatCode="#,##0\ ;\(#,##0\)"/>
    <numFmt numFmtId="187" formatCode="_(* #,##0.0000_);_(* \(#,##0.0000\);_(* &quot;-&quot;??_);_(@_)"/>
    <numFmt numFmtId="188" formatCode="0.0%"/>
    <numFmt numFmtId="189" formatCode="_(* #,##0.0000000_);_(* \(#,##0.0000000\);_(* &quot;-&quot;??_);_(@_)"/>
    <numFmt numFmtId="190" formatCode="_(* #,##0.000_);_(* \(#,##0.000\);_(* &quot;-&quot;_);_(@_)"/>
    <numFmt numFmtId="191" formatCode="#,##0.000000"/>
    <numFmt numFmtId="192" formatCode="_(* #,##0.0000000000_);_(* \(#,##0.0000000000\);_(* &quot;-&quot;??_);_(@_)"/>
    <numFmt numFmtId="193" formatCode="mmmm\ d\,\ yyyy"/>
    <numFmt numFmtId="194" formatCode="m/d/yy;@"/>
    <numFmt numFmtId="195" formatCode="&quot;$&quot;#,##0.00000"/>
    <numFmt numFmtId="196" formatCode="0.000000%"/>
    <numFmt numFmtId="197" formatCode="0.000"/>
    <numFmt numFmtId="198" formatCode="0.0"/>
  </numFmts>
  <fonts count="120">
    <font>
      <sz val="10"/>
      <name val="Arial"/>
      <family val="0"/>
    </font>
    <font>
      <sz val="12"/>
      <name val="Arial MT"/>
      <family val="0"/>
    </font>
    <font>
      <b/>
      <sz val="14"/>
      <name val="Arial"/>
      <family val="2"/>
    </font>
    <font>
      <sz val="12"/>
      <name val="Arial"/>
      <family val="2"/>
    </font>
    <font>
      <b/>
      <sz val="12"/>
      <name val="Arial"/>
      <family val="2"/>
    </font>
    <font>
      <u val="single"/>
      <sz val="10"/>
      <color indexed="14"/>
      <name val="MS Sans Serif"/>
      <family val="2"/>
    </font>
    <font>
      <u val="single"/>
      <sz val="10"/>
      <color indexed="12"/>
      <name val="MS Sans Serif"/>
      <family val="2"/>
    </font>
    <font>
      <b/>
      <sz val="10"/>
      <color indexed="10"/>
      <name val="Arial"/>
      <family val="2"/>
    </font>
    <font>
      <sz val="10"/>
      <color indexed="12"/>
      <name val="Arial"/>
      <family val="2"/>
    </font>
    <font>
      <b/>
      <sz val="10"/>
      <name val="Arial"/>
      <family val="2"/>
    </font>
    <font>
      <b/>
      <u val="single"/>
      <sz val="12"/>
      <name val="Arial"/>
      <family val="2"/>
    </font>
    <font>
      <b/>
      <sz val="16"/>
      <name val="Arial"/>
      <family val="2"/>
    </font>
    <font>
      <u val="single"/>
      <sz val="10"/>
      <name val="Arial"/>
      <family val="2"/>
    </font>
    <font>
      <u val="single"/>
      <sz val="12"/>
      <name val="Arial"/>
      <family val="2"/>
    </font>
    <font>
      <sz val="10"/>
      <name val="Times New Roman"/>
      <family val="1"/>
    </font>
    <font>
      <i/>
      <sz val="10"/>
      <name val="Arial"/>
      <family val="2"/>
    </font>
    <font>
      <b/>
      <u val="single"/>
      <sz val="10"/>
      <name val="Arial"/>
      <family val="2"/>
    </font>
    <font>
      <sz val="14"/>
      <name val="Arial"/>
      <family val="2"/>
    </font>
    <font>
      <sz val="12"/>
      <color indexed="12"/>
      <name val="Arial"/>
      <family val="2"/>
    </font>
    <font>
      <b/>
      <sz val="12"/>
      <color indexed="12"/>
      <name val="Arial"/>
      <family val="2"/>
    </font>
    <font>
      <sz val="10"/>
      <color indexed="10"/>
      <name val="Arial"/>
      <family val="2"/>
    </font>
    <font>
      <sz val="12"/>
      <color indexed="10"/>
      <name val="Arial"/>
      <family val="2"/>
    </font>
    <font>
      <sz val="9"/>
      <name val="Arial"/>
      <family val="2"/>
    </font>
    <font>
      <b/>
      <sz val="9"/>
      <name val="Arial"/>
      <family val="2"/>
    </font>
    <font>
      <i/>
      <sz val="12"/>
      <name val="Arial"/>
      <family val="2"/>
    </font>
    <font>
      <b/>
      <sz val="12"/>
      <color indexed="10"/>
      <name val="Helv"/>
      <family val="0"/>
    </font>
    <font>
      <b/>
      <sz val="12"/>
      <color indexed="10"/>
      <name val="Arial Narrow"/>
      <family val="2"/>
    </font>
    <font>
      <b/>
      <sz val="18"/>
      <name val="Arial"/>
      <family val="2"/>
    </font>
    <font>
      <sz val="10"/>
      <name val="MS Sans Serif"/>
      <family val="2"/>
    </font>
    <font>
      <b/>
      <sz val="10"/>
      <name val="MS Sans Serif"/>
      <family val="2"/>
    </font>
    <font>
      <sz val="11"/>
      <color indexed="8"/>
      <name val="Arial Narrow"/>
      <family val="2"/>
    </font>
    <font>
      <sz val="11"/>
      <color indexed="9"/>
      <name val="Arial Narrow"/>
      <family val="2"/>
    </font>
    <font>
      <sz val="11"/>
      <color indexed="20"/>
      <name val="Arial Narrow"/>
      <family val="2"/>
    </font>
    <font>
      <sz val="8"/>
      <name val="Arial"/>
      <family val="2"/>
    </font>
    <font>
      <b/>
      <i/>
      <sz val="14"/>
      <name val="Arial"/>
      <family val="2"/>
    </font>
    <font>
      <b/>
      <sz val="11"/>
      <name val="Arial"/>
      <family val="2"/>
    </font>
    <font>
      <b/>
      <sz val="24"/>
      <name val="Arial Narrow"/>
      <family val="2"/>
    </font>
    <font>
      <b/>
      <i/>
      <sz val="12"/>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b/>
      <sz val="11"/>
      <color indexed="52"/>
      <name val="Arial Narrow"/>
      <family val="2"/>
    </font>
    <font>
      <b/>
      <sz val="11"/>
      <color indexed="9"/>
      <name val="Arial Narrow"/>
      <family val="2"/>
    </font>
    <font>
      <i/>
      <sz val="11"/>
      <color indexed="23"/>
      <name val="Arial Narrow"/>
      <family val="2"/>
    </font>
    <font>
      <sz val="11"/>
      <color indexed="17"/>
      <name val="Arial Narrow"/>
      <family val="2"/>
    </font>
    <font>
      <b/>
      <sz val="11"/>
      <color indexed="56"/>
      <name val="Arial Narrow"/>
      <family val="2"/>
    </font>
    <font>
      <b/>
      <sz val="14"/>
      <name val="Book Antiqua"/>
      <family val="1"/>
    </font>
    <font>
      <i/>
      <sz val="10"/>
      <name val="Book Antiqua"/>
      <family val="1"/>
    </font>
    <font>
      <sz val="11"/>
      <color indexed="62"/>
      <name val="Arial Narrow"/>
      <family val="2"/>
    </font>
    <font>
      <sz val="11"/>
      <color indexed="52"/>
      <name val="Arial Narrow"/>
      <family val="2"/>
    </font>
    <font>
      <sz val="11"/>
      <color indexed="60"/>
      <name val="Arial Narrow"/>
      <family val="2"/>
    </font>
    <font>
      <b/>
      <sz val="11"/>
      <color indexed="63"/>
      <name val="Arial Narrow"/>
      <family val="2"/>
    </font>
    <font>
      <sz val="8"/>
      <color indexed="38"/>
      <name val="Arial"/>
      <family val="2"/>
    </font>
    <font>
      <b/>
      <i/>
      <sz val="16"/>
      <name val="Arial"/>
      <family val="2"/>
    </font>
    <font>
      <b/>
      <sz val="12"/>
      <color indexed="32"/>
      <name val="Arial"/>
      <family val="2"/>
    </font>
    <font>
      <i/>
      <sz val="11"/>
      <name val="Arial"/>
      <family val="2"/>
    </font>
    <font>
      <sz val="11"/>
      <name val="Arial"/>
      <family val="2"/>
    </font>
    <font>
      <b/>
      <sz val="18"/>
      <color indexed="56"/>
      <name val="Cambria"/>
      <family val="2"/>
    </font>
    <font>
      <sz val="11"/>
      <color indexed="10"/>
      <name val="Arial Narrow"/>
      <family val="2"/>
    </font>
    <font>
      <b/>
      <sz val="14"/>
      <name val="MS Serif"/>
      <family val="1"/>
    </font>
    <font>
      <sz val="10"/>
      <name val="MS Serif"/>
      <family val="1"/>
    </font>
    <font>
      <sz val="10"/>
      <color indexed="9"/>
      <name val="Arial"/>
      <family val="2"/>
    </font>
    <font>
      <b/>
      <sz val="10"/>
      <color indexed="8"/>
      <name val="Arial"/>
      <family val="2"/>
    </font>
    <font>
      <b/>
      <sz val="10"/>
      <color indexed="12"/>
      <name val="Arial"/>
      <family val="2"/>
    </font>
    <font>
      <sz val="10"/>
      <name val="Helv"/>
      <family val="0"/>
    </font>
    <font>
      <sz val="14"/>
      <name val="Helv"/>
      <family val="0"/>
    </font>
    <font>
      <sz val="14"/>
      <color indexed="12"/>
      <name val="Arial"/>
      <family val="2"/>
    </font>
    <font>
      <b/>
      <u val="single"/>
      <sz val="14"/>
      <name val="Helv"/>
      <family val="0"/>
    </font>
    <font>
      <b/>
      <sz val="14"/>
      <name val="Helv"/>
      <family val="0"/>
    </font>
    <font>
      <sz val="12"/>
      <name val="Helv"/>
      <family val="0"/>
    </font>
    <font>
      <b/>
      <sz val="12"/>
      <name val="Arial MT"/>
      <family val="0"/>
    </font>
    <font>
      <sz val="14"/>
      <color indexed="12"/>
      <name val="Helv"/>
      <family val="0"/>
    </font>
    <font>
      <u val="single"/>
      <sz val="14"/>
      <name val="Helv"/>
      <family val="0"/>
    </font>
    <font>
      <b/>
      <sz val="10"/>
      <color indexed="10"/>
      <name val="Arial Narrow"/>
      <family val="2"/>
    </font>
    <font>
      <b/>
      <u val="single"/>
      <sz val="14"/>
      <name val="Arial"/>
      <family val="2"/>
    </font>
    <font>
      <b/>
      <sz val="10"/>
      <color indexed="10"/>
      <name val="Times New Roman"/>
      <family val="1"/>
    </font>
    <font>
      <u val="single"/>
      <sz val="12"/>
      <name val="Arial MT"/>
      <family val="0"/>
    </font>
    <font>
      <u val="single"/>
      <sz val="12"/>
      <name val="Times New Roman"/>
      <family val="1"/>
    </font>
    <font>
      <sz val="14"/>
      <color indexed="9"/>
      <name val="Helv"/>
      <family val="0"/>
    </font>
    <font>
      <sz val="14"/>
      <color indexed="9"/>
      <name val="Arial"/>
      <family val="2"/>
    </font>
    <font>
      <sz val="10"/>
      <color indexed="12"/>
      <name val="Times New Roman"/>
      <family val="1"/>
    </font>
    <font>
      <u val="singleAccounting"/>
      <sz val="10"/>
      <name val="Arial"/>
      <family val="2"/>
    </font>
    <font>
      <sz val="14"/>
      <color indexed="23"/>
      <name val="Helv"/>
      <family val="0"/>
    </font>
    <font>
      <strike/>
      <sz val="12"/>
      <color indexed="10"/>
      <name val="Arial"/>
      <family val="2"/>
    </font>
    <font>
      <sz val="12"/>
      <color indexed="10"/>
      <name val="Arial MT"/>
      <family val="0"/>
    </font>
    <font>
      <b/>
      <u val="single"/>
      <strike/>
      <sz val="10"/>
      <color indexed="10"/>
      <name val="Arial"/>
      <family val="2"/>
    </font>
    <font>
      <u val="single"/>
      <strike/>
      <sz val="10"/>
      <color indexed="10"/>
      <name val="Arial"/>
      <family val="2"/>
    </font>
    <font>
      <b/>
      <i/>
      <u val="single"/>
      <sz val="10"/>
      <name val="Arial"/>
      <family val="2"/>
    </font>
    <font>
      <strike/>
      <sz val="14"/>
      <color indexed="10"/>
      <name val="Helv"/>
      <family val="0"/>
    </font>
    <font>
      <b/>
      <i/>
      <u val="single"/>
      <sz val="12"/>
      <name val="Arial"/>
      <family val="2"/>
    </font>
    <font>
      <b/>
      <sz val="10"/>
      <name val="Times New Roman"/>
      <family val="1"/>
    </font>
    <font>
      <b/>
      <sz val="16"/>
      <color indexed="10"/>
      <name val="Arial"/>
      <family val="2"/>
    </font>
    <font>
      <b/>
      <sz val="12"/>
      <name val="Times New Roman"/>
      <family val="1"/>
    </font>
    <font>
      <strike/>
      <sz val="12"/>
      <name val="Arial"/>
      <family val="2"/>
    </font>
    <font>
      <b/>
      <u val="singleAccounting"/>
      <sz val="10"/>
      <name val="Arial"/>
      <family val="2"/>
    </font>
    <font>
      <b/>
      <strike/>
      <sz val="10"/>
      <name val="Arial"/>
      <family val="2"/>
    </font>
    <font>
      <b/>
      <sz val="10"/>
      <name val="Arial Narrow"/>
      <family val="2"/>
    </font>
    <font>
      <b/>
      <u val="single"/>
      <strike/>
      <sz val="10"/>
      <name val="Arial"/>
      <family val="2"/>
    </font>
    <font>
      <sz val="14"/>
      <color indexed="8"/>
      <name val="Helv"/>
      <family val="0"/>
    </font>
    <font>
      <sz val="10"/>
      <color indexed="8"/>
      <name val="Helv"/>
      <family val="0"/>
    </font>
    <font>
      <sz val="13"/>
      <name val="Times New Roman"/>
      <family val="1"/>
    </font>
    <font>
      <u val="single"/>
      <sz val="11"/>
      <name val="Arial"/>
      <family val="2"/>
    </font>
    <font>
      <b/>
      <u val="single"/>
      <sz val="10"/>
      <color indexed="10"/>
      <name val="Arial"/>
      <family val="2"/>
    </font>
    <font>
      <u val="single"/>
      <sz val="10"/>
      <color indexed="8"/>
      <name val="Arial"/>
      <family val="2"/>
    </font>
    <font>
      <b/>
      <sz val="14"/>
      <color indexed="10"/>
      <name val="Arial"/>
      <family val="2"/>
    </font>
    <font>
      <b/>
      <u val="single"/>
      <sz val="12"/>
      <color indexed="10"/>
      <name val="Arial"/>
      <family val="2"/>
    </font>
    <font>
      <sz val="14"/>
      <color indexed="10"/>
      <name val="Helv"/>
      <family val="0"/>
    </font>
    <font>
      <sz val="10"/>
      <name val="Arial MT"/>
      <family val="0"/>
    </font>
    <font>
      <sz val="14"/>
      <color indexed="10"/>
      <name val="Arial"/>
      <family val="2"/>
    </font>
    <font>
      <b/>
      <sz val="12"/>
      <name val="Arial Black"/>
      <family val="2"/>
    </font>
    <font>
      <sz val="10"/>
      <color indexed="12"/>
      <name val="Courier"/>
      <family val="3"/>
    </font>
    <font>
      <i/>
      <sz val="12"/>
      <name val="Arial Condensed Bold"/>
      <family val="0"/>
    </font>
    <font>
      <b/>
      <sz val="12"/>
      <name val="Arial Condensed Bold"/>
      <family val="0"/>
    </font>
    <font>
      <b/>
      <i/>
      <sz val="12"/>
      <color indexed="12"/>
      <name val="Arial MT"/>
      <family val="0"/>
    </font>
    <font>
      <b/>
      <i/>
      <sz val="12"/>
      <name val="Arial MT"/>
      <family val="0"/>
    </font>
    <font>
      <b/>
      <sz val="10"/>
      <color indexed="17"/>
      <name val="Courier"/>
      <family val="3"/>
    </font>
    <font>
      <b/>
      <sz val="12"/>
      <color indexed="17"/>
      <name val="Arial MT"/>
      <family val="0"/>
    </font>
    <font>
      <b/>
      <u val="single"/>
      <sz val="12"/>
      <name val="Arial MT"/>
      <family val="0"/>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mediumGray">
        <fgColor indexed="22"/>
      </patternFill>
    </fill>
    <fill>
      <patternFill patternType="solid">
        <fgColor indexed="9"/>
        <bgColor indexed="64"/>
      </patternFill>
    </fill>
    <fill>
      <patternFill patternType="solid">
        <fgColor indexed="23"/>
        <bgColor indexed="64"/>
      </patternFill>
    </fill>
  </fills>
  <borders count="33">
    <border>
      <left/>
      <right/>
      <top/>
      <bottom/>
      <diagonal/>
    </border>
    <border>
      <left>
        <color indexed="63"/>
      </left>
      <right>
        <color indexed="63"/>
      </right>
      <top style="double"/>
      <bottom>
        <color indexed="63"/>
      </bottom>
    </border>
    <border>
      <left>
        <color indexed="63"/>
      </left>
      <right>
        <color indexed="63"/>
      </right>
      <top style="thin"/>
      <bottom>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medium">
        <color indexed="30"/>
      </bottom>
    </border>
    <border>
      <left>
        <color indexed="63"/>
      </left>
      <right>
        <color indexed="63"/>
      </right>
      <top>
        <color indexed="63"/>
      </top>
      <bottom style="mediu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right style="thin"/>
      <top>
        <color indexed="63"/>
      </top>
      <bottom>
        <color indexed="63"/>
      </bottom>
    </border>
    <border>
      <left>
        <color indexed="63"/>
      </left>
      <right>
        <color indexed="63"/>
      </right>
      <top>
        <color indexed="63"/>
      </top>
      <bottom style="thin"/>
    </border>
    <border>
      <left style="thin"/>
      <right style="thin"/>
      <top style="thin"/>
      <bottom style="thin"/>
    </border>
    <border>
      <left>
        <color indexed="63"/>
      </left>
      <right>
        <color indexed="63"/>
      </right>
      <top>
        <color indexed="63"/>
      </top>
      <bottom style="double"/>
    </border>
    <border>
      <left>
        <color indexed="63"/>
      </left>
      <right>
        <color indexed="63"/>
      </right>
      <top style="thin"/>
      <bottom style="double"/>
    </border>
    <border>
      <left>
        <color indexed="63"/>
      </left>
      <right>
        <color indexed="63"/>
      </right>
      <top style="thin"/>
      <bottom style="thin"/>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style="medium"/>
      <top style="medium"/>
      <bottom>
        <color indexed="63"/>
      </bottom>
    </border>
    <border>
      <left style="medium"/>
      <right style="medium"/>
      <top>
        <color indexed="63"/>
      </top>
      <bottom style="medium"/>
    </border>
    <border>
      <left>
        <color indexed="63"/>
      </left>
      <right style="medium"/>
      <top>
        <color indexed="63"/>
      </top>
      <bottom style="medium"/>
    </border>
    <border>
      <left style="medium"/>
      <right style="medium"/>
      <top>
        <color indexed="63"/>
      </top>
      <bottom>
        <color indexed="63"/>
      </bottom>
    </border>
    <border>
      <left style="medium"/>
      <right>
        <color indexed="63"/>
      </right>
      <top style="medium"/>
      <bottom style="medium"/>
    </border>
    <border>
      <left>
        <color indexed="63"/>
      </left>
      <right>
        <color indexed="63"/>
      </right>
      <top style="medium"/>
      <bottom style="medium"/>
    </border>
    <border>
      <left style="medium"/>
      <right>
        <color indexed="63"/>
      </right>
      <top>
        <color indexed="63"/>
      </top>
      <bottom style="medium"/>
    </border>
    <border>
      <left style="medium"/>
      <right style="medium"/>
      <top style="medium"/>
      <bottom style="medium"/>
    </border>
    <border>
      <left style="thin"/>
      <right style="thin"/>
      <top style="thin"/>
      <bottom>
        <color indexed="63"/>
      </bottom>
    </border>
    <border>
      <left style="medium"/>
      <right>
        <color indexed="63"/>
      </right>
      <top style="medium"/>
      <bottom>
        <color indexed="63"/>
      </bottom>
    </border>
    <border>
      <left>
        <color indexed="63"/>
      </left>
      <right style="medium"/>
      <top style="medium"/>
      <bottom style="medium"/>
    </border>
    <border>
      <left>
        <color indexed="63"/>
      </left>
      <right style="medium"/>
      <top>
        <color indexed="63"/>
      </top>
      <bottom style="thin"/>
    </border>
    <border>
      <left>
        <color indexed="63"/>
      </left>
      <right>
        <color indexed="63"/>
      </right>
      <top style="medium">
        <color indexed="8"/>
      </top>
      <bottom>
        <color indexed="63"/>
      </bottom>
    </border>
  </borders>
  <cellStyleXfs count="1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5" borderId="0" applyNumberFormat="0" applyBorder="0" applyAlignment="0" applyProtection="0"/>
    <xf numFmtId="0" fontId="30" fillId="8" borderId="0" applyNumberFormat="0" applyBorder="0" applyAlignment="0" applyProtection="0"/>
    <xf numFmtId="0" fontId="30" fillId="11" borderId="0" applyNumberFormat="0" applyBorder="0" applyAlignment="0" applyProtection="0"/>
    <xf numFmtId="0" fontId="31" fillId="12"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9" borderId="0" applyNumberFormat="0" applyBorder="0" applyAlignment="0" applyProtection="0"/>
    <xf numFmtId="0" fontId="32" fillId="3" borderId="0" applyNumberFormat="0" applyBorder="0" applyAlignment="0" applyProtection="0"/>
    <xf numFmtId="172" fontId="33" fillId="0" borderId="0" applyFill="0">
      <alignment/>
      <protection/>
    </xf>
    <xf numFmtId="172" fontId="33" fillId="0" borderId="0">
      <alignment horizontal="center"/>
      <protection/>
    </xf>
    <xf numFmtId="0" fontId="33" fillId="0" borderId="0" applyFill="0">
      <alignment horizontal="center"/>
      <protection/>
    </xf>
    <xf numFmtId="172" fontId="2" fillId="0" borderId="1" applyFill="0">
      <alignment/>
      <protection/>
    </xf>
    <xf numFmtId="0" fontId="0" fillId="0" borderId="0" applyFont="0" applyAlignment="0">
      <protection/>
    </xf>
    <xf numFmtId="0" fontId="34" fillId="0" borderId="0" applyFill="0">
      <alignment vertical="top"/>
      <protection/>
    </xf>
    <xf numFmtId="0" fontId="2" fillId="0" borderId="0" applyFill="0">
      <alignment horizontal="left" vertical="top"/>
      <protection/>
    </xf>
    <xf numFmtId="172" fontId="4" fillId="0" borderId="2" applyFill="0">
      <alignment/>
      <protection/>
    </xf>
    <xf numFmtId="0" fontId="0" fillId="0" borderId="0" applyNumberFormat="0" applyFont="0" applyAlignment="0">
      <protection/>
    </xf>
    <xf numFmtId="0" fontId="34" fillId="0" borderId="0" applyFill="0">
      <alignment wrapText="1"/>
      <protection/>
    </xf>
    <xf numFmtId="0" fontId="2" fillId="0" borderId="0" applyFill="0">
      <alignment horizontal="left" vertical="top" wrapText="1"/>
      <protection/>
    </xf>
    <xf numFmtId="172" fontId="35" fillId="0" borderId="0" applyFill="0">
      <alignment/>
      <protection/>
    </xf>
    <xf numFmtId="0" fontId="36" fillId="0" borderId="0" applyNumberFormat="0" applyFont="0" applyAlignment="0">
      <protection/>
    </xf>
    <xf numFmtId="0" fontId="37" fillId="0" borderId="0" applyFill="0">
      <alignment vertical="top" wrapText="1"/>
      <protection/>
    </xf>
    <xf numFmtId="0" fontId="4" fillId="0" borderId="0" applyFill="0">
      <alignment horizontal="left" vertical="top" wrapText="1"/>
      <protection/>
    </xf>
    <xf numFmtId="172" fontId="0" fillId="0" borderId="0" applyFill="0">
      <alignment/>
      <protection/>
    </xf>
    <xf numFmtId="0" fontId="36" fillId="0" borderId="0" applyNumberFormat="0" applyFont="0" applyAlignment="0">
      <protection/>
    </xf>
    <xf numFmtId="0" fontId="24" fillId="0" borderId="0" applyFill="0">
      <alignment vertical="center" wrapText="1"/>
      <protection/>
    </xf>
    <xf numFmtId="0" fontId="3" fillId="0" borderId="0">
      <alignment horizontal="left" vertical="center" wrapText="1"/>
      <protection/>
    </xf>
    <xf numFmtId="172" fontId="22" fillId="0" borderId="0" applyFill="0">
      <alignment/>
      <protection/>
    </xf>
    <xf numFmtId="0" fontId="36" fillId="0" borderId="0" applyNumberFormat="0" applyFont="0" applyAlignment="0">
      <protection/>
    </xf>
    <xf numFmtId="0" fontId="15" fillId="0" borderId="0" applyFill="0">
      <alignment horizontal="center" vertical="center" wrapText="1"/>
      <protection/>
    </xf>
    <xf numFmtId="0" fontId="0" fillId="0" borderId="0" applyFill="0">
      <alignment horizontal="center" vertical="center" wrapText="1"/>
      <protection/>
    </xf>
    <xf numFmtId="172" fontId="38" fillId="0" borderId="0" applyFill="0">
      <alignment/>
      <protection/>
    </xf>
    <xf numFmtId="0" fontId="36" fillId="0" borderId="0" applyNumberFormat="0" applyFont="0" applyAlignment="0">
      <protection/>
    </xf>
    <xf numFmtId="0" fontId="39" fillId="0" borderId="0" applyFill="0">
      <alignment horizontal="center" vertical="center" wrapText="1"/>
      <protection/>
    </xf>
    <xf numFmtId="0" fontId="40" fillId="0" borderId="0" applyFill="0">
      <alignment horizontal="center" vertical="center" wrapText="1"/>
      <protection/>
    </xf>
    <xf numFmtId="172" fontId="41" fillId="0" borderId="0" applyFill="0">
      <alignment/>
      <protection/>
    </xf>
    <xf numFmtId="0" fontId="36" fillId="0" borderId="0" applyNumberFormat="0" applyFont="0" applyAlignment="0">
      <protection/>
    </xf>
    <xf numFmtId="0" fontId="42" fillId="0" borderId="0">
      <alignment horizontal="center" wrapText="1"/>
      <protection/>
    </xf>
    <xf numFmtId="0" fontId="38" fillId="0" borderId="0" applyFill="0">
      <alignment horizontal="center" wrapText="1"/>
      <protection/>
    </xf>
    <xf numFmtId="0" fontId="43" fillId="20" borderId="3" applyNumberFormat="0" applyAlignment="0" applyProtection="0"/>
    <xf numFmtId="0" fontId="44" fillId="21"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5" fontId="0" fillId="0" borderId="0" applyFont="0" applyFill="0" applyBorder="0" applyAlignment="0" applyProtection="0"/>
    <xf numFmtId="14" fontId="0" fillId="0" borderId="0" applyFont="0" applyFill="0" applyBorder="0" applyAlignment="0" applyProtection="0"/>
    <xf numFmtId="0" fontId="45" fillId="0" borderId="0" applyNumberFormat="0" applyFill="0" applyBorder="0" applyAlignment="0" applyProtection="0"/>
    <xf numFmtId="2" fontId="0" fillId="0" borderId="0" applyFont="0" applyFill="0" applyBorder="0" applyAlignment="0" applyProtection="0"/>
    <xf numFmtId="0" fontId="5" fillId="0" borderId="0" applyNumberFormat="0" applyFill="0" applyBorder="0" applyAlignment="0" applyProtection="0"/>
    <xf numFmtId="0" fontId="46" fillId="4" borderId="0" applyNumberFormat="0" applyBorder="0" applyAlignment="0" applyProtection="0"/>
    <xf numFmtId="0" fontId="27" fillId="0" borderId="0" applyFont="0" applyFill="0" applyBorder="0" applyAlignment="0" applyProtection="0"/>
    <xf numFmtId="0" fontId="4" fillId="0" borderId="0" applyFont="0" applyFill="0" applyBorder="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lignment/>
      <protection/>
    </xf>
    <xf numFmtId="0" fontId="49" fillId="0" borderId="0">
      <alignment/>
      <protection/>
    </xf>
    <xf numFmtId="0" fontId="6" fillId="0" borderId="0" applyNumberFormat="0" applyFill="0" applyBorder="0" applyAlignment="0" applyProtection="0"/>
    <xf numFmtId="0" fontId="50" fillId="7" borderId="3" applyNumberFormat="0" applyAlignment="0" applyProtection="0"/>
    <xf numFmtId="0" fontId="51" fillId="0" borderId="7" applyNumberFormat="0" applyFill="0" applyAlignment="0" applyProtection="0"/>
    <xf numFmtId="0" fontId="52"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72" fontId="1" fillId="0" borderId="0" applyProtection="0">
      <alignment/>
    </xf>
    <xf numFmtId="0" fontId="66" fillId="0" borderId="0">
      <alignment/>
      <protection/>
    </xf>
    <xf numFmtId="172" fontId="1" fillId="0" borderId="0" applyProtection="0">
      <alignment/>
    </xf>
    <xf numFmtId="0" fontId="1" fillId="0" borderId="0">
      <alignment/>
      <protection/>
    </xf>
    <xf numFmtId="0" fontId="0" fillId="0" borderId="0">
      <alignment/>
      <protection/>
    </xf>
    <xf numFmtId="0" fontId="1" fillId="23" borderId="8" applyNumberFormat="0" applyFont="0" applyAlignment="0" applyProtection="0"/>
    <xf numFmtId="0" fontId="53" fillId="20" borderId="9"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8" fillId="0" borderId="0" applyNumberFormat="0" applyFont="0" applyFill="0" applyBorder="0" applyAlignment="0" applyProtection="0"/>
    <xf numFmtId="15" fontId="28" fillId="0" borderId="0" applyFont="0" applyFill="0" applyBorder="0" applyAlignment="0" applyProtection="0"/>
    <xf numFmtId="4" fontId="28" fillId="0" borderId="0" applyFont="0" applyFill="0" applyBorder="0" applyAlignment="0" applyProtection="0"/>
    <xf numFmtId="3" fontId="0" fillId="0" borderId="0">
      <alignment horizontal="left" vertical="top"/>
      <protection/>
    </xf>
    <xf numFmtId="0" fontId="29" fillId="0" borderId="6">
      <alignment horizontal="center"/>
      <protection/>
    </xf>
    <xf numFmtId="3" fontId="28" fillId="0" borderId="0" applyFont="0" applyFill="0" applyBorder="0" applyAlignment="0" applyProtection="0"/>
    <xf numFmtId="0" fontId="28" fillId="24" borderId="0" applyNumberFormat="0" applyFont="0" applyBorder="0" applyAlignment="0" applyProtection="0"/>
    <xf numFmtId="3" fontId="0" fillId="0" borderId="0">
      <alignment horizontal="right" vertical="top"/>
      <protection/>
    </xf>
    <xf numFmtId="41" fontId="3" fillId="20" borderId="10" applyFill="0">
      <alignment/>
      <protection/>
    </xf>
    <xf numFmtId="0" fontId="54" fillId="0" borderId="0">
      <alignment horizontal="left" indent="7"/>
      <protection/>
    </xf>
    <xf numFmtId="41" fontId="3" fillId="0" borderId="10" applyFill="0">
      <alignment horizontal="left" indent="2"/>
      <protection/>
    </xf>
    <xf numFmtId="172" fontId="23" fillId="0" borderId="11" applyFill="0">
      <alignment horizontal="right"/>
      <protection/>
    </xf>
    <xf numFmtId="0" fontId="9" fillId="0" borderId="12" applyNumberFormat="0" applyFont="0" applyBorder="0">
      <alignment horizontal="right"/>
      <protection/>
    </xf>
    <xf numFmtId="0" fontId="55" fillId="0" borderId="0" applyFill="0">
      <alignment/>
      <protection/>
    </xf>
    <xf numFmtId="0" fontId="4" fillId="0" borderId="0" applyFill="0">
      <alignment/>
      <protection/>
    </xf>
    <xf numFmtId="4" fontId="23" fillId="0" borderId="11" applyFill="0">
      <alignment/>
      <protection/>
    </xf>
    <xf numFmtId="0" fontId="0" fillId="0" borderId="0" applyNumberFormat="0" applyFont="0" applyBorder="0" applyAlignment="0">
      <protection/>
    </xf>
    <xf numFmtId="0" fontId="37" fillId="0" borderId="0" applyFill="0">
      <alignment horizontal="left" indent="1"/>
      <protection/>
    </xf>
    <xf numFmtId="0" fontId="56" fillId="0" borderId="0" applyFill="0">
      <alignment horizontal="left" indent="1"/>
      <protection/>
    </xf>
    <xf numFmtId="4" fontId="22" fillId="0" borderId="0" applyFill="0">
      <alignment/>
      <protection/>
    </xf>
    <xf numFmtId="0" fontId="0" fillId="0" borderId="0" applyNumberFormat="0" applyFont="0" applyFill="0" applyBorder="0" applyAlignment="0">
      <protection/>
    </xf>
    <xf numFmtId="0" fontId="37" fillId="0" borderId="0" applyFill="0">
      <alignment horizontal="left" indent="2"/>
      <protection/>
    </xf>
    <xf numFmtId="0" fontId="4" fillId="0" borderId="0" applyFill="0">
      <alignment horizontal="left" indent="2"/>
      <protection/>
    </xf>
    <xf numFmtId="4" fontId="22" fillId="0" borderId="0" applyFill="0">
      <alignment/>
      <protection/>
    </xf>
    <xf numFmtId="0" fontId="0" fillId="0" borderId="0" applyNumberFormat="0" applyFont="0" applyBorder="0" applyAlignment="0">
      <protection/>
    </xf>
    <xf numFmtId="0" fontId="57" fillId="0" borderId="0">
      <alignment horizontal="left" indent="3"/>
      <protection/>
    </xf>
    <xf numFmtId="0" fontId="58" fillId="0" borderId="0" applyFill="0">
      <alignment horizontal="left" indent="3"/>
      <protection/>
    </xf>
    <xf numFmtId="4" fontId="22" fillId="0" borderId="0" applyFill="0">
      <alignment/>
      <protection/>
    </xf>
    <xf numFmtId="0" fontId="0" fillId="0" borderId="0" applyNumberFormat="0" applyFont="0" applyBorder="0" applyAlignment="0">
      <protection/>
    </xf>
    <xf numFmtId="0" fontId="15" fillId="0" borderId="0">
      <alignment horizontal="left" indent="4"/>
      <protection/>
    </xf>
    <xf numFmtId="0" fontId="0" fillId="0" borderId="0" applyFill="0">
      <alignment horizontal="left" indent="4"/>
      <protection/>
    </xf>
    <xf numFmtId="4" fontId="38" fillId="0" borderId="0" applyFill="0">
      <alignment/>
      <protection/>
    </xf>
    <xf numFmtId="0" fontId="0" fillId="0" borderId="0" applyNumberFormat="0" applyFont="0" applyBorder="0" applyAlignment="0">
      <protection/>
    </xf>
    <xf numFmtId="0" fontId="39" fillId="0" borderId="0">
      <alignment horizontal="left" indent="5"/>
      <protection/>
    </xf>
    <xf numFmtId="0" fontId="40" fillId="0" borderId="0" applyFill="0">
      <alignment horizontal="left" indent="5"/>
      <protection/>
    </xf>
    <xf numFmtId="4" fontId="41" fillId="0" borderId="0" applyFill="0">
      <alignment/>
      <protection/>
    </xf>
    <xf numFmtId="0" fontId="0" fillId="0" borderId="0" applyNumberFormat="0" applyFont="0" applyFill="0" applyBorder="0" applyAlignment="0">
      <protection/>
    </xf>
    <xf numFmtId="0" fontId="42" fillId="0" borderId="0" applyFill="0">
      <alignment horizontal="left" indent="6"/>
      <protection/>
    </xf>
    <xf numFmtId="0" fontId="38" fillId="0" borderId="0" applyFill="0">
      <alignment horizontal="left" indent="6"/>
      <protection/>
    </xf>
    <xf numFmtId="0" fontId="59" fillId="0" borderId="0" applyNumberFormat="0" applyFill="0" applyBorder="0" applyAlignment="0" applyProtection="0"/>
    <xf numFmtId="0" fontId="0" fillId="0" borderId="0" applyFont="0" applyFill="0" applyBorder="0" applyAlignment="0" applyProtection="0"/>
    <xf numFmtId="0" fontId="60" fillId="0" borderId="0" applyNumberFormat="0" applyFill="0" applyBorder="0" applyAlignment="0" applyProtection="0"/>
  </cellStyleXfs>
  <cellXfs count="1200">
    <xf numFmtId="0" fontId="0" fillId="0" borderId="0" xfId="0" applyAlignment="1">
      <alignment/>
    </xf>
    <xf numFmtId="172" fontId="1" fillId="0" borderId="0" xfId="113" applyFont="1" applyAlignment="1">
      <alignment/>
    </xf>
    <xf numFmtId="3" fontId="3" fillId="0" borderId="0" xfId="113" applyNumberFormat="1" applyFont="1" applyAlignment="1">
      <alignment/>
    </xf>
    <xf numFmtId="0" fontId="1" fillId="0" borderId="0" xfId="113" applyNumberFormat="1" applyFont="1" applyFill="1">
      <alignment/>
    </xf>
    <xf numFmtId="0" fontId="0" fillId="0" borderId="0" xfId="0" applyAlignment="1">
      <alignment horizontal="center"/>
    </xf>
    <xf numFmtId="0" fontId="3" fillId="0" borderId="0" xfId="0" applyFont="1" applyAlignment="1">
      <alignment/>
    </xf>
    <xf numFmtId="3" fontId="3" fillId="0" borderId="0" xfId="113" applyNumberFormat="1" applyFont="1" applyFill="1" applyAlignment="1">
      <alignment/>
    </xf>
    <xf numFmtId="172" fontId="1" fillId="0" borderId="0" xfId="113" applyFont="1" applyFill="1" applyAlignment="1">
      <alignment/>
    </xf>
    <xf numFmtId="0" fontId="0" fillId="0" borderId="0" xfId="0" applyAlignment="1">
      <alignment/>
    </xf>
    <xf numFmtId="0" fontId="3" fillId="0" borderId="0" xfId="0" applyNumberFormat="1" applyFont="1" applyAlignment="1">
      <alignment horizontal="center"/>
    </xf>
    <xf numFmtId="3" fontId="3" fillId="0" borderId="0" xfId="0" applyNumberFormat="1" applyFont="1" applyAlignment="1">
      <alignment horizontal="center"/>
    </xf>
    <xf numFmtId="172" fontId="3" fillId="0" borderId="0" xfId="113" applyFont="1" applyAlignment="1" applyProtection="1">
      <alignment/>
      <protection locked="0"/>
    </xf>
    <xf numFmtId="172" fontId="4" fillId="0" borderId="0" xfId="113" applyFont="1" applyFill="1" applyAlignment="1" applyProtection="1">
      <alignment/>
      <protection locked="0"/>
    </xf>
    <xf numFmtId="172" fontId="3" fillId="0" borderId="0" xfId="113" applyFont="1" applyFill="1" applyAlignment="1" applyProtection="1">
      <alignment/>
      <protection locked="0"/>
    </xf>
    <xf numFmtId="172" fontId="3" fillId="0" borderId="0" xfId="113" applyFont="1" applyAlignment="1">
      <alignment/>
    </xf>
    <xf numFmtId="0" fontId="3" fillId="0" borderId="0" xfId="113" applyNumberFormat="1" applyFont="1" applyAlignment="1" applyProtection="1">
      <alignment/>
      <protection locked="0"/>
    </xf>
    <xf numFmtId="0" fontId="3" fillId="0" borderId="0" xfId="113" applyNumberFormat="1" applyFont="1" applyProtection="1">
      <alignment/>
      <protection locked="0"/>
    </xf>
    <xf numFmtId="3" fontId="3" fillId="0" borderId="0" xfId="113" applyNumberFormat="1" applyFont="1" applyAlignment="1" applyProtection="1">
      <alignment/>
      <protection locked="0"/>
    </xf>
    <xf numFmtId="0" fontId="3" fillId="0" borderId="0" xfId="113" applyNumberFormat="1" applyFont="1" applyAlignment="1" applyProtection="1">
      <alignment horizontal="center"/>
      <protection locked="0"/>
    </xf>
    <xf numFmtId="49" fontId="3" fillId="0" borderId="0" xfId="113" applyNumberFormat="1" applyFont="1" applyAlignment="1" applyProtection="1">
      <alignment horizontal="center"/>
      <protection locked="0"/>
    </xf>
    <xf numFmtId="49" fontId="3" fillId="0" borderId="0" xfId="113" applyNumberFormat="1" applyFont="1" applyProtection="1">
      <alignment/>
      <protection locked="0"/>
    </xf>
    <xf numFmtId="172" fontId="3" fillId="0" borderId="0" xfId="113" applyFont="1" applyAlignment="1" applyProtection="1">
      <alignment horizontal="center"/>
      <protection locked="0"/>
    </xf>
    <xf numFmtId="0" fontId="3" fillId="0" borderId="6" xfId="113" applyNumberFormat="1" applyFont="1" applyBorder="1" applyAlignment="1" applyProtection="1">
      <alignment horizontal="center"/>
      <protection locked="0"/>
    </xf>
    <xf numFmtId="0" fontId="3" fillId="0" borderId="0" xfId="113" applyNumberFormat="1" applyFont="1" applyBorder="1" applyAlignment="1" applyProtection="1">
      <alignment horizontal="center"/>
      <protection locked="0"/>
    </xf>
    <xf numFmtId="0" fontId="3" fillId="0" borderId="0" xfId="113" applyNumberFormat="1" applyFont="1" applyFill="1" applyProtection="1">
      <alignment/>
      <protection locked="0"/>
    </xf>
    <xf numFmtId="3" fontId="3" fillId="0" borderId="0" xfId="113" applyNumberFormat="1" applyFont="1" applyProtection="1">
      <alignment/>
      <protection locked="0"/>
    </xf>
    <xf numFmtId="0" fontId="3" fillId="0" borderId="0" xfId="113" applyNumberFormat="1" applyFont="1" applyAlignment="1" applyProtection="1">
      <alignment horizontal="left"/>
      <protection locked="0"/>
    </xf>
    <xf numFmtId="3" fontId="3" fillId="0" borderId="0" xfId="113" applyNumberFormat="1" applyFont="1" applyFill="1" applyAlignment="1" applyProtection="1">
      <alignment/>
      <protection locked="0"/>
    </xf>
    <xf numFmtId="0" fontId="3" fillId="0" borderId="6" xfId="113" applyNumberFormat="1" applyFont="1" applyBorder="1" applyAlignment="1" applyProtection="1">
      <alignment horizontal="centerContinuous"/>
      <protection locked="0"/>
    </xf>
    <xf numFmtId="166" fontId="3" fillId="0" borderId="0" xfId="113" applyNumberFormat="1" applyFont="1" applyAlignment="1" applyProtection="1">
      <alignment/>
      <protection locked="0"/>
    </xf>
    <xf numFmtId="3" fontId="3" fillId="0" borderId="0" xfId="113" applyNumberFormat="1" applyFont="1" applyAlignment="1" applyProtection="1">
      <alignment horizontal="center"/>
      <protection locked="0"/>
    </xf>
    <xf numFmtId="0" fontId="3" fillId="0" borderId="0" xfId="113" applyNumberFormat="1" applyFont="1" applyAlignment="1">
      <alignment/>
    </xf>
    <xf numFmtId="49" fontId="3" fillId="0" borderId="0" xfId="113" applyNumberFormat="1" applyFont="1" applyAlignment="1" applyProtection="1">
      <alignment horizontal="left"/>
      <protection locked="0"/>
    </xf>
    <xf numFmtId="3" fontId="4" fillId="0" borderId="0" xfId="113" applyNumberFormat="1" applyFont="1" applyAlignment="1" applyProtection="1">
      <alignment horizontal="center"/>
      <protection locked="0"/>
    </xf>
    <xf numFmtId="49" fontId="4" fillId="0" borderId="0" xfId="113" applyNumberFormat="1" applyFont="1" applyAlignment="1" applyProtection="1">
      <alignment horizontal="center"/>
      <protection locked="0"/>
    </xf>
    <xf numFmtId="172" fontId="4" fillId="0" borderId="0" xfId="113" applyFont="1" applyAlignment="1" applyProtection="1">
      <alignment horizontal="center"/>
      <protection locked="0"/>
    </xf>
    <xf numFmtId="0" fontId="4" fillId="0" borderId="0" xfId="113" applyNumberFormat="1" applyFont="1" applyAlignment="1" applyProtection="1">
      <alignment horizontal="center"/>
      <protection locked="0"/>
    </xf>
    <xf numFmtId="3" fontId="4" fillId="0" borderId="0" xfId="113" applyNumberFormat="1" applyFont="1" applyAlignment="1" applyProtection="1">
      <alignment/>
      <protection locked="0"/>
    </xf>
    <xf numFmtId="0" fontId="4" fillId="0" borderId="0" xfId="113" applyNumberFormat="1" applyFont="1" applyAlignment="1" applyProtection="1">
      <alignment/>
      <protection locked="0"/>
    </xf>
    <xf numFmtId="3" fontId="3" fillId="0" borderId="0" xfId="113" applyNumberFormat="1" applyFont="1" applyFill="1" applyBorder="1" applyAlignment="1" applyProtection="1">
      <alignment horizontal="center"/>
      <protection locked="0"/>
    </xf>
    <xf numFmtId="0" fontId="3" fillId="0" borderId="0" xfId="113" applyNumberFormat="1" applyFont="1" applyBorder="1" applyAlignment="1" applyProtection="1">
      <alignment/>
      <protection locked="0"/>
    </xf>
    <xf numFmtId="165" fontId="3" fillId="0" borderId="0" xfId="113" applyNumberFormat="1" applyFont="1" applyAlignment="1" applyProtection="1">
      <alignment/>
      <protection locked="0"/>
    </xf>
    <xf numFmtId="0" fontId="3" fillId="0" borderId="0" xfId="113" applyNumberFormat="1" applyFont="1" applyAlignment="1" applyProtection="1">
      <alignment horizontal="center" vertical="center"/>
      <protection locked="0"/>
    </xf>
    <xf numFmtId="0" fontId="3" fillId="0" borderId="0" xfId="113" applyNumberFormat="1" applyFont="1" applyBorder="1" applyAlignment="1" applyProtection="1">
      <alignment vertical="center"/>
      <protection locked="0"/>
    </xf>
    <xf numFmtId="3" fontId="3" fillId="0" borderId="0" xfId="113" applyNumberFormat="1" applyFont="1" applyFill="1" applyAlignment="1" applyProtection="1">
      <alignment vertical="center" wrapText="1"/>
      <protection locked="0"/>
    </xf>
    <xf numFmtId="3" fontId="3" fillId="0" borderId="0" xfId="113" applyNumberFormat="1" applyFont="1" applyAlignment="1" applyProtection="1">
      <alignment vertical="center"/>
      <protection locked="0"/>
    </xf>
    <xf numFmtId="164" fontId="3" fillId="0" borderId="0" xfId="113" applyNumberFormat="1" applyFont="1" applyAlignment="1" applyProtection="1">
      <alignment horizontal="center"/>
      <protection locked="0"/>
    </xf>
    <xf numFmtId="3" fontId="3" fillId="0" borderId="0" xfId="113" applyNumberFormat="1" applyFont="1" applyFill="1" applyAlignment="1" applyProtection="1">
      <alignment horizontal="center"/>
      <protection locked="0"/>
    </xf>
    <xf numFmtId="165" fontId="3" fillId="0" borderId="0" xfId="113" applyNumberFormat="1" applyFont="1" applyFill="1" applyAlignment="1" applyProtection="1">
      <alignment horizontal="right"/>
      <protection locked="0"/>
    </xf>
    <xf numFmtId="172" fontId="3" fillId="0" borderId="0" xfId="113" applyFont="1" applyBorder="1" applyAlignment="1" applyProtection="1">
      <alignment/>
      <protection locked="0"/>
    </xf>
    <xf numFmtId="164" fontId="3" fillId="0" borderId="0" xfId="113" applyNumberFormat="1" applyFont="1" applyFill="1" applyAlignment="1" applyProtection="1">
      <alignment horizontal="left"/>
      <protection locked="0"/>
    </xf>
    <xf numFmtId="172" fontId="4" fillId="0" borderId="0" xfId="113" applyFont="1" applyAlignment="1">
      <alignment/>
    </xf>
    <xf numFmtId="0" fontId="10" fillId="0" borderId="0" xfId="113" applyNumberFormat="1" applyFont="1" applyAlignment="1" applyProtection="1">
      <alignment horizontal="center"/>
      <protection locked="0"/>
    </xf>
    <xf numFmtId="3" fontId="10" fillId="0" borderId="0" xfId="113" applyNumberFormat="1" applyFont="1" applyAlignment="1" applyProtection="1">
      <alignment/>
      <protection locked="0"/>
    </xf>
    <xf numFmtId="0" fontId="3" fillId="0" borderId="0" xfId="113" applyNumberFormat="1" applyFont="1" applyFill="1" applyAlignment="1" applyProtection="1">
      <alignment/>
      <protection locked="0"/>
    </xf>
    <xf numFmtId="3" fontId="3" fillId="0" borderId="0" xfId="113" applyNumberFormat="1" applyFont="1" applyAlignment="1" applyProtection="1">
      <alignment vertical="center" wrapText="1"/>
      <protection locked="0"/>
    </xf>
    <xf numFmtId="172" fontId="3" fillId="0" borderId="0" xfId="113" applyFont="1" applyFill="1" applyAlignment="1">
      <alignment/>
    </xf>
    <xf numFmtId="164" fontId="3" fillId="0" borderId="0" xfId="113" applyNumberFormat="1" applyFont="1" applyBorder="1" applyAlignment="1" applyProtection="1">
      <alignment horizontal="left"/>
      <protection locked="0"/>
    </xf>
    <xf numFmtId="0" fontId="3" fillId="0" borderId="0" xfId="113" applyNumberFormat="1" applyFont="1" applyFill="1" applyBorder="1" applyAlignment="1" applyProtection="1">
      <alignment/>
      <protection locked="0"/>
    </xf>
    <xf numFmtId="164" fontId="3" fillId="0" borderId="0" xfId="113" applyNumberFormat="1" applyFont="1" applyFill="1" applyBorder="1" applyAlignment="1" applyProtection="1">
      <alignment horizontal="left"/>
      <protection locked="0"/>
    </xf>
    <xf numFmtId="10" fontId="3" fillId="0" borderId="0" xfId="113" applyNumberFormat="1" applyFont="1" applyFill="1" applyAlignment="1" applyProtection="1">
      <alignment horizontal="left"/>
      <protection locked="0"/>
    </xf>
    <xf numFmtId="167" fontId="3" fillId="0" borderId="0" xfId="113" applyNumberFormat="1" applyFont="1" applyAlignment="1" applyProtection="1">
      <alignment/>
      <protection locked="0"/>
    </xf>
    <xf numFmtId="3" fontId="3" fillId="0" borderId="0" xfId="113" applyNumberFormat="1" applyFont="1" applyAlignment="1" applyProtection="1">
      <alignment horizontal="right"/>
      <protection locked="0"/>
    </xf>
    <xf numFmtId="0" fontId="4" fillId="0" borderId="0" xfId="113" applyNumberFormat="1" applyFont="1" applyBorder="1" applyAlignment="1" applyProtection="1">
      <alignment horizontal="left"/>
      <protection locked="0"/>
    </xf>
    <xf numFmtId="14" fontId="4" fillId="0" borderId="0" xfId="113" applyNumberFormat="1" applyFont="1" applyBorder="1" applyAlignment="1" applyProtection="1">
      <alignment/>
      <protection locked="0"/>
    </xf>
    <xf numFmtId="172" fontId="3" fillId="0" borderId="0" xfId="113" applyNumberFormat="1" applyFont="1" applyAlignment="1" applyProtection="1">
      <alignment/>
      <protection locked="0"/>
    </xf>
    <xf numFmtId="170" fontId="3" fillId="0" borderId="0" xfId="113" applyNumberFormat="1" applyFont="1" applyProtection="1">
      <alignment/>
      <protection locked="0"/>
    </xf>
    <xf numFmtId="0" fontId="4" fillId="0" borderId="0" xfId="113" applyNumberFormat="1" applyFont="1" applyFill="1" applyAlignment="1" applyProtection="1">
      <alignment/>
      <protection locked="0"/>
    </xf>
    <xf numFmtId="0" fontId="3" fillId="0" borderId="0" xfId="113" applyNumberFormat="1" applyFont="1" applyFill="1" applyBorder="1" applyProtection="1">
      <alignment/>
      <protection locked="0"/>
    </xf>
    <xf numFmtId="3" fontId="3" fillId="0" borderId="0" xfId="113" applyNumberFormat="1" applyFont="1" applyFill="1" applyBorder="1" applyAlignment="1" applyProtection="1">
      <alignment/>
      <protection locked="0"/>
    </xf>
    <xf numFmtId="172" fontId="3" fillId="0" borderId="0" xfId="113" applyFont="1" applyFill="1" applyBorder="1" applyAlignment="1" applyProtection="1">
      <alignment/>
      <protection locked="0"/>
    </xf>
    <xf numFmtId="172" fontId="3" fillId="0" borderId="0" xfId="113" applyFont="1" applyFill="1" applyBorder="1" applyAlignment="1" applyProtection="1">
      <alignment horizontal="center"/>
      <protection locked="0"/>
    </xf>
    <xf numFmtId="49" fontId="3" fillId="0" borderId="0" xfId="113" applyNumberFormat="1" applyFont="1" applyFill="1" applyBorder="1" applyProtection="1">
      <alignment/>
      <protection locked="0"/>
    </xf>
    <xf numFmtId="0" fontId="3" fillId="0" borderId="0" xfId="113" applyNumberFormat="1" applyFont="1" applyFill="1" applyBorder="1" applyAlignment="1" applyProtection="1">
      <alignment horizontal="center"/>
      <protection locked="0"/>
    </xf>
    <xf numFmtId="49" fontId="3" fillId="0" borderId="0" xfId="113" applyNumberFormat="1" applyFont="1" applyFill="1" applyBorder="1" applyAlignment="1" applyProtection="1">
      <alignment/>
      <protection locked="0"/>
    </xf>
    <xf numFmtId="49" fontId="3" fillId="0" borderId="0" xfId="113" applyNumberFormat="1" applyFont="1" applyFill="1" applyBorder="1" applyAlignment="1" applyProtection="1">
      <alignment horizontal="center"/>
      <protection locked="0"/>
    </xf>
    <xf numFmtId="3" fontId="4" fillId="0" borderId="0" xfId="113" applyNumberFormat="1" applyFont="1" applyFill="1" applyBorder="1" applyAlignment="1" applyProtection="1">
      <alignment/>
      <protection locked="0"/>
    </xf>
    <xf numFmtId="165" fontId="4" fillId="0" borderId="0" xfId="113" applyNumberFormat="1" applyFont="1" applyFill="1" applyBorder="1" applyAlignment="1" applyProtection="1">
      <alignment horizontal="right"/>
      <protection locked="0"/>
    </xf>
    <xf numFmtId="0" fontId="3" fillId="0" borderId="0" xfId="113" applyNumberFormat="1" applyFont="1" applyFill="1" applyAlignment="1" applyProtection="1">
      <alignment horizontal="center"/>
      <protection locked="0"/>
    </xf>
    <xf numFmtId="166" fontId="4" fillId="0" borderId="0" xfId="113" applyNumberFormat="1" applyFont="1" applyFill="1" applyProtection="1">
      <alignment/>
      <protection locked="0"/>
    </xf>
    <xf numFmtId="4" fontId="3" fillId="0" borderId="0" xfId="113" applyNumberFormat="1" applyFont="1" applyAlignment="1" applyProtection="1">
      <alignment/>
      <protection locked="0"/>
    </xf>
    <xf numFmtId="3" fontId="3" fillId="0" borderId="0" xfId="113" applyNumberFormat="1" applyFont="1" applyAlignment="1" applyProtection="1" quotePrefix="1">
      <alignment/>
      <protection locked="0"/>
    </xf>
    <xf numFmtId="3" fontId="4" fillId="0" borderId="0" xfId="113" applyNumberFormat="1" applyFont="1" applyAlignment="1" applyProtection="1" quotePrefix="1">
      <alignment/>
      <protection locked="0"/>
    </xf>
    <xf numFmtId="172" fontId="3" fillId="0" borderId="0" xfId="113" applyFont="1" applyFill="1" applyAlignment="1" applyProtection="1">
      <alignment horizontal="center"/>
      <protection locked="0"/>
    </xf>
    <xf numFmtId="0" fontId="3" fillId="0" borderId="0" xfId="113" applyNumberFormat="1" applyFont="1" applyFill="1">
      <alignment/>
    </xf>
    <xf numFmtId="0" fontId="3" fillId="0" borderId="0" xfId="0" applyNumberFormat="1" applyFont="1" applyAlignment="1">
      <alignment/>
    </xf>
    <xf numFmtId="0" fontId="3" fillId="0" borderId="0" xfId="0" applyNumberFormat="1" applyFont="1" applyAlignment="1">
      <alignment/>
    </xf>
    <xf numFmtId="0" fontId="3" fillId="0" borderId="0" xfId="0" applyFont="1" applyAlignment="1">
      <alignment/>
    </xf>
    <xf numFmtId="10" fontId="3" fillId="0" borderId="0" xfId="113" applyNumberFormat="1" applyFont="1" applyFill="1" applyProtection="1">
      <alignment/>
      <protection locked="0"/>
    </xf>
    <xf numFmtId="172" fontId="1" fillId="0" borderId="0" xfId="113" applyFont="1" applyAlignment="1" applyProtection="1">
      <alignment/>
      <protection locked="0"/>
    </xf>
    <xf numFmtId="0" fontId="1" fillId="0" borderId="0" xfId="113" applyNumberFormat="1" applyFont="1" applyAlignment="1" applyProtection="1">
      <alignment horizontal="center"/>
      <protection locked="0"/>
    </xf>
    <xf numFmtId="0" fontId="1" fillId="0" borderId="6" xfId="113" applyNumberFormat="1" applyFont="1" applyBorder="1" applyAlignment="1" applyProtection="1">
      <alignment horizontal="center"/>
      <protection locked="0"/>
    </xf>
    <xf numFmtId="0" fontId="1" fillId="0" borderId="0" xfId="113" applyNumberFormat="1" applyFont="1" applyAlignment="1" applyProtection="1">
      <alignment horizontal="center" vertical="center"/>
      <protection locked="0"/>
    </xf>
    <xf numFmtId="0" fontId="1" fillId="0" borderId="0" xfId="0" applyFont="1" applyAlignment="1">
      <alignment/>
    </xf>
    <xf numFmtId="0" fontId="1" fillId="0" borderId="0" xfId="113" applyNumberFormat="1" applyFont="1" applyFill="1" applyAlignment="1" applyProtection="1">
      <alignment horizontal="center"/>
      <protection locked="0"/>
    </xf>
    <xf numFmtId="0" fontId="1" fillId="0" borderId="0" xfId="113" applyNumberFormat="1" applyFont="1" applyBorder="1" applyAlignment="1" applyProtection="1">
      <alignment horizontal="center"/>
      <protection locked="0"/>
    </xf>
    <xf numFmtId="172" fontId="1" fillId="0" borderId="0" xfId="113" applyFont="1" applyFill="1" applyAlignment="1" applyProtection="1">
      <alignment horizontal="center"/>
      <protection locked="0"/>
    </xf>
    <xf numFmtId="172" fontId="1" fillId="0" borderId="0" xfId="113" applyFont="1" applyFill="1" applyAlignment="1" applyProtection="1">
      <alignment/>
      <protection locked="0"/>
    </xf>
    <xf numFmtId="0" fontId="3" fillId="0" borderId="0" xfId="113" applyNumberFormat="1" applyFont="1" applyAlignment="1" applyProtection="1">
      <alignment horizontal="right"/>
      <protection locked="0"/>
    </xf>
    <xf numFmtId="0" fontId="0" fillId="0" borderId="0" xfId="0" applyFont="1" applyFill="1" applyAlignment="1">
      <alignment/>
    </xf>
    <xf numFmtId="0" fontId="0" fillId="0" borderId="0" xfId="0" applyFont="1" applyAlignment="1">
      <alignment/>
    </xf>
    <xf numFmtId="0" fontId="9" fillId="0" borderId="0" xfId="0" applyFont="1" applyFill="1" applyBorder="1" applyAlignment="1">
      <alignment horizontal="center"/>
    </xf>
    <xf numFmtId="0" fontId="0" fillId="0" borderId="0" xfId="0" applyFont="1" applyFill="1" applyBorder="1" applyAlignment="1">
      <alignment/>
    </xf>
    <xf numFmtId="3" fontId="3" fillId="0" borderId="0" xfId="113" applyNumberFormat="1" applyFont="1" applyAlignment="1" applyProtection="1">
      <alignment horizontal="left"/>
      <protection locked="0"/>
    </xf>
    <xf numFmtId="42" fontId="3" fillId="0" borderId="0" xfId="113" applyNumberFormat="1" applyFont="1" applyAlignment="1" applyProtection="1">
      <alignment/>
      <protection locked="0"/>
    </xf>
    <xf numFmtId="41" fontId="3" fillId="0" borderId="0" xfId="113" applyNumberFormat="1" applyFont="1" applyAlignment="1" applyProtection="1">
      <alignment/>
      <protection locked="0"/>
    </xf>
    <xf numFmtId="41" fontId="3" fillId="0" borderId="6" xfId="113" applyNumberFormat="1" applyFont="1" applyBorder="1" applyAlignment="1" applyProtection="1">
      <alignment/>
      <protection locked="0"/>
    </xf>
    <xf numFmtId="178" fontId="4" fillId="0" borderId="0" xfId="113" applyNumberFormat="1" applyFont="1" applyFill="1" applyAlignment="1" applyProtection="1">
      <alignment horizontal="right"/>
      <protection locked="0"/>
    </xf>
    <xf numFmtId="0" fontId="9" fillId="0" borderId="0" xfId="109" applyFont="1" applyFill="1" applyAlignment="1">
      <alignment horizontal="center"/>
      <protection/>
    </xf>
    <xf numFmtId="0" fontId="14" fillId="0" borderId="0" xfId="109" applyFont="1" applyFill="1">
      <alignment/>
      <protection/>
    </xf>
    <xf numFmtId="9" fontId="9" fillId="0" borderId="0" xfId="109" applyNumberFormat="1" applyFont="1" applyFill="1" applyAlignment="1" quotePrefix="1">
      <alignment horizontal="center"/>
      <protection/>
    </xf>
    <xf numFmtId="0" fontId="16" fillId="0" borderId="0" xfId="109" applyFont="1" applyAlignment="1">
      <alignment horizontal="right"/>
      <protection/>
    </xf>
    <xf numFmtId="0" fontId="16" fillId="0" borderId="0" xfId="109" applyFont="1" applyAlignment="1">
      <alignment horizontal="center"/>
      <protection/>
    </xf>
    <xf numFmtId="0" fontId="16" fillId="0" borderId="0" xfId="109" applyFont="1" applyFill="1" applyAlignment="1">
      <alignment horizontal="center"/>
      <protection/>
    </xf>
    <xf numFmtId="9" fontId="9" fillId="0" borderId="0" xfId="109" applyNumberFormat="1" applyFont="1" applyFill="1" applyAlignment="1">
      <alignment horizontal="center"/>
      <protection/>
    </xf>
    <xf numFmtId="172" fontId="10" fillId="0" borderId="0" xfId="113" applyFont="1" applyBorder="1" applyAlignment="1" applyProtection="1">
      <alignment horizontal="center"/>
      <protection locked="0"/>
    </xf>
    <xf numFmtId="172" fontId="1" fillId="0" borderId="0" xfId="113" applyFont="1" applyAlignment="1" applyProtection="1">
      <alignment horizontal="center"/>
      <protection locked="0"/>
    </xf>
    <xf numFmtId="41" fontId="3" fillId="0" borderId="13" xfId="113" applyNumberFormat="1" applyFont="1" applyBorder="1" applyAlignment="1" applyProtection="1">
      <alignment/>
      <protection locked="0"/>
    </xf>
    <xf numFmtId="41" fontId="3" fillId="0" borderId="0" xfId="113" applyNumberFormat="1" applyFont="1" applyAlignment="1" applyProtection="1">
      <alignment vertical="center"/>
      <protection locked="0"/>
    </xf>
    <xf numFmtId="3" fontId="10" fillId="0" borderId="0" xfId="113" applyNumberFormat="1" applyFont="1" applyAlignment="1" applyProtection="1">
      <alignment horizontal="center"/>
      <protection locked="0"/>
    </xf>
    <xf numFmtId="41" fontId="3" fillId="0" borderId="0" xfId="113" applyNumberFormat="1" applyFont="1" applyFill="1" applyAlignment="1" applyProtection="1">
      <alignment/>
      <protection locked="0"/>
    </xf>
    <xf numFmtId="41" fontId="3" fillId="0" borderId="6" xfId="113" applyNumberFormat="1" applyFont="1" applyFill="1" applyBorder="1" applyAlignment="1" applyProtection="1">
      <alignment/>
      <protection locked="0"/>
    </xf>
    <xf numFmtId="3" fontId="3" fillId="0" borderId="0" xfId="113" applyNumberFormat="1" applyFont="1" applyFill="1" applyBorder="1" applyAlignment="1" applyProtection="1">
      <alignment horizontal="left"/>
      <protection locked="0"/>
    </xf>
    <xf numFmtId="0" fontId="3" fillId="0" borderId="0" xfId="113" applyNumberFormat="1" applyFont="1" applyFill="1" applyBorder="1" applyAlignment="1" applyProtection="1">
      <alignment horizontal="left"/>
      <protection locked="0"/>
    </xf>
    <xf numFmtId="172" fontId="4" fillId="0" borderId="0" xfId="113" applyFont="1" applyAlignment="1">
      <alignment horizontal="right"/>
    </xf>
    <xf numFmtId="165" fontId="4" fillId="0" borderId="0" xfId="113" applyNumberFormat="1" applyFont="1" applyAlignment="1">
      <alignment/>
    </xf>
    <xf numFmtId="41" fontId="3" fillId="0" borderId="0" xfId="113" applyNumberFormat="1" applyFont="1" applyAlignment="1" applyProtection="1">
      <alignment horizontal="center"/>
      <protection locked="0"/>
    </xf>
    <xf numFmtId="41" fontId="3" fillId="0" borderId="0" xfId="113" applyNumberFormat="1" applyFont="1" applyFill="1" applyBorder="1" applyAlignment="1" applyProtection="1">
      <alignment/>
      <protection locked="0"/>
    </xf>
    <xf numFmtId="172" fontId="3" fillId="0" borderId="0" xfId="113" applyFont="1" applyFill="1" applyAlignment="1" applyProtection="1">
      <alignment horizontal="right"/>
      <protection locked="0"/>
    </xf>
    <xf numFmtId="41" fontId="3" fillId="0" borderId="0" xfId="113" applyNumberFormat="1" applyFont="1" applyFill="1" applyAlignment="1" applyProtection="1">
      <alignment horizontal="right"/>
      <protection locked="0"/>
    </xf>
    <xf numFmtId="41" fontId="3" fillId="0" borderId="0" xfId="113" applyNumberFormat="1" applyFont="1" applyAlignment="1" applyProtection="1">
      <alignment horizontal="center" vertical="center"/>
      <protection locked="0"/>
    </xf>
    <xf numFmtId="0" fontId="17" fillId="0" borderId="0" xfId="0" applyFont="1" applyAlignment="1">
      <alignment horizontal="right"/>
    </xf>
    <xf numFmtId="0" fontId="0" fillId="0" borderId="0" xfId="0" applyBorder="1" applyAlignment="1">
      <alignment/>
    </xf>
    <xf numFmtId="0" fontId="3" fillId="0" borderId="0" xfId="0" applyFont="1" applyFill="1" applyAlignment="1">
      <alignment/>
    </xf>
    <xf numFmtId="41" fontId="18" fillId="4" borderId="0" xfId="113" applyNumberFormat="1" applyFont="1" applyFill="1" applyAlignment="1" applyProtection="1">
      <alignment/>
      <protection locked="0"/>
    </xf>
    <xf numFmtId="41" fontId="18" fillId="4" borderId="6" xfId="113" applyNumberFormat="1" applyFont="1" applyFill="1" applyBorder="1" applyAlignment="1" applyProtection="1">
      <alignment/>
      <protection locked="0"/>
    </xf>
    <xf numFmtId="0" fontId="0" fillId="0" borderId="0" xfId="0" applyAlignment="1">
      <alignment wrapText="1"/>
    </xf>
    <xf numFmtId="0" fontId="2" fillId="0" borderId="0" xfId="0" applyFont="1" applyAlignment="1">
      <alignment/>
    </xf>
    <xf numFmtId="0" fontId="3" fillId="0" borderId="0" xfId="0" applyNumberFormat="1" applyFont="1" applyAlignment="1">
      <alignment wrapText="1"/>
    </xf>
    <xf numFmtId="0" fontId="3" fillId="0" borderId="0" xfId="0" applyFont="1" applyFill="1" applyAlignment="1">
      <alignment/>
    </xf>
    <xf numFmtId="180" fontId="3" fillId="0" borderId="0" xfId="113" applyNumberFormat="1" applyFont="1" applyAlignment="1" applyProtection="1">
      <alignment/>
      <protection locked="0"/>
    </xf>
    <xf numFmtId="172" fontId="3" fillId="0" borderId="0" xfId="113" applyFont="1" applyAlignment="1">
      <alignment horizontal="center"/>
    </xf>
    <xf numFmtId="3" fontId="3" fillId="0" borderId="0" xfId="113" applyNumberFormat="1" applyFont="1" applyFill="1" applyProtection="1">
      <alignment/>
      <protection locked="0"/>
    </xf>
    <xf numFmtId="0" fontId="3" fillId="0" borderId="0" xfId="0" applyFont="1" applyFill="1" applyAlignment="1">
      <alignment horizontal="left"/>
    </xf>
    <xf numFmtId="41" fontId="3" fillId="0" borderId="0" xfId="113" applyNumberFormat="1" applyFont="1" applyBorder="1" applyAlignment="1" applyProtection="1">
      <alignment/>
      <protection locked="0"/>
    </xf>
    <xf numFmtId="172" fontId="3" fillId="0" borderId="0" xfId="113" applyFont="1" applyAlignment="1">
      <alignment horizontal="right"/>
    </xf>
    <xf numFmtId="0" fontId="0" fillId="0" borderId="0" xfId="0" applyFill="1" applyAlignment="1">
      <alignment/>
    </xf>
    <xf numFmtId="0" fontId="0" fillId="0" borderId="0" xfId="0" applyFont="1" applyFill="1" applyAlignment="1">
      <alignment horizontal="center"/>
    </xf>
    <xf numFmtId="0" fontId="14" fillId="0" borderId="0" xfId="0" applyFont="1" applyFill="1" applyAlignment="1">
      <alignment/>
    </xf>
    <xf numFmtId="0" fontId="17" fillId="0" borderId="0" xfId="0" applyFont="1" applyAlignment="1">
      <alignment/>
    </xf>
    <xf numFmtId="0" fontId="2" fillId="0" borderId="0" xfId="0" applyFont="1" applyAlignment="1">
      <alignment wrapText="1"/>
    </xf>
    <xf numFmtId="0" fontId="0" fillId="0" borderId="0" xfId="109" applyFont="1" applyFill="1">
      <alignment/>
      <protection/>
    </xf>
    <xf numFmtId="41" fontId="0" fillId="0" borderId="0" xfId="109" applyNumberFormat="1" applyFont="1" applyFill="1">
      <alignment/>
      <protection/>
    </xf>
    <xf numFmtId="0" fontId="14" fillId="0" borderId="0" xfId="109" applyFont="1" applyFill="1" applyAlignment="1">
      <alignment horizontal="left"/>
      <protection/>
    </xf>
    <xf numFmtId="3" fontId="0" fillId="0" borderId="0" xfId="0" applyNumberFormat="1" applyFont="1" applyFill="1" applyAlignment="1">
      <alignment/>
    </xf>
    <xf numFmtId="0" fontId="3" fillId="0" borderId="0" xfId="109" applyFont="1" applyFill="1" applyAlignment="1">
      <alignment horizontal="right"/>
      <protection/>
    </xf>
    <xf numFmtId="40" fontId="0" fillId="0" borderId="0" xfId="0" applyNumberFormat="1" applyFont="1" applyFill="1" applyAlignment="1">
      <alignment/>
    </xf>
    <xf numFmtId="42" fontId="3" fillId="0" borderId="0" xfId="113" applyNumberFormat="1" applyFont="1" applyBorder="1" applyAlignment="1" applyProtection="1">
      <alignment/>
      <protection locked="0"/>
    </xf>
    <xf numFmtId="173" fontId="3" fillId="0" borderId="14" xfId="73" applyNumberFormat="1" applyFont="1" applyBorder="1" applyAlignment="1" applyProtection="1">
      <alignment/>
      <protection locked="0"/>
    </xf>
    <xf numFmtId="41" fontId="21" fillId="0" borderId="0" xfId="113" applyNumberFormat="1" applyFont="1" applyAlignment="1" applyProtection="1">
      <alignment/>
      <protection locked="0"/>
    </xf>
    <xf numFmtId="172" fontId="21" fillId="0" borderId="0" xfId="113" applyFont="1" applyAlignment="1">
      <alignment/>
    </xf>
    <xf numFmtId="168" fontId="3" fillId="0" borderId="0" xfId="113" applyNumberFormat="1" applyFont="1" applyFill="1" applyAlignment="1" applyProtection="1">
      <alignment horizontal="left"/>
      <protection locked="0"/>
    </xf>
    <xf numFmtId="0" fontId="0" fillId="0" borderId="0" xfId="109" applyFont="1">
      <alignment/>
      <protection/>
    </xf>
    <xf numFmtId="0" fontId="0" fillId="0" borderId="11" xfId="0" applyBorder="1" applyAlignment="1">
      <alignment/>
    </xf>
    <xf numFmtId="0" fontId="4" fillId="0" borderId="0" xfId="0" applyFont="1" applyFill="1" applyBorder="1" applyAlignment="1">
      <alignment horizontal="center"/>
    </xf>
    <xf numFmtId="0" fontId="3" fillId="0" borderId="0" xfId="109" applyFont="1" applyFill="1">
      <alignment/>
      <protection/>
    </xf>
    <xf numFmtId="0" fontId="9" fillId="0" borderId="0" xfId="109" applyFont="1" applyFill="1" applyBorder="1" applyAlignment="1">
      <alignment horizontal="left"/>
      <protection/>
    </xf>
    <xf numFmtId="0" fontId="9" fillId="0" borderId="0" xfId="109" applyFont="1" applyFill="1" applyBorder="1">
      <alignment/>
      <protection/>
    </xf>
    <xf numFmtId="0" fontId="0" fillId="0" borderId="0" xfId="109" applyFont="1" applyAlignment="1">
      <alignment horizontal="left"/>
      <protection/>
    </xf>
    <xf numFmtId="0" fontId="4" fillId="0" borderId="0" xfId="109" applyFont="1" applyFill="1" applyAlignment="1">
      <alignment horizontal="center"/>
      <protection/>
    </xf>
    <xf numFmtId="37" fontId="3" fillId="0" borderId="0" xfId="0" applyNumberFormat="1" applyFont="1" applyFill="1" applyAlignment="1">
      <alignment/>
    </xf>
    <xf numFmtId="0" fontId="3" fillId="0" borderId="0" xfId="0" applyFont="1" applyFill="1" applyAlignment="1">
      <alignment/>
    </xf>
    <xf numFmtId="0" fontId="3" fillId="0" borderId="0" xfId="0" applyFont="1" applyAlignment="1">
      <alignment horizontal="center"/>
    </xf>
    <xf numFmtId="37" fontId="3" fillId="0" borderId="0" xfId="0" applyNumberFormat="1" applyFont="1" applyFill="1" applyAlignment="1">
      <alignment horizontal="center"/>
    </xf>
    <xf numFmtId="10" fontId="3" fillId="0" borderId="0" xfId="0" applyNumberFormat="1" applyFont="1" applyFill="1" applyBorder="1" applyAlignment="1">
      <alignment/>
    </xf>
    <xf numFmtId="176" fontId="3" fillId="0" borderId="0" xfId="0" applyNumberFormat="1" applyFont="1" applyFill="1" applyAlignment="1">
      <alignment/>
    </xf>
    <xf numFmtId="3" fontId="18" fillId="0" borderId="0" xfId="0" applyNumberFormat="1" applyFont="1" applyFill="1" applyAlignment="1">
      <alignment/>
    </xf>
    <xf numFmtId="41" fontId="18" fillId="0" borderId="0" xfId="109" applyNumberFormat="1" applyFont="1" applyFill="1" applyBorder="1">
      <alignment/>
      <protection/>
    </xf>
    <xf numFmtId="0" fontId="24" fillId="0" borderId="0" xfId="109" applyFont="1" applyFill="1" applyAlignment="1">
      <alignment horizontal="left"/>
      <protection/>
    </xf>
    <xf numFmtId="0" fontId="3" fillId="0" borderId="0" xfId="109" applyFont="1" applyFill="1">
      <alignment/>
      <protection/>
    </xf>
    <xf numFmtId="41" fontId="3" fillId="0" borderId="0" xfId="109" applyNumberFormat="1" applyFont="1" applyFill="1">
      <alignment/>
      <protection/>
    </xf>
    <xf numFmtId="41" fontId="3" fillId="0" borderId="0" xfId="109" applyNumberFormat="1" applyFont="1" applyFill="1" applyBorder="1" applyAlignment="1">
      <alignment vertical="top"/>
      <protection/>
    </xf>
    <xf numFmtId="181" fontId="3" fillId="0" borderId="0" xfId="109" applyNumberFormat="1" applyFont="1" applyFill="1">
      <alignment/>
      <protection/>
    </xf>
    <xf numFmtId="41" fontId="3" fillId="0" borderId="0" xfId="109" applyNumberFormat="1" applyFont="1" applyFill="1" applyBorder="1">
      <alignment/>
      <protection/>
    </xf>
    <xf numFmtId="0" fontId="3" fillId="0" borderId="0" xfId="109" applyFont="1" applyFill="1" applyAlignment="1">
      <alignment horizontal="left"/>
      <protection/>
    </xf>
    <xf numFmtId="0" fontId="25" fillId="0" borderId="0" xfId="109" applyFont="1" applyFill="1" applyBorder="1">
      <alignment/>
      <protection/>
    </xf>
    <xf numFmtId="0" fontId="3" fillId="0" borderId="0" xfId="109" applyFont="1" applyFill="1" applyAlignment="1">
      <alignment horizontal="center"/>
      <protection/>
    </xf>
    <xf numFmtId="0" fontId="10" fillId="0" borderId="0" xfId="109" applyFont="1" applyFill="1" applyAlignment="1">
      <alignment horizontal="center"/>
      <protection/>
    </xf>
    <xf numFmtId="173" fontId="3" fillId="0" borderId="0" xfId="109" applyNumberFormat="1" applyFont="1" applyFill="1">
      <alignment/>
      <protection/>
    </xf>
    <xf numFmtId="173" fontId="3" fillId="0" borderId="0" xfId="109" applyNumberFormat="1" applyFont="1" applyFill="1" applyBorder="1" applyAlignment="1">
      <alignment vertical="top"/>
      <protection/>
    </xf>
    <xf numFmtId="41" fontId="3" fillId="0" borderId="15" xfId="109" applyNumberFormat="1" applyFont="1" applyFill="1" applyBorder="1">
      <alignment/>
      <protection/>
    </xf>
    <xf numFmtId="173" fontId="4" fillId="0" borderId="0" xfId="73" applyNumberFormat="1" applyFont="1" applyFill="1" applyAlignment="1">
      <alignment horizontal="center"/>
    </xf>
    <xf numFmtId="0" fontId="3" fillId="0" borderId="0" xfId="109" applyFont="1" applyFill="1" applyAlignment="1">
      <alignment horizontal="center"/>
      <protection/>
    </xf>
    <xf numFmtId="0" fontId="26" fillId="0" borderId="0" xfId="109" applyFont="1" applyFill="1" applyBorder="1">
      <alignment/>
      <protection/>
    </xf>
    <xf numFmtId="174" fontId="0" fillId="0" borderId="0" xfId="0" applyNumberFormat="1" applyAlignment="1">
      <alignment/>
    </xf>
    <xf numFmtId="0" fontId="10" fillId="0" borderId="0" xfId="109" applyFont="1" applyAlignment="1">
      <alignment horizontal="center"/>
      <protection/>
    </xf>
    <xf numFmtId="41" fontId="3" fillId="0" borderId="15" xfId="109" applyNumberFormat="1" applyFont="1" applyFill="1" applyBorder="1">
      <alignment/>
      <protection/>
    </xf>
    <xf numFmtId="0" fontId="3" fillId="0" borderId="0" xfId="113" applyNumberFormat="1" applyFont="1" applyFill="1" applyAlignment="1">
      <alignment horizontal="center"/>
    </xf>
    <xf numFmtId="166" fontId="3" fillId="0" borderId="0" xfId="113" applyNumberFormat="1" applyFont="1" applyFill="1">
      <alignment/>
    </xf>
    <xf numFmtId="1" fontId="3" fillId="0" borderId="0" xfId="113" applyNumberFormat="1" applyFont="1" applyFill="1">
      <alignment/>
    </xf>
    <xf numFmtId="172" fontId="10" fillId="0" borderId="0" xfId="113" applyFont="1" applyAlignment="1" applyProtection="1">
      <alignment horizontal="center"/>
      <protection locked="0"/>
    </xf>
    <xf numFmtId="41" fontId="3" fillId="0" borderId="0" xfId="113" applyNumberFormat="1" applyFont="1" applyAlignment="1" applyProtection="1">
      <alignment horizontal="right"/>
      <protection locked="0"/>
    </xf>
    <xf numFmtId="43" fontId="0" fillId="0" borderId="0" xfId="0" applyNumberFormat="1" applyAlignment="1">
      <alignment/>
    </xf>
    <xf numFmtId="38" fontId="0" fillId="0" borderId="0" xfId="0" applyNumberFormat="1" applyFont="1" applyFill="1" applyBorder="1" applyAlignment="1">
      <alignment/>
    </xf>
    <xf numFmtId="172" fontId="3" fillId="0" borderId="0" xfId="113" applyFont="1" applyFill="1" applyAlignment="1">
      <alignment horizontal="center"/>
    </xf>
    <xf numFmtId="173" fontId="3" fillId="0" borderId="0" xfId="73" applyNumberFormat="1" applyFont="1" applyFill="1" applyAlignment="1">
      <alignment/>
    </xf>
    <xf numFmtId="173" fontId="3" fillId="0" borderId="6" xfId="73" applyNumberFormat="1" applyFont="1" applyFill="1" applyBorder="1" applyAlignment="1">
      <alignment/>
    </xf>
    <xf numFmtId="0" fontId="1" fillId="0" borderId="0" xfId="113" applyNumberFormat="1" applyFont="1" applyFill="1" applyAlignment="1" applyProtection="1">
      <alignment horizontal="center" vertical="center"/>
      <protection locked="0"/>
    </xf>
    <xf numFmtId="0" fontId="3" fillId="0" borderId="0" xfId="113" applyNumberFormat="1" applyFont="1" applyFill="1" applyAlignment="1" applyProtection="1">
      <alignment horizontal="center" vertical="center"/>
      <protection locked="0"/>
    </xf>
    <xf numFmtId="3" fontId="3" fillId="0" borderId="0" xfId="113" applyNumberFormat="1" applyFont="1" applyFill="1" applyAlignment="1" applyProtection="1">
      <alignment horizontal="center" wrapText="1"/>
      <protection locked="0"/>
    </xf>
    <xf numFmtId="41" fontId="3" fillId="0" borderId="0" xfId="113" applyNumberFormat="1" applyFont="1" applyFill="1" applyAlignment="1" applyProtection="1">
      <alignment horizontal="center"/>
      <protection locked="0"/>
    </xf>
    <xf numFmtId="3" fontId="3" fillId="0" borderId="6" xfId="113" applyNumberFormat="1" applyFont="1" applyFill="1" applyBorder="1" applyAlignment="1" applyProtection="1">
      <alignment horizontal="center"/>
      <protection locked="0"/>
    </xf>
    <xf numFmtId="39" fontId="3" fillId="0" borderId="0" xfId="73" applyNumberFormat="1" applyFont="1" applyAlignment="1" applyProtection="1">
      <alignment horizontal="center"/>
      <protection locked="0"/>
    </xf>
    <xf numFmtId="173" fontId="3" fillId="0" borderId="6" xfId="73" applyNumberFormat="1" applyFont="1" applyBorder="1" applyAlignment="1">
      <alignment/>
    </xf>
    <xf numFmtId="0" fontId="1" fillId="0" borderId="0" xfId="117" applyFont="1">
      <alignment/>
      <protection/>
    </xf>
    <xf numFmtId="0" fontId="3" fillId="0" borderId="0" xfId="117" applyFont="1" applyAlignment="1">
      <alignment horizontal="center"/>
      <protection/>
    </xf>
    <xf numFmtId="0" fontId="3" fillId="0" borderId="0" xfId="117" applyFont="1">
      <alignment/>
      <protection/>
    </xf>
    <xf numFmtId="43" fontId="3" fillId="0" borderId="0" xfId="79" applyFont="1" applyFill="1" applyAlignment="1">
      <alignment/>
    </xf>
    <xf numFmtId="40" fontId="3" fillId="0" borderId="0" xfId="109" applyNumberFormat="1" applyFont="1" applyFill="1">
      <alignment/>
      <protection/>
    </xf>
    <xf numFmtId="3" fontId="0" fillId="0" borderId="0" xfId="0" applyNumberFormat="1" applyFont="1" applyAlignment="1">
      <alignment/>
    </xf>
    <xf numFmtId="40" fontId="0" fillId="0" borderId="0" xfId="0" applyNumberFormat="1" applyFont="1" applyAlignment="1">
      <alignment/>
    </xf>
    <xf numFmtId="183" fontId="0" fillId="0" borderId="0" xfId="0" applyNumberFormat="1" applyFont="1" applyFill="1" applyAlignment="1">
      <alignment horizontal="right"/>
    </xf>
    <xf numFmtId="8" fontId="0" fillId="0" borderId="0" xfId="0" applyNumberFormat="1" applyFont="1" applyFill="1" applyAlignment="1">
      <alignment/>
    </xf>
    <xf numFmtId="43" fontId="3" fillId="0" borderId="0" xfId="109" applyNumberFormat="1" applyFont="1" applyFill="1">
      <alignment/>
      <protection/>
    </xf>
    <xf numFmtId="3" fontId="3" fillId="0" borderId="0" xfId="0" applyNumberFormat="1" applyFont="1" applyFill="1" applyAlignment="1">
      <alignment/>
    </xf>
    <xf numFmtId="41" fontId="18" fillId="20" borderId="0" xfId="109" applyNumberFormat="1" applyFont="1" applyFill="1" applyBorder="1">
      <alignment/>
      <protection/>
    </xf>
    <xf numFmtId="0" fontId="0" fillId="0" borderId="0" xfId="0" applyFill="1" applyAlignment="1">
      <alignment horizontal="center"/>
    </xf>
    <xf numFmtId="173" fontId="0" fillId="0" borderId="0" xfId="0" applyNumberFormat="1" applyBorder="1" applyAlignment="1">
      <alignment/>
    </xf>
    <xf numFmtId="0" fontId="7" fillId="0" borderId="0" xfId="105" applyFont="1" applyFill="1" applyBorder="1" applyAlignment="1">
      <alignment horizontal="left"/>
      <protection/>
    </xf>
    <xf numFmtId="0" fontId="0" fillId="0" borderId="0" xfId="105" applyNumberFormat="1" applyFont="1" applyFill="1" applyBorder="1" applyAlignment="1">
      <alignment/>
      <protection/>
    </xf>
    <xf numFmtId="0" fontId="0" fillId="0" borderId="0" xfId="105" applyFont="1" applyBorder="1" applyAlignment="1">
      <alignment/>
      <protection/>
    </xf>
    <xf numFmtId="0" fontId="0" fillId="0" borderId="0" xfId="105" applyFont="1" applyBorder="1" applyAlignment="1">
      <alignment horizontal="center"/>
      <protection/>
    </xf>
    <xf numFmtId="0" fontId="0" fillId="0" borderId="0" xfId="105" applyFont="1" applyBorder="1">
      <alignment/>
      <protection/>
    </xf>
    <xf numFmtId="0" fontId="0" fillId="0" borderId="0" xfId="105" applyNumberFormat="1" applyFont="1" applyFill="1" applyBorder="1" applyAlignment="1">
      <alignment horizontal="left"/>
      <protection/>
    </xf>
    <xf numFmtId="0" fontId="9" fillId="0" borderId="0" xfId="105" applyNumberFormat="1" applyFont="1" applyFill="1" applyBorder="1" applyAlignment="1">
      <alignment horizontal="left"/>
      <protection/>
    </xf>
    <xf numFmtId="3" fontId="8" fillId="0" borderId="0" xfId="105" applyNumberFormat="1" applyFont="1" applyFill="1" applyBorder="1" applyAlignment="1">
      <alignment horizontal="center"/>
      <protection/>
    </xf>
    <xf numFmtId="0" fontId="8" fillId="0" borderId="0" xfId="105" applyNumberFormat="1" applyFont="1" applyFill="1" applyBorder="1" applyAlignment="1">
      <alignment horizontal="center"/>
      <protection/>
    </xf>
    <xf numFmtId="0" fontId="0" fillId="0" borderId="0" xfId="105" applyFont="1" applyFill="1" applyBorder="1" applyAlignment="1">
      <alignment horizontal="center" wrapText="1"/>
      <protection/>
    </xf>
    <xf numFmtId="3" fontId="0" fillId="0" borderId="0" xfId="105" applyNumberFormat="1" applyFont="1" applyFill="1" applyBorder="1" applyAlignment="1">
      <alignment/>
      <protection/>
    </xf>
    <xf numFmtId="0" fontId="0" fillId="0" borderId="0" xfId="105" applyFont="1" applyFill="1" applyBorder="1" applyAlignment="1">
      <alignment/>
      <protection/>
    </xf>
    <xf numFmtId="0" fontId="16" fillId="0" borderId="0" xfId="105" applyNumberFormat="1" applyFont="1" applyFill="1" applyBorder="1" applyAlignment="1">
      <alignment horizontal="left"/>
      <protection/>
    </xf>
    <xf numFmtId="0" fontId="0" fillId="0" borderId="0" xfId="105" applyNumberFormat="1" applyFont="1" applyFill="1" applyBorder="1" applyAlignment="1">
      <alignment horizontal="center"/>
      <protection/>
    </xf>
    <xf numFmtId="173" fontId="0" fillId="0" borderId="0" xfId="76" applyNumberFormat="1" applyFont="1" applyFill="1" applyBorder="1" applyAlignment="1">
      <alignment horizontal="right"/>
    </xf>
    <xf numFmtId="0" fontId="8" fillId="0" borderId="0" xfId="105" applyFont="1" applyFill="1" applyBorder="1" applyAlignment="1">
      <alignment/>
      <protection/>
    </xf>
    <xf numFmtId="0" fontId="0" fillId="0" borderId="0" xfId="105" applyFont="1" applyFill="1" applyBorder="1">
      <alignment/>
      <protection/>
    </xf>
    <xf numFmtId="0" fontId="9" fillId="0" borderId="0" xfId="105" applyFont="1" applyBorder="1" applyAlignment="1">
      <alignment/>
      <protection/>
    </xf>
    <xf numFmtId="0" fontId="9" fillId="0" borderId="0" xfId="105" applyNumberFormat="1" applyFont="1" applyFill="1" applyBorder="1" applyAlignment="1">
      <alignment horizontal="center"/>
      <protection/>
    </xf>
    <xf numFmtId="164" fontId="0" fillId="0" borderId="0" xfId="122" applyNumberFormat="1" applyFont="1" applyFill="1" applyBorder="1" applyAlignment="1">
      <alignment/>
    </xf>
    <xf numFmtId="173" fontId="0" fillId="0" borderId="0" xfId="76" applyNumberFormat="1" applyFont="1" applyFill="1" applyBorder="1" applyAlignment="1">
      <alignment horizontal="left"/>
    </xf>
    <xf numFmtId="0" fontId="0" fillId="0" borderId="0" xfId="105" applyFont="1" applyFill="1" applyBorder="1" applyAlignment="1">
      <alignment horizontal="center"/>
      <protection/>
    </xf>
    <xf numFmtId="3" fontId="0" fillId="0" borderId="0" xfId="105" applyNumberFormat="1" applyFont="1" applyFill="1" applyBorder="1" applyAlignment="1">
      <alignment horizontal="right"/>
      <protection/>
    </xf>
    <xf numFmtId="3" fontId="0" fillId="0" borderId="0" xfId="105" applyNumberFormat="1" applyFont="1" applyFill="1" applyBorder="1" applyAlignment="1">
      <alignment horizontal="center"/>
      <protection/>
    </xf>
    <xf numFmtId="1" fontId="0" fillId="0" borderId="0" xfId="105" applyNumberFormat="1" applyFont="1" applyFill="1" applyBorder="1" applyAlignment="1">
      <alignment horizontal="center"/>
      <protection/>
    </xf>
    <xf numFmtId="43" fontId="0" fillId="0" borderId="0" xfId="73" applyNumberFormat="1" applyFont="1" applyAlignment="1" applyProtection="1">
      <alignment/>
      <protection locked="0"/>
    </xf>
    <xf numFmtId="0" fontId="0" fillId="0" borderId="0" xfId="0" applyAlignment="1">
      <alignment horizontal="center" wrapText="1"/>
    </xf>
    <xf numFmtId="0" fontId="0" fillId="0" borderId="0" xfId="0" applyFont="1" applyFill="1" applyAlignment="1">
      <alignment/>
    </xf>
    <xf numFmtId="0" fontId="3" fillId="0" borderId="0" xfId="113" applyNumberFormat="1" applyFont="1" applyFill="1" applyAlignment="1" applyProtection="1">
      <alignment horizontal="left"/>
      <protection locked="0"/>
    </xf>
    <xf numFmtId="0" fontId="3" fillId="0" borderId="6" xfId="113" applyNumberFormat="1" applyFont="1" applyFill="1" applyBorder="1" applyAlignment="1" applyProtection="1">
      <alignment horizontal="center"/>
      <protection locked="0"/>
    </xf>
    <xf numFmtId="3" fontId="4" fillId="0" borderId="0" xfId="113" applyNumberFormat="1" applyFont="1" applyFill="1" applyAlignment="1" applyProtection="1">
      <alignment horizontal="right"/>
      <protection locked="0"/>
    </xf>
    <xf numFmtId="0" fontId="3" fillId="0" borderId="0" xfId="113" applyNumberFormat="1" applyFont="1" applyAlignment="1" applyProtection="1">
      <alignment horizontal="left" wrapText="1"/>
      <protection locked="0"/>
    </xf>
    <xf numFmtId="0" fontId="18" fillId="0" borderId="0" xfId="109" applyFont="1" applyFill="1">
      <alignment/>
      <protection/>
    </xf>
    <xf numFmtId="0" fontId="9" fillId="0" borderId="0" xfId="105" applyFont="1" applyBorder="1" applyAlignment="1" quotePrefix="1">
      <alignment horizontal="center"/>
      <protection/>
    </xf>
    <xf numFmtId="0" fontId="9" fillId="0" borderId="0" xfId="105" applyFont="1" applyFill="1" applyBorder="1" applyAlignment="1" quotePrefix="1">
      <alignment horizontal="center"/>
      <protection/>
    </xf>
    <xf numFmtId="0" fontId="16" fillId="0" borderId="0" xfId="105" applyFont="1" applyBorder="1" applyAlignment="1">
      <alignment horizontal="center"/>
      <protection/>
    </xf>
    <xf numFmtId="0" fontId="20" fillId="0" borderId="0" xfId="105" applyFont="1" applyFill="1" applyBorder="1" applyAlignment="1">
      <alignment horizontal="center" wrapText="1"/>
      <protection/>
    </xf>
    <xf numFmtId="172" fontId="1" fillId="0" borderId="0" xfId="115" applyBorder="1" applyAlignment="1">
      <alignment/>
    </xf>
    <xf numFmtId="173" fontId="0" fillId="0" borderId="0" xfId="105" applyNumberFormat="1" applyFont="1" applyFill="1" applyBorder="1" applyAlignment="1">
      <alignment/>
      <protection/>
    </xf>
    <xf numFmtId="173" fontId="0" fillId="0" borderId="0" xfId="105" applyNumberFormat="1" applyFont="1" applyFill="1" applyBorder="1" applyAlignment="1">
      <alignment horizontal="right"/>
      <protection/>
    </xf>
    <xf numFmtId="0" fontId="16" fillId="0" borderId="0" xfId="105" applyFont="1" applyFill="1" applyBorder="1" applyAlignment="1">
      <alignment horizontal="left"/>
      <protection/>
    </xf>
    <xf numFmtId="0" fontId="9" fillId="0" borderId="0" xfId="105" applyFont="1" applyFill="1" applyBorder="1" applyAlignment="1">
      <alignment horizontal="left"/>
      <protection/>
    </xf>
    <xf numFmtId="0" fontId="9" fillId="0" borderId="0" xfId="105" applyFont="1" applyFill="1" applyBorder="1" applyAlignment="1">
      <alignment horizontal="center"/>
      <protection/>
    </xf>
    <xf numFmtId="173" fontId="0" fillId="0" borderId="14" xfId="76" applyNumberFormat="1" applyFont="1" applyFill="1" applyBorder="1" applyAlignment="1">
      <alignment horizontal="right"/>
    </xf>
    <xf numFmtId="0" fontId="9" fillId="0" borderId="0" xfId="105" applyFont="1" applyBorder="1" applyAlignment="1">
      <alignment horizontal="center"/>
      <protection/>
    </xf>
    <xf numFmtId="0" fontId="0" fillId="0" borderId="0" xfId="109" applyFont="1" applyAlignment="1">
      <alignment horizontal="center"/>
      <protection/>
    </xf>
    <xf numFmtId="0" fontId="9" fillId="0" borderId="0" xfId="0" applyFont="1" applyFill="1" applyAlignment="1">
      <alignment horizontal="center"/>
    </xf>
    <xf numFmtId="0" fontId="3" fillId="0" borderId="0" xfId="105" applyFont="1" applyBorder="1" applyAlignment="1">
      <alignment horizontal="center"/>
      <protection/>
    </xf>
    <xf numFmtId="49" fontId="3" fillId="0" borderId="0" xfId="109" applyNumberFormat="1" applyFont="1" applyAlignment="1">
      <alignment horizontal="center"/>
      <protection/>
    </xf>
    <xf numFmtId="174" fontId="0" fillId="0" borderId="0" xfId="73" applyNumberFormat="1" applyFont="1" applyFill="1" applyAlignment="1">
      <alignment/>
    </xf>
    <xf numFmtId="174" fontId="0" fillId="0" borderId="0" xfId="73" applyNumberFormat="1" applyFont="1" applyFill="1" applyAlignment="1">
      <alignment/>
    </xf>
    <xf numFmtId="3" fontId="3" fillId="0" borderId="0" xfId="113" applyNumberFormat="1" applyFont="1" applyFill="1" applyAlignment="1" applyProtection="1">
      <alignment vertical="center"/>
      <protection locked="0"/>
    </xf>
    <xf numFmtId="0" fontId="0" fillId="0" borderId="0" xfId="0" applyAlignment="1">
      <alignment horizontal="right"/>
    </xf>
    <xf numFmtId="173" fontId="0" fillId="0" borderId="0" xfId="0" applyNumberFormat="1" applyFont="1" applyFill="1" applyBorder="1" applyAlignment="1">
      <alignment horizontal="right"/>
    </xf>
    <xf numFmtId="173" fontId="0" fillId="0" borderId="15" xfId="0" applyNumberFormat="1" applyBorder="1" applyAlignment="1">
      <alignment/>
    </xf>
    <xf numFmtId="3" fontId="10" fillId="0" borderId="0" xfId="113" applyNumberFormat="1" applyFont="1" applyFill="1" applyAlignment="1" applyProtection="1">
      <alignment/>
      <protection locked="0"/>
    </xf>
    <xf numFmtId="173" fontId="3" fillId="0" borderId="0" xfId="73" applyNumberFormat="1" applyFont="1" applyFill="1" applyAlignment="1" applyProtection="1">
      <alignment/>
      <protection locked="0"/>
    </xf>
    <xf numFmtId="3" fontId="3" fillId="0" borderId="0" xfId="113" applyNumberFormat="1" applyFont="1" applyFill="1" applyAlignment="1" applyProtection="1">
      <alignment horizontal="center" vertical="center"/>
      <protection locked="0"/>
    </xf>
    <xf numFmtId="41" fontId="3" fillId="0" borderId="0" xfId="113" applyNumberFormat="1" applyFont="1" applyFill="1" applyAlignment="1" applyProtection="1">
      <alignment vertical="center"/>
      <protection locked="0"/>
    </xf>
    <xf numFmtId="0" fontId="1" fillId="0" borderId="0" xfId="0" applyFont="1" applyAlignment="1">
      <alignment/>
    </xf>
    <xf numFmtId="0" fontId="9" fillId="0" borderId="0" xfId="105" applyFont="1" applyBorder="1">
      <alignment/>
      <protection/>
    </xf>
    <xf numFmtId="42" fontId="3" fillId="0" borderId="14" xfId="113" applyNumberFormat="1" applyFont="1" applyBorder="1" applyAlignment="1" applyProtection="1">
      <alignment/>
      <protection locked="0"/>
    </xf>
    <xf numFmtId="3" fontId="21" fillId="0" borderId="0" xfId="113" applyNumberFormat="1" applyFont="1" applyFill="1" applyAlignment="1" applyProtection="1">
      <alignment horizontal="left"/>
      <protection locked="0"/>
    </xf>
    <xf numFmtId="0" fontId="13" fillId="0" borderId="0" xfId="113" applyNumberFormat="1" applyFont="1" applyFill="1" applyBorder="1" applyAlignment="1" applyProtection="1">
      <alignment horizontal="left"/>
      <protection locked="0"/>
    </xf>
    <xf numFmtId="3" fontId="4" fillId="0" borderId="0" xfId="113" applyNumberFormat="1" applyFont="1" applyFill="1" applyAlignment="1" applyProtection="1">
      <alignment/>
      <protection locked="0"/>
    </xf>
    <xf numFmtId="172" fontId="4" fillId="0" borderId="0" xfId="113" applyFont="1" applyFill="1" applyAlignment="1" applyProtection="1">
      <alignment horizontal="right"/>
      <protection locked="0"/>
    </xf>
    <xf numFmtId="182" fontId="4" fillId="0" borderId="0" xfId="73" applyNumberFormat="1" applyFont="1" applyFill="1" applyAlignment="1" applyProtection="1">
      <alignment/>
      <protection locked="0"/>
    </xf>
    <xf numFmtId="185" fontId="3" fillId="0" borderId="0" xfId="113" applyNumberFormat="1" applyFont="1" applyFill="1" applyAlignment="1" applyProtection="1">
      <alignment/>
      <protection locked="0"/>
    </xf>
    <xf numFmtId="184" fontId="3" fillId="0" borderId="0" xfId="113" applyNumberFormat="1" applyFont="1" applyFill="1" applyAlignment="1" applyProtection="1">
      <alignment/>
      <protection locked="0"/>
    </xf>
    <xf numFmtId="3" fontId="4" fillId="0" borderId="0" xfId="113" applyNumberFormat="1" applyFont="1" applyFill="1" applyAlignment="1" applyProtection="1">
      <alignment horizontal="right" vertical="center"/>
      <protection locked="0"/>
    </xf>
    <xf numFmtId="165" fontId="3" fillId="0" borderId="0" xfId="113" applyNumberFormat="1" applyFont="1" applyFill="1" applyAlignment="1" applyProtection="1">
      <alignment/>
      <protection locked="0"/>
    </xf>
    <xf numFmtId="164" fontId="3" fillId="0" borderId="0" xfId="113" applyNumberFormat="1" applyFont="1" applyFill="1" applyAlignment="1" applyProtection="1">
      <alignment horizontal="center"/>
      <protection locked="0"/>
    </xf>
    <xf numFmtId="177" fontId="3" fillId="0" borderId="0" xfId="73" applyNumberFormat="1" applyFont="1" applyFill="1" applyAlignment="1" applyProtection="1">
      <alignment horizontal="center"/>
      <protection locked="0"/>
    </xf>
    <xf numFmtId="182" fontId="3" fillId="0" borderId="0" xfId="73" applyNumberFormat="1" applyFont="1" applyFill="1" applyAlignment="1" applyProtection="1">
      <alignment/>
      <protection locked="0"/>
    </xf>
    <xf numFmtId="10" fontId="3" fillId="0" borderId="0" xfId="120" applyNumberFormat="1" applyFont="1" applyFill="1" applyAlignment="1" applyProtection="1">
      <alignment/>
      <protection locked="0"/>
    </xf>
    <xf numFmtId="3" fontId="3" fillId="0" borderId="6" xfId="113" applyNumberFormat="1" applyFont="1" applyFill="1" applyBorder="1" applyAlignment="1" applyProtection="1">
      <alignment/>
      <protection locked="0"/>
    </xf>
    <xf numFmtId="172" fontId="1" fillId="0" borderId="0" xfId="115" applyFill="1" applyBorder="1" applyAlignment="1">
      <alignment/>
    </xf>
    <xf numFmtId="173" fontId="8" fillId="4" borderId="0" xfId="76" applyNumberFormat="1" applyFont="1" applyFill="1" applyBorder="1" applyAlignment="1">
      <alignment horizontal="right"/>
    </xf>
    <xf numFmtId="37" fontId="8" fillId="4" borderId="0" xfId="0" applyNumberFormat="1" applyFont="1" applyFill="1" applyAlignment="1">
      <alignment/>
    </xf>
    <xf numFmtId="41" fontId="8" fillId="4" borderId="0" xfId="109" applyNumberFormat="1" applyFont="1" applyFill="1">
      <alignment/>
      <protection/>
    </xf>
    <xf numFmtId="43" fontId="0" fillId="0" borderId="15" xfId="0" applyNumberFormat="1" applyBorder="1" applyAlignment="1">
      <alignment/>
    </xf>
    <xf numFmtId="43" fontId="8" fillId="4" borderId="0" xfId="0" applyNumberFormat="1" applyFont="1" applyFill="1" applyAlignment="1">
      <alignment/>
    </xf>
    <xf numFmtId="43" fontId="8" fillId="4" borderId="0" xfId="73" applyFont="1" applyFill="1" applyAlignment="1">
      <alignment/>
    </xf>
    <xf numFmtId="3" fontId="3" fillId="0" borderId="0" xfId="0" applyNumberFormat="1" applyFont="1" applyFill="1" applyAlignment="1">
      <alignment horizontal="center"/>
    </xf>
    <xf numFmtId="3" fontId="3" fillId="0" borderId="0" xfId="0" applyNumberFormat="1" applyFont="1" applyFill="1" applyAlignment="1" quotePrefix="1">
      <alignment horizontal="center"/>
    </xf>
    <xf numFmtId="41" fontId="18" fillId="4" borderId="0" xfId="109" applyNumberFormat="1" applyFont="1" applyFill="1" applyBorder="1">
      <alignment/>
      <protection/>
    </xf>
    <xf numFmtId="3" fontId="10" fillId="0" borderId="0" xfId="0" applyNumberFormat="1" applyFont="1" applyFill="1" applyAlignment="1">
      <alignment horizontal="center"/>
    </xf>
    <xf numFmtId="10" fontId="18" fillId="4" borderId="0" xfId="0" applyNumberFormat="1" applyFont="1" applyFill="1" applyBorder="1" applyAlignment="1">
      <alignment/>
    </xf>
    <xf numFmtId="10" fontId="18" fillId="4" borderId="11" xfId="0" applyNumberFormat="1" applyFont="1" applyFill="1" applyBorder="1" applyAlignment="1">
      <alignment/>
    </xf>
    <xf numFmtId="0" fontId="0" fillId="0" borderId="6" xfId="0" applyBorder="1" applyAlignment="1">
      <alignment/>
    </xf>
    <xf numFmtId="0" fontId="3" fillId="0" borderId="0" xfId="0" applyNumberFormat="1" applyFont="1" applyFill="1" applyAlignment="1">
      <alignment/>
    </xf>
    <xf numFmtId="3" fontId="3" fillId="0" borderId="0" xfId="113" applyNumberFormat="1" applyFont="1" applyFill="1" applyAlignment="1" applyProtection="1">
      <alignment horizontal="left"/>
      <protection locked="0"/>
    </xf>
    <xf numFmtId="42" fontId="3" fillId="0" borderId="0" xfId="113" applyNumberFormat="1" applyFont="1" applyFill="1" applyAlignment="1" applyProtection="1">
      <alignment/>
      <protection locked="0"/>
    </xf>
    <xf numFmtId="43" fontId="3" fillId="0" borderId="0" xfId="73" applyFont="1" applyAlignment="1" applyProtection="1">
      <alignment/>
      <protection locked="0"/>
    </xf>
    <xf numFmtId="171" fontId="3" fillId="0" borderId="0" xfId="113" applyNumberFormat="1" applyFont="1" applyProtection="1">
      <alignment/>
      <protection locked="0"/>
    </xf>
    <xf numFmtId="10" fontId="3" fillId="0" borderId="0" xfId="113" applyNumberFormat="1" applyFont="1" applyAlignment="1" applyProtection="1">
      <alignment/>
      <protection locked="0"/>
    </xf>
    <xf numFmtId="10" fontId="3" fillId="0" borderId="0" xfId="113" applyNumberFormat="1" applyFont="1" applyProtection="1">
      <alignment/>
      <protection locked="0"/>
    </xf>
    <xf numFmtId="0" fontId="11" fillId="0" borderId="0" xfId="0" applyFont="1" applyAlignment="1">
      <alignment/>
    </xf>
    <xf numFmtId="173" fontId="0" fillId="0" borderId="0" xfId="73" applyNumberFormat="1" applyAlignment="1">
      <alignment/>
    </xf>
    <xf numFmtId="0" fontId="17" fillId="0" borderId="0" xfId="0" applyFont="1" applyFill="1" applyAlignment="1">
      <alignment horizontal="right"/>
    </xf>
    <xf numFmtId="0" fontId="17" fillId="0" borderId="0" xfId="0" applyFont="1" applyFill="1" applyAlignment="1">
      <alignment horizontal="left"/>
    </xf>
    <xf numFmtId="0" fontId="17" fillId="0" borderId="0" xfId="0" applyFont="1" applyFill="1" applyBorder="1" applyAlignment="1">
      <alignment horizontal="right"/>
    </xf>
    <xf numFmtId="0" fontId="61" fillId="0" borderId="0" xfId="0" applyFont="1" applyFill="1" applyAlignment="1">
      <alignment/>
    </xf>
    <xf numFmtId="0" fontId="2" fillId="0" borderId="0" xfId="0" applyFont="1" applyFill="1" applyAlignment="1">
      <alignment/>
    </xf>
    <xf numFmtId="0" fontId="4" fillId="0" borderId="0" xfId="0" applyFont="1" applyAlignment="1">
      <alignment horizontal="left"/>
    </xf>
    <xf numFmtId="0" fontId="0" fillId="0" borderId="0" xfId="113" applyNumberFormat="1" applyFont="1" applyBorder="1" applyAlignment="1" applyProtection="1">
      <alignment/>
      <protection locked="0"/>
    </xf>
    <xf numFmtId="3" fontId="0" fillId="0" borderId="0" xfId="113" applyNumberFormat="1" applyFont="1" applyAlignment="1" applyProtection="1">
      <alignment/>
      <protection locked="0"/>
    </xf>
    <xf numFmtId="172" fontId="0" fillId="0" borderId="0" xfId="113" applyFont="1" applyAlignment="1" applyProtection="1">
      <alignment/>
      <protection locked="0"/>
    </xf>
    <xf numFmtId="172" fontId="0" fillId="0" borderId="0" xfId="113" applyFont="1" applyBorder="1" applyAlignment="1" applyProtection="1">
      <alignment/>
      <protection locked="0"/>
    </xf>
    <xf numFmtId="10" fontId="0" fillId="0" borderId="0" xfId="113" applyNumberFormat="1" applyFont="1" applyFill="1" applyAlignment="1" applyProtection="1">
      <alignment horizontal="right"/>
      <protection locked="0"/>
    </xf>
    <xf numFmtId="172" fontId="0" fillId="0" borderId="16" xfId="113" applyFont="1" applyBorder="1" applyAlignment="1" applyProtection="1">
      <alignment/>
      <protection locked="0"/>
    </xf>
    <xf numFmtId="3" fontId="0" fillId="0" borderId="17" xfId="113" applyNumberFormat="1" applyFont="1" applyBorder="1" applyAlignment="1" applyProtection="1">
      <alignment/>
      <protection locked="0"/>
    </xf>
    <xf numFmtId="3" fontId="12" fillId="0" borderId="0" xfId="113" applyNumberFormat="1" applyFont="1" applyAlignment="1" applyProtection="1">
      <alignment horizontal="center"/>
      <protection locked="0"/>
    </xf>
    <xf numFmtId="10" fontId="12" fillId="0" borderId="0" xfId="113" applyNumberFormat="1" applyFont="1" applyFill="1" applyAlignment="1" applyProtection="1">
      <alignment horizontal="center"/>
      <protection locked="0"/>
    </xf>
    <xf numFmtId="0" fontId="0" fillId="0" borderId="0" xfId="113" applyNumberFormat="1" applyFont="1" applyFill="1" applyBorder="1" applyAlignment="1" applyProtection="1">
      <alignment horizontal="right"/>
      <protection locked="0"/>
    </xf>
    <xf numFmtId="10" fontId="0" fillId="0" borderId="0" xfId="0" applyNumberFormat="1" applyAlignment="1">
      <alignment horizontal="center"/>
    </xf>
    <xf numFmtId="166" fontId="0" fillId="0" borderId="0" xfId="113" applyNumberFormat="1" applyFont="1" applyAlignment="1" applyProtection="1">
      <alignment horizontal="center"/>
      <protection locked="0"/>
    </xf>
    <xf numFmtId="166" fontId="0" fillId="0" borderId="0" xfId="113" applyNumberFormat="1" applyFont="1" applyBorder="1" applyAlignment="1" applyProtection="1">
      <alignment horizontal="center"/>
      <protection locked="0"/>
    </xf>
    <xf numFmtId="41" fontId="0" fillId="0" borderId="0" xfId="113" applyNumberFormat="1" applyFont="1" applyAlignment="1" applyProtection="1">
      <alignment/>
      <protection locked="0"/>
    </xf>
    <xf numFmtId="41" fontId="0" fillId="0" borderId="0" xfId="113" applyNumberFormat="1" applyFont="1" applyAlignment="1" applyProtection="1">
      <alignment horizontal="center"/>
      <protection locked="0"/>
    </xf>
    <xf numFmtId="41" fontId="0" fillId="0" borderId="0" xfId="113" applyNumberFormat="1" applyFont="1" applyBorder="1" applyAlignment="1" applyProtection="1">
      <alignment horizontal="center"/>
      <protection locked="0"/>
    </xf>
    <xf numFmtId="0" fontId="0" fillId="0" borderId="0" xfId="113" applyNumberFormat="1" applyFont="1" applyBorder="1" applyAlignment="1" applyProtection="1">
      <alignment horizontal="right"/>
      <protection locked="0"/>
    </xf>
    <xf numFmtId="3" fontId="0" fillId="0" borderId="0" xfId="113" applyNumberFormat="1" applyFont="1" applyAlignment="1" applyProtection="1">
      <alignment horizontal="right"/>
      <protection locked="0"/>
    </xf>
    <xf numFmtId="10" fontId="0" fillId="0" borderId="0" xfId="113" applyNumberFormat="1" applyFont="1" applyFill="1" applyAlignment="1" applyProtection="1">
      <alignment horizontal="left"/>
      <protection locked="0"/>
    </xf>
    <xf numFmtId="41" fontId="0" fillId="0" borderId="0" xfId="113" applyNumberFormat="1" applyFont="1" applyBorder="1" applyAlignment="1" applyProtection="1">
      <alignment/>
      <protection locked="0"/>
    </xf>
    <xf numFmtId="41" fontId="0" fillId="0" borderId="0" xfId="113" applyNumberFormat="1" applyFont="1" applyFill="1" applyAlignment="1" applyProtection="1">
      <alignment/>
      <protection locked="0"/>
    </xf>
    <xf numFmtId="0" fontId="0" fillId="0" borderId="0" xfId="0" applyFont="1" applyBorder="1" applyAlignment="1">
      <alignment/>
    </xf>
    <xf numFmtId="41" fontId="0" fillId="0" borderId="0" xfId="113" applyNumberFormat="1" applyFont="1" applyFill="1" applyAlignment="1" applyProtection="1">
      <alignment horizontal="left"/>
      <protection locked="0"/>
    </xf>
    <xf numFmtId="41" fontId="0" fillId="0" borderId="0" xfId="113" applyNumberFormat="1" applyFont="1" applyFill="1" applyBorder="1" applyAlignment="1" applyProtection="1">
      <alignment horizontal="right"/>
      <protection locked="0"/>
    </xf>
    <xf numFmtId="167" fontId="0" fillId="0" borderId="0" xfId="113" applyNumberFormat="1" applyFont="1" applyAlignment="1" applyProtection="1">
      <alignment/>
      <protection locked="0"/>
    </xf>
    <xf numFmtId="164" fontId="0" fillId="0" borderId="0" xfId="113" applyNumberFormat="1" applyFont="1" applyFill="1" applyBorder="1" applyAlignment="1" applyProtection="1">
      <alignment horizontal="left"/>
      <protection locked="0"/>
    </xf>
    <xf numFmtId="164" fontId="0" fillId="0" borderId="0" xfId="113" applyNumberFormat="1" applyFont="1" applyBorder="1" applyAlignment="1" applyProtection="1">
      <alignment horizontal="left"/>
      <protection locked="0"/>
    </xf>
    <xf numFmtId="3" fontId="0" fillId="0" borderId="0" xfId="113" applyNumberFormat="1" applyFont="1" applyAlignment="1" applyProtection="1">
      <alignment vertical="center" wrapText="1"/>
      <protection locked="0"/>
    </xf>
    <xf numFmtId="41" fontId="0" fillId="0" borderId="0" xfId="113" applyNumberFormat="1" applyFont="1" applyBorder="1" applyAlignment="1" applyProtection="1">
      <alignment vertical="center"/>
      <protection locked="0"/>
    </xf>
    <xf numFmtId="41" fontId="0" fillId="0" borderId="0" xfId="113" applyNumberFormat="1" applyFont="1" applyBorder="1" applyAlignment="1" applyProtection="1">
      <alignment horizontal="center" vertical="center"/>
      <protection locked="0"/>
    </xf>
    <xf numFmtId="41" fontId="0" fillId="0" borderId="0" xfId="113" applyNumberFormat="1" applyFont="1" applyAlignment="1" applyProtection="1">
      <alignment horizontal="right"/>
      <protection locked="0"/>
    </xf>
    <xf numFmtId="0" fontId="0" fillId="0" borderId="0" xfId="0" applyFont="1" applyAlignment="1">
      <alignment horizontal="center"/>
    </xf>
    <xf numFmtId="173" fontId="0" fillId="0" borderId="0" xfId="73" applyNumberFormat="1" applyFont="1" applyAlignment="1">
      <alignment/>
    </xf>
    <xf numFmtId="41" fontId="0" fillId="0" borderId="0" xfId="0" applyNumberFormat="1" applyFont="1" applyAlignment="1">
      <alignment/>
    </xf>
    <xf numFmtId="41" fontId="0" fillId="0" borderId="0" xfId="113" applyNumberFormat="1" applyFont="1" applyFill="1" applyBorder="1" applyAlignment="1" applyProtection="1">
      <alignment/>
      <protection locked="0"/>
    </xf>
    <xf numFmtId="0" fontId="0" fillId="0" borderId="0" xfId="113" applyNumberFormat="1" applyFont="1" applyFill="1" applyBorder="1" applyAlignment="1" applyProtection="1">
      <alignment/>
      <protection locked="0"/>
    </xf>
    <xf numFmtId="3" fontId="0" fillId="0" borderId="0" xfId="113" applyNumberFormat="1" applyFont="1" applyFill="1" applyBorder="1" applyAlignment="1" applyProtection="1">
      <alignment/>
      <protection locked="0"/>
    </xf>
    <xf numFmtId="41" fontId="0" fillId="0" borderId="0" xfId="113" applyNumberFormat="1" applyFont="1" applyFill="1" applyBorder="1" applyAlignment="1" applyProtection="1">
      <alignment horizontal="center"/>
      <protection locked="0"/>
    </xf>
    <xf numFmtId="0" fontId="0" fillId="0" borderId="0" xfId="113" applyNumberFormat="1" applyFont="1" applyFill="1" applyBorder="1" applyProtection="1">
      <alignment/>
      <protection locked="0"/>
    </xf>
    <xf numFmtId="41" fontId="12" fillId="0" borderId="0" xfId="113" applyNumberFormat="1" applyFont="1" applyFill="1" applyBorder="1" applyAlignment="1" applyProtection="1">
      <alignment/>
      <protection locked="0"/>
    </xf>
    <xf numFmtId="3" fontId="0" fillId="0" borderId="0" xfId="113" applyNumberFormat="1" applyFont="1" applyFill="1" applyBorder="1" applyAlignment="1" applyProtection="1">
      <alignment horizontal="center"/>
      <protection locked="0"/>
    </xf>
    <xf numFmtId="0" fontId="0" fillId="0" borderId="0" xfId="113" applyNumberFormat="1" applyFont="1" applyFill="1" applyBorder="1" applyAlignment="1" applyProtection="1">
      <alignment horizontal="center"/>
      <protection locked="0"/>
    </xf>
    <xf numFmtId="10" fontId="0" fillId="0" borderId="0" xfId="113" applyNumberFormat="1" applyFont="1" applyFill="1" applyBorder="1" applyAlignment="1" applyProtection="1">
      <alignment/>
      <protection locked="0"/>
    </xf>
    <xf numFmtId="169" fontId="0" fillId="0" borderId="0" xfId="113" applyNumberFormat="1" applyFont="1" applyFill="1" applyBorder="1" applyAlignment="1" applyProtection="1">
      <alignment/>
      <protection locked="0"/>
    </xf>
    <xf numFmtId="172" fontId="0" fillId="0" borderId="0" xfId="113" applyFont="1" applyFill="1" applyBorder="1" applyAlignment="1" applyProtection="1">
      <alignment/>
      <protection locked="0"/>
    </xf>
    <xf numFmtId="169" fontId="9" fillId="0" borderId="0" xfId="113" applyNumberFormat="1" applyFont="1" applyFill="1" applyBorder="1" applyAlignment="1" applyProtection="1">
      <alignment/>
      <protection locked="0"/>
    </xf>
    <xf numFmtId="0" fontId="0" fillId="0" borderId="0" xfId="0" applyFont="1" applyFill="1" applyBorder="1" applyAlignment="1">
      <alignment horizontal="center"/>
    </xf>
    <xf numFmtId="41" fontId="0" fillId="0" borderId="0" xfId="0" applyNumberFormat="1" applyFont="1" applyFill="1" applyBorder="1" applyAlignment="1">
      <alignment/>
    </xf>
    <xf numFmtId="173" fontId="0" fillId="0" borderId="0" xfId="73" applyNumberFormat="1" applyFont="1" applyFill="1" applyBorder="1" applyAlignment="1">
      <alignment/>
    </xf>
    <xf numFmtId="41" fontId="12" fillId="0" borderId="0" xfId="0" applyNumberFormat="1" applyFont="1" applyAlignment="1">
      <alignment/>
    </xf>
    <xf numFmtId="10" fontId="0" fillId="0" borderId="0" xfId="0" applyNumberFormat="1" applyFont="1" applyAlignment="1">
      <alignment/>
    </xf>
    <xf numFmtId="10" fontId="12" fillId="0" borderId="0" xfId="0" applyNumberFormat="1" applyFont="1" applyAlignment="1">
      <alignment/>
    </xf>
    <xf numFmtId="43" fontId="0" fillId="0" borderId="0" xfId="73" applyFont="1" applyAlignment="1">
      <alignment/>
    </xf>
    <xf numFmtId="173" fontId="0" fillId="0" borderId="0" xfId="0" applyNumberFormat="1" applyFont="1" applyAlignment="1">
      <alignment/>
    </xf>
    <xf numFmtId="0" fontId="63" fillId="25" borderId="0" xfId="0" applyFont="1" applyFill="1" applyBorder="1" applyAlignment="1">
      <alignment/>
    </xf>
    <xf numFmtId="173" fontId="0" fillId="0" borderId="0" xfId="73" applyNumberFormat="1" applyFont="1" applyBorder="1" applyAlignment="1">
      <alignment/>
    </xf>
    <xf numFmtId="0" fontId="3" fillId="0" borderId="0" xfId="73" applyNumberFormat="1" applyFont="1" applyFill="1" applyAlignment="1">
      <alignment horizontal="left"/>
    </xf>
    <xf numFmtId="0" fontId="3" fillId="0" borderId="0" xfId="73" applyNumberFormat="1" applyFont="1" applyFill="1" applyBorder="1" applyAlignment="1">
      <alignment horizontal="left"/>
    </xf>
    <xf numFmtId="0" fontId="7" fillId="0" borderId="0" xfId="0" applyFont="1" applyFill="1" applyAlignment="1">
      <alignment/>
    </xf>
    <xf numFmtId="0" fontId="7" fillId="0" borderId="0" xfId="0" applyFont="1" applyFill="1" applyAlignment="1">
      <alignment/>
    </xf>
    <xf numFmtId="0" fontId="0" fillId="0" borderId="0" xfId="0" applyFont="1" applyFill="1" applyAlignment="1">
      <alignment/>
    </xf>
    <xf numFmtId="0" fontId="0" fillId="0" borderId="0" xfId="0" applyFont="1" applyFill="1" applyAlignment="1">
      <alignment wrapText="1"/>
    </xf>
    <xf numFmtId="0" fontId="0" fillId="0" borderId="0" xfId="0" applyFont="1" applyFill="1" applyBorder="1" applyAlignment="1">
      <alignment wrapText="1"/>
    </xf>
    <xf numFmtId="0" fontId="0" fillId="0" borderId="0" xfId="0" applyFont="1" applyBorder="1" applyAlignment="1">
      <alignment horizontal="center"/>
    </xf>
    <xf numFmtId="0" fontId="0" fillId="0" borderId="18" xfId="0" applyFont="1" applyFill="1" applyBorder="1" applyAlignment="1">
      <alignment/>
    </xf>
    <xf numFmtId="10" fontId="0" fillId="0" borderId="19" xfId="0" applyNumberFormat="1" applyFont="1" applyBorder="1" applyAlignment="1">
      <alignment/>
    </xf>
    <xf numFmtId="10" fontId="0" fillId="0" borderId="0" xfId="0" applyNumberFormat="1" applyFont="1" applyFill="1" applyBorder="1" applyAlignment="1">
      <alignment/>
    </xf>
    <xf numFmtId="10" fontId="0" fillId="0" borderId="0" xfId="0" applyNumberFormat="1" applyFont="1" applyBorder="1" applyAlignment="1">
      <alignment/>
    </xf>
    <xf numFmtId="173" fontId="0" fillId="0" borderId="19" xfId="73" applyNumberFormat="1" applyFont="1" applyBorder="1" applyAlignment="1">
      <alignment/>
    </xf>
    <xf numFmtId="173" fontId="9" fillId="0" borderId="20" xfId="73" applyNumberFormat="1" applyFont="1" applyBorder="1" applyAlignment="1">
      <alignment horizontal="center" wrapText="1"/>
    </xf>
    <xf numFmtId="0" fontId="9" fillId="0" borderId="21" xfId="0" applyFont="1" applyBorder="1" applyAlignment="1">
      <alignment horizontal="center"/>
    </xf>
    <xf numFmtId="173" fontId="9" fillId="0" borderId="22" xfId="73" applyNumberFormat="1" applyFont="1" applyBorder="1" applyAlignment="1">
      <alignment horizontal="center"/>
    </xf>
    <xf numFmtId="0" fontId="9" fillId="0" borderId="21" xfId="0" applyFont="1" applyFill="1" applyBorder="1" applyAlignment="1">
      <alignment horizontal="center"/>
    </xf>
    <xf numFmtId="0" fontId="9" fillId="0" borderId="23" xfId="0" applyFont="1" applyFill="1" applyBorder="1" applyAlignment="1">
      <alignment horizontal="center"/>
    </xf>
    <xf numFmtId="173" fontId="9" fillId="0" borderId="21" xfId="73" applyNumberFormat="1" applyFont="1" applyBorder="1" applyAlignment="1">
      <alignment horizontal="center"/>
    </xf>
    <xf numFmtId="0" fontId="0" fillId="0" borderId="23" xfId="0" applyNumberFormat="1" applyFont="1" applyBorder="1" applyAlignment="1">
      <alignment horizontal="center"/>
    </xf>
    <xf numFmtId="173" fontId="0" fillId="0" borderId="0" xfId="0" applyNumberFormat="1" applyFont="1" applyBorder="1" applyAlignment="1">
      <alignment/>
    </xf>
    <xf numFmtId="174" fontId="0" fillId="0" borderId="20" xfId="0" applyNumberFormat="1" applyFont="1" applyBorder="1" applyAlignment="1">
      <alignment/>
    </xf>
    <xf numFmtId="173" fontId="0" fillId="0" borderId="23" xfId="0" applyNumberFormat="1" applyFont="1" applyBorder="1" applyAlignment="1">
      <alignment/>
    </xf>
    <xf numFmtId="173" fontId="0" fillId="0" borderId="23" xfId="73" applyNumberFormat="1" applyFont="1" applyBorder="1" applyAlignment="1">
      <alignment/>
    </xf>
    <xf numFmtId="174" fontId="0" fillId="0" borderId="23" xfId="0" applyNumberFormat="1" applyFont="1" applyBorder="1" applyAlignment="1">
      <alignment/>
    </xf>
    <xf numFmtId="0" fontId="0" fillId="0" borderId="21" xfId="0" applyNumberFormat="1" applyFont="1" applyBorder="1" applyAlignment="1">
      <alignment horizontal="center"/>
    </xf>
    <xf numFmtId="173" fontId="0" fillId="0" borderId="6" xfId="0" applyNumberFormat="1" applyFont="1" applyBorder="1" applyAlignment="1">
      <alignment/>
    </xf>
    <xf numFmtId="173" fontId="0" fillId="0" borderId="21" xfId="0" applyNumberFormat="1" applyFont="1" applyBorder="1" applyAlignment="1">
      <alignment/>
    </xf>
    <xf numFmtId="173" fontId="0" fillId="0" borderId="21" xfId="73" applyNumberFormat="1" applyFont="1" applyBorder="1" applyAlignment="1">
      <alignment/>
    </xf>
    <xf numFmtId="173" fontId="0" fillId="0" borderId="22" xfId="73" applyNumberFormat="1" applyFont="1" applyBorder="1" applyAlignment="1">
      <alignment/>
    </xf>
    <xf numFmtId="174" fontId="0" fillId="0" borderId="21" xfId="0" applyNumberFormat="1" applyFont="1" applyBorder="1" applyAlignment="1">
      <alignment/>
    </xf>
    <xf numFmtId="174" fontId="0" fillId="0" borderId="0" xfId="0" applyNumberFormat="1" applyFont="1" applyBorder="1" applyAlignment="1">
      <alignment/>
    </xf>
    <xf numFmtId="0" fontId="11" fillId="0" borderId="0" xfId="0" applyFont="1" applyFill="1" applyAlignment="1">
      <alignment/>
    </xf>
    <xf numFmtId="173" fontId="0" fillId="0" borderId="0" xfId="73" applyNumberFormat="1" applyFill="1" applyAlignment="1">
      <alignment/>
    </xf>
    <xf numFmtId="10" fontId="0" fillId="0" borderId="0" xfId="120" applyNumberFormat="1" applyFont="1" applyFill="1" applyBorder="1" applyAlignment="1" applyProtection="1">
      <alignment/>
      <protection locked="0"/>
    </xf>
    <xf numFmtId="0" fontId="64" fillId="0" borderId="0" xfId="0" applyFont="1" applyFill="1" applyAlignment="1">
      <alignment/>
    </xf>
    <xf numFmtId="0" fontId="4" fillId="0" borderId="0" xfId="0" applyFont="1" applyFill="1" applyAlignment="1">
      <alignment/>
    </xf>
    <xf numFmtId="0" fontId="65" fillId="0" borderId="0" xfId="0" applyFont="1" applyAlignment="1">
      <alignment horizontal="left"/>
    </xf>
    <xf numFmtId="173" fontId="20" fillId="0" borderId="0" xfId="0" applyNumberFormat="1" applyFont="1" applyAlignment="1">
      <alignment horizontal="left"/>
    </xf>
    <xf numFmtId="0" fontId="0" fillId="0" borderId="24" xfId="0" applyFont="1" applyFill="1" applyBorder="1" applyAlignment="1">
      <alignment horizontal="center"/>
    </xf>
    <xf numFmtId="0" fontId="0" fillId="0" borderId="25" xfId="0" applyBorder="1" applyAlignment="1">
      <alignment/>
    </xf>
    <xf numFmtId="0" fontId="0" fillId="0" borderId="0" xfId="0" applyFill="1" applyBorder="1" applyAlignment="1">
      <alignment/>
    </xf>
    <xf numFmtId="0" fontId="0" fillId="0" borderId="26" xfId="0" applyFont="1" applyBorder="1" applyAlignment="1">
      <alignment/>
    </xf>
    <xf numFmtId="0" fontId="0" fillId="0" borderId="6" xfId="0" applyFont="1" applyBorder="1" applyAlignment="1">
      <alignment horizontal="center"/>
    </xf>
    <xf numFmtId="0" fontId="9" fillId="0" borderId="20" xfId="0" applyFont="1" applyBorder="1" applyAlignment="1">
      <alignment horizontal="center" wrapText="1"/>
    </xf>
    <xf numFmtId="173" fontId="9" fillId="0" borderId="0" xfId="73" applyNumberFormat="1" applyFont="1" applyBorder="1" applyAlignment="1">
      <alignment horizontal="center" wrapText="1"/>
    </xf>
    <xf numFmtId="173" fontId="9" fillId="0" borderId="17" xfId="73" applyNumberFormat="1" applyFont="1" applyBorder="1" applyAlignment="1">
      <alignment horizontal="center" wrapText="1"/>
    </xf>
    <xf numFmtId="0" fontId="9" fillId="0" borderId="23" xfId="0" applyFont="1" applyBorder="1" applyAlignment="1">
      <alignment horizontal="center" wrapText="1"/>
    </xf>
    <xf numFmtId="0" fontId="9" fillId="0" borderId="0" xfId="0" applyFont="1" applyBorder="1" applyAlignment="1">
      <alignment horizontal="center" wrapText="1"/>
    </xf>
    <xf numFmtId="0" fontId="9" fillId="0" borderId="6" xfId="0" applyFont="1" applyBorder="1" applyAlignment="1">
      <alignment horizontal="center"/>
    </xf>
    <xf numFmtId="0" fontId="20" fillId="0" borderId="0" xfId="0" applyFont="1" applyAlignment="1">
      <alignment/>
    </xf>
    <xf numFmtId="0" fontId="0" fillId="0" borderId="0" xfId="0" applyFont="1" applyAlignment="1">
      <alignment wrapText="1"/>
    </xf>
    <xf numFmtId="10" fontId="3" fillId="0" borderId="0" xfId="113" applyNumberFormat="1" applyFont="1" applyFill="1" applyAlignment="1" applyProtection="1">
      <alignment horizontal="right"/>
      <protection locked="0"/>
    </xf>
    <xf numFmtId="179" fontId="3" fillId="0" borderId="0" xfId="113" applyNumberFormat="1" applyFont="1" applyFill="1" applyAlignment="1" applyProtection="1">
      <alignment horizontal="right"/>
      <protection locked="0"/>
    </xf>
    <xf numFmtId="10" fontId="0" fillId="0" borderId="0" xfId="0" applyNumberFormat="1" applyAlignment="1">
      <alignment/>
    </xf>
    <xf numFmtId="186" fontId="17" fillId="0" borderId="0" xfId="114" applyNumberFormat="1" applyFont="1">
      <alignment/>
      <protection/>
    </xf>
    <xf numFmtId="0" fontId="67" fillId="0" borderId="0" xfId="114" applyFont="1">
      <alignment/>
      <protection/>
    </xf>
    <xf numFmtId="186" fontId="17" fillId="0" borderId="0" xfId="114" applyNumberFormat="1" applyFont="1" applyAlignment="1">
      <alignment horizontal="center"/>
      <protection/>
    </xf>
    <xf numFmtId="0" fontId="0" fillId="0" borderId="0" xfId="114" applyFont="1">
      <alignment/>
      <protection/>
    </xf>
    <xf numFmtId="0" fontId="17" fillId="0" borderId="0" xfId="114" applyFont="1">
      <alignment/>
      <protection/>
    </xf>
    <xf numFmtId="0" fontId="17" fillId="0" borderId="0" xfId="114" applyNumberFormat="1" applyFont="1" applyAlignment="1">
      <alignment horizontal="center"/>
      <protection/>
    </xf>
    <xf numFmtId="0" fontId="17" fillId="0" borderId="0" xfId="114" applyNumberFormat="1" applyFont="1">
      <alignment/>
      <protection/>
    </xf>
    <xf numFmtId="0" fontId="17" fillId="0" borderId="0" xfId="114" applyNumberFormat="1" applyFont="1" applyBorder="1" applyAlignment="1">
      <alignment horizontal="center"/>
      <protection/>
    </xf>
    <xf numFmtId="186" fontId="68" fillId="0" borderId="0" xfId="114" applyNumberFormat="1" applyFont="1">
      <alignment/>
      <protection/>
    </xf>
    <xf numFmtId="0" fontId="69" fillId="0" borderId="0" xfId="114" applyFont="1">
      <alignment/>
      <protection/>
    </xf>
    <xf numFmtId="173" fontId="67" fillId="0" borderId="0" xfId="114" applyNumberFormat="1" applyFont="1">
      <alignment/>
      <protection/>
    </xf>
    <xf numFmtId="0" fontId="70" fillId="0" borderId="0" xfId="114" applyFont="1">
      <alignment/>
      <protection/>
    </xf>
    <xf numFmtId="186" fontId="0" fillId="0" borderId="0" xfId="114" applyNumberFormat="1" applyFont="1">
      <alignment/>
      <protection/>
    </xf>
    <xf numFmtId="0" fontId="17" fillId="0" borderId="0" xfId="111" applyFont="1" applyFill="1" applyAlignment="1">
      <alignment horizontal="center"/>
      <protection/>
    </xf>
    <xf numFmtId="0" fontId="17" fillId="0" borderId="0" xfId="111" applyFont="1" applyFill="1" applyAlignment="1">
      <alignment horizontal="left" indent="2"/>
      <protection/>
    </xf>
    <xf numFmtId="39" fontId="17" fillId="0" borderId="0" xfId="111" applyNumberFormat="1" applyFont="1" applyFill="1">
      <alignment/>
      <protection/>
    </xf>
    <xf numFmtId="0" fontId="67" fillId="0" borderId="0" xfId="114" applyFont="1" applyFill="1">
      <alignment/>
      <protection/>
    </xf>
    <xf numFmtId="0" fontId="0" fillId="0" borderId="0" xfId="114" applyNumberFormat="1" applyFont="1" applyAlignment="1">
      <alignment horizontal="center"/>
      <protection/>
    </xf>
    <xf numFmtId="0" fontId="0" fillId="0" borderId="0" xfId="114" applyNumberFormat="1" applyFont="1">
      <alignment/>
      <protection/>
    </xf>
    <xf numFmtId="43" fontId="67" fillId="0" borderId="0" xfId="73" applyFont="1" applyAlignment="1">
      <alignment/>
    </xf>
    <xf numFmtId="173" fontId="71" fillId="0" borderId="0" xfId="114" applyNumberFormat="1" applyFont="1">
      <alignment/>
      <protection/>
    </xf>
    <xf numFmtId="186" fontId="3" fillId="0" borderId="0" xfId="114" applyNumberFormat="1" applyFont="1">
      <alignment/>
      <protection/>
    </xf>
    <xf numFmtId="43" fontId="71" fillId="0" borderId="0" xfId="73" applyFont="1" applyAlignment="1">
      <alignment/>
    </xf>
    <xf numFmtId="43" fontId="3" fillId="0" borderId="0" xfId="73" applyFont="1" applyAlignment="1">
      <alignment/>
    </xf>
    <xf numFmtId="173" fontId="71" fillId="0" borderId="0" xfId="73" applyNumberFormat="1" applyFont="1" applyAlignment="1">
      <alignment/>
    </xf>
    <xf numFmtId="173" fontId="3" fillId="0" borderId="0" xfId="73" applyNumberFormat="1" applyFont="1" applyAlignment="1">
      <alignment/>
    </xf>
    <xf numFmtId="173" fontId="67" fillId="0" borderId="14" xfId="73" applyNumberFormat="1" applyFont="1" applyBorder="1" applyAlignment="1">
      <alignment/>
    </xf>
    <xf numFmtId="0" fontId="67" fillId="0" borderId="0" xfId="0" applyFont="1" applyAlignment="1">
      <alignment/>
    </xf>
    <xf numFmtId="173" fontId="67" fillId="0" borderId="0" xfId="114" applyNumberFormat="1" applyFont="1" applyBorder="1">
      <alignment/>
      <protection/>
    </xf>
    <xf numFmtId="38" fontId="0" fillId="0" borderId="15" xfId="0" applyNumberFormat="1" applyBorder="1" applyAlignment="1">
      <alignment/>
    </xf>
    <xf numFmtId="10" fontId="3" fillId="0" borderId="14" xfId="0" applyNumberFormat="1" applyFont="1" applyFill="1" applyBorder="1" applyAlignment="1">
      <alignment/>
    </xf>
    <xf numFmtId="0" fontId="74" fillId="0" borderId="0" xfId="114" applyFont="1" applyAlignment="1">
      <alignment horizontal="center"/>
      <protection/>
    </xf>
    <xf numFmtId="49" fontId="3" fillId="0" borderId="0" xfId="105" applyNumberFormat="1" applyFont="1" applyBorder="1" applyAlignment="1">
      <alignment horizontal="center"/>
      <protection/>
    </xf>
    <xf numFmtId="3" fontId="3" fillId="0" borderId="0" xfId="0" applyNumberFormat="1" applyFont="1" applyBorder="1" applyAlignment="1">
      <alignment horizontal="center"/>
    </xf>
    <xf numFmtId="173" fontId="3" fillId="0" borderId="0" xfId="73" applyNumberFormat="1" applyFont="1" applyAlignment="1">
      <alignment/>
    </xf>
    <xf numFmtId="0" fontId="3" fillId="0" borderId="0" xfId="0" applyNumberFormat="1" applyFont="1" applyFill="1" applyAlignment="1">
      <alignment/>
    </xf>
    <xf numFmtId="0" fontId="3" fillId="0" borderId="0" xfId="113" applyNumberFormat="1" applyFont="1" applyFill="1" applyBorder="1" applyAlignment="1" applyProtection="1">
      <alignment vertical="center"/>
      <protection locked="0"/>
    </xf>
    <xf numFmtId="0" fontId="3" fillId="0" borderId="0" xfId="113" applyNumberFormat="1" applyFont="1" applyFill="1" applyBorder="1" applyAlignment="1" applyProtection="1" quotePrefix="1">
      <alignment vertical="center"/>
      <protection locked="0"/>
    </xf>
    <xf numFmtId="182" fontId="3" fillId="0" borderId="0" xfId="73" applyNumberFormat="1" applyFont="1" applyAlignment="1" applyProtection="1">
      <alignment/>
      <protection locked="0"/>
    </xf>
    <xf numFmtId="190" fontId="21" fillId="0" borderId="0" xfId="113" applyNumberFormat="1" applyFont="1" applyAlignment="1" applyProtection="1">
      <alignment horizontal="center"/>
      <protection locked="0"/>
    </xf>
    <xf numFmtId="43" fontId="21" fillId="0" borderId="0" xfId="73" applyFont="1" applyAlignment="1" applyProtection="1">
      <alignment/>
      <protection locked="0"/>
    </xf>
    <xf numFmtId="3" fontId="19" fillId="0" borderId="0" xfId="0" applyNumberFormat="1" applyFont="1" applyAlignment="1">
      <alignment horizontal="center"/>
    </xf>
    <xf numFmtId="3" fontId="13" fillId="0" borderId="0" xfId="113" applyNumberFormat="1" applyFont="1" applyAlignment="1" applyProtection="1">
      <alignment horizontal="center"/>
      <protection locked="0"/>
    </xf>
    <xf numFmtId="14" fontId="20" fillId="0" borderId="0" xfId="105" applyNumberFormat="1" applyFont="1" applyFill="1" applyBorder="1" applyAlignment="1">
      <alignment horizontal="center" wrapText="1"/>
      <protection/>
    </xf>
    <xf numFmtId="173" fontId="0" fillId="0" borderId="0" xfId="73" applyNumberFormat="1" applyFont="1" applyFill="1" applyAlignment="1">
      <alignment/>
    </xf>
    <xf numFmtId="173" fontId="0" fillId="0" borderId="0" xfId="0" applyNumberFormat="1" applyAlignment="1">
      <alignment/>
    </xf>
    <xf numFmtId="193" fontId="16" fillId="0" borderId="0" xfId="105" applyNumberFormat="1" applyFont="1" applyBorder="1" applyAlignment="1">
      <alignment horizontal="center"/>
      <protection/>
    </xf>
    <xf numFmtId="41" fontId="4" fillId="20" borderId="0" xfId="113" applyNumberFormat="1" applyFont="1" applyFill="1" applyAlignment="1" applyProtection="1">
      <alignment horizontal="center" vertical="center"/>
      <protection locked="0"/>
    </xf>
    <xf numFmtId="172" fontId="21" fillId="0" borderId="0" xfId="113" applyFont="1" applyAlignment="1" applyProtection="1">
      <alignment/>
      <protection locked="0"/>
    </xf>
    <xf numFmtId="3" fontId="21" fillId="0" borderId="0" xfId="113" applyNumberFormat="1" applyFont="1" applyAlignment="1" applyProtection="1">
      <alignment/>
      <protection locked="0"/>
    </xf>
    <xf numFmtId="41" fontId="0" fillId="0" borderId="0" xfId="109" applyNumberFormat="1" applyFont="1">
      <alignment/>
      <protection/>
    </xf>
    <xf numFmtId="173" fontId="0" fillId="0" borderId="0" xfId="73" applyNumberFormat="1" applyFont="1" applyFill="1" applyAlignment="1">
      <alignment/>
    </xf>
    <xf numFmtId="0" fontId="9" fillId="0" borderId="0" xfId="109" applyFont="1" applyAlignment="1">
      <alignment horizontal="center" wrapText="1"/>
      <protection/>
    </xf>
    <xf numFmtId="0" fontId="8" fillId="4" borderId="0" xfId="109" applyFont="1" applyFill="1">
      <alignment/>
      <protection/>
    </xf>
    <xf numFmtId="41" fontId="8" fillId="4" borderId="11" xfId="109" applyNumberFormat="1" applyFont="1" applyFill="1" applyBorder="1">
      <alignment/>
      <protection/>
    </xf>
    <xf numFmtId="38" fontId="0" fillId="0" borderId="0" xfId="0" applyNumberFormat="1" applyFont="1" applyFill="1" applyBorder="1" applyAlignment="1">
      <alignment horizontal="center"/>
    </xf>
    <xf numFmtId="37" fontId="8" fillId="4" borderId="11" xfId="0" applyNumberFormat="1" applyFont="1" applyFill="1" applyBorder="1" applyAlignment="1">
      <alignment/>
    </xf>
    <xf numFmtId="0" fontId="0" fillId="0" borderId="0" xfId="109" applyFill="1" applyAlignment="1">
      <alignment horizontal="left"/>
      <protection/>
    </xf>
    <xf numFmtId="0" fontId="75" fillId="0" borderId="0" xfId="109" applyFont="1" applyFill="1" applyBorder="1" applyAlignment="1">
      <alignment horizontal="left"/>
      <protection/>
    </xf>
    <xf numFmtId="0" fontId="0" fillId="0" borderId="0" xfId="109" applyFill="1">
      <alignment/>
      <protection/>
    </xf>
    <xf numFmtId="0" fontId="75" fillId="0" borderId="0" xfId="109" applyFont="1" applyFill="1" applyBorder="1">
      <alignment/>
      <protection/>
    </xf>
    <xf numFmtId="0" fontId="65" fillId="0" borderId="0" xfId="109" applyFont="1" applyFill="1" applyAlignment="1">
      <alignment horizontal="center"/>
      <protection/>
    </xf>
    <xf numFmtId="38" fontId="0" fillId="0" borderId="0" xfId="0" applyNumberFormat="1" applyFont="1" applyFill="1" applyAlignment="1">
      <alignment/>
    </xf>
    <xf numFmtId="38" fontId="0" fillId="0" borderId="16" xfId="0" applyNumberFormat="1" applyFont="1" applyFill="1" applyBorder="1" applyAlignment="1">
      <alignment/>
    </xf>
    <xf numFmtId="38" fontId="0" fillId="0" borderId="0" xfId="0" applyNumberFormat="1" applyFont="1" applyFill="1" applyBorder="1" applyAlignment="1">
      <alignment/>
    </xf>
    <xf numFmtId="0" fontId="76" fillId="0" borderId="0" xfId="105" applyNumberFormat="1" applyFont="1" applyFill="1" applyBorder="1" applyAlignment="1">
      <alignment horizontal="left"/>
      <protection/>
    </xf>
    <xf numFmtId="38" fontId="0" fillId="0" borderId="0" xfId="105" applyNumberFormat="1" applyFont="1" applyFill="1" applyBorder="1" applyAlignment="1">
      <alignment horizontal="right"/>
      <protection/>
    </xf>
    <xf numFmtId="0" fontId="0" fillId="0" borderId="0" xfId="105" applyNumberFormat="1" applyFont="1" applyFill="1" applyBorder="1" applyAlignment="1">
      <alignment horizontal="right"/>
      <protection/>
    </xf>
    <xf numFmtId="38" fontId="0" fillId="0" borderId="0" xfId="0" applyNumberFormat="1" applyFont="1" applyBorder="1" applyAlignment="1">
      <alignment horizontal="right"/>
    </xf>
    <xf numFmtId="0" fontId="2" fillId="0" borderId="0" xfId="0" applyFont="1" applyAlignment="1">
      <alignment horizontal="center"/>
    </xf>
    <xf numFmtId="0" fontId="2" fillId="0" borderId="0" xfId="105" applyFont="1" applyBorder="1" applyAlignment="1">
      <alignment horizontal="center"/>
      <protection/>
    </xf>
    <xf numFmtId="38" fontId="8" fillId="0" borderId="0" xfId="105" applyNumberFormat="1" applyFont="1" applyFill="1" applyBorder="1" applyAlignment="1">
      <alignment/>
      <protection/>
    </xf>
    <xf numFmtId="173" fontId="8" fillId="0" borderId="14" xfId="73" applyNumberFormat="1" applyFont="1" applyFill="1" applyBorder="1" applyAlignment="1">
      <alignment/>
    </xf>
    <xf numFmtId="0" fontId="0" fillId="0" borderId="14" xfId="105" applyNumberFormat="1" applyFont="1" applyFill="1" applyBorder="1" applyAlignment="1">
      <alignment horizontal="left"/>
      <protection/>
    </xf>
    <xf numFmtId="0" fontId="1" fillId="0" borderId="0" xfId="113" applyNumberFormat="1" applyFont="1" applyFill="1" applyBorder="1" applyAlignment="1" applyProtection="1">
      <alignment horizontal="center"/>
      <protection locked="0"/>
    </xf>
    <xf numFmtId="3" fontId="21" fillId="0" borderId="0" xfId="113" applyNumberFormat="1" applyFont="1" applyFill="1" applyAlignment="1" applyProtection="1">
      <alignment/>
      <protection locked="0"/>
    </xf>
    <xf numFmtId="168" fontId="3" fillId="0" borderId="0" xfId="113" applyNumberFormat="1" applyFont="1" applyAlignment="1" applyProtection="1">
      <alignment/>
      <protection locked="0"/>
    </xf>
    <xf numFmtId="10" fontId="18" fillId="22" borderId="0" xfId="113" applyNumberFormat="1" applyFont="1" applyFill="1" applyProtection="1">
      <alignment/>
      <protection locked="0"/>
    </xf>
    <xf numFmtId="10" fontId="3" fillId="22" borderId="0" xfId="113" applyNumberFormat="1" applyFont="1" applyFill="1" applyProtection="1">
      <alignment/>
      <protection locked="0"/>
    </xf>
    <xf numFmtId="0" fontId="17" fillId="0" borderId="0" xfId="114" applyNumberFormat="1" applyFont="1" applyFill="1" applyAlignment="1">
      <alignment horizontal="center"/>
      <protection/>
    </xf>
    <xf numFmtId="0" fontId="0" fillId="0" borderId="0" xfId="114" applyNumberFormat="1" applyFont="1" applyFill="1">
      <alignment/>
      <protection/>
    </xf>
    <xf numFmtId="41" fontId="67" fillId="0" borderId="0" xfId="114" applyNumberFormat="1" applyFont="1" applyFill="1">
      <alignment/>
      <protection/>
    </xf>
    <xf numFmtId="41" fontId="67" fillId="0" borderId="0" xfId="114" applyNumberFormat="1" applyFont="1" applyFill="1" applyBorder="1">
      <alignment/>
      <protection/>
    </xf>
    <xf numFmtId="173" fontId="67" fillId="0" borderId="0" xfId="114" applyNumberFormat="1" applyFont="1" applyFill="1">
      <alignment/>
      <protection/>
    </xf>
    <xf numFmtId="10" fontId="67" fillId="0" borderId="11" xfId="120" applyNumberFormat="1" applyFont="1" applyFill="1" applyBorder="1" applyAlignment="1">
      <alignment/>
    </xf>
    <xf numFmtId="173" fontId="67" fillId="0" borderId="0" xfId="73" applyNumberFormat="1" applyFont="1" applyFill="1" applyAlignment="1">
      <alignment/>
    </xf>
    <xf numFmtId="173" fontId="67" fillId="0" borderId="27" xfId="73" applyNumberFormat="1" applyFont="1" applyFill="1" applyBorder="1" applyAlignment="1">
      <alignment/>
    </xf>
    <xf numFmtId="173" fontId="0" fillId="0" borderId="11" xfId="73" applyNumberFormat="1" applyFont="1" applyBorder="1" applyAlignment="1">
      <alignment/>
    </xf>
    <xf numFmtId="3" fontId="2" fillId="0" borderId="0" xfId="0" applyNumberFormat="1" applyFont="1" applyAlignment="1">
      <alignment horizontal="center"/>
    </xf>
    <xf numFmtId="10" fontId="0" fillId="0" borderId="0" xfId="120" applyNumberFormat="1" applyFont="1" applyAlignment="1">
      <alignment horizontal="right"/>
    </xf>
    <xf numFmtId="0" fontId="9" fillId="0" borderId="0" xfId="0" applyFont="1" applyAlignment="1">
      <alignment horizontal="center" wrapText="1"/>
    </xf>
    <xf numFmtId="0" fontId="9" fillId="0" borderId="0" xfId="0" applyFont="1" applyAlignment="1">
      <alignment wrapText="1"/>
    </xf>
    <xf numFmtId="174" fontId="8" fillId="4" borderId="0" xfId="81" applyNumberFormat="1" applyFont="1" applyFill="1" applyAlignment="1">
      <alignment/>
    </xf>
    <xf numFmtId="10" fontId="8" fillId="0" borderId="0" xfId="120" applyNumberFormat="1" applyFont="1" applyAlignment="1">
      <alignment/>
    </xf>
    <xf numFmtId="174" fontId="0" fillId="0" borderId="0" xfId="81" applyNumberFormat="1" applyAlignment="1">
      <alignment/>
    </xf>
    <xf numFmtId="174" fontId="0" fillId="0" borderId="14" xfId="0" applyNumberFormat="1" applyBorder="1" applyAlignment="1">
      <alignment/>
    </xf>
    <xf numFmtId="0" fontId="2" fillId="0" borderId="0" xfId="0" applyFont="1" applyAlignment="1">
      <alignment horizontal="right"/>
    </xf>
    <xf numFmtId="173" fontId="8" fillId="4" borderId="0" xfId="73" applyNumberFormat="1" applyFont="1" applyFill="1" applyAlignment="1">
      <alignment/>
    </xf>
    <xf numFmtId="0" fontId="0" fillId="0" borderId="0" xfId="0" applyFont="1" applyAlignment="1">
      <alignment horizontal="centerContinuous"/>
    </xf>
    <xf numFmtId="0" fontId="16" fillId="0" borderId="0" xfId="0" applyFont="1" applyAlignment="1">
      <alignment horizontal="center"/>
    </xf>
    <xf numFmtId="0" fontId="9" fillId="0" borderId="0" xfId="0" applyFont="1" applyAlignment="1">
      <alignment horizontal="center"/>
    </xf>
    <xf numFmtId="170" fontId="0" fillId="0" borderId="0" xfId="0" applyNumberFormat="1" applyAlignment="1">
      <alignment horizontal="right"/>
    </xf>
    <xf numFmtId="0" fontId="0" fillId="0" borderId="0" xfId="0" applyAlignment="1">
      <alignment horizontal="left"/>
    </xf>
    <xf numFmtId="6" fontId="0" fillId="0" borderId="0" xfId="0" applyNumberFormat="1" applyAlignment="1">
      <alignment horizontal="right"/>
    </xf>
    <xf numFmtId="6" fontId="0" fillId="0" borderId="0" xfId="0" applyNumberFormat="1" applyAlignment="1">
      <alignment/>
    </xf>
    <xf numFmtId="0" fontId="16" fillId="0" borderId="0" xfId="0" applyFont="1" applyAlignment="1">
      <alignment horizontal="left"/>
    </xf>
    <xf numFmtId="0" fontId="2" fillId="0" borderId="0" xfId="0" applyFont="1" applyAlignment="1">
      <alignment horizontal="left"/>
    </xf>
    <xf numFmtId="0" fontId="16" fillId="0" borderId="0" xfId="0" applyFont="1" applyAlignment="1">
      <alignment horizontal="center" wrapText="1"/>
    </xf>
    <xf numFmtId="17" fontId="0" fillId="0" borderId="0" xfId="0" applyNumberFormat="1" applyAlignment="1">
      <alignment horizontal="center"/>
    </xf>
    <xf numFmtId="173" fontId="0" fillId="0" borderId="0" xfId="73" applyNumberFormat="1" applyFont="1" applyAlignment="1">
      <alignment/>
    </xf>
    <xf numFmtId="0" fontId="0" fillId="0" borderId="0" xfId="0" applyNumberFormat="1" applyAlignment="1">
      <alignment horizontal="center"/>
    </xf>
    <xf numFmtId="173" fontId="0" fillId="0" borderId="23" xfId="73" applyNumberFormat="1" applyFont="1" applyFill="1" applyBorder="1" applyAlignment="1">
      <alignment/>
    </xf>
    <xf numFmtId="10" fontId="0" fillId="0" borderId="0" xfId="120" applyNumberFormat="1" applyFont="1" applyAlignment="1">
      <alignment horizontal="right"/>
    </xf>
    <xf numFmtId="10" fontId="0" fillId="0" borderId="0" xfId="120" applyNumberFormat="1" applyFont="1" applyFill="1" applyAlignment="1" applyProtection="1">
      <alignment horizontal="right"/>
      <protection locked="0"/>
    </xf>
    <xf numFmtId="0" fontId="14" fillId="0" borderId="0" xfId="109" applyFont="1">
      <alignment/>
      <protection/>
    </xf>
    <xf numFmtId="0" fontId="0" fillId="0" borderId="0" xfId="109" applyAlignment="1">
      <alignment horizontal="left"/>
      <protection/>
    </xf>
    <xf numFmtId="0" fontId="0" fillId="0" borderId="0" xfId="109">
      <alignment/>
      <protection/>
    </xf>
    <xf numFmtId="0" fontId="14" fillId="0" borderId="0" xfId="109" applyFont="1" applyAlignment="1">
      <alignment horizontal="left"/>
      <protection/>
    </xf>
    <xf numFmtId="0" fontId="16" fillId="0" borderId="0" xfId="109" applyFont="1" applyAlignment="1">
      <alignment horizontal="left"/>
      <protection/>
    </xf>
    <xf numFmtId="0" fontId="15" fillId="0" borderId="0" xfId="109" applyFont="1" applyAlignment="1">
      <alignment horizontal="left"/>
      <protection/>
    </xf>
    <xf numFmtId="41" fontId="0" fillId="0" borderId="0" xfId="109" applyNumberFormat="1" applyBorder="1" applyAlignment="1">
      <alignment vertical="top"/>
      <protection/>
    </xf>
    <xf numFmtId="0" fontId="77" fillId="0" borderId="0" xfId="109" applyFont="1" applyFill="1" applyBorder="1">
      <alignment/>
      <protection/>
    </xf>
    <xf numFmtId="41" fontId="14" fillId="0" borderId="0" xfId="109" applyNumberFormat="1" applyFont="1" applyBorder="1">
      <alignment/>
      <protection/>
    </xf>
    <xf numFmtId="43" fontId="3" fillId="0" borderId="0" xfId="73" applyFont="1" applyAlignment="1" applyProtection="1">
      <alignment/>
      <protection locked="0"/>
    </xf>
    <xf numFmtId="172" fontId="3" fillId="0" borderId="11" xfId="113" applyFont="1" applyBorder="1" applyAlignment="1">
      <alignment/>
    </xf>
    <xf numFmtId="164" fontId="0" fillId="0" borderId="0" xfId="120" applyNumberFormat="1" applyFont="1" applyAlignment="1" applyProtection="1">
      <alignment/>
      <protection locked="0"/>
    </xf>
    <xf numFmtId="164" fontId="12" fillId="0" borderId="0" xfId="120" applyNumberFormat="1" applyFont="1" applyAlignment="1" applyProtection="1">
      <alignment/>
      <protection locked="0"/>
    </xf>
    <xf numFmtId="3" fontId="3" fillId="0" borderId="0" xfId="113" applyNumberFormat="1" applyFont="1" applyFill="1" applyAlignment="1" applyProtection="1">
      <alignment horizontal="right" vertical="center"/>
      <protection locked="0"/>
    </xf>
    <xf numFmtId="173" fontId="3" fillId="0" borderId="0" xfId="113" applyNumberFormat="1" applyFont="1" applyProtection="1">
      <alignment/>
      <protection locked="0"/>
    </xf>
    <xf numFmtId="187" fontId="3" fillId="0" borderId="0" xfId="113" applyNumberFormat="1" applyFont="1" applyProtection="1">
      <alignment/>
      <protection locked="0"/>
    </xf>
    <xf numFmtId="43" fontId="3" fillId="0" borderId="0" xfId="113" applyNumberFormat="1" applyFont="1" applyAlignment="1" applyProtection="1">
      <alignment horizontal="right"/>
      <protection locked="0"/>
    </xf>
    <xf numFmtId="164" fontId="3" fillId="0" borderId="0" xfId="120" applyNumberFormat="1" applyFont="1" applyAlignment="1">
      <alignment/>
    </xf>
    <xf numFmtId="42" fontId="3" fillId="0" borderId="0" xfId="120" applyNumberFormat="1" applyFont="1" applyAlignment="1">
      <alignment/>
    </xf>
    <xf numFmtId="43" fontId="3" fillId="0" borderId="0" xfId="73" applyFont="1" applyAlignment="1">
      <alignment/>
    </xf>
    <xf numFmtId="0" fontId="9" fillId="0" borderId="0" xfId="0" applyFont="1" applyBorder="1" applyAlignment="1">
      <alignment/>
    </xf>
    <xf numFmtId="173" fontId="0" fillId="0" borderId="0" xfId="105" applyNumberFormat="1" applyFont="1" applyFill="1" applyBorder="1">
      <alignment/>
      <protection/>
    </xf>
    <xf numFmtId="173" fontId="8" fillId="4" borderId="11" xfId="76" applyNumberFormat="1" applyFont="1" applyFill="1" applyBorder="1" applyAlignment="1">
      <alignment horizontal="right"/>
    </xf>
    <xf numFmtId="0" fontId="4" fillId="0" borderId="0" xfId="117" applyFont="1" applyFill="1">
      <alignment/>
      <protection/>
    </xf>
    <xf numFmtId="0" fontId="3" fillId="0" borderId="0" xfId="0" applyFont="1" applyAlignment="1">
      <alignment/>
    </xf>
    <xf numFmtId="0" fontId="1" fillId="0" borderId="0" xfId="117" applyFont="1" applyAlignment="1">
      <alignment horizontal="right"/>
      <protection/>
    </xf>
    <xf numFmtId="0" fontId="3" fillId="0" borderId="0" xfId="0" applyFont="1" applyAlignment="1">
      <alignment horizontal="center"/>
    </xf>
    <xf numFmtId="0" fontId="1" fillId="0" borderId="0" xfId="0" applyFont="1" applyAlignment="1">
      <alignment horizontal="right"/>
    </xf>
    <xf numFmtId="0" fontId="1" fillId="0" borderId="0" xfId="0" applyFont="1" applyFill="1" applyAlignment="1">
      <alignment/>
    </xf>
    <xf numFmtId="10" fontId="18" fillId="4" borderId="0" xfId="120" applyNumberFormat="1" applyFont="1" applyFill="1" applyAlignment="1" applyProtection="1">
      <alignment/>
      <protection locked="0"/>
    </xf>
    <xf numFmtId="0" fontId="0" fillId="20" borderId="0" xfId="105" applyNumberFormat="1" applyFont="1" applyFill="1" applyBorder="1" applyAlignment="1">
      <alignment horizontal="center"/>
      <protection/>
    </xf>
    <xf numFmtId="0" fontId="9" fillId="20" borderId="0" xfId="105" applyNumberFormat="1" applyFont="1" applyFill="1" applyBorder="1" applyAlignment="1">
      <alignment horizontal="left"/>
      <protection/>
    </xf>
    <xf numFmtId="0" fontId="8" fillId="20" borderId="0" xfId="105" applyFont="1" applyFill="1" applyBorder="1" applyAlignment="1">
      <alignment/>
      <protection/>
    </xf>
    <xf numFmtId="0" fontId="0" fillId="20" borderId="0" xfId="105" applyNumberFormat="1" applyFont="1" applyFill="1" applyBorder="1" applyAlignment="1">
      <alignment horizontal="left"/>
      <protection/>
    </xf>
    <xf numFmtId="0" fontId="0" fillId="20" borderId="0" xfId="105" applyFont="1" applyFill="1" applyBorder="1">
      <alignment/>
      <protection/>
    </xf>
    <xf numFmtId="173" fontId="0" fillId="20" borderId="0" xfId="76" applyNumberFormat="1" applyFont="1" applyFill="1" applyBorder="1" applyAlignment="1">
      <alignment horizontal="right"/>
    </xf>
    <xf numFmtId="0" fontId="0" fillId="20" borderId="0" xfId="0" applyFill="1" applyBorder="1" applyAlignment="1">
      <alignment/>
    </xf>
    <xf numFmtId="164" fontId="0" fillId="20" borderId="0" xfId="122" applyNumberFormat="1" applyFont="1" applyFill="1" applyBorder="1" applyAlignment="1">
      <alignment/>
    </xf>
    <xf numFmtId="173" fontId="0" fillId="20" borderId="0" xfId="76" applyNumberFormat="1" applyFont="1" applyFill="1" applyBorder="1" applyAlignment="1">
      <alignment horizontal="left"/>
    </xf>
    <xf numFmtId="174" fontId="0" fillId="0" borderId="0" xfId="81" applyNumberFormat="1" applyFont="1" applyFill="1" applyAlignment="1">
      <alignment/>
    </xf>
    <xf numFmtId="41" fontId="3" fillId="0" borderId="0" xfId="113" applyNumberFormat="1" applyFont="1" applyFill="1" applyAlignment="1" applyProtection="1">
      <alignment horizontal="center" vertical="center"/>
      <protection locked="0"/>
    </xf>
    <xf numFmtId="170" fontId="3" fillId="0" borderId="0" xfId="113" applyNumberFormat="1" applyFont="1" applyAlignment="1">
      <alignment/>
    </xf>
    <xf numFmtId="41" fontId="3" fillId="0" borderId="6" xfId="113" applyNumberFormat="1" applyFont="1" applyFill="1" applyBorder="1" applyAlignment="1" applyProtection="1">
      <alignment horizontal="center"/>
      <protection locked="0"/>
    </xf>
    <xf numFmtId="49" fontId="3" fillId="0" borderId="0" xfId="105" applyNumberFormat="1" applyFont="1" applyBorder="1" applyAlignment="1">
      <alignment horizontal="left"/>
      <protection/>
    </xf>
    <xf numFmtId="3" fontId="18" fillId="4" borderId="0" xfId="113" applyNumberFormat="1" applyFont="1" applyFill="1" applyAlignment="1" applyProtection="1">
      <alignment/>
      <protection locked="0"/>
    </xf>
    <xf numFmtId="3" fontId="18" fillId="4" borderId="6" xfId="113" applyNumberFormat="1" applyFont="1" applyFill="1" applyBorder="1" applyAlignment="1" applyProtection="1">
      <alignment/>
      <protection locked="0"/>
    </xf>
    <xf numFmtId="38" fontId="0" fillId="0" borderId="0" xfId="0" applyNumberFormat="1" applyAlignment="1">
      <alignment/>
    </xf>
    <xf numFmtId="0" fontId="8" fillId="4" borderId="0" xfId="0" applyFont="1" applyFill="1" applyAlignment="1">
      <alignment/>
    </xf>
    <xf numFmtId="3" fontId="8" fillId="4" borderId="0" xfId="0" applyNumberFormat="1" applyFont="1" applyFill="1" applyAlignment="1">
      <alignment/>
    </xf>
    <xf numFmtId="172" fontId="3" fillId="0" borderId="0" xfId="113" applyFont="1" applyFill="1" applyAlignment="1" applyProtection="1">
      <alignment wrapText="1"/>
      <protection locked="0"/>
    </xf>
    <xf numFmtId="0" fontId="14" fillId="0" borderId="0" xfId="109" applyFont="1" applyAlignment="1">
      <alignment/>
      <protection/>
    </xf>
    <xf numFmtId="10" fontId="3" fillId="0" borderId="0" xfId="120" applyNumberFormat="1" applyFont="1" applyAlignment="1" applyProtection="1">
      <alignment/>
      <protection locked="0"/>
    </xf>
    <xf numFmtId="0" fontId="12" fillId="0" borderId="0" xfId="0" applyFont="1" applyBorder="1" applyAlignment="1">
      <alignment/>
    </xf>
    <xf numFmtId="0" fontId="16" fillId="0" borderId="0" xfId="105" applyFont="1" applyFill="1" applyBorder="1" applyAlignment="1">
      <alignment horizontal="center"/>
      <protection/>
    </xf>
    <xf numFmtId="0" fontId="12" fillId="0" borderId="0" xfId="105" applyNumberFormat="1" applyFont="1" applyFill="1" applyBorder="1" applyAlignment="1">
      <alignment horizontal="left"/>
      <protection/>
    </xf>
    <xf numFmtId="173" fontId="12" fillId="0" borderId="0" xfId="76" applyNumberFormat="1" applyFont="1" applyFill="1" applyBorder="1" applyAlignment="1">
      <alignment horizontal="right"/>
    </xf>
    <xf numFmtId="0" fontId="16" fillId="0" borderId="0" xfId="0" applyFont="1" applyFill="1" applyAlignment="1">
      <alignment horizontal="center"/>
    </xf>
    <xf numFmtId="0" fontId="10" fillId="0" borderId="0" xfId="117" applyFont="1" applyBorder="1" applyAlignment="1">
      <alignment horizontal="center"/>
      <protection/>
    </xf>
    <xf numFmtId="0" fontId="10" fillId="0" borderId="0" xfId="117" applyFont="1" applyAlignment="1">
      <alignment horizontal="center"/>
      <protection/>
    </xf>
    <xf numFmtId="0" fontId="78" fillId="0" borderId="0" xfId="117" applyFont="1">
      <alignment/>
      <protection/>
    </xf>
    <xf numFmtId="0" fontId="13" fillId="0" borderId="0" xfId="109" applyFont="1" applyFill="1">
      <alignment/>
      <protection/>
    </xf>
    <xf numFmtId="0" fontId="79" fillId="0" borderId="0" xfId="109" applyFont="1" applyFill="1">
      <alignment/>
      <protection/>
    </xf>
    <xf numFmtId="9" fontId="10" fillId="0" borderId="0" xfId="109" applyNumberFormat="1" applyFont="1" applyFill="1" applyAlignment="1" quotePrefix="1">
      <alignment horizontal="center"/>
      <protection/>
    </xf>
    <xf numFmtId="0" fontId="2" fillId="0" borderId="0" xfId="114" applyNumberFormat="1" applyFont="1" applyAlignment="1">
      <alignment horizontal="center"/>
      <protection/>
    </xf>
    <xf numFmtId="0" fontId="2" fillId="0" borderId="0" xfId="114" applyNumberFormat="1" applyFont="1">
      <alignment/>
      <protection/>
    </xf>
    <xf numFmtId="186" fontId="2" fillId="0" borderId="0" xfId="114" applyNumberFormat="1" applyFont="1" applyAlignment="1">
      <alignment horizontal="center"/>
      <protection/>
    </xf>
    <xf numFmtId="0" fontId="9" fillId="0" borderId="0" xfId="114" applyFont="1">
      <alignment/>
      <protection/>
    </xf>
    <xf numFmtId="0" fontId="2" fillId="0" borderId="11" xfId="114" applyNumberFormat="1" applyFont="1" applyBorder="1" applyAlignment="1">
      <alignment horizontal="center"/>
      <protection/>
    </xf>
    <xf numFmtId="186" fontId="2" fillId="0" borderId="11" xfId="114" applyNumberFormat="1" applyFont="1" applyBorder="1" applyAlignment="1">
      <alignment horizontal="center"/>
      <protection/>
    </xf>
    <xf numFmtId="0" fontId="70" fillId="0" borderId="11" xfId="114" applyFont="1" applyBorder="1" applyAlignment="1">
      <alignment horizontal="center"/>
      <protection/>
    </xf>
    <xf numFmtId="0" fontId="9" fillId="0" borderId="0" xfId="114" applyFont="1" applyAlignment="1">
      <alignment horizontal="center"/>
      <protection/>
    </xf>
    <xf numFmtId="0" fontId="80" fillId="0" borderId="0" xfId="114" applyFont="1" applyFill="1">
      <alignment/>
      <protection/>
    </xf>
    <xf numFmtId="3" fontId="3" fillId="0" borderId="0" xfId="113" applyNumberFormat="1" applyFont="1" applyFill="1" applyAlignment="1" applyProtection="1">
      <alignment horizontal="right"/>
      <protection locked="0"/>
    </xf>
    <xf numFmtId="165" fontId="4" fillId="0" borderId="0" xfId="113" applyNumberFormat="1" applyFont="1" applyFill="1" applyAlignment="1" applyProtection="1">
      <alignment/>
      <protection locked="0"/>
    </xf>
    <xf numFmtId="3" fontId="18" fillId="4" borderId="0" xfId="0" applyNumberFormat="1" applyFont="1" applyFill="1" applyAlignment="1">
      <alignment/>
    </xf>
    <xf numFmtId="0" fontId="81" fillId="0" borderId="0" xfId="0" applyFont="1" applyFill="1" applyAlignment="1">
      <alignment horizontal="right"/>
    </xf>
    <xf numFmtId="0" fontId="81" fillId="0" borderId="0" xfId="0" applyFont="1" applyFill="1" applyAlignment="1">
      <alignment horizontal="left"/>
    </xf>
    <xf numFmtId="41" fontId="3" fillId="0" borderId="14" xfId="113" applyNumberFormat="1" applyFont="1" applyBorder="1" applyAlignment="1" applyProtection="1">
      <alignment horizontal="center"/>
      <protection locked="0"/>
    </xf>
    <xf numFmtId="173" fontId="0" fillId="0" borderId="0" xfId="73" applyNumberFormat="1" applyFont="1" applyFill="1" applyAlignment="1">
      <alignment/>
    </xf>
    <xf numFmtId="10" fontId="14" fillId="0" borderId="0" xfId="120" applyNumberFormat="1" applyFont="1" applyFill="1" applyAlignment="1">
      <alignment/>
    </xf>
    <xf numFmtId="0" fontId="12" fillId="0" borderId="0" xfId="109" applyFont="1" applyFill="1">
      <alignment/>
      <protection/>
    </xf>
    <xf numFmtId="41" fontId="0" fillId="0" borderId="0" xfId="109" applyNumberFormat="1" applyFill="1" applyBorder="1">
      <alignment/>
      <protection/>
    </xf>
    <xf numFmtId="0" fontId="8" fillId="4" borderId="0" xfId="109" applyFont="1" applyFill="1" applyAlignment="1">
      <alignment horizontal="left"/>
      <protection/>
    </xf>
    <xf numFmtId="164" fontId="8" fillId="4" borderId="0" xfId="120" applyNumberFormat="1" applyFont="1" applyFill="1" applyAlignment="1">
      <alignment horizontal="center"/>
    </xf>
    <xf numFmtId="0" fontId="16" fillId="0" borderId="0" xfId="109" applyFont="1" applyFill="1" applyAlignment="1">
      <alignment horizontal="left"/>
      <protection/>
    </xf>
    <xf numFmtId="0" fontId="0" fillId="0" borderId="0" xfId="109" applyFont="1" applyFill="1">
      <alignment/>
      <protection/>
    </xf>
    <xf numFmtId="10" fontId="0" fillId="0" borderId="0" xfId="120" applyNumberFormat="1" applyFont="1" applyFill="1" applyAlignment="1">
      <alignment horizontal="center"/>
    </xf>
    <xf numFmtId="41" fontId="0" fillId="4" borderId="0" xfId="109" applyNumberFormat="1" applyFill="1" applyBorder="1">
      <alignment/>
      <protection/>
    </xf>
    <xf numFmtId="41" fontId="8" fillId="4" borderId="0" xfId="109" applyNumberFormat="1" applyFont="1" applyFill="1" applyBorder="1">
      <alignment/>
      <protection/>
    </xf>
    <xf numFmtId="0" fontId="8" fillId="4" borderId="0" xfId="109" applyFont="1" applyFill="1">
      <alignment/>
      <protection/>
    </xf>
    <xf numFmtId="173" fontId="8" fillId="4" borderId="0" xfId="73" applyNumberFormat="1" applyFont="1" applyFill="1" applyAlignment="1">
      <alignment/>
    </xf>
    <xf numFmtId="10" fontId="8" fillId="4" borderId="0" xfId="120" applyNumberFormat="1" applyFont="1" applyFill="1" applyAlignment="1">
      <alignment horizontal="center"/>
    </xf>
    <xf numFmtId="164" fontId="8" fillId="4" borderId="0" xfId="120" applyNumberFormat="1" applyFont="1" applyFill="1" applyAlignment="1">
      <alignment horizontal="center"/>
    </xf>
    <xf numFmtId="41" fontId="0" fillId="0" borderId="12" xfId="109" applyNumberFormat="1" applyFont="1" applyBorder="1">
      <alignment/>
      <protection/>
    </xf>
    <xf numFmtId="10" fontId="0" fillId="0" borderId="0" xfId="120" applyNumberFormat="1" applyFont="1" applyAlignment="1">
      <alignment/>
    </xf>
    <xf numFmtId="10" fontId="8" fillId="4" borderId="0" xfId="120" applyNumberFormat="1" applyFont="1" applyFill="1" applyAlignment="1">
      <alignment/>
    </xf>
    <xf numFmtId="0" fontId="82" fillId="0" borderId="0" xfId="109" applyFont="1" applyFill="1">
      <alignment/>
      <protection/>
    </xf>
    <xf numFmtId="0" fontId="8" fillId="0" borderId="0" xfId="0" applyFont="1" applyFill="1" applyAlignment="1">
      <alignment wrapText="1"/>
    </xf>
    <xf numFmtId="173" fontId="0" fillId="0" borderId="0" xfId="105" applyNumberFormat="1" applyFont="1" applyFill="1" applyBorder="1" applyAlignment="1">
      <alignment horizontal="left"/>
      <protection/>
    </xf>
    <xf numFmtId="6" fontId="0" fillId="0" borderId="0" xfId="0" applyNumberFormat="1" applyFont="1" applyAlignment="1">
      <alignment horizontal="right"/>
    </xf>
    <xf numFmtId="174" fontId="0" fillId="0" borderId="0" xfId="81" applyNumberFormat="1" applyFont="1" applyAlignment="1">
      <alignment horizontal="center"/>
    </xf>
    <xf numFmtId="0" fontId="9" fillId="0" borderId="0" xfId="0" applyFont="1" applyAlignment="1">
      <alignment horizontal="left"/>
    </xf>
    <xf numFmtId="6" fontId="9" fillId="0" borderId="0" xfId="0" applyNumberFormat="1" applyFont="1" applyAlignment="1">
      <alignment horizontal="right"/>
    </xf>
    <xf numFmtId="173" fontId="83" fillId="0" borderId="0" xfId="73" applyNumberFormat="1" applyFont="1" applyFill="1" applyAlignment="1">
      <alignment/>
    </xf>
    <xf numFmtId="173" fontId="67" fillId="0" borderId="0" xfId="73" applyNumberFormat="1" applyFont="1" applyFill="1" applyBorder="1" applyAlignment="1">
      <alignment/>
    </xf>
    <xf numFmtId="9" fontId="73" fillId="4" borderId="11" xfId="120" applyFont="1" applyFill="1" applyBorder="1" applyAlignment="1">
      <alignment/>
    </xf>
    <xf numFmtId="9" fontId="0" fillId="0" borderId="0" xfId="120" applyFont="1" applyFill="1" applyAlignment="1">
      <alignment/>
    </xf>
    <xf numFmtId="9" fontId="67" fillId="0" borderId="0" xfId="120" applyFont="1" applyFill="1" applyAlignment="1">
      <alignment/>
    </xf>
    <xf numFmtId="41" fontId="84" fillId="26" borderId="0" xfId="114" applyNumberFormat="1" applyFont="1" applyFill="1">
      <alignment/>
      <protection/>
    </xf>
    <xf numFmtId="41" fontId="84" fillId="26" borderId="0" xfId="114" applyNumberFormat="1" applyFont="1" applyFill="1" applyBorder="1">
      <alignment/>
      <protection/>
    </xf>
    <xf numFmtId="0" fontId="70" fillId="0" borderId="0" xfId="114" applyFont="1" applyFill="1">
      <alignment/>
      <protection/>
    </xf>
    <xf numFmtId="10" fontId="67" fillId="0" borderId="0" xfId="120" applyNumberFormat="1" applyFont="1" applyFill="1" applyAlignment="1">
      <alignment/>
    </xf>
    <xf numFmtId="173" fontId="67" fillId="0" borderId="14" xfId="73" applyNumberFormat="1" applyFont="1" applyFill="1" applyBorder="1" applyAlignment="1">
      <alignment/>
    </xf>
    <xf numFmtId="10" fontId="67" fillId="0" borderId="0" xfId="120" applyNumberFormat="1" applyFont="1" applyFill="1" applyBorder="1" applyAlignment="1">
      <alignment/>
    </xf>
    <xf numFmtId="188" fontId="0" fillId="0" borderId="0" xfId="120" applyNumberFormat="1" applyFont="1" applyFill="1" applyAlignment="1">
      <alignment/>
    </xf>
    <xf numFmtId="173" fontId="18" fillId="4" borderId="0" xfId="73" applyNumberFormat="1" applyFont="1" applyFill="1" applyAlignment="1">
      <alignment/>
    </xf>
    <xf numFmtId="41" fontId="67" fillId="0" borderId="27" xfId="114" applyNumberFormat="1" applyFont="1" applyFill="1" applyBorder="1">
      <alignment/>
      <protection/>
    </xf>
    <xf numFmtId="172" fontId="72" fillId="0" borderId="0" xfId="113" applyFont="1" applyAlignment="1">
      <alignment horizontal="center" wrapText="1"/>
    </xf>
    <xf numFmtId="182" fontId="0" fillId="0" borderId="0" xfId="73" applyNumberFormat="1" applyFont="1" applyAlignment="1">
      <alignment/>
    </xf>
    <xf numFmtId="0" fontId="88" fillId="0" borderId="0" xfId="0" applyFont="1" applyBorder="1" applyAlignment="1">
      <alignment horizontal="center"/>
    </xf>
    <xf numFmtId="37" fontId="0" fillId="0" borderId="0" xfId="0" applyNumberFormat="1" applyAlignment="1">
      <alignment/>
    </xf>
    <xf numFmtId="0" fontId="86" fillId="0" borderId="0" xfId="113" applyNumberFormat="1" applyFont="1" applyAlignment="1" applyProtection="1">
      <alignment horizontal="center"/>
      <protection locked="0"/>
    </xf>
    <xf numFmtId="0" fontId="87" fillId="0" borderId="0" xfId="109" applyFont="1" applyFill="1" applyAlignment="1">
      <alignment horizontal="center"/>
      <protection/>
    </xf>
    <xf numFmtId="173" fontId="0" fillId="0" borderId="0" xfId="114" applyNumberFormat="1" applyFont="1">
      <alignment/>
      <protection/>
    </xf>
    <xf numFmtId="164" fontId="67" fillId="0" borderId="0" xfId="120" applyNumberFormat="1" applyFont="1" applyFill="1" applyAlignment="1">
      <alignment/>
    </xf>
    <xf numFmtId="0" fontId="3" fillId="0" borderId="0" xfId="114" applyFont="1">
      <alignment/>
      <protection/>
    </xf>
    <xf numFmtId="173" fontId="3" fillId="0" borderId="0" xfId="114" applyNumberFormat="1" applyFont="1">
      <alignment/>
      <protection/>
    </xf>
    <xf numFmtId="43" fontId="3" fillId="0" borderId="0" xfId="120" applyNumberFormat="1" applyFont="1" applyFill="1" applyAlignment="1" applyProtection="1">
      <alignment/>
      <protection locked="0"/>
    </xf>
    <xf numFmtId="41" fontId="0" fillId="0" borderId="0" xfId="0" applyNumberFormat="1" applyAlignment="1">
      <alignment/>
    </xf>
    <xf numFmtId="164" fontId="0" fillId="0" borderId="0" xfId="120" applyNumberFormat="1" applyFont="1" applyAlignment="1">
      <alignment/>
    </xf>
    <xf numFmtId="192" fontId="3" fillId="0" borderId="0" xfId="73" applyNumberFormat="1" applyFont="1" applyAlignment="1" applyProtection="1">
      <alignment/>
      <protection locked="0"/>
    </xf>
    <xf numFmtId="189" fontId="3" fillId="0" borderId="0" xfId="73" applyNumberFormat="1" applyFont="1" applyAlignment="1">
      <alignment/>
    </xf>
    <xf numFmtId="173" fontId="90" fillId="0" borderId="0" xfId="114" applyNumberFormat="1" applyFont="1" applyFill="1" applyBorder="1">
      <alignment/>
      <protection/>
    </xf>
    <xf numFmtId="0" fontId="0" fillId="0" borderId="0" xfId="0" applyFill="1" applyAlignment="1">
      <alignment wrapText="1"/>
    </xf>
    <xf numFmtId="3" fontId="85" fillId="0" borderId="0" xfId="0" applyNumberFormat="1" applyFont="1" applyAlignment="1">
      <alignment horizontal="center"/>
    </xf>
    <xf numFmtId="0" fontId="0" fillId="0" borderId="0" xfId="0" applyFont="1" applyAlignment="1">
      <alignment/>
    </xf>
    <xf numFmtId="172" fontId="3" fillId="0" borderId="0" xfId="73" applyNumberFormat="1" applyFont="1" applyAlignment="1" applyProtection="1">
      <alignment/>
      <protection locked="0"/>
    </xf>
    <xf numFmtId="0" fontId="4" fillId="0" borderId="0" xfId="0" applyFont="1" applyFill="1" applyAlignment="1">
      <alignment horizontal="center" wrapText="1"/>
    </xf>
    <xf numFmtId="0" fontId="0" fillId="0" borderId="0" xfId="0" applyFill="1" applyAlignment="1">
      <alignment horizontal="center" wrapText="1"/>
    </xf>
    <xf numFmtId="0" fontId="2" fillId="0" borderId="0" xfId="0" applyFont="1" applyFill="1" applyAlignment="1">
      <alignment horizontal="right"/>
    </xf>
    <xf numFmtId="0" fontId="9" fillId="0" borderId="11" xfId="0" applyFont="1" applyFill="1" applyBorder="1" applyAlignment="1">
      <alignment horizontal="center" wrapText="1"/>
    </xf>
    <xf numFmtId="0" fontId="91" fillId="0" borderId="0" xfId="109" applyFont="1" applyFill="1">
      <alignment/>
      <protection/>
    </xf>
    <xf numFmtId="3" fontId="0" fillId="0" borderId="0" xfId="113" applyNumberFormat="1" applyFont="1" applyFill="1" applyAlignment="1" applyProtection="1">
      <alignment/>
      <protection locked="0"/>
    </xf>
    <xf numFmtId="0" fontId="9" fillId="0" borderId="0" xfId="109" applyFont="1" applyFill="1">
      <alignment/>
      <protection/>
    </xf>
    <xf numFmtId="173" fontId="8" fillId="4" borderId="0" xfId="73" applyNumberFormat="1" applyFont="1" applyFill="1" applyAlignment="1" applyProtection="1">
      <alignment/>
      <protection locked="0"/>
    </xf>
    <xf numFmtId="41" fontId="0" fillId="0" borderId="0" xfId="0" applyNumberFormat="1" applyFont="1" applyFill="1" applyAlignment="1">
      <alignment/>
    </xf>
    <xf numFmtId="3" fontId="8" fillId="4" borderId="0" xfId="113" applyNumberFormat="1" applyFont="1" applyFill="1" applyAlignment="1" applyProtection="1">
      <alignment/>
      <protection locked="0"/>
    </xf>
    <xf numFmtId="0" fontId="9" fillId="0" borderId="0" xfId="113" applyNumberFormat="1" applyFont="1" applyFill="1" applyBorder="1" applyAlignment="1" applyProtection="1">
      <alignment/>
      <protection locked="0"/>
    </xf>
    <xf numFmtId="3" fontId="9" fillId="0" borderId="0" xfId="113" applyNumberFormat="1" applyFont="1" applyFill="1" applyAlignment="1" applyProtection="1">
      <alignment/>
      <protection locked="0"/>
    </xf>
    <xf numFmtId="41" fontId="9" fillId="0" borderId="0" xfId="113" applyNumberFormat="1" applyFont="1" applyFill="1" applyAlignment="1" applyProtection="1">
      <alignment/>
      <protection locked="0"/>
    </xf>
    <xf numFmtId="0" fontId="0" fillId="0" borderId="0" xfId="109" applyFont="1" applyFill="1" applyAlignment="1">
      <alignment horizontal="left"/>
      <protection/>
    </xf>
    <xf numFmtId="0" fontId="9" fillId="0" borderId="0" xfId="109" applyFont="1" applyFill="1" applyAlignment="1">
      <alignment horizontal="left"/>
      <protection/>
    </xf>
    <xf numFmtId="41" fontId="9" fillId="0" borderId="0" xfId="0" applyNumberFormat="1" applyFont="1" applyFill="1" applyAlignment="1">
      <alignment/>
    </xf>
    <xf numFmtId="10" fontId="0" fillId="0" borderId="0" xfId="120" applyNumberFormat="1" applyFont="1" applyFill="1" applyBorder="1" applyAlignment="1">
      <alignment/>
    </xf>
    <xf numFmtId="10" fontId="9" fillId="0" borderId="0" xfId="120" applyNumberFormat="1" applyFont="1" applyFill="1" applyBorder="1" applyAlignment="1">
      <alignment/>
    </xf>
    <xf numFmtId="173" fontId="9" fillId="0" borderId="0" xfId="120" applyNumberFormat="1" applyFont="1" applyFill="1" applyBorder="1" applyAlignment="1">
      <alignment/>
    </xf>
    <xf numFmtId="173" fontId="0" fillId="0" borderId="0" xfId="120" applyNumberFormat="1" applyFont="1" applyFill="1" applyBorder="1" applyAlignment="1">
      <alignment/>
    </xf>
    <xf numFmtId="10" fontId="9" fillId="0" borderId="27" xfId="120" applyNumberFormat="1" applyFont="1" applyFill="1" applyBorder="1" applyAlignment="1">
      <alignment/>
    </xf>
    <xf numFmtId="173" fontId="8" fillId="4" borderId="0" xfId="73" applyNumberFormat="1" applyFont="1" applyFill="1" applyBorder="1" applyAlignment="1">
      <alignment/>
    </xf>
    <xf numFmtId="173" fontId="8" fillId="4" borderId="11" xfId="73" applyNumberFormat="1" applyFont="1" applyFill="1" applyBorder="1" applyAlignment="1">
      <alignment/>
    </xf>
    <xf numFmtId="0" fontId="91" fillId="0" borderId="0" xfId="109" applyFont="1" applyFill="1" applyAlignment="1">
      <alignment horizontal="left"/>
      <protection/>
    </xf>
    <xf numFmtId="0" fontId="16" fillId="0" borderId="0" xfId="109" applyFont="1" applyFill="1" applyAlignment="1">
      <alignment horizontal="center" wrapText="1"/>
      <protection/>
    </xf>
    <xf numFmtId="10" fontId="8" fillId="4" borderId="0" xfId="120" applyNumberFormat="1" applyFont="1" applyFill="1" applyAlignment="1">
      <alignment horizontal="right" wrapText="1"/>
    </xf>
    <xf numFmtId="44" fontId="8" fillId="4" borderId="0" xfId="81" applyFont="1" applyFill="1" applyAlignment="1">
      <alignment horizontal="right" wrapText="1"/>
    </xf>
    <xf numFmtId="41" fontId="8" fillId="0" borderId="0" xfId="109" applyNumberFormat="1" applyFont="1" applyFill="1" applyBorder="1">
      <alignment/>
      <protection/>
    </xf>
    <xf numFmtId="44" fontId="8" fillId="4" borderId="0" xfId="81" applyFont="1" applyFill="1" applyAlignment="1">
      <alignment/>
    </xf>
    <xf numFmtId="41" fontId="92" fillId="0" borderId="0" xfId="109" applyNumberFormat="1" applyFont="1" applyFill="1">
      <alignment/>
      <protection/>
    </xf>
    <xf numFmtId="41" fontId="0" fillId="0" borderId="12" xfId="109" applyNumberFormat="1" applyFont="1" applyFill="1" applyBorder="1">
      <alignment/>
      <protection/>
    </xf>
    <xf numFmtId="41" fontId="9" fillId="0" borderId="28" xfId="109" applyNumberFormat="1" applyFont="1" applyFill="1" applyBorder="1">
      <alignment/>
      <protection/>
    </xf>
    <xf numFmtId="10" fontId="0" fillId="0" borderId="0" xfId="120" applyNumberFormat="1" applyFont="1" applyFill="1" applyBorder="1" applyAlignment="1">
      <alignment/>
    </xf>
    <xf numFmtId="0" fontId="9" fillId="0" borderId="0" xfId="113" applyNumberFormat="1" applyFont="1" applyFill="1" applyBorder="1" applyAlignment="1" applyProtection="1">
      <alignment vertical="center"/>
      <protection locked="0"/>
    </xf>
    <xf numFmtId="0" fontId="21" fillId="0" borderId="0" xfId="109" applyFont="1" applyFill="1" applyAlignment="1">
      <alignment horizontal="center"/>
      <protection/>
    </xf>
    <xf numFmtId="10" fontId="0" fillId="0" borderId="0" xfId="120" applyNumberFormat="1" applyAlignment="1">
      <alignment horizontal="right"/>
    </xf>
    <xf numFmtId="0" fontId="9" fillId="0" borderId="29" xfId="0" applyFont="1" applyFill="1" applyBorder="1" applyAlignment="1">
      <alignment horizontal="center"/>
    </xf>
    <xf numFmtId="173" fontId="9" fillId="0" borderId="22" xfId="73" applyNumberFormat="1" applyFont="1" applyFill="1" applyBorder="1" applyAlignment="1">
      <alignment horizontal="left"/>
    </xf>
    <xf numFmtId="173" fontId="0" fillId="0" borderId="20" xfId="0" applyNumberFormat="1" applyFont="1" applyBorder="1" applyAlignment="1">
      <alignment/>
    </xf>
    <xf numFmtId="37" fontId="0" fillId="0" borderId="16" xfId="0" applyNumberFormat="1" applyFont="1" applyFill="1" applyBorder="1" applyAlignment="1">
      <alignment/>
    </xf>
    <xf numFmtId="37" fontId="0" fillId="0" borderId="0" xfId="105" applyNumberFormat="1" applyFont="1" applyFill="1" applyBorder="1" applyAlignment="1">
      <alignment horizontal="right"/>
      <protection/>
    </xf>
    <xf numFmtId="37" fontId="8" fillId="0" borderId="0" xfId="105" applyNumberFormat="1" applyFont="1" applyFill="1" applyBorder="1" applyAlignment="1">
      <alignment/>
      <protection/>
    </xf>
    <xf numFmtId="0" fontId="94" fillId="0" borderId="0" xfId="109" applyFont="1" applyFill="1" applyBorder="1">
      <alignment/>
      <protection/>
    </xf>
    <xf numFmtId="0" fontId="4" fillId="0" borderId="0" xfId="109" applyFont="1" applyFill="1" applyBorder="1">
      <alignment/>
      <protection/>
    </xf>
    <xf numFmtId="0" fontId="0" fillId="0" borderId="30" xfId="0" applyBorder="1" applyAlignment="1">
      <alignment/>
    </xf>
    <xf numFmtId="164" fontId="3" fillId="0" borderId="0" xfId="113" applyNumberFormat="1" applyFont="1" applyFill="1" applyBorder="1" applyAlignment="1" applyProtection="1">
      <alignment horizontal="left" vertical="center"/>
      <protection locked="0"/>
    </xf>
    <xf numFmtId="41" fontId="95" fillId="0" borderId="0" xfId="113" applyNumberFormat="1" applyFont="1" applyFill="1" applyAlignment="1" applyProtection="1">
      <alignment horizontal="right"/>
      <protection locked="0"/>
    </xf>
    <xf numFmtId="0" fontId="0" fillId="0" borderId="0" xfId="0" applyFont="1" applyAlignment="1">
      <alignment/>
    </xf>
    <xf numFmtId="0" fontId="0" fillId="0" borderId="0" xfId="0" applyFont="1" applyAlignment="1">
      <alignment horizontal="center" wrapText="1"/>
    </xf>
    <xf numFmtId="0" fontId="0" fillId="0" borderId="0" xfId="0" applyFont="1" applyAlignment="1">
      <alignment wrapText="1"/>
    </xf>
    <xf numFmtId="0" fontId="0" fillId="0" borderId="0" xfId="0" applyFont="1" applyAlignment="1">
      <alignment horizontal="center"/>
    </xf>
    <xf numFmtId="0" fontId="0" fillId="0" borderId="0" xfId="0" applyAlignment="1">
      <alignment vertical="top" wrapText="1"/>
    </xf>
    <xf numFmtId="3" fontId="95" fillId="0" borderId="0" xfId="113" applyNumberFormat="1" applyFont="1" applyFill="1" applyAlignment="1" applyProtection="1">
      <alignment horizontal="right"/>
      <protection locked="0"/>
    </xf>
    <xf numFmtId="3" fontId="3" fillId="0" borderId="0" xfId="113" applyNumberFormat="1" applyFont="1" applyAlignment="1" applyProtection="1">
      <alignment horizontal="center" vertical="center"/>
      <protection locked="0"/>
    </xf>
    <xf numFmtId="167" fontId="3" fillId="0" borderId="0" xfId="113" applyNumberFormat="1" applyFont="1" applyFill="1" applyAlignment="1" applyProtection="1">
      <alignment/>
      <protection locked="0"/>
    </xf>
    <xf numFmtId="166" fontId="3" fillId="0" borderId="0" xfId="113" applyNumberFormat="1" applyFont="1" applyAlignment="1" applyProtection="1">
      <alignment horizontal="center"/>
      <protection locked="0"/>
    </xf>
    <xf numFmtId="190" fontId="3" fillId="0" borderId="0" xfId="113" applyNumberFormat="1" applyFont="1" applyAlignment="1" applyProtection="1">
      <alignment horizontal="center"/>
      <protection locked="0"/>
    </xf>
    <xf numFmtId="191" fontId="3" fillId="0" borderId="0" xfId="113" applyNumberFormat="1" applyFont="1" applyAlignment="1" applyProtection="1">
      <alignment/>
      <protection locked="0"/>
    </xf>
    <xf numFmtId="187" fontId="3" fillId="0" borderId="0" xfId="73" applyNumberFormat="1" applyFont="1" applyAlignment="1" applyProtection="1">
      <alignment horizontal="center"/>
      <protection locked="0"/>
    </xf>
    <xf numFmtId="179" fontId="3" fillId="0" borderId="0" xfId="113" applyNumberFormat="1" applyFont="1" applyAlignment="1" applyProtection="1">
      <alignment horizontal="center"/>
      <protection locked="0"/>
    </xf>
    <xf numFmtId="179" fontId="3" fillId="0" borderId="0" xfId="113" applyNumberFormat="1" applyFont="1" applyAlignment="1" applyProtection="1">
      <alignment/>
      <protection locked="0"/>
    </xf>
    <xf numFmtId="0" fontId="0" fillId="0" borderId="0" xfId="0" applyFont="1" applyAlignment="1">
      <alignment/>
    </xf>
    <xf numFmtId="0" fontId="0" fillId="0" borderId="0" xfId="0" applyFont="1" applyAlignment="1">
      <alignment/>
    </xf>
    <xf numFmtId="0" fontId="0" fillId="0" borderId="0" xfId="0" applyFont="1" applyAlignment="1">
      <alignment horizontal="center" wrapText="1"/>
    </xf>
    <xf numFmtId="0" fontId="0" fillId="0" borderId="0" xfId="0" applyFont="1" applyBorder="1" applyAlignment="1">
      <alignment/>
    </xf>
    <xf numFmtId="10" fontId="0" fillId="0" borderId="0" xfId="120" applyNumberFormat="1" applyFont="1" applyAlignment="1">
      <alignment/>
    </xf>
    <xf numFmtId="3" fontId="95" fillId="0" borderId="0" xfId="0" applyNumberFormat="1" applyFont="1" applyAlignment="1">
      <alignment horizontal="center"/>
    </xf>
    <xf numFmtId="172" fontId="95" fillId="0" borderId="0" xfId="113" applyFont="1" applyAlignment="1" applyProtection="1">
      <alignment horizontal="center"/>
      <protection locked="0"/>
    </xf>
    <xf numFmtId="194" fontId="8" fillId="4" borderId="0" xfId="0" applyNumberFormat="1" applyFont="1" applyFill="1" applyAlignment="1">
      <alignment/>
    </xf>
    <xf numFmtId="173" fontId="0" fillId="0" borderId="14" xfId="0" applyNumberFormat="1" applyBorder="1" applyAlignment="1">
      <alignment/>
    </xf>
    <xf numFmtId="0" fontId="0" fillId="4" borderId="0" xfId="0" applyFill="1" applyAlignment="1">
      <alignment horizontal="center"/>
    </xf>
    <xf numFmtId="9" fontId="0" fillId="0" borderId="0" xfId="120" applyFont="1" applyAlignment="1">
      <alignment/>
    </xf>
    <xf numFmtId="0" fontId="9" fillId="0" borderId="0" xfId="0" applyFont="1" applyAlignment="1">
      <alignment horizontal="center" wrapText="1"/>
    </xf>
    <xf numFmtId="0" fontId="17" fillId="0" borderId="0" xfId="111" applyFont="1" applyFill="1" applyAlignment="1">
      <alignment horizontal="center"/>
      <protection/>
    </xf>
    <xf numFmtId="0" fontId="9" fillId="0" borderId="29" xfId="0" applyFont="1" applyBorder="1" applyAlignment="1">
      <alignment/>
    </xf>
    <xf numFmtId="0" fontId="9" fillId="0" borderId="16" xfId="0" applyFont="1" applyBorder="1" applyAlignment="1">
      <alignment/>
    </xf>
    <xf numFmtId="0" fontId="0" fillId="0" borderId="16" xfId="0" applyFont="1" applyBorder="1" applyAlignment="1">
      <alignment/>
    </xf>
    <xf numFmtId="173" fontId="9" fillId="0" borderId="17" xfId="73" applyNumberFormat="1" applyFont="1" applyBorder="1" applyAlignment="1">
      <alignment/>
    </xf>
    <xf numFmtId="0" fontId="9" fillId="0" borderId="18" xfId="0" applyFont="1" applyBorder="1" applyAlignment="1">
      <alignment/>
    </xf>
    <xf numFmtId="0" fontId="4" fillId="0" borderId="0" xfId="73" applyNumberFormat="1" applyFont="1" applyFill="1" applyBorder="1" applyAlignment="1">
      <alignment horizontal="left"/>
    </xf>
    <xf numFmtId="173" fontId="9" fillId="0" borderId="31" xfId="73" applyNumberFormat="1" applyFont="1" applyBorder="1" applyAlignment="1">
      <alignment/>
    </xf>
    <xf numFmtId="173" fontId="9" fillId="0" borderId="26" xfId="73" applyNumberFormat="1" applyFont="1" applyBorder="1" applyAlignment="1">
      <alignment/>
    </xf>
    <xf numFmtId="173" fontId="0" fillId="0" borderId="6" xfId="73" applyNumberFormat="1" applyFont="1" applyBorder="1" applyAlignment="1">
      <alignment/>
    </xf>
    <xf numFmtId="0" fontId="0" fillId="0" borderId="0" xfId="0" applyFont="1" applyBorder="1" applyAlignment="1">
      <alignment/>
    </xf>
    <xf numFmtId="170" fontId="3" fillId="0" borderId="0" xfId="113" applyNumberFormat="1" applyFont="1" applyAlignment="1" applyProtection="1">
      <alignment/>
      <protection locked="0"/>
    </xf>
    <xf numFmtId="169" fontId="21" fillId="0" borderId="0" xfId="113" applyNumberFormat="1" applyFont="1" applyFill="1" applyAlignment="1" applyProtection="1">
      <alignment/>
      <protection locked="0"/>
    </xf>
    <xf numFmtId="172" fontId="21" fillId="0" borderId="0" xfId="113" applyFont="1" applyFill="1" applyAlignment="1" applyProtection="1">
      <alignment/>
      <protection locked="0"/>
    </xf>
    <xf numFmtId="182" fontId="20" fillId="0" borderId="0" xfId="73" applyNumberFormat="1" applyFont="1" applyFill="1" applyAlignment="1">
      <alignment/>
    </xf>
    <xf numFmtId="0" fontId="21" fillId="0" borderId="0" xfId="113" applyNumberFormat="1" applyFont="1" applyFill="1" applyAlignment="1" applyProtection="1">
      <alignment horizontal="center"/>
      <protection locked="0"/>
    </xf>
    <xf numFmtId="0" fontId="0" fillId="0" borderId="0" xfId="109" applyFont="1" applyFill="1" applyAlignment="1">
      <alignment horizontal="left"/>
      <protection/>
    </xf>
    <xf numFmtId="0" fontId="0" fillId="0" borderId="0" xfId="109" applyFont="1" applyFill="1">
      <alignment/>
      <protection/>
    </xf>
    <xf numFmtId="0" fontId="97" fillId="0" borderId="0" xfId="109" applyFont="1" applyFill="1" applyAlignment="1">
      <alignment horizontal="center"/>
      <protection/>
    </xf>
    <xf numFmtId="0" fontId="98" fillId="0" borderId="0" xfId="109" applyFont="1" applyFill="1" applyBorder="1">
      <alignment/>
      <protection/>
    </xf>
    <xf numFmtId="193" fontId="99" fillId="0" borderId="0" xfId="105" applyNumberFormat="1" applyFont="1" applyFill="1" applyBorder="1" applyAlignment="1">
      <alignment horizontal="center"/>
      <protection/>
    </xf>
    <xf numFmtId="14" fontId="99" fillId="0" borderId="0" xfId="105" applyNumberFormat="1" applyFont="1" applyFill="1" applyBorder="1" applyAlignment="1">
      <alignment horizontal="center" wrapText="1"/>
      <protection/>
    </xf>
    <xf numFmtId="38" fontId="0" fillId="0" borderId="0" xfId="0" applyNumberFormat="1" applyBorder="1" applyAlignment="1">
      <alignment/>
    </xf>
    <xf numFmtId="0" fontId="0" fillId="0" borderId="0" xfId="109" applyFont="1" applyFill="1" applyAlignment="1">
      <alignment horizontal="center"/>
      <protection/>
    </xf>
    <xf numFmtId="0" fontId="21" fillId="0" borderId="0" xfId="0" applyFont="1" applyAlignment="1">
      <alignment vertical="top" wrapText="1"/>
    </xf>
    <xf numFmtId="172" fontId="85" fillId="0" borderId="0" xfId="113" applyFont="1" applyAlignment="1">
      <alignment horizontal="center"/>
    </xf>
    <xf numFmtId="0" fontId="0" fillId="0" borderId="0" xfId="0" applyFont="1" applyAlignment="1">
      <alignment/>
    </xf>
    <xf numFmtId="172" fontId="0" fillId="0" borderId="18" xfId="113" applyFont="1" applyBorder="1" applyAlignment="1" applyProtection="1">
      <alignment/>
      <protection locked="0"/>
    </xf>
    <xf numFmtId="0" fontId="0" fillId="0" borderId="0" xfId="113" applyNumberFormat="1" applyFont="1" applyBorder="1" applyAlignment="1" applyProtection="1">
      <alignment horizontal="center"/>
      <protection locked="0"/>
    </xf>
    <xf numFmtId="172" fontId="0" fillId="0" borderId="0" xfId="113" applyFont="1" applyBorder="1" applyAlignment="1" applyProtection="1">
      <alignment/>
      <protection locked="0"/>
    </xf>
    <xf numFmtId="3" fontId="0" fillId="0" borderId="19" xfId="113" applyNumberFormat="1" applyFont="1" applyBorder="1" applyAlignment="1" applyProtection="1">
      <alignment/>
      <protection locked="0"/>
    </xf>
    <xf numFmtId="0" fontId="0" fillId="0" borderId="18" xfId="0" applyFont="1" applyBorder="1" applyAlignment="1">
      <alignment/>
    </xf>
    <xf numFmtId="0" fontId="0" fillId="0" borderId="0" xfId="0" applyFont="1" applyBorder="1" applyAlignment="1">
      <alignment/>
    </xf>
    <xf numFmtId="0" fontId="0" fillId="0" borderId="19" xfId="0" applyFont="1" applyBorder="1" applyAlignment="1">
      <alignment/>
    </xf>
    <xf numFmtId="166" fontId="0" fillId="0" borderId="26" xfId="113" applyNumberFormat="1" applyFont="1" applyBorder="1" applyAlignment="1" applyProtection="1">
      <alignment horizontal="center"/>
      <protection locked="0"/>
    </xf>
    <xf numFmtId="0" fontId="0" fillId="0" borderId="6" xfId="113" applyNumberFormat="1" applyFont="1" applyBorder="1" applyAlignment="1" applyProtection="1">
      <alignment horizontal="center"/>
      <protection locked="0"/>
    </xf>
    <xf numFmtId="173" fontId="0" fillId="0" borderId="6" xfId="113" applyNumberFormat="1" applyFont="1" applyBorder="1" applyAlignment="1" applyProtection="1">
      <alignment horizontal="center"/>
      <protection locked="0"/>
    </xf>
    <xf numFmtId="174" fontId="0" fillId="0" borderId="22" xfId="0" applyNumberFormat="1" applyFont="1" applyBorder="1" applyAlignment="1">
      <alignment/>
    </xf>
    <xf numFmtId="41" fontId="0" fillId="0" borderId="0" xfId="113" applyNumberFormat="1" applyFont="1" applyBorder="1" applyAlignment="1" applyProtection="1">
      <alignment/>
      <protection locked="0"/>
    </xf>
    <xf numFmtId="41" fontId="0" fillId="0" borderId="0" xfId="113" applyNumberFormat="1" applyFont="1" applyFill="1" applyBorder="1" applyAlignment="1" applyProtection="1">
      <alignment horizontal="right"/>
      <protection locked="0"/>
    </xf>
    <xf numFmtId="3" fontId="9" fillId="0" borderId="0" xfId="113" applyNumberFormat="1" applyFont="1" applyAlignment="1" applyProtection="1">
      <alignment/>
      <protection locked="0"/>
    </xf>
    <xf numFmtId="172" fontId="0" fillId="0" borderId="29" xfId="113" applyFont="1" applyBorder="1" applyAlignment="1" applyProtection="1">
      <alignment/>
      <protection locked="0"/>
    </xf>
    <xf numFmtId="172" fontId="0" fillId="0" borderId="18" xfId="113" applyFont="1" applyBorder="1" applyAlignment="1" applyProtection="1">
      <alignment/>
      <protection locked="0"/>
    </xf>
    <xf numFmtId="3" fontId="0" fillId="0" borderId="19" xfId="113" applyNumberFormat="1" applyFont="1" applyBorder="1" applyAlignment="1" applyProtection="1">
      <alignment/>
      <protection locked="0"/>
    </xf>
    <xf numFmtId="0" fontId="0" fillId="0" borderId="0" xfId="113" applyNumberFormat="1" applyFont="1" applyBorder="1" applyAlignment="1" applyProtection="1" quotePrefix="1">
      <alignment horizontal="center"/>
      <protection locked="0"/>
    </xf>
    <xf numFmtId="0" fontId="0" fillId="0" borderId="19" xfId="0" applyFont="1" applyBorder="1" applyAlignment="1">
      <alignment/>
    </xf>
    <xf numFmtId="0" fontId="0" fillId="0" borderId="18" xfId="0" applyFont="1" applyBorder="1" applyAlignment="1">
      <alignment/>
    </xf>
    <xf numFmtId="0" fontId="0" fillId="0" borderId="0" xfId="0" applyFont="1" applyBorder="1" applyAlignment="1">
      <alignment horizontal="right"/>
    </xf>
    <xf numFmtId="174" fontId="0" fillId="4" borderId="0" xfId="0" applyNumberFormat="1" applyFont="1" applyFill="1" applyBorder="1" applyAlignment="1">
      <alignment/>
    </xf>
    <xf numFmtId="174" fontId="0" fillId="0" borderId="19" xfId="0" applyNumberFormat="1" applyFont="1" applyBorder="1" applyAlignment="1">
      <alignment/>
    </xf>
    <xf numFmtId="174" fontId="0" fillId="0" borderId="6" xfId="0" applyNumberFormat="1" applyFont="1" applyBorder="1" applyAlignment="1">
      <alignment/>
    </xf>
    <xf numFmtId="174" fontId="0" fillId="0" borderId="22" xfId="0" applyNumberFormat="1" applyFont="1" applyBorder="1" applyAlignment="1">
      <alignment/>
    </xf>
    <xf numFmtId="173" fontId="0" fillId="0" borderId="17" xfId="0" applyNumberFormat="1" applyFont="1" applyBorder="1" applyAlignment="1">
      <alignment/>
    </xf>
    <xf numFmtId="166" fontId="0" fillId="0" borderId="26" xfId="113" applyNumberFormat="1" applyFont="1" applyBorder="1" applyAlignment="1" applyProtection="1">
      <alignment horizontal="center"/>
      <protection locked="0"/>
    </xf>
    <xf numFmtId="0" fontId="0" fillId="0" borderId="6" xfId="113" applyNumberFormat="1" applyFont="1" applyBorder="1" applyAlignment="1" applyProtection="1">
      <alignment horizontal="center"/>
      <protection locked="0"/>
    </xf>
    <xf numFmtId="173" fontId="0" fillId="0" borderId="6" xfId="113" applyNumberFormat="1" applyFont="1" applyBorder="1" applyAlignment="1" applyProtection="1" quotePrefix="1">
      <alignment horizontal="center"/>
      <protection locked="0"/>
    </xf>
    <xf numFmtId="173" fontId="0" fillId="0" borderId="18" xfId="73" applyNumberFormat="1" applyFont="1" applyBorder="1" applyAlignment="1">
      <alignment/>
    </xf>
    <xf numFmtId="173" fontId="9" fillId="0" borderId="0" xfId="73" applyNumberFormat="1" applyFont="1" applyBorder="1" applyAlignment="1">
      <alignment/>
    </xf>
    <xf numFmtId="173" fontId="0" fillId="0" borderId="19" xfId="0" applyNumberFormat="1" applyFont="1" applyBorder="1" applyAlignment="1">
      <alignment/>
    </xf>
    <xf numFmtId="173" fontId="9" fillId="0" borderId="11" xfId="73" applyNumberFormat="1" applyFont="1" applyBorder="1" applyAlignment="1">
      <alignment/>
    </xf>
    <xf numFmtId="173" fontId="0" fillId="0" borderId="31" xfId="0" applyNumberFormat="1" applyFont="1" applyBorder="1" applyAlignment="1">
      <alignment/>
    </xf>
    <xf numFmtId="173" fontId="9" fillId="0" borderId="6" xfId="73" applyNumberFormat="1" applyFont="1" applyFill="1" applyBorder="1" applyAlignment="1">
      <alignment horizontal="left"/>
    </xf>
    <xf numFmtId="169" fontId="0" fillId="0" borderId="0" xfId="0" applyNumberFormat="1" applyAlignment="1">
      <alignment/>
    </xf>
    <xf numFmtId="188" fontId="3" fillId="0" borderId="0" xfId="120" applyNumberFormat="1" applyFont="1" applyFill="1" applyAlignment="1">
      <alignment/>
    </xf>
    <xf numFmtId="195" fontId="3" fillId="0" borderId="0" xfId="113" applyNumberFormat="1" applyFont="1" applyProtection="1">
      <alignment/>
      <protection locked="0"/>
    </xf>
    <xf numFmtId="196" fontId="0" fillId="0" borderId="0" xfId="0" applyNumberFormat="1" applyFont="1" applyAlignment="1">
      <alignment/>
    </xf>
    <xf numFmtId="3" fontId="12" fillId="0" borderId="0" xfId="105" applyNumberFormat="1" applyFont="1" applyBorder="1" applyAlignment="1">
      <alignment horizontal="center"/>
      <protection/>
    </xf>
    <xf numFmtId="0" fontId="0" fillId="0" borderId="0" xfId="0" applyFont="1" applyFill="1" applyAlignment="1">
      <alignment/>
    </xf>
    <xf numFmtId="0" fontId="0" fillId="0" borderId="0" xfId="0" applyFont="1" applyFill="1" applyAlignment="1">
      <alignment horizontal="center"/>
    </xf>
    <xf numFmtId="0" fontId="0" fillId="0" borderId="0" xfId="0" applyFont="1" applyAlignment="1">
      <alignment horizontal="left"/>
    </xf>
    <xf numFmtId="0" fontId="12" fillId="0" borderId="0" xfId="0" applyFont="1" applyAlignment="1">
      <alignment horizontal="left"/>
    </xf>
    <xf numFmtId="0" fontId="0" fillId="0" borderId="0" xfId="0" applyFont="1" applyAlignment="1">
      <alignment horizontal="center"/>
    </xf>
    <xf numFmtId="0" fontId="0" fillId="0" borderId="0" xfId="0" applyFont="1" applyFill="1" applyAlignment="1">
      <alignment horizontal="center"/>
    </xf>
    <xf numFmtId="173" fontId="73" fillId="4" borderId="0" xfId="114" applyNumberFormat="1" applyFont="1" applyFill="1" applyBorder="1">
      <alignment/>
      <protection/>
    </xf>
    <xf numFmtId="173" fontId="73" fillId="4" borderId="0" xfId="114" applyNumberFormat="1" applyFont="1" applyFill="1">
      <alignment/>
      <protection/>
    </xf>
    <xf numFmtId="0" fontId="100" fillId="0" borderId="0" xfId="114" applyFont="1" applyFill="1">
      <alignment/>
      <protection/>
    </xf>
    <xf numFmtId="41" fontId="100" fillId="0" borderId="0" xfId="114" applyNumberFormat="1" applyFont="1" applyFill="1">
      <alignment/>
      <protection/>
    </xf>
    <xf numFmtId="41" fontId="100" fillId="0" borderId="0" xfId="114" applyNumberFormat="1" applyFont="1" applyFill="1" applyBorder="1">
      <alignment/>
      <protection/>
    </xf>
    <xf numFmtId="10" fontId="0" fillId="0" borderId="0" xfId="0" applyNumberFormat="1" applyFill="1" applyAlignment="1">
      <alignment horizontal="center"/>
    </xf>
    <xf numFmtId="174" fontId="8" fillId="4" borderId="20" xfId="0" applyNumberFormat="1" applyFont="1" applyFill="1" applyBorder="1" applyAlignment="1">
      <alignment/>
    </xf>
    <xf numFmtId="174" fontId="8" fillId="4" borderId="23" xfId="0" applyNumberFormat="1" applyFont="1" applyFill="1" applyBorder="1" applyAlignment="1">
      <alignment/>
    </xf>
    <xf numFmtId="174" fontId="8" fillId="4" borderId="21" xfId="0" applyNumberFormat="1" applyFont="1" applyFill="1" applyBorder="1" applyAlignment="1">
      <alignment/>
    </xf>
    <xf numFmtId="0" fontId="9" fillId="0" borderId="17" xfId="0" applyFont="1" applyFill="1" applyBorder="1" applyAlignment="1">
      <alignment horizontal="center"/>
    </xf>
    <xf numFmtId="0" fontId="18" fillId="4" borderId="0" xfId="73" applyNumberFormat="1" applyFont="1" applyFill="1" applyAlignment="1">
      <alignment horizontal="left"/>
    </xf>
    <xf numFmtId="173" fontId="8" fillId="4" borderId="19" xfId="0" applyNumberFormat="1" applyFont="1" applyFill="1" applyBorder="1" applyAlignment="1">
      <alignment horizontal="right"/>
    </xf>
    <xf numFmtId="173" fontId="8" fillId="4" borderId="19" xfId="73" applyNumberFormat="1" applyFont="1" applyFill="1" applyBorder="1" applyAlignment="1">
      <alignment horizontal="right"/>
    </xf>
    <xf numFmtId="0" fontId="8" fillId="4" borderId="19" xfId="0" applyFont="1" applyFill="1" applyBorder="1" applyAlignment="1">
      <alignment horizontal="right"/>
    </xf>
    <xf numFmtId="0" fontId="8" fillId="4" borderId="22" xfId="0" applyFont="1" applyFill="1" applyBorder="1" applyAlignment="1">
      <alignment horizontal="right"/>
    </xf>
    <xf numFmtId="0" fontId="8" fillId="4" borderId="0" xfId="73" applyNumberFormat="1" applyFont="1" applyFill="1" applyAlignment="1" applyProtection="1">
      <alignment/>
      <protection locked="0"/>
    </xf>
    <xf numFmtId="0" fontId="20" fillId="0" borderId="0" xfId="0" applyFont="1" applyAlignment="1">
      <alignment wrapText="1"/>
    </xf>
    <xf numFmtId="0" fontId="65" fillId="4" borderId="0" xfId="0" applyFont="1" applyFill="1" applyAlignment="1">
      <alignment horizontal="left"/>
    </xf>
    <xf numFmtId="0" fontId="20" fillId="0" borderId="0" xfId="0" applyFont="1" applyAlignment="1">
      <alignment/>
    </xf>
    <xf numFmtId="173" fontId="14" fillId="0" borderId="0" xfId="109" applyNumberFormat="1" applyFont="1" applyFill="1">
      <alignment/>
      <protection/>
    </xf>
    <xf numFmtId="0" fontId="101" fillId="0" borderId="0" xfId="0" applyFont="1" applyAlignment="1">
      <alignment/>
    </xf>
    <xf numFmtId="0" fontId="102" fillId="0" borderId="0" xfId="0" applyFont="1" applyAlignment="1">
      <alignment/>
    </xf>
    <xf numFmtId="0" fontId="9" fillId="0" borderId="0" xfId="113" applyNumberFormat="1" applyFont="1" applyFill="1" applyBorder="1" applyAlignment="1" applyProtection="1">
      <alignment vertical="top"/>
      <protection locked="0"/>
    </xf>
    <xf numFmtId="0" fontId="9" fillId="0" borderId="0" xfId="109" applyFont="1" applyFill="1" applyAlignment="1">
      <alignment horizontal="center" wrapText="1"/>
      <protection/>
    </xf>
    <xf numFmtId="41" fontId="9" fillId="0" borderId="0" xfId="109" applyNumberFormat="1" applyFont="1" applyFill="1" applyBorder="1" applyAlignment="1">
      <alignment horizontal="center" wrapText="1"/>
      <protection/>
    </xf>
    <xf numFmtId="37" fontId="8" fillId="4" borderId="0" xfId="109" applyNumberFormat="1" applyFont="1" applyFill="1">
      <alignment/>
      <protection/>
    </xf>
    <xf numFmtId="173" fontId="8" fillId="4" borderId="0" xfId="109" applyNumberFormat="1" applyFont="1" applyFill="1">
      <alignment/>
      <protection/>
    </xf>
    <xf numFmtId="0" fontId="14" fillId="0" borderId="11" xfId="109" applyFont="1" applyFill="1" applyBorder="1">
      <alignment/>
      <protection/>
    </xf>
    <xf numFmtId="0" fontId="0" fillId="0" borderId="0" xfId="0" applyFont="1" applyAlignment="1">
      <alignment vertical="top" wrapText="1"/>
    </xf>
    <xf numFmtId="0" fontId="0" fillId="0" borderId="0" xfId="109" applyFont="1" applyFill="1" applyAlignment="1">
      <alignment horizontal="left"/>
      <protection/>
    </xf>
    <xf numFmtId="10" fontId="0" fillId="0" borderId="0" xfId="0" applyNumberFormat="1" applyFont="1" applyFill="1" applyAlignment="1">
      <alignment horizontal="center"/>
    </xf>
    <xf numFmtId="173" fontId="0" fillId="0" borderId="19" xfId="0" applyNumberFormat="1" applyFont="1" applyFill="1" applyBorder="1" applyAlignment="1">
      <alignment horizontal="right"/>
    </xf>
    <xf numFmtId="171" fontId="3" fillId="0" borderId="0" xfId="113" applyNumberFormat="1" applyFont="1" applyFill="1" applyProtection="1">
      <alignment/>
      <protection locked="0"/>
    </xf>
    <xf numFmtId="10" fontId="3" fillId="0" borderId="0" xfId="113" applyNumberFormat="1" applyFont="1" applyFill="1" applyAlignment="1">
      <alignment/>
    </xf>
    <xf numFmtId="0" fontId="18" fillId="4" borderId="0" xfId="73" applyNumberFormat="1" applyFont="1" applyFill="1" applyAlignment="1">
      <alignment/>
    </xf>
    <xf numFmtId="182" fontId="3" fillId="0" borderId="0" xfId="73" applyNumberFormat="1" applyFont="1" applyFill="1" applyAlignment="1" applyProtection="1">
      <alignment horizontal="center"/>
      <protection locked="0"/>
    </xf>
    <xf numFmtId="172" fontId="3" fillId="0" borderId="6" xfId="113" applyFont="1" applyBorder="1" applyAlignment="1">
      <alignment horizontal="center"/>
    </xf>
    <xf numFmtId="182" fontId="3" fillId="0" borderId="6" xfId="73" applyNumberFormat="1" applyFont="1" applyFill="1" applyBorder="1" applyAlignment="1" applyProtection="1">
      <alignment horizontal="center"/>
      <protection locked="0"/>
    </xf>
    <xf numFmtId="10" fontId="3" fillId="0" borderId="0" xfId="113" applyNumberFormat="1" applyFont="1" applyFill="1" applyAlignment="1" applyProtection="1">
      <alignment/>
      <protection locked="0"/>
    </xf>
    <xf numFmtId="10" fontId="3" fillId="0" borderId="0" xfId="120" applyNumberFormat="1" applyFont="1" applyAlignment="1">
      <alignment/>
    </xf>
    <xf numFmtId="169" fontId="3" fillId="0" borderId="0" xfId="113" applyNumberFormat="1" applyFont="1" applyFill="1" applyAlignment="1" applyProtection="1">
      <alignment/>
      <protection locked="0"/>
    </xf>
    <xf numFmtId="187" fontId="3" fillId="0" borderId="0" xfId="73" applyNumberFormat="1" applyFont="1" applyFill="1" applyAlignment="1" applyProtection="1">
      <alignment/>
      <protection locked="0"/>
    </xf>
    <xf numFmtId="169" fontId="3" fillId="0" borderId="16" xfId="113" applyNumberFormat="1" applyFont="1" applyFill="1" applyBorder="1" applyAlignment="1" applyProtection="1">
      <alignment/>
      <protection locked="0"/>
    </xf>
    <xf numFmtId="169" fontId="3" fillId="0" borderId="0" xfId="113" applyNumberFormat="1" applyFont="1" applyFill="1" applyBorder="1" applyAlignment="1" applyProtection="1">
      <alignment/>
      <protection locked="0"/>
    </xf>
    <xf numFmtId="169" fontId="3" fillId="0" borderId="6" xfId="113" applyNumberFormat="1" applyFont="1" applyFill="1" applyBorder="1" applyAlignment="1" applyProtection="1">
      <alignment/>
      <protection locked="0"/>
    </xf>
    <xf numFmtId="182" fontId="0" fillId="0" borderId="0" xfId="73" applyNumberFormat="1" applyFont="1" applyFill="1" applyAlignment="1">
      <alignment/>
    </xf>
    <xf numFmtId="169" fontId="4" fillId="0" borderId="0" xfId="113" applyNumberFormat="1" applyFont="1" applyFill="1" applyAlignment="1" applyProtection="1">
      <alignment/>
      <protection locked="0"/>
    </xf>
    <xf numFmtId="10" fontId="3" fillId="0" borderId="0" xfId="0" applyNumberFormat="1" applyFont="1" applyFill="1" applyAlignment="1">
      <alignment/>
    </xf>
    <xf numFmtId="172" fontId="0" fillId="0" borderId="0" xfId="0" applyNumberFormat="1" applyFont="1" applyAlignment="1">
      <alignment/>
    </xf>
    <xf numFmtId="0" fontId="3" fillId="0" borderId="0" xfId="0" applyFont="1" applyAlignment="1">
      <alignment vertical="top" wrapText="1"/>
    </xf>
    <xf numFmtId="41" fontId="0" fillId="0" borderId="0" xfId="0" applyNumberFormat="1" applyFont="1" applyFill="1" applyAlignment="1">
      <alignment/>
    </xf>
    <xf numFmtId="173" fontId="0" fillId="0" borderId="15" xfId="0" applyNumberFormat="1" applyFont="1" applyBorder="1" applyAlignment="1">
      <alignment/>
    </xf>
    <xf numFmtId="0" fontId="0" fillId="0" borderId="0" xfId="105" applyFont="1" applyFill="1" applyBorder="1">
      <alignment/>
      <protection/>
    </xf>
    <xf numFmtId="41" fontId="67" fillId="4" borderId="11" xfId="114" applyNumberFormat="1" applyFont="1" applyFill="1" applyBorder="1">
      <alignment/>
      <protection/>
    </xf>
    <xf numFmtId="174" fontId="8" fillId="4" borderId="0" xfId="81" applyNumberFormat="1" applyFont="1" applyFill="1" applyAlignment="1">
      <alignment/>
    </xf>
    <xf numFmtId="0" fontId="0" fillId="0" borderId="11" xfId="0" applyFont="1" applyBorder="1" applyAlignment="1">
      <alignment/>
    </xf>
    <xf numFmtId="173" fontId="0" fillId="0" borderId="0" xfId="120" applyNumberFormat="1" applyFont="1" applyFill="1" applyBorder="1" applyAlignment="1">
      <alignment/>
    </xf>
    <xf numFmtId="10" fontId="0" fillId="0" borderId="0" xfId="120" applyNumberFormat="1" applyFont="1" applyFill="1" applyBorder="1" applyAlignment="1">
      <alignment/>
    </xf>
    <xf numFmtId="187" fontId="0" fillId="0" borderId="0" xfId="73" applyNumberFormat="1" applyFont="1" applyFill="1" applyBorder="1" applyAlignment="1">
      <alignment/>
    </xf>
    <xf numFmtId="173" fontId="0" fillId="0" borderId="0" xfId="73" applyNumberFormat="1" applyFont="1" applyFill="1" applyBorder="1" applyAlignment="1">
      <alignment/>
    </xf>
    <xf numFmtId="0" fontId="9" fillId="0" borderId="0" xfId="109" applyFont="1" applyFill="1" applyAlignment="1">
      <alignment horizontal="left"/>
      <protection/>
    </xf>
    <xf numFmtId="10" fontId="0" fillId="0" borderId="0" xfId="120" applyNumberFormat="1" applyFont="1" applyFill="1" applyBorder="1" applyAlignment="1">
      <alignment/>
    </xf>
    <xf numFmtId="0" fontId="0" fillId="0" borderId="0" xfId="109" applyFont="1" applyFill="1">
      <alignment/>
      <protection/>
    </xf>
    <xf numFmtId="173" fontId="9" fillId="0" borderId="27" xfId="73" applyNumberFormat="1" applyFont="1" applyFill="1" applyBorder="1" applyAlignment="1">
      <alignment/>
    </xf>
    <xf numFmtId="0" fontId="0" fillId="0" borderId="0" xfId="109" applyFont="1" applyFill="1" applyAlignment="1">
      <alignment horizontal="left"/>
      <protection/>
    </xf>
    <xf numFmtId="0" fontId="0" fillId="0" borderId="0" xfId="113" applyNumberFormat="1" applyFont="1" applyFill="1" applyBorder="1" applyAlignment="1" applyProtection="1">
      <alignment vertical="center" wrapText="1"/>
      <protection locked="0"/>
    </xf>
    <xf numFmtId="174" fontId="0" fillId="21" borderId="20" xfId="0" applyNumberFormat="1" applyFont="1" applyFill="1" applyBorder="1" applyAlignment="1">
      <alignment/>
    </xf>
    <xf numFmtId="174" fontId="0" fillId="21" borderId="23" xfId="0" applyNumberFormat="1" applyFont="1" applyFill="1" applyBorder="1" applyAlignment="1">
      <alignment/>
    </xf>
    <xf numFmtId="174" fontId="0" fillId="21" borderId="21" xfId="0" applyNumberFormat="1" applyFont="1" applyFill="1" applyBorder="1" applyAlignment="1">
      <alignment/>
    </xf>
    <xf numFmtId="173" fontId="9" fillId="21" borderId="20" xfId="73" applyNumberFormat="1" applyFont="1" applyFill="1" applyBorder="1" applyAlignment="1">
      <alignment horizontal="center" wrapText="1"/>
    </xf>
    <xf numFmtId="173" fontId="9" fillId="21" borderId="21" xfId="73" applyNumberFormat="1" applyFont="1" applyFill="1" applyBorder="1" applyAlignment="1">
      <alignment horizontal="center"/>
    </xf>
    <xf numFmtId="10" fontId="73" fillId="4" borderId="11" xfId="120" applyNumberFormat="1" applyFont="1" applyFill="1" applyBorder="1" applyAlignment="1">
      <alignment/>
    </xf>
    <xf numFmtId="17" fontId="0" fillId="0" borderId="0" xfId="0" applyNumberFormat="1" applyFill="1" applyAlignment="1">
      <alignment horizontal="center"/>
    </xf>
    <xf numFmtId="0" fontId="0" fillId="0" borderId="0" xfId="0" applyFont="1" applyFill="1" applyAlignment="1">
      <alignment horizontal="centerContinuous"/>
    </xf>
    <xf numFmtId="43" fontId="14" fillId="0" borderId="0" xfId="73" applyFont="1" applyFill="1" applyAlignment="1">
      <alignment/>
    </xf>
    <xf numFmtId="43" fontId="3" fillId="0" borderId="0" xfId="73" applyFont="1" applyAlignment="1">
      <alignment horizontal="center"/>
    </xf>
    <xf numFmtId="43" fontId="3" fillId="0" borderId="0" xfId="73" applyFont="1" applyBorder="1" applyAlignment="1">
      <alignment horizontal="center"/>
    </xf>
    <xf numFmtId="43" fontId="2" fillId="0" borderId="0" xfId="73" applyFont="1" applyBorder="1" applyAlignment="1">
      <alignment horizontal="center"/>
    </xf>
    <xf numFmtId="43" fontId="2" fillId="0" borderId="0" xfId="73" applyFont="1" applyAlignment="1">
      <alignment horizontal="center"/>
    </xf>
    <xf numFmtId="43" fontId="14" fillId="0" borderId="0" xfId="73" applyFont="1" applyAlignment="1">
      <alignment/>
    </xf>
    <xf numFmtId="0" fontId="18" fillId="0" borderId="0" xfId="73" applyNumberFormat="1" applyFont="1" applyFill="1" applyAlignment="1">
      <alignment/>
    </xf>
    <xf numFmtId="0" fontId="82" fillId="4" borderId="0" xfId="109" applyFont="1" applyFill="1">
      <alignment/>
      <protection/>
    </xf>
    <xf numFmtId="173" fontId="82" fillId="4" borderId="0" xfId="109" applyNumberFormat="1" applyFont="1" applyFill="1">
      <alignment/>
      <protection/>
    </xf>
    <xf numFmtId="37" fontId="82" fillId="4" borderId="0" xfId="109" applyNumberFormat="1" applyFont="1" applyFill="1">
      <alignment/>
      <protection/>
    </xf>
    <xf numFmtId="3" fontId="3" fillId="0" borderId="0" xfId="73" applyNumberFormat="1" applyFont="1" applyFill="1" applyAlignment="1" applyProtection="1">
      <alignment/>
      <protection locked="0"/>
    </xf>
    <xf numFmtId="37" fontId="3" fillId="0" borderId="0" xfId="113" applyNumberFormat="1" applyFont="1" applyFill="1" applyAlignment="1" applyProtection="1">
      <alignment/>
      <protection locked="0"/>
    </xf>
    <xf numFmtId="37" fontId="3" fillId="0" borderId="6" xfId="113" applyNumberFormat="1" applyFont="1" applyFill="1" applyBorder="1" applyAlignment="1" applyProtection="1">
      <alignment/>
      <protection locked="0"/>
    </xf>
    <xf numFmtId="37" fontId="3" fillId="0" borderId="0" xfId="113" applyNumberFormat="1" applyFont="1" applyFill="1" applyAlignment="1" applyProtection="1">
      <alignment vertical="center"/>
      <protection locked="0"/>
    </xf>
    <xf numFmtId="3" fontId="18" fillId="4" borderId="0" xfId="73" applyNumberFormat="1" applyFont="1" applyFill="1" applyAlignment="1" applyProtection="1">
      <alignment horizontal="right"/>
      <protection locked="0"/>
    </xf>
    <xf numFmtId="173" fontId="67" fillId="0" borderId="2" xfId="73" applyNumberFormat="1" applyFont="1" applyFill="1" applyBorder="1" applyAlignment="1">
      <alignment/>
    </xf>
    <xf numFmtId="41" fontId="67" fillId="0" borderId="20" xfId="114" applyNumberFormat="1" applyFont="1" applyFill="1" applyBorder="1">
      <alignment/>
      <protection/>
    </xf>
    <xf numFmtId="0" fontId="17" fillId="0" borderId="0" xfId="114" applyNumberFormat="1" applyFont="1" applyFill="1" applyBorder="1" applyAlignment="1">
      <alignment horizontal="center"/>
      <protection/>
    </xf>
    <xf numFmtId="0" fontId="0" fillId="0" borderId="0" xfId="114" applyNumberFormat="1" applyFont="1" applyFill="1" applyBorder="1">
      <alignment/>
      <protection/>
    </xf>
    <xf numFmtId="0" fontId="70" fillId="0" borderId="0" xfId="114" applyFont="1" applyFill="1" applyBorder="1">
      <alignment/>
      <protection/>
    </xf>
    <xf numFmtId="0" fontId="67" fillId="0" borderId="0" xfId="114" applyFont="1" applyFill="1" applyBorder="1">
      <alignment/>
      <protection/>
    </xf>
    <xf numFmtId="6" fontId="0" fillId="0" borderId="11" xfId="0" applyNumberFormat="1" applyFont="1" applyBorder="1" applyAlignment="1">
      <alignment horizontal="right"/>
    </xf>
    <xf numFmtId="3" fontId="8" fillId="4" borderId="11" xfId="113" applyNumberFormat="1" applyFont="1" applyFill="1" applyBorder="1" applyAlignment="1" applyProtection="1">
      <alignment/>
      <protection locked="0"/>
    </xf>
    <xf numFmtId="3" fontId="8" fillId="4" borderId="6" xfId="113" applyNumberFormat="1" applyFont="1" applyFill="1" applyBorder="1" applyAlignment="1" applyProtection="1">
      <alignment/>
      <protection locked="0"/>
    </xf>
    <xf numFmtId="3" fontId="8" fillId="0" borderId="0" xfId="113" applyNumberFormat="1" applyFont="1" applyFill="1" applyAlignment="1" applyProtection="1">
      <alignment/>
      <protection locked="0"/>
    </xf>
    <xf numFmtId="3" fontId="8" fillId="0" borderId="6" xfId="113" applyNumberFormat="1" applyFont="1" applyFill="1" applyBorder="1" applyAlignment="1" applyProtection="1">
      <alignment/>
      <protection locked="0"/>
    </xf>
    <xf numFmtId="3" fontId="8" fillId="0" borderId="11" xfId="113" applyNumberFormat="1" applyFont="1" applyFill="1" applyBorder="1" applyAlignment="1" applyProtection="1">
      <alignment/>
      <protection locked="0"/>
    </xf>
    <xf numFmtId="3" fontId="0" fillId="0" borderId="0" xfId="0" applyNumberFormat="1" applyFont="1" applyFill="1" applyAlignment="1" quotePrefix="1">
      <alignment/>
    </xf>
    <xf numFmtId="17" fontId="82" fillId="4" borderId="0" xfId="109" applyNumberFormat="1" applyFont="1" applyFill="1" quotePrefix="1">
      <alignment/>
      <protection/>
    </xf>
    <xf numFmtId="0" fontId="3" fillId="0" borderId="0" xfId="0" applyFont="1" applyAlignment="1">
      <alignment horizontal="left"/>
    </xf>
    <xf numFmtId="0" fontId="3" fillId="0" borderId="0" xfId="105" applyFont="1" applyBorder="1" applyAlignment="1">
      <alignment horizontal="left"/>
      <protection/>
    </xf>
    <xf numFmtId="0" fontId="3" fillId="0" borderId="0" xfId="105" applyFont="1" applyBorder="1" applyAlignment="1">
      <alignment/>
      <protection/>
    </xf>
    <xf numFmtId="3" fontId="3" fillId="0" borderId="0" xfId="0" applyNumberFormat="1" applyFont="1" applyAlignment="1">
      <alignment horizontal="left"/>
    </xf>
    <xf numFmtId="173" fontId="9" fillId="0" borderId="0" xfId="73" applyNumberFormat="1" applyFont="1" applyAlignment="1">
      <alignment horizontal="center" wrapText="1"/>
    </xf>
    <xf numFmtId="0" fontId="9" fillId="0" borderId="0" xfId="0" applyFont="1" applyAlignment="1">
      <alignment/>
    </xf>
    <xf numFmtId="173" fontId="9" fillId="0" borderId="0" xfId="73" applyNumberFormat="1" applyFont="1" applyAlignment="1">
      <alignment/>
    </xf>
    <xf numFmtId="43" fontId="9" fillId="0" borderId="0" xfId="73" applyFont="1" applyAlignment="1">
      <alignment horizontal="center" wrapText="1"/>
    </xf>
    <xf numFmtId="173" fontId="9" fillId="0" borderId="0" xfId="73" applyNumberFormat="1" applyFont="1" applyAlignment="1">
      <alignment horizontal="center"/>
    </xf>
    <xf numFmtId="173" fontId="8" fillId="4" borderId="0" xfId="0" applyNumberFormat="1" applyFont="1" applyFill="1" applyAlignment="1">
      <alignment/>
    </xf>
    <xf numFmtId="10" fontId="0" fillId="0" borderId="0" xfId="120" applyNumberFormat="1" applyAlignment="1">
      <alignment/>
    </xf>
    <xf numFmtId="173" fontId="8" fillId="4" borderId="11" xfId="0" applyNumberFormat="1" applyFont="1" applyFill="1" applyBorder="1" applyAlignment="1">
      <alignment/>
    </xf>
    <xf numFmtId="173" fontId="0" fillId="0" borderId="11" xfId="0" applyNumberFormat="1" applyBorder="1" applyAlignment="1">
      <alignment/>
    </xf>
    <xf numFmtId="173" fontId="0" fillId="0" borderId="11" xfId="73" applyNumberFormat="1" applyBorder="1" applyAlignment="1">
      <alignment/>
    </xf>
    <xf numFmtId="0" fontId="12" fillId="0" borderId="0" xfId="0" applyFont="1" applyAlignment="1">
      <alignment horizontal="center"/>
    </xf>
    <xf numFmtId="0" fontId="105" fillId="0" borderId="0" xfId="0" applyFont="1" applyAlignment="1">
      <alignment horizontal="center"/>
    </xf>
    <xf numFmtId="41" fontId="8" fillId="4" borderId="0" xfId="109" applyNumberFormat="1" applyFont="1" applyFill="1" applyBorder="1">
      <alignment/>
      <protection/>
    </xf>
    <xf numFmtId="41" fontId="0" fillId="0" borderId="0" xfId="0" applyNumberFormat="1" applyFont="1" applyAlignment="1">
      <alignment/>
    </xf>
    <xf numFmtId="0" fontId="20" fillId="0" borderId="11" xfId="0" applyFont="1" applyBorder="1" applyAlignment="1">
      <alignment/>
    </xf>
    <xf numFmtId="0" fontId="0" fillId="0" borderId="11" xfId="0" applyFont="1" applyBorder="1" applyAlignment="1">
      <alignment/>
    </xf>
    <xf numFmtId="0" fontId="20" fillId="0" borderId="0" xfId="0" applyFont="1" applyAlignment="1">
      <alignment horizontal="center"/>
    </xf>
    <xf numFmtId="197" fontId="20" fillId="0" borderId="0" xfId="73" applyNumberFormat="1" applyFont="1" applyAlignment="1">
      <alignment horizontal="center"/>
    </xf>
    <xf numFmtId="41" fontId="0" fillId="0" borderId="14" xfId="0" applyNumberFormat="1" applyFont="1" applyBorder="1" applyAlignment="1">
      <alignment/>
    </xf>
    <xf numFmtId="43" fontId="63" fillId="0" borderId="0" xfId="0" applyNumberFormat="1" applyFont="1" applyAlignment="1">
      <alignment/>
    </xf>
    <xf numFmtId="173" fontId="0" fillId="0" borderId="0" xfId="0" applyNumberFormat="1" applyFont="1" applyAlignment="1">
      <alignment wrapText="1"/>
    </xf>
    <xf numFmtId="41" fontId="20" fillId="0" borderId="0" xfId="0" applyNumberFormat="1" applyFont="1" applyAlignment="1">
      <alignment/>
    </xf>
    <xf numFmtId="173" fontId="20" fillId="0" borderId="14" xfId="0" applyNumberFormat="1" applyFont="1" applyBorder="1" applyAlignment="1">
      <alignment/>
    </xf>
    <xf numFmtId="0" fontId="20" fillId="0" borderId="0" xfId="109" applyFont="1" applyFill="1" applyAlignment="1">
      <alignment horizontal="left"/>
      <protection/>
    </xf>
    <xf numFmtId="41" fontId="0" fillId="0" borderId="0" xfId="120" applyNumberFormat="1" applyFont="1" applyFill="1" applyBorder="1" applyAlignment="1">
      <alignment/>
    </xf>
    <xf numFmtId="187" fontId="0" fillId="0" borderId="0" xfId="73" applyNumberFormat="1" applyFont="1" applyFill="1" applyBorder="1" applyAlignment="1">
      <alignment/>
    </xf>
    <xf numFmtId="173" fontId="0" fillId="0" borderId="0" xfId="73" applyNumberFormat="1" applyFont="1" applyFill="1" applyBorder="1" applyAlignment="1">
      <alignment/>
    </xf>
    <xf numFmtId="188" fontId="18" fillId="4" borderId="0" xfId="113" applyNumberFormat="1" applyFont="1" applyFill="1" applyAlignment="1" applyProtection="1">
      <alignment/>
      <protection locked="0"/>
    </xf>
    <xf numFmtId="0" fontId="86" fillId="0" borderId="0" xfId="113" applyNumberFormat="1" applyFont="1" applyFill="1" applyAlignment="1" applyProtection="1">
      <alignment horizontal="center"/>
      <protection locked="0"/>
    </xf>
    <xf numFmtId="0" fontId="86" fillId="0" borderId="0" xfId="113" applyNumberFormat="1" applyFont="1" applyFill="1" applyAlignment="1" applyProtection="1">
      <alignment horizontal="center"/>
      <protection locked="0"/>
    </xf>
    <xf numFmtId="0" fontId="85" fillId="0" borderId="0" xfId="113" applyNumberFormat="1" applyFont="1" applyFill="1" applyAlignment="1" applyProtection="1">
      <alignment horizontal="center"/>
      <protection locked="0"/>
    </xf>
    <xf numFmtId="3" fontId="4" fillId="0" borderId="0" xfId="113" applyNumberFormat="1" applyFont="1" applyFill="1" applyBorder="1" applyAlignment="1" applyProtection="1">
      <alignment horizontal="right"/>
      <protection locked="0"/>
    </xf>
    <xf numFmtId="0" fontId="107" fillId="0" borderId="0" xfId="109" applyFont="1" applyFill="1" applyAlignment="1">
      <alignment horizontal="center"/>
      <protection/>
    </xf>
    <xf numFmtId="38" fontId="20" fillId="0" borderId="0" xfId="0" applyNumberFormat="1" applyFont="1" applyBorder="1" applyAlignment="1">
      <alignment/>
    </xf>
    <xf numFmtId="38" fontId="20" fillId="4" borderId="0" xfId="0" applyNumberFormat="1" applyFont="1" applyFill="1" applyBorder="1" applyAlignment="1">
      <alignment/>
    </xf>
    <xf numFmtId="38" fontId="3" fillId="0" borderId="15" xfId="109" applyNumberFormat="1" applyFont="1" applyFill="1" applyBorder="1" applyAlignment="1">
      <alignment horizontal="right"/>
      <protection/>
    </xf>
    <xf numFmtId="172" fontId="21" fillId="0" borderId="0" xfId="113" applyFont="1" applyAlignment="1">
      <alignment/>
    </xf>
    <xf numFmtId="0" fontId="21" fillId="0" borderId="0" xfId="113" applyNumberFormat="1" applyFont="1" applyFill="1" applyBorder="1" applyAlignment="1" applyProtection="1">
      <alignment/>
      <protection locked="0"/>
    </xf>
    <xf numFmtId="41" fontId="0" fillId="0" borderId="0" xfId="120" applyNumberFormat="1" applyFont="1" applyFill="1" applyBorder="1" applyAlignment="1">
      <alignment/>
    </xf>
    <xf numFmtId="3" fontId="20" fillId="0" borderId="0" xfId="105" applyNumberFormat="1" applyFont="1" applyFill="1" applyBorder="1" applyAlignment="1">
      <alignment/>
      <protection/>
    </xf>
    <xf numFmtId="0" fontId="20" fillId="0" borderId="0" xfId="105" applyFont="1" applyFill="1" applyBorder="1" applyAlignment="1">
      <alignment horizontal="center"/>
      <protection/>
    </xf>
    <xf numFmtId="0" fontId="20" fillId="0" borderId="0" xfId="105" applyFont="1" applyFill="1" applyBorder="1">
      <alignment/>
      <protection/>
    </xf>
    <xf numFmtId="0" fontId="20" fillId="0" borderId="0" xfId="109" applyFont="1" applyAlignment="1">
      <alignment horizontal="center"/>
      <protection/>
    </xf>
    <xf numFmtId="0" fontId="20" fillId="0" borderId="0" xfId="109" applyFont="1" applyAlignment="1">
      <alignment horizontal="left"/>
      <protection/>
    </xf>
    <xf numFmtId="0" fontId="20" fillId="0" borderId="0" xfId="0" applyFont="1" applyAlignment="1">
      <alignment horizontal="left"/>
    </xf>
    <xf numFmtId="0" fontId="0" fillId="0" borderId="0" xfId="0" applyFont="1" applyAlignment="1">
      <alignment horizontal="left"/>
    </xf>
    <xf numFmtId="0" fontId="9" fillId="0" borderId="0" xfId="117" applyFont="1" applyFill="1">
      <alignment/>
      <protection/>
    </xf>
    <xf numFmtId="0" fontId="9" fillId="0" borderId="0" xfId="117" applyFont="1">
      <alignment/>
      <protection/>
    </xf>
    <xf numFmtId="0" fontId="9" fillId="0" borderId="0" xfId="117" applyFont="1" applyFill="1" applyAlignment="1">
      <alignment horizontal="center"/>
      <protection/>
    </xf>
    <xf numFmtId="0" fontId="0" fillId="0" borderId="0" xfId="117" applyFont="1">
      <alignment/>
      <protection/>
    </xf>
    <xf numFmtId="0" fontId="7" fillId="0" borderId="0" xfId="117" applyFont="1" applyFill="1" applyAlignment="1">
      <alignment horizontal="center"/>
      <protection/>
    </xf>
    <xf numFmtId="0" fontId="7" fillId="0" borderId="0" xfId="117" applyFont="1">
      <alignment/>
      <protection/>
    </xf>
    <xf numFmtId="0" fontId="7" fillId="0" borderId="0" xfId="117" applyFont="1" applyFill="1" applyAlignment="1">
      <alignment horizontal="center"/>
      <protection/>
    </xf>
    <xf numFmtId="0" fontId="20" fillId="0" borderId="0" xfId="0" applyFont="1" applyFill="1" applyAlignment="1">
      <alignment/>
    </xf>
    <xf numFmtId="0" fontId="3" fillId="0" borderId="0" xfId="103" applyFont="1" applyAlignment="1">
      <alignment horizontal="center"/>
      <protection/>
    </xf>
    <xf numFmtId="0" fontId="4" fillId="0" borderId="0" xfId="110" applyFont="1" applyFill="1" applyAlignment="1">
      <alignment horizontal="center"/>
      <protection/>
    </xf>
    <xf numFmtId="0" fontId="4" fillId="0" borderId="0" xfId="110" applyFont="1" applyFill="1" applyBorder="1" applyAlignment="1">
      <alignment horizontal="center"/>
      <protection/>
    </xf>
    <xf numFmtId="0" fontId="0" fillId="0" borderId="0" xfId="103">
      <alignment/>
      <protection/>
    </xf>
    <xf numFmtId="0" fontId="0" fillId="0" borderId="0" xfId="103" applyBorder="1">
      <alignment/>
      <protection/>
    </xf>
    <xf numFmtId="0" fontId="3" fillId="0" borderId="0" xfId="103" applyFont="1" applyBorder="1" applyAlignment="1">
      <alignment horizontal="center"/>
      <protection/>
    </xf>
    <xf numFmtId="0" fontId="2" fillId="0" borderId="0" xfId="114" applyNumberFormat="1" applyFont="1" applyBorder="1" applyAlignment="1">
      <alignment horizontal="center"/>
      <protection/>
    </xf>
    <xf numFmtId="0" fontId="0" fillId="0" borderId="0" xfId="114" applyFont="1" applyBorder="1">
      <alignment/>
      <protection/>
    </xf>
    <xf numFmtId="0" fontId="2" fillId="0" borderId="11" xfId="114" applyNumberFormat="1" applyFont="1" applyBorder="1">
      <alignment/>
      <protection/>
    </xf>
    <xf numFmtId="186" fontId="2" fillId="0" borderId="0" xfId="114" applyNumberFormat="1" applyFont="1" applyBorder="1" applyAlignment="1">
      <alignment horizontal="center"/>
      <protection/>
    </xf>
    <xf numFmtId="173" fontId="73" fillId="0" borderId="0" xfId="114" applyNumberFormat="1" applyFont="1" applyFill="1" applyBorder="1">
      <alignment/>
      <protection/>
    </xf>
    <xf numFmtId="0" fontId="67" fillId="0" borderId="0" xfId="114" applyFont="1" applyAlignment="1">
      <alignment horizontal="center"/>
      <protection/>
    </xf>
    <xf numFmtId="0" fontId="67" fillId="0" borderId="0" xfId="114" applyFont="1" applyBorder="1">
      <alignment/>
      <protection/>
    </xf>
    <xf numFmtId="3" fontId="73" fillId="0" borderId="0" xfId="114" applyNumberFormat="1" applyFont="1" applyFill="1" applyBorder="1">
      <alignment/>
      <protection/>
    </xf>
    <xf numFmtId="0" fontId="17" fillId="0" borderId="0" xfId="112" applyFont="1" applyFill="1" applyAlignment="1">
      <alignment horizontal="center"/>
      <protection/>
    </xf>
    <xf numFmtId="0" fontId="17" fillId="0" borderId="0" xfId="112" applyFont="1" applyFill="1" applyAlignment="1">
      <alignment horizontal="left" indent="2"/>
      <protection/>
    </xf>
    <xf numFmtId="39" fontId="17" fillId="0" borderId="0" xfId="112" applyNumberFormat="1" applyFont="1" applyFill="1">
      <alignment/>
      <protection/>
    </xf>
    <xf numFmtId="173" fontId="73" fillId="0" borderId="0" xfId="114" applyNumberFormat="1" applyFont="1" applyFill="1">
      <alignment/>
      <protection/>
    </xf>
    <xf numFmtId="0" fontId="67" fillId="0" borderId="0" xfId="103" applyFont="1">
      <alignment/>
      <protection/>
    </xf>
    <xf numFmtId="0" fontId="0" fillId="0" borderId="0" xfId="103" applyFont="1">
      <alignment/>
      <protection/>
    </xf>
    <xf numFmtId="173" fontId="67" fillId="0" borderId="14" xfId="75" applyNumberFormat="1" applyFont="1" applyBorder="1" applyAlignment="1">
      <alignment/>
    </xf>
    <xf numFmtId="0" fontId="108" fillId="0" borderId="0" xfId="114" applyFont="1" applyFill="1">
      <alignment/>
      <protection/>
    </xf>
    <xf numFmtId="173" fontId="67" fillId="0" borderId="0" xfId="114" applyNumberFormat="1" applyFont="1" applyFill="1" applyBorder="1">
      <alignment/>
      <protection/>
    </xf>
    <xf numFmtId="3" fontId="67" fillId="0" borderId="0" xfId="114" applyNumberFormat="1" applyFont="1" applyFill="1" applyBorder="1">
      <alignment/>
      <protection/>
    </xf>
    <xf numFmtId="0" fontId="104" fillId="0" borderId="0" xfId="110" applyFont="1" applyAlignment="1">
      <alignment horizontal="center"/>
      <protection/>
    </xf>
    <xf numFmtId="173" fontId="8" fillId="0" borderId="0" xfId="73" applyNumberFormat="1" applyFont="1" applyFill="1" applyAlignment="1">
      <alignment/>
    </xf>
    <xf numFmtId="0" fontId="7" fillId="0" borderId="0" xfId="0" applyFont="1" applyAlignment="1">
      <alignment horizontal="center"/>
    </xf>
    <xf numFmtId="0" fontId="109" fillId="0" borderId="0" xfId="0" applyFont="1" applyAlignment="1">
      <alignment/>
    </xf>
    <xf numFmtId="0" fontId="109" fillId="0" borderId="0" xfId="117" applyFont="1">
      <alignment/>
      <protection/>
    </xf>
    <xf numFmtId="173" fontId="8" fillId="4" borderId="0" xfId="79" applyNumberFormat="1" applyFont="1" applyFill="1" applyAlignment="1">
      <alignment/>
    </xf>
    <xf numFmtId="173" fontId="0" fillId="0" borderId="0" xfId="117" applyNumberFormat="1" applyFont="1" applyFill="1">
      <alignment/>
      <protection/>
    </xf>
    <xf numFmtId="173" fontId="8" fillId="4" borderId="0" xfId="117" applyNumberFormat="1" applyFont="1" applyFill="1">
      <alignment/>
      <protection/>
    </xf>
    <xf numFmtId="172" fontId="0" fillId="0" borderId="0" xfId="117" applyNumberFormat="1" applyFont="1" applyFill="1" applyAlignment="1">
      <alignment horizontal="center"/>
      <protection/>
    </xf>
    <xf numFmtId="0" fontId="0" fillId="0" borderId="0" xfId="117" applyFont="1" applyFill="1">
      <alignment/>
      <protection/>
    </xf>
    <xf numFmtId="43" fontId="0" fillId="0" borderId="0" xfId="79" applyFont="1" applyFill="1" applyAlignment="1">
      <alignment/>
    </xf>
    <xf numFmtId="173" fontId="20" fillId="0" borderId="15" xfId="0" applyNumberFormat="1" applyFont="1" applyBorder="1" applyAlignment="1">
      <alignment/>
    </xf>
    <xf numFmtId="173" fontId="0" fillId="0" borderId="0" xfId="117" applyNumberFormat="1" applyFont="1">
      <alignment/>
      <protection/>
    </xf>
    <xf numFmtId="173" fontId="0" fillId="0" borderId="0" xfId="117" applyNumberFormat="1" applyFont="1" applyBorder="1">
      <alignment/>
      <protection/>
    </xf>
    <xf numFmtId="173" fontId="0" fillId="0" borderId="15" xfId="117" applyNumberFormat="1" applyFont="1" applyBorder="1">
      <alignment/>
      <protection/>
    </xf>
    <xf numFmtId="186" fontId="110" fillId="0" borderId="0" xfId="114" applyNumberFormat="1" applyFont="1" applyAlignment="1">
      <alignment horizontal="center"/>
      <protection/>
    </xf>
    <xf numFmtId="0" fontId="21" fillId="0" borderId="0" xfId="113" applyNumberFormat="1" applyFont="1" applyAlignment="1" applyProtection="1">
      <alignment/>
      <protection locked="0"/>
    </xf>
    <xf numFmtId="41" fontId="18" fillId="4" borderId="0" xfId="110" applyNumberFormat="1" applyFont="1" applyFill="1" applyBorder="1">
      <alignment/>
      <protection/>
    </xf>
    <xf numFmtId="0" fontId="20" fillId="0" borderId="0" xfId="109" applyFont="1" applyFill="1">
      <alignment/>
      <protection/>
    </xf>
    <xf numFmtId="0" fontId="20" fillId="0" borderId="0" xfId="109" applyFont="1" applyFill="1" applyBorder="1">
      <alignment/>
      <protection/>
    </xf>
    <xf numFmtId="0" fontId="67" fillId="0" borderId="0" xfId="103" applyFont="1" applyFill="1">
      <alignment/>
      <protection/>
    </xf>
    <xf numFmtId="0" fontId="0" fillId="0" borderId="0" xfId="114" applyFont="1" applyFill="1">
      <alignment/>
      <protection/>
    </xf>
    <xf numFmtId="0" fontId="3" fillId="0" borderId="0" xfId="116" applyFont="1" applyAlignment="1">
      <alignment horizontal="center"/>
      <protection/>
    </xf>
    <xf numFmtId="0" fontId="1" fillId="0" borderId="0" xfId="116">
      <alignment/>
      <protection/>
    </xf>
    <xf numFmtId="0" fontId="112" fillId="0" borderId="0" xfId="116" applyFont="1" applyProtection="1">
      <alignment/>
      <protection locked="0"/>
    </xf>
    <xf numFmtId="0" fontId="113" fillId="0" borderId="0" xfId="116" applyFont="1" applyAlignment="1">
      <alignment horizontal="center"/>
      <protection/>
    </xf>
    <xf numFmtId="0" fontId="114" fillId="0" borderId="0" xfId="116" applyFont="1" applyAlignment="1">
      <alignment horizontal="center"/>
      <protection/>
    </xf>
    <xf numFmtId="0" fontId="115" fillId="0" borderId="0" xfId="116" applyFont="1" applyProtection="1">
      <alignment/>
      <protection locked="0"/>
    </xf>
    <xf numFmtId="10" fontId="1" fillId="0" borderId="0" xfId="116" applyNumberFormat="1" applyAlignment="1" applyProtection="1">
      <alignment horizontal="center"/>
      <protection/>
    </xf>
    <xf numFmtId="0" fontId="116" fillId="0" borderId="32" xfId="116" applyFont="1" applyBorder="1">
      <alignment/>
      <protection/>
    </xf>
    <xf numFmtId="0" fontId="112" fillId="0" borderId="32" xfId="116" applyFont="1" applyBorder="1" applyProtection="1">
      <alignment/>
      <protection locked="0"/>
    </xf>
    <xf numFmtId="10" fontId="1" fillId="0" borderId="32" xfId="116" applyNumberFormat="1" applyBorder="1" applyProtection="1">
      <alignment/>
      <protection/>
    </xf>
    <xf numFmtId="0" fontId="116" fillId="0" borderId="0" xfId="116" applyFont="1" applyBorder="1">
      <alignment/>
      <protection/>
    </xf>
    <xf numFmtId="10" fontId="1" fillId="0" borderId="0" xfId="116" applyNumberFormat="1" applyProtection="1">
      <alignment/>
      <protection/>
    </xf>
    <xf numFmtId="0" fontId="1" fillId="0" borderId="0" xfId="116" applyAlignment="1">
      <alignment horizontal="center"/>
      <protection/>
    </xf>
    <xf numFmtId="198" fontId="1" fillId="0" borderId="0" xfId="116" applyNumberFormat="1" applyProtection="1">
      <alignment/>
      <protection/>
    </xf>
    <xf numFmtId="0" fontId="117" fillId="0" borderId="0" xfId="116" applyFont="1" applyProtection="1">
      <alignment/>
      <protection locked="0"/>
    </xf>
    <xf numFmtId="10" fontId="118" fillId="0" borderId="0" xfId="116" applyNumberFormat="1" applyFont="1" applyProtection="1">
      <alignment/>
      <protection/>
    </xf>
    <xf numFmtId="0" fontId="119" fillId="0" borderId="0" xfId="116" applyFont="1">
      <alignment/>
      <protection/>
    </xf>
    <xf numFmtId="0" fontId="106" fillId="0" borderId="11" xfId="114" applyNumberFormat="1" applyFont="1" applyBorder="1" applyAlignment="1">
      <alignment horizontal="center"/>
      <protection/>
    </xf>
    <xf numFmtId="0" fontId="20" fillId="0" borderId="0" xfId="105" applyFont="1" applyFill="1" applyBorder="1" applyAlignment="1">
      <alignment horizontal="left"/>
      <protection/>
    </xf>
    <xf numFmtId="0" fontId="104" fillId="0" borderId="0" xfId="109" applyFont="1" applyFill="1" applyAlignment="1">
      <alignment horizontal="center"/>
      <protection/>
    </xf>
    <xf numFmtId="0" fontId="21" fillId="0" borderId="0" xfId="113" applyNumberFormat="1" applyFont="1" applyFill="1" applyAlignment="1" applyProtection="1">
      <alignment/>
      <protection locked="0"/>
    </xf>
    <xf numFmtId="0" fontId="81" fillId="0" borderId="0" xfId="0" applyFont="1" applyFill="1" applyBorder="1" applyAlignment="1">
      <alignment horizontal="right"/>
    </xf>
    <xf numFmtId="0" fontId="21" fillId="0" borderId="0" xfId="113" applyNumberFormat="1" applyFont="1" applyFill="1" applyProtection="1">
      <alignment/>
      <protection locked="0"/>
    </xf>
    <xf numFmtId="10" fontId="21" fillId="0" borderId="0" xfId="113" applyNumberFormat="1" applyFont="1" applyAlignment="1" applyProtection="1">
      <alignment/>
      <protection locked="0"/>
    </xf>
    <xf numFmtId="10" fontId="21" fillId="0" borderId="0" xfId="120" applyNumberFormat="1" applyFont="1" applyFill="1" applyAlignment="1" applyProtection="1">
      <alignment/>
      <protection locked="0"/>
    </xf>
    <xf numFmtId="0" fontId="21" fillId="0" borderId="0" xfId="0" applyFont="1" applyAlignment="1">
      <alignment/>
    </xf>
    <xf numFmtId="173" fontId="0" fillId="0" borderId="19" xfId="73" applyNumberFormat="1" applyFont="1" applyFill="1" applyBorder="1" applyAlignment="1">
      <alignment/>
    </xf>
    <xf numFmtId="173" fontId="3" fillId="0" borderId="0" xfId="73" applyNumberFormat="1" applyFont="1" applyFill="1" applyAlignment="1" applyProtection="1">
      <alignment horizontal="right"/>
      <protection locked="0"/>
    </xf>
    <xf numFmtId="1" fontId="20" fillId="0" borderId="0" xfId="0" applyNumberFormat="1" applyFont="1" applyFill="1" applyAlignment="1">
      <alignment horizontal="left"/>
    </xf>
    <xf numFmtId="3" fontId="20" fillId="4" borderId="0" xfId="0" applyNumberFormat="1" applyFont="1" applyFill="1" applyAlignment="1">
      <alignment/>
    </xf>
    <xf numFmtId="37" fontId="20" fillId="4" borderId="0" xfId="0" applyNumberFormat="1" applyFont="1" applyFill="1" applyAlignment="1">
      <alignment/>
    </xf>
    <xf numFmtId="173" fontId="20" fillId="0" borderId="0" xfId="73" applyNumberFormat="1" applyFont="1" applyFill="1" applyAlignment="1">
      <alignment/>
    </xf>
    <xf numFmtId="0" fontId="20" fillId="0" borderId="0" xfId="105" applyFont="1" applyBorder="1">
      <alignment/>
      <protection/>
    </xf>
    <xf numFmtId="41" fontId="18" fillId="4" borderId="0" xfId="109" applyNumberFormat="1" applyFont="1" applyFill="1" applyBorder="1">
      <alignment/>
      <protection/>
    </xf>
    <xf numFmtId="173" fontId="8" fillId="4" borderId="0" xfId="73" applyNumberFormat="1" applyFont="1" applyFill="1" applyBorder="1" applyAlignment="1">
      <alignment/>
    </xf>
    <xf numFmtId="41" fontId="14" fillId="0" borderId="0" xfId="109" applyNumberFormat="1" applyFont="1" applyFill="1">
      <alignment/>
      <protection/>
    </xf>
    <xf numFmtId="173" fontId="0" fillId="0" borderId="0" xfId="120" applyNumberFormat="1" applyFont="1" applyFill="1" applyBorder="1" applyAlignment="1">
      <alignment/>
    </xf>
    <xf numFmtId="164" fontId="8" fillId="4" borderId="0" xfId="120" applyNumberFormat="1" applyFont="1" applyFill="1" applyAlignment="1">
      <alignment/>
    </xf>
    <xf numFmtId="173" fontId="8" fillId="4" borderId="0" xfId="73" applyNumberFormat="1" applyFont="1" applyFill="1" applyAlignment="1">
      <alignment/>
    </xf>
    <xf numFmtId="0" fontId="20" fillId="0" borderId="0" xfId="0" applyFont="1" applyAlignment="1">
      <alignment vertical="top" wrapText="1"/>
    </xf>
    <xf numFmtId="0" fontId="16" fillId="0" borderId="0" xfId="105" applyFont="1" applyBorder="1" applyAlignment="1" quotePrefix="1">
      <alignment horizontal="center" wrapText="1"/>
      <protection/>
    </xf>
    <xf numFmtId="0" fontId="12" fillId="0" borderId="0" xfId="0" applyFont="1" applyAlignment="1">
      <alignment horizontal="center" wrapText="1"/>
    </xf>
    <xf numFmtId="0" fontId="3" fillId="0" borderId="0" xfId="105" applyFont="1" applyBorder="1" applyAlignment="1">
      <alignment horizontal="center"/>
      <protection/>
    </xf>
    <xf numFmtId="0" fontId="3" fillId="0" borderId="0" xfId="0" applyFont="1" applyAlignment="1">
      <alignment horizontal="center"/>
    </xf>
    <xf numFmtId="49" fontId="3" fillId="0" borderId="0" xfId="105" applyNumberFormat="1" applyFont="1" applyBorder="1" applyAlignment="1">
      <alignment horizontal="center"/>
      <protection/>
    </xf>
    <xf numFmtId="0" fontId="16" fillId="0" borderId="0" xfId="109" applyFont="1" applyAlignment="1">
      <alignment horizontal="center" wrapText="1"/>
      <protection/>
    </xf>
    <xf numFmtId="3" fontId="3" fillId="0" borderId="0" xfId="0" applyNumberFormat="1" applyFont="1" applyAlignment="1">
      <alignment horizontal="center"/>
    </xf>
    <xf numFmtId="172" fontId="3" fillId="0" borderId="0" xfId="113" applyFont="1" applyFill="1" applyAlignment="1" applyProtection="1">
      <alignment vertical="top" wrapText="1"/>
      <protection locked="0"/>
    </xf>
    <xf numFmtId="0" fontId="3" fillId="0" borderId="0" xfId="0" applyFont="1" applyAlignment="1">
      <alignment vertical="top" wrapText="1"/>
    </xf>
    <xf numFmtId="172" fontId="4" fillId="0" borderId="11" xfId="113" applyFont="1" applyBorder="1" applyAlignment="1" applyProtection="1">
      <alignment horizontal="center"/>
      <protection locked="0"/>
    </xf>
    <xf numFmtId="172" fontId="3" fillId="0" borderId="0" xfId="113" applyFont="1" applyFill="1" applyAlignment="1" applyProtection="1">
      <alignment wrapText="1"/>
      <protection locked="0"/>
    </xf>
    <xf numFmtId="172" fontId="21" fillId="0" borderId="0" xfId="113" applyFont="1" applyFill="1" applyAlignment="1" applyProtection="1">
      <alignment wrapText="1"/>
      <protection locked="0"/>
    </xf>
    <xf numFmtId="172" fontId="3" fillId="0" borderId="0" xfId="113" applyFont="1" applyAlignment="1">
      <alignment wrapText="1"/>
    </xf>
    <xf numFmtId="3" fontId="3" fillId="0" borderId="0" xfId="113" applyNumberFormat="1" applyFont="1" applyAlignment="1" applyProtection="1">
      <alignment horizontal="left" wrapText="1"/>
      <protection locked="0"/>
    </xf>
    <xf numFmtId="0" fontId="0" fillId="0" borderId="0" xfId="0" applyFont="1" applyAlignment="1">
      <alignment horizontal="left" wrapText="1"/>
    </xf>
    <xf numFmtId="0" fontId="0" fillId="0" borderId="0" xfId="0" applyFont="1" applyAlignment="1">
      <alignment horizontal="center"/>
    </xf>
    <xf numFmtId="172" fontId="21" fillId="0" borderId="0" xfId="113" applyFont="1" applyAlignment="1">
      <alignment wrapText="1"/>
    </xf>
    <xf numFmtId="0" fontId="21" fillId="0" borderId="0" xfId="113" applyNumberFormat="1" applyFont="1" applyFill="1" applyAlignment="1" applyProtection="1">
      <alignment vertical="top" wrapText="1"/>
      <protection locked="0"/>
    </xf>
    <xf numFmtId="172" fontId="3" fillId="0" borderId="0" xfId="113" applyFont="1" applyFill="1" applyAlignment="1">
      <alignment/>
    </xf>
    <xf numFmtId="42" fontId="3" fillId="0" borderId="0" xfId="120" applyNumberFormat="1" applyFont="1" applyFill="1" applyAlignment="1">
      <alignment/>
    </xf>
    <xf numFmtId="43" fontId="3" fillId="0" borderId="0" xfId="73" applyFont="1" applyFill="1" applyAlignment="1">
      <alignment/>
    </xf>
    <xf numFmtId="0" fontId="21" fillId="0" borderId="0" xfId="113" applyNumberFormat="1" applyFont="1" applyFill="1" applyAlignment="1" applyProtection="1">
      <alignment horizontal="left" wrapText="1"/>
      <protection locked="0"/>
    </xf>
    <xf numFmtId="172" fontId="72" fillId="0" borderId="0" xfId="113" applyFont="1" applyAlignment="1">
      <alignment horizontal="left" wrapText="1"/>
    </xf>
    <xf numFmtId="0" fontId="0" fillId="0" borderId="0" xfId="0" applyAlignment="1">
      <alignment horizontal="center"/>
    </xf>
    <xf numFmtId="172" fontId="21" fillId="0" borderId="0" xfId="113" applyFont="1" applyFill="1" applyAlignment="1" applyProtection="1">
      <alignment vertical="top" wrapText="1"/>
      <protection locked="0"/>
    </xf>
    <xf numFmtId="0" fontId="20" fillId="0" borderId="0" xfId="0" applyFont="1" applyFill="1" applyAlignment="1">
      <alignment vertical="top" wrapText="1"/>
    </xf>
    <xf numFmtId="0" fontId="20" fillId="0" borderId="0" xfId="0" applyFont="1" applyFill="1" applyAlignment="1">
      <alignment wrapText="1"/>
    </xf>
    <xf numFmtId="3" fontId="10" fillId="0" borderId="0" xfId="113" applyNumberFormat="1" applyFont="1" applyFill="1" applyAlignment="1" applyProtection="1">
      <alignment horizontal="center"/>
      <protection locked="0"/>
    </xf>
    <xf numFmtId="3" fontId="3" fillId="0" borderId="0" xfId="113" applyNumberFormat="1" applyFont="1" applyFill="1" applyAlignment="1" applyProtection="1">
      <alignment horizontal="left" wrapText="1"/>
      <protection locked="0"/>
    </xf>
    <xf numFmtId="0" fontId="0" fillId="0" borderId="0" xfId="0" applyFont="1" applyFill="1" applyAlignment="1">
      <alignment horizontal="left" wrapText="1"/>
    </xf>
    <xf numFmtId="164" fontId="3" fillId="0" borderId="0" xfId="120" applyNumberFormat="1" applyFont="1" applyFill="1" applyAlignment="1">
      <alignment/>
    </xf>
    <xf numFmtId="0" fontId="3" fillId="0" borderId="0" xfId="113" applyNumberFormat="1" applyFont="1" applyFill="1" applyAlignment="1">
      <alignment/>
    </xf>
    <xf numFmtId="178" fontId="3" fillId="0" borderId="0" xfId="113" applyNumberFormat="1" applyFont="1" applyFill="1" applyAlignment="1">
      <alignment/>
    </xf>
    <xf numFmtId="175" fontId="3" fillId="0" borderId="0" xfId="113" applyNumberFormat="1" applyFont="1" applyFill="1" applyAlignment="1">
      <alignment/>
    </xf>
    <xf numFmtId="49" fontId="3" fillId="0" borderId="0" xfId="113" applyNumberFormat="1" applyFont="1" applyFill="1" applyAlignment="1">
      <alignment horizontal="center"/>
    </xf>
    <xf numFmtId="0" fontId="4" fillId="0" borderId="0" xfId="113" applyNumberFormat="1" applyFont="1" applyFill="1" applyAlignment="1">
      <alignment horizontal="center"/>
    </xf>
    <xf numFmtId="172" fontId="4" fillId="0" borderId="0" xfId="113" applyFont="1" applyFill="1" applyAlignment="1">
      <alignment/>
    </xf>
    <xf numFmtId="41" fontId="3" fillId="0" borderId="0" xfId="113" applyNumberFormat="1" applyFont="1" applyFill="1" applyAlignment="1" applyProtection="1">
      <alignment/>
      <protection locked="0"/>
    </xf>
    <xf numFmtId="3" fontId="3" fillId="0" borderId="0" xfId="113" applyNumberFormat="1" applyFont="1" applyFill="1" applyAlignment="1">
      <alignment/>
    </xf>
    <xf numFmtId="172" fontId="21" fillId="0" borderId="0" xfId="113" applyFont="1" applyFill="1" applyAlignment="1">
      <alignment/>
    </xf>
    <xf numFmtId="173" fontId="18" fillId="4" borderId="0" xfId="73" applyNumberFormat="1" applyFont="1" applyFill="1" applyAlignment="1" applyProtection="1">
      <alignment horizontal="right"/>
      <protection locked="0"/>
    </xf>
    <xf numFmtId="41" fontId="18" fillId="4" borderId="0" xfId="113" applyNumberFormat="1" applyFont="1" applyFill="1" applyAlignment="1" applyProtection="1">
      <alignment vertical="center"/>
      <protection locked="0"/>
    </xf>
    <xf numFmtId="49" fontId="3" fillId="0" borderId="0" xfId="105" applyNumberFormat="1" applyFont="1" applyFill="1" applyBorder="1" applyAlignment="1">
      <alignment horizontal="left"/>
      <protection/>
    </xf>
    <xf numFmtId="0" fontId="0" fillId="0" borderId="0" xfId="0" applyFill="1" applyBorder="1" applyAlignment="1">
      <alignment/>
    </xf>
    <xf numFmtId="0" fontId="8" fillId="0" borderId="0" xfId="105" applyNumberFormat="1" applyFont="1" applyFill="1" applyBorder="1" applyAlignment="1">
      <alignment horizontal="center"/>
      <protection/>
    </xf>
    <xf numFmtId="0" fontId="0" fillId="0" borderId="0" xfId="105" applyFont="1" applyFill="1" applyBorder="1" applyAlignment="1">
      <alignment horizontal="center"/>
      <protection/>
    </xf>
    <xf numFmtId="0" fontId="0" fillId="0" borderId="0" xfId="109" applyFont="1" applyFill="1">
      <alignment/>
      <protection/>
    </xf>
    <xf numFmtId="0" fontId="0" fillId="0" borderId="0" xfId="0" applyFill="1" applyAlignment="1">
      <alignment/>
    </xf>
    <xf numFmtId="0" fontId="0" fillId="0" borderId="0" xfId="114" applyFont="1" applyFill="1">
      <alignment/>
      <protection/>
    </xf>
    <xf numFmtId="0" fontId="14" fillId="0" borderId="0" xfId="109" applyFont="1" applyFill="1">
      <alignment/>
      <protection/>
    </xf>
    <xf numFmtId="43" fontId="14" fillId="0" borderId="0" xfId="73" applyFont="1" applyFill="1" applyAlignment="1">
      <alignment/>
    </xf>
    <xf numFmtId="43" fontId="14" fillId="0" borderId="0" xfId="109" applyNumberFormat="1" applyFont="1" applyFill="1">
      <alignment/>
      <protection/>
    </xf>
    <xf numFmtId="0" fontId="21" fillId="0" borderId="0" xfId="113" applyNumberFormat="1" applyFont="1" applyFill="1" applyAlignment="1" applyProtection="1">
      <alignment wrapText="1"/>
      <protection locked="0"/>
    </xf>
    <xf numFmtId="0" fontId="21" fillId="0" borderId="0" xfId="0" applyFont="1" applyAlignment="1">
      <alignment wrapText="1"/>
    </xf>
    <xf numFmtId="0" fontId="20" fillId="0" borderId="0" xfId="0" applyFont="1" applyAlignment="1">
      <alignment wrapText="1"/>
    </xf>
    <xf numFmtId="0" fontId="0" fillId="0" borderId="0" xfId="0" applyAlignment="1">
      <alignment wrapText="1"/>
    </xf>
    <xf numFmtId="0" fontId="10" fillId="0" borderId="0" xfId="113" applyNumberFormat="1" applyFont="1" applyAlignment="1" applyProtection="1">
      <alignment horizontal="center"/>
      <protection locked="0"/>
    </xf>
    <xf numFmtId="0" fontId="12" fillId="0" borderId="0" xfId="0" applyFont="1" applyAlignment="1">
      <alignment/>
    </xf>
    <xf numFmtId="49" fontId="3" fillId="0" borderId="0" xfId="113" applyNumberFormat="1" applyFont="1" applyAlignment="1" applyProtection="1">
      <alignment horizontal="center"/>
      <protection locked="0"/>
    </xf>
    <xf numFmtId="0" fontId="0" fillId="0" borderId="0" xfId="0" applyFont="1" applyAlignment="1">
      <alignment horizontal="center"/>
    </xf>
    <xf numFmtId="0" fontId="3" fillId="0" borderId="0" xfId="0" applyFont="1" applyAlignment="1">
      <alignment wrapText="1"/>
    </xf>
    <xf numFmtId="0" fontId="0" fillId="0" borderId="0" xfId="0" applyFont="1" applyAlignment="1">
      <alignment wrapText="1"/>
    </xf>
    <xf numFmtId="0" fontId="76" fillId="0" borderId="0" xfId="105" applyNumberFormat="1" applyFont="1" applyFill="1" applyBorder="1" applyAlignment="1">
      <alignment horizontal="center"/>
      <protection/>
    </xf>
    <xf numFmtId="0" fontId="76" fillId="0" borderId="0" xfId="109" applyFont="1" applyFill="1" applyAlignment="1">
      <alignment horizontal="center"/>
      <protection/>
    </xf>
    <xf numFmtId="0" fontId="16" fillId="0" borderId="0" xfId="109" applyFont="1" applyBorder="1" applyAlignment="1">
      <alignment horizontal="center" wrapText="1"/>
      <protection/>
    </xf>
    <xf numFmtId="0" fontId="12" fillId="0" borderId="0" xfId="0" applyFont="1" applyBorder="1" applyAlignment="1">
      <alignment horizontal="center" wrapText="1"/>
    </xf>
    <xf numFmtId="0" fontId="76" fillId="0" borderId="0" xfId="0" applyFont="1" applyFill="1" applyAlignment="1">
      <alignment horizontal="center"/>
    </xf>
    <xf numFmtId="0" fontId="9" fillId="0" borderId="0" xfId="117" applyFont="1" applyFill="1" applyAlignment="1">
      <alignment wrapText="1"/>
      <protection/>
    </xf>
    <xf numFmtId="172" fontId="20" fillId="0" borderId="0" xfId="113" applyFont="1" applyFill="1" applyAlignment="1" applyProtection="1">
      <alignment vertical="top" wrapText="1"/>
      <protection locked="0"/>
    </xf>
    <xf numFmtId="0" fontId="0" fillId="0" borderId="0" xfId="0" applyAlignment="1">
      <alignment vertical="top" wrapText="1"/>
    </xf>
    <xf numFmtId="3" fontId="2" fillId="0" borderId="0" xfId="0" applyNumberFormat="1" applyFont="1" applyAlignment="1">
      <alignment horizontal="center"/>
    </xf>
    <xf numFmtId="0" fontId="10" fillId="0" borderId="0" xfId="117" applyFont="1" applyFill="1" applyAlignment="1">
      <alignment horizontal="center"/>
      <protection/>
    </xf>
    <xf numFmtId="0" fontId="70" fillId="0" borderId="11" xfId="114" applyFont="1" applyBorder="1" applyAlignment="1">
      <alignment horizontal="center"/>
      <protection/>
    </xf>
    <xf numFmtId="49" fontId="3" fillId="0" borderId="0" xfId="73" applyNumberFormat="1" applyFont="1" applyAlignment="1">
      <alignment horizontal="center"/>
    </xf>
    <xf numFmtId="0" fontId="108" fillId="0" borderId="0" xfId="114" applyFont="1" applyAlignment="1">
      <alignment wrapText="1"/>
      <protection/>
    </xf>
    <xf numFmtId="3" fontId="3" fillId="0" borderId="0" xfId="103" applyNumberFormat="1" applyFont="1" applyAlignment="1">
      <alignment horizontal="center"/>
      <protection/>
    </xf>
    <xf numFmtId="0" fontId="3" fillId="0" borderId="0" xfId="103" applyFont="1" applyAlignment="1">
      <alignment horizontal="center"/>
      <protection/>
    </xf>
    <xf numFmtId="49" fontId="3" fillId="0" borderId="0" xfId="75" applyNumberFormat="1" applyFont="1" applyAlignment="1">
      <alignment horizontal="center"/>
    </xf>
    <xf numFmtId="0" fontId="2" fillId="0" borderId="0" xfId="105" applyFont="1" applyBorder="1" applyAlignment="1">
      <alignment horizontal="center"/>
      <protection/>
    </xf>
    <xf numFmtId="0" fontId="2" fillId="0" borderId="0" xfId="0" applyFont="1" applyAlignment="1">
      <alignment horizontal="center"/>
    </xf>
    <xf numFmtId="0" fontId="0" fillId="0" borderId="0" xfId="0" applyNumberFormat="1" applyAlignment="1">
      <alignment horizontal="left" wrapText="1"/>
    </xf>
    <xf numFmtId="173" fontId="96" fillId="0" borderId="0" xfId="73" applyNumberFormat="1" applyFont="1" applyBorder="1" applyAlignment="1">
      <alignment horizontal="center"/>
    </xf>
    <xf numFmtId="172" fontId="0" fillId="0" borderId="29" xfId="113" applyFont="1" applyBorder="1" applyAlignment="1" applyProtection="1">
      <alignment wrapText="1"/>
      <protection locked="0"/>
    </xf>
    <xf numFmtId="0" fontId="0" fillId="0" borderId="16" xfId="0" applyFont="1" applyBorder="1" applyAlignment="1">
      <alignment wrapText="1"/>
    </xf>
    <xf numFmtId="0" fontId="0" fillId="0" borderId="17" xfId="0" applyFont="1" applyBorder="1" applyAlignment="1">
      <alignment wrapText="1"/>
    </xf>
    <xf numFmtId="0" fontId="0" fillId="0" borderId="18" xfId="0" applyFont="1" applyBorder="1" applyAlignment="1">
      <alignment wrapText="1"/>
    </xf>
    <xf numFmtId="0" fontId="0" fillId="0" borderId="0" xfId="0" applyFont="1" applyBorder="1" applyAlignment="1">
      <alignment wrapText="1"/>
    </xf>
    <xf numFmtId="0" fontId="0" fillId="0" borderId="19" xfId="0" applyFont="1" applyBorder="1" applyAlignment="1">
      <alignment wrapText="1"/>
    </xf>
    <xf numFmtId="0" fontId="2" fillId="0" borderId="0" xfId="0" applyFont="1" applyFill="1" applyAlignment="1">
      <alignment wrapText="1"/>
    </xf>
    <xf numFmtId="0" fontId="0" fillId="0" borderId="0" xfId="0" applyFont="1" applyFill="1" applyBorder="1" applyAlignment="1">
      <alignment wrapText="1"/>
    </xf>
    <xf numFmtId="0" fontId="77" fillId="0" borderId="0" xfId="109" applyFont="1" applyAlignment="1">
      <alignment horizontal="center" wrapText="1"/>
      <protection/>
    </xf>
    <xf numFmtId="0" fontId="0" fillId="0" borderId="0" xfId="0" applyFont="1" applyAlignment="1">
      <alignment horizontal="center" wrapText="1"/>
    </xf>
    <xf numFmtId="41" fontId="9" fillId="0" borderId="0" xfId="109" applyNumberFormat="1" applyFont="1" applyFill="1" applyBorder="1" applyAlignment="1">
      <alignment horizontal="center" wrapText="1"/>
      <protection/>
    </xf>
    <xf numFmtId="0" fontId="89" fillId="0" borderId="0" xfId="109" applyFont="1" applyFill="1" applyAlignment="1">
      <alignment horizontal="left" wrapText="1"/>
      <protection/>
    </xf>
    <xf numFmtId="0" fontId="2" fillId="0" borderId="0" xfId="0" applyFont="1" applyFill="1" applyAlignment="1">
      <alignment horizontal="center" wrapText="1"/>
    </xf>
    <xf numFmtId="0" fontId="0" fillId="0" borderId="0" xfId="0" applyAlignment="1">
      <alignment horizontal="center" wrapText="1"/>
    </xf>
    <xf numFmtId="0" fontId="58" fillId="0" borderId="0" xfId="0" applyFont="1" applyAlignment="1">
      <alignment vertical="top" wrapText="1"/>
    </xf>
    <xf numFmtId="0" fontId="0" fillId="0" borderId="0" xfId="0" applyFont="1" applyAlignment="1">
      <alignment vertical="top" wrapText="1"/>
    </xf>
    <xf numFmtId="3" fontId="0" fillId="0" borderId="0" xfId="0" applyNumberFormat="1" applyAlignment="1">
      <alignment horizontal="center"/>
    </xf>
    <xf numFmtId="0" fontId="0" fillId="0" borderId="0" xfId="109" applyFont="1" applyFill="1" applyAlignment="1">
      <alignment horizontal="left" wrapText="1"/>
      <protection/>
    </xf>
    <xf numFmtId="0" fontId="9" fillId="0" borderId="0" xfId="109" applyFont="1" applyFill="1" applyAlignment="1">
      <alignment horizontal="left" vertical="top" wrapText="1"/>
      <protection/>
    </xf>
    <xf numFmtId="0" fontId="9" fillId="0" borderId="0" xfId="0" applyFont="1" applyAlignment="1">
      <alignment horizontal="center" wrapText="1"/>
    </xf>
    <xf numFmtId="0" fontId="9" fillId="0" borderId="0" xfId="0" applyFont="1" applyAlignment="1">
      <alignment horizontal="center" wrapText="1"/>
    </xf>
    <xf numFmtId="0" fontId="8" fillId="4" borderId="0" xfId="0" applyFont="1" applyFill="1" applyAlignment="1">
      <alignment wrapText="1"/>
    </xf>
    <xf numFmtId="0" fontId="9" fillId="0" borderId="0" xfId="0" applyFont="1" applyAlignment="1">
      <alignment horizontal="left" wrapText="1"/>
    </xf>
    <xf numFmtId="0" fontId="21" fillId="0" borderId="0" xfId="105" applyFont="1" applyBorder="1" applyAlignment="1">
      <alignment horizontal="center"/>
      <protection/>
    </xf>
    <xf numFmtId="0" fontId="9" fillId="0" borderId="0" xfId="0" applyFont="1" applyAlignment="1">
      <alignment horizontal="center"/>
    </xf>
    <xf numFmtId="0" fontId="104" fillId="0" borderId="0" xfId="0" applyFont="1" applyAlignment="1">
      <alignment horizontal="left" wrapText="1"/>
    </xf>
    <xf numFmtId="173" fontId="9" fillId="0" borderId="0" xfId="73" applyNumberFormat="1" applyFont="1" applyAlignment="1">
      <alignment horizontal="center" wrapText="1"/>
    </xf>
    <xf numFmtId="0" fontId="3" fillId="0" borderId="0" xfId="0" applyFont="1" applyAlignment="1">
      <alignment vertical="top" wrapText="1"/>
    </xf>
    <xf numFmtId="0" fontId="111" fillId="0" borderId="0" xfId="116" applyFont="1" applyAlignment="1">
      <alignment horizontal="center"/>
      <protection/>
    </xf>
    <xf numFmtId="0" fontId="1" fillId="0" borderId="0" xfId="116" applyAlignment="1">
      <alignment wrapText="1"/>
      <protection/>
    </xf>
  </cellXfs>
  <cellStyles count="1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00A" xfId="40"/>
    <cellStyle name="C00B" xfId="41"/>
    <cellStyle name="C00L" xfId="42"/>
    <cellStyle name="C01A" xfId="43"/>
    <cellStyle name="C01B" xfId="44"/>
    <cellStyle name="C01H" xfId="45"/>
    <cellStyle name="C01L" xfId="46"/>
    <cellStyle name="C02A" xfId="47"/>
    <cellStyle name="C02B" xfId="48"/>
    <cellStyle name="C02H" xfId="49"/>
    <cellStyle name="C02L" xfId="50"/>
    <cellStyle name="C03A" xfId="51"/>
    <cellStyle name="C03B" xfId="52"/>
    <cellStyle name="C03H" xfId="53"/>
    <cellStyle name="C03L" xfId="54"/>
    <cellStyle name="C04A" xfId="55"/>
    <cellStyle name="C04B" xfId="56"/>
    <cellStyle name="C04H" xfId="57"/>
    <cellStyle name="C04L" xfId="58"/>
    <cellStyle name="C05A" xfId="59"/>
    <cellStyle name="C05B" xfId="60"/>
    <cellStyle name="C05H" xfId="61"/>
    <cellStyle name="C05L" xfId="62"/>
    <cellStyle name="C06A" xfId="63"/>
    <cellStyle name="C06B" xfId="64"/>
    <cellStyle name="C06H" xfId="65"/>
    <cellStyle name="C06L" xfId="66"/>
    <cellStyle name="C07A" xfId="67"/>
    <cellStyle name="C07B" xfId="68"/>
    <cellStyle name="C07H" xfId="69"/>
    <cellStyle name="C07L" xfId="70"/>
    <cellStyle name="Calculation" xfId="71"/>
    <cellStyle name="Check Cell" xfId="72"/>
    <cellStyle name="Comma" xfId="73"/>
    <cellStyle name="Comma [0]" xfId="74"/>
    <cellStyle name="Comma 2" xfId="75"/>
    <cellStyle name="Comma 2 2" xfId="76"/>
    <cellStyle name="Comma 3" xfId="77"/>
    <cellStyle name="Comma 3 2" xfId="78"/>
    <cellStyle name="Comma_spp calc - revsd rev crd" xfId="79"/>
    <cellStyle name="Comma0" xfId="80"/>
    <cellStyle name="Currency" xfId="81"/>
    <cellStyle name="Currency [0]" xfId="82"/>
    <cellStyle name="Currency 2" xfId="83"/>
    <cellStyle name="Currency 2 2" xfId="84"/>
    <cellStyle name="Currency 3" xfId="85"/>
    <cellStyle name="Currency 3 2" xfId="86"/>
    <cellStyle name="Currency0" xfId="87"/>
    <cellStyle name="Date" xfId="88"/>
    <cellStyle name="Explanatory Text" xfId="89"/>
    <cellStyle name="Fixed" xfId="90"/>
    <cellStyle name="Followed Hyperlink" xfId="91"/>
    <cellStyle name="Good" xfId="92"/>
    <cellStyle name="Heading 1" xfId="93"/>
    <cellStyle name="Heading 2" xfId="94"/>
    <cellStyle name="Heading 3" xfId="95"/>
    <cellStyle name="Heading 4" xfId="96"/>
    <cellStyle name="Heading1" xfId="97"/>
    <cellStyle name="Heading2" xfId="98"/>
    <cellStyle name="Hyperlink" xfId="99"/>
    <cellStyle name="Input" xfId="100"/>
    <cellStyle name="Linked Cell" xfId="101"/>
    <cellStyle name="Neutral" xfId="102"/>
    <cellStyle name="Normal 2" xfId="103"/>
    <cellStyle name="Normal 3" xfId="104"/>
    <cellStyle name="Normal 3 2" xfId="105"/>
    <cellStyle name="Normal 3_OPCo Period I PJM  Formula Rate" xfId="106"/>
    <cellStyle name="Normal 4" xfId="107"/>
    <cellStyle name="Normal 4 2" xfId="108"/>
    <cellStyle name="Normal_ADITAnalysisID090805" xfId="109"/>
    <cellStyle name="Normal_ADITAnalysisID090805 2" xfId="110"/>
    <cellStyle name="Normal_AU Period 2 Rev 4-27-00" xfId="111"/>
    <cellStyle name="Normal_AU Period 2 Rev 4-27-00 2" xfId="112"/>
    <cellStyle name="Normal_FN1 Ratebase Draft SPP template (6-11-04) v2" xfId="113"/>
    <cellStyle name="Normal_I&amp;M-AK-1" xfId="114"/>
    <cellStyle name="Normal_OPCo Period I PJM  Formula Rate" xfId="115"/>
    <cellStyle name="Normal_Revised 1-21-10  Deprec Summary" xfId="116"/>
    <cellStyle name="Normal_spp calc - revsd rev crd" xfId="117"/>
    <cellStyle name="Note" xfId="118"/>
    <cellStyle name="Output" xfId="119"/>
    <cellStyle name="Percent" xfId="120"/>
    <cellStyle name="Percent 2" xfId="121"/>
    <cellStyle name="Percent 2 2" xfId="122"/>
    <cellStyle name="Percent 3" xfId="123"/>
    <cellStyle name="Percent 3 2" xfId="124"/>
    <cellStyle name="PSChar" xfId="125"/>
    <cellStyle name="PSDate" xfId="126"/>
    <cellStyle name="PSDec" xfId="127"/>
    <cellStyle name="PSdesc" xfId="128"/>
    <cellStyle name="PSHeading" xfId="129"/>
    <cellStyle name="PSInt" xfId="130"/>
    <cellStyle name="PSSpacer" xfId="131"/>
    <cellStyle name="PStest" xfId="132"/>
    <cellStyle name="R00A" xfId="133"/>
    <cellStyle name="R00B" xfId="134"/>
    <cellStyle name="R00L" xfId="135"/>
    <cellStyle name="R01A" xfId="136"/>
    <cellStyle name="R01B" xfId="137"/>
    <cellStyle name="R01H" xfId="138"/>
    <cellStyle name="R01L" xfId="139"/>
    <cellStyle name="R02A" xfId="140"/>
    <cellStyle name="R02B" xfId="141"/>
    <cellStyle name="R02H" xfId="142"/>
    <cellStyle name="R02L" xfId="143"/>
    <cellStyle name="R03A" xfId="144"/>
    <cellStyle name="R03B" xfId="145"/>
    <cellStyle name="R03H" xfId="146"/>
    <cellStyle name="R03L" xfId="147"/>
    <cellStyle name="R04A" xfId="148"/>
    <cellStyle name="R04B" xfId="149"/>
    <cellStyle name="R04H" xfId="150"/>
    <cellStyle name="R04L" xfId="151"/>
    <cellStyle name="R05A" xfId="152"/>
    <cellStyle name="R05B" xfId="153"/>
    <cellStyle name="R05H" xfId="154"/>
    <cellStyle name="R05L" xfId="155"/>
    <cellStyle name="R06A" xfId="156"/>
    <cellStyle name="R06B" xfId="157"/>
    <cellStyle name="R06H" xfId="158"/>
    <cellStyle name="R06L" xfId="159"/>
    <cellStyle name="R07A" xfId="160"/>
    <cellStyle name="R07B" xfId="161"/>
    <cellStyle name="R07H" xfId="162"/>
    <cellStyle name="R07L" xfId="163"/>
    <cellStyle name="Title" xfId="164"/>
    <cellStyle name="Total" xfId="165"/>
    <cellStyle name="Warning Text" xfId="166"/>
  </cellStyles>
  <dxfs count="2">
    <dxf>
      <font>
        <color auto="1"/>
      </font>
      <fill>
        <patternFill>
          <bgColor indexed="13"/>
        </patternFill>
      </fill>
    </dxf>
    <dxf>
      <fill>
        <patternFill>
          <bgColor indexed="1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externalLink" Target="externalLinks/externalLink1.xml" /><Relationship Id="rId24" Type="http://schemas.openxmlformats.org/officeDocument/2006/relationships/externalLink" Target="externalLinks/externalLink2.xml" /><Relationship Id="rId2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pricing\dbw\SWPP%20Form%20Rate\Lila%20added\AEP%20SPP%20For%20Rate%20Proj%20w%2013%20mth%20rate%20base%20june-07%20-%20June-08xl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Final%20PJM%20Formula%20Rate%20Settlement%20Discussions%202-19-10\DEPARTMENTAL%20DATA\Trans%20Cont%20&amp;%20Reg%20Supp\PJM%202008%20Updated%20Formula%20Rate\Settlement%202008%20for%20PJM%202009%20Rate\Settlement%20Templates%20w%20FERC%20Revisions\SJG%20Revisions\200"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mpact of Revisions"/>
      <sheetName val="Zonal Rates"/>
      <sheetName val="Sch 1 Rates"/>
      <sheetName val="Load WS"/>
      <sheetName val="PSO 2008 TCOS 13 Mnth"/>
      <sheetName val="PSO WsA Rev Credits"/>
      <sheetName val="PSO WsB IPP"/>
      <sheetName val="PSO WsC RB Tax"/>
      <sheetName val="PSO Ws C-1 2008 ADIT Avg Bal"/>
      <sheetName val="PSO WsD Misc Exp"/>
      <sheetName val="PSO WsE Acct 561"/>
      <sheetName val="PSO WsF Inc Prjts"/>
      <sheetName val="PSO WsG BPU"/>
      <sheetName val="PSO WsI Bal Sheet"/>
      <sheetName val="PSO WsI - 1 13 Month Prepaids"/>
      <sheetName val="PSO WsJ Tax"/>
      <sheetName val="PSO WsK CWIP"/>
      <sheetName val="SWP TCOS 2008 13 Month"/>
      <sheetName val="SWP WsA Rev Credits"/>
      <sheetName val="SWP WsB IPP"/>
      <sheetName val="SWP WsC RB Tax"/>
      <sheetName val="SWP WsC-1 ADIT 2008 13 Mth Avg "/>
      <sheetName val="SWP WsD Misc Exp"/>
      <sheetName val="SWP WsE Acct 561"/>
      <sheetName val="SWP WsF Inc Prjts"/>
      <sheetName val="SWP WsG BPU"/>
      <sheetName val="SWP WsI Bal Sheet"/>
      <sheetName val="SWP WsI-1 13 Month Prepaids "/>
      <sheetName val="SWP WsJ Tax"/>
      <sheetName val="SWP WsK CWIP"/>
      <sheetName val="FERC Balance Sheet"/>
      <sheetName val="PSO 13 Month Rate Base"/>
      <sheetName val="SWEPCo 13 Month Rate Base"/>
      <sheetName val="Plant Detail - Book"/>
      <sheetName val="FERC Income Stmt w Details"/>
      <sheetName val="Depreciation Detail"/>
      <sheetName val="Taxes Other Detail"/>
    </sheetNames>
    <sheetDataSet>
      <sheetData sheetId="17">
        <row r="317">
          <cell r="I317" t="str">
            <v>CE</v>
          </cell>
          <cell r="J317">
            <v>0.06327223996629282</v>
          </cell>
        </row>
        <row r="318">
          <cell r="I318" t="str">
            <v>DA</v>
          </cell>
          <cell r="J318">
            <v>1</v>
          </cell>
        </row>
        <row r="319">
          <cell r="I319" t="str">
            <v>GP(b)</v>
          </cell>
          <cell r="J319">
            <v>0.17830317329522682</v>
          </cell>
        </row>
        <row r="320">
          <cell r="I320" t="str">
            <v>GP(p)</v>
          </cell>
          <cell r="J320">
            <v>0.17830317329522682</v>
          </cell>
        </row>
        <row r="321">
          <cell r="I321" t="str">
            <v>GTD(p)</v>
          </cell>
          <cell r="J321">
            <v>0.3579641762307521</v>
          </cell>
        </row>
        <row r="322">
          <cell r="I322" t="str">
            <v>GTD(h)</v>
          </cell>
          <cell r="J322">
            <v>0.3579641762307521</v>
          </cell>
        </row>
        <row r="323">
          <cell r="I323" t="str">
            <v>NA</v>
          </cell>
          <cell r="J323">
            <v>0</v>
          </cell>
        </row>
        <row r="324">
          <cell r="I324" t="str">
            <v>NP(b)</v>
          </cell>
          <cell r="J324">
            <v>0.21388078637862473</v>
          </cell>
        </row>
        <row r="325">
          <cell r="I325" t="str">
            <v>NP(p)</v>
          </cell>
          <cell r="J325">
            <v>0.21388078637862473</v>
          </cell>
        </row>
        <row r="326">
          <cell r="I326" t="str">
            <v>TP</v>
          </cell>
          <cell r="J326">
            <v>0.9738442048844609</v>
          </cell>
        </row>
        <row r="327">
          <cell r="I327" t="str">
            <v>TP1</v>
          </cell>
          <cell r="J327">
            <v>0.9882462547205924</v>
          </cell>
        </row>
        <row r="328">
          <cell r="I328" t="str">
            <v>W/S</v>
          </cell>
          <cell r="J328">
            <v>0.06327223996629282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PCo WS H Other Taxes"/>
      <sheetName val="CSP WS H Other Taxes"/>
      <sheetName val="KPCo WS H Other Taxes"/>
      <sheetName val="I &amp; M WS H Other Taxes"/>
      <sheetName val="OPCo WS H Other Taxes"/>
      <sheetName val="KGPCo WS H Other Taxes"/>
      <sheetName val="WPCo WS H Other Taxe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5"/>
  </sheetPr>
  <dimension ref="A1:T1248"/>
  <sheetViews>
    <sheetView tabSelected="1" zoomScale="60" zoomScaleNormal="60" zoomScalePageLayoutView="0" workbookViewId="0" topLeftCell="A1">
      <selection activeCell="A1" sqref="A1"/>
    </sheetView>
  </sheetViews>
  <sheetFormatPr defaultColWidth="11.421875" defaultRowHeight="12.75"/>
  <cols>
    <col min="1" max="1" width="4.7109375" style="14" customWidth="1"/>
    <col min="2" max="2" width="7.8515625" style="1" customWidth="1"/>
    <col min="3" max="3" width="1.8515625" style="14" customWidth="1"/>
    <col min="4" max="4" width="56.00390625" style="14" customWidth="1"/>
    <col min="5" max="5" width="32.8515625" style="14" customWidth="1"/>
    <col min="6" max="6" width="15.28125" style="14" customWidth="1"/>
    <col min="7" max="7" width="20.7109375" style="14" customWidth="1"/>
    <col min="8" max="8" width="16.140625" style="14" customWidth="1"/>
    <col min="9" max="9" width="8.00390625" style="14" customWidth="1"/>
    <col min="10" max="10" width="13.57421875" style="14" customWidth="1"/>
    <col min="11" max="11" width="3.140625" style="14" customWidth="1"/>
    <col min="12" max="12" width="18.28125" style="14" bestFit="1" customWidth="1"/>
    <col min="13" max="13" width="4.140625" style="14" customWidth="1"/>
    <col min="14" max="14" width="18.28125" style="14" bestFit="1" customWidth="1"/>
    <col min="15" max="15" width="20.57421875" style="14" bestFit="1" customWidth="1"/>
    <col min="16" max="16" width="19.8515625" style="14" customWidth="1"/>
    <col min="17" max="17" width="11.421875" style="14" customWidth="1"/>
    <col min="18" max="18" width="23.57421875" style="14" customWidth="1"/>
    <col min="19" max="16384" width="11.421875" style="14" customWidth="1"/>
  </cols>
  <sheetData>
    <row r="1" spans="2:13" ht="15.75">
      <c r="B1" s="89"/>
      <c r="C1" s="11"/>
      <c r="D1" s="132"/>
      <c r="E1" s="63"/>
      <c r="F1" s="63"/>
      <c r="G1" s="64"/>
      <c r="H1" s="11"/>
      <c r="I1" s="12"/>
      <c r="J1" s="12"/>
      <c r="K1" s="12"/>
      <c r="L1" s="13"/>
      <c r="M1" s="11" t="s">
        <v>722</v>
      </c>
    </row>
    <row r="2" spans="2:13" ht="15">
      <c r="B2" s="89"/>
      <c r="C2" s="11"/>
      <c r="D2" s="11"/>
      <c r="E2" s="11"/>
      <c r="F2" s="11"/>
      <c r="G2" s="11"/>
      <c r="H2" s="11"/>
      <c r="I2" s="11"/>
      <c r="J2" s="11"/>
      <c r="K2" s="11"/>
      <c r="L2" s="11"/>
      <c r="M2" s="11" t="s">
        <v>722</v>
      </c>
    </row>
    <row r="3" spans="2:13" ht="15">
      <c r="B3" s="89"/>
      <c r="C3" s="11"/>
      <c r="D3" s="15"/>
      <c r="E3" s="15"/>
      <c r="F3" s="9" t="s">
        <v>230</v>
      </c>
      <c r="G3" s="87"/>
      <c r="H3" s="87"/>
      <c r="J3" s="15"/>
      <c r="K3" s="16"/>
      <c r="L3" s="16"/>
      <c r="M3" s="98"/>
    </row>
    <row r="4" spans="2:13" ht="15">
      <c r="B4" s="89"/>
      <c r="C4" s="11"/>
      <c r="D4" s="15"/>
      <c r="E4" s="17"/>
      <c r="F4" s="9" t="s">
        <v>229</v>
      </c>
      <c r="G4" s="87"/>
      <c r="H4" s="87"/>
      <c r="J4" s="17"/>
      <c r="K4" s="16"/>
      <c r="L4" s="16"/>
      <c r="M4" s="98"/>
    </row>
    <row r="5" spans="2:13" ht="15">
      <c r="B5" s="89"/>
      <c r="C5" s="11"/>
      <c r="D5" s="16"/>
      <c r="E5" s="16"/>
      <c r="F5" s="10" t="str">
        <f>"Utilizing  Historic Cost Data for "&amp;'KPCo Historic TCOS'!O1&amp;" and Projected Net Plant at Year-End "&amp;'KPCo Historic TCOS'!O2&amp;""</f>
        <v>Utilizing  Historic Cost Data for 2009 and Projected Net Plant at Year-End 2010</v>
      </c>
      <c r="G5" s="87"/>
      <c r="H5" s="87"/>
      <c r="J5" s="16"/>
      <c r="K5" s="16"/>
      <c r="L5" s="16"/>
      <c r="M5" s="98"/>
    </row>
    <row r="6" spans="2:13" ht="15">
      <c r="B6" s="90"/>
      <c r="C6" s="18"/>
      <c r="D6" s="16"/>
      <c r="H6" s="19"/>
      <c r="I6" s="19"/>
      <c r="J6" s="19"/>
      <c r="K6" s="19"/>
      <c r="L6" s="16"/>
      <c r="M6" s="16"/>
    </row>
    <row r="7" spans="2:13" ht="15.75">
      <c r="B7" s="90"/>
      <c r="C7" s="18"/>
      <c r="D7"/>
      <c r="E7" s="16"/>
      <c r="F7" s="485" t="str">
        <f>'KPCo Historic TCOS'!F7</f>
        <v>KENTUCKY POWER COMPANY</v>
      </c>
      <c r="G7" s="20"/>
      <c r="H7" s="16"/>
      <c r="I7" s="16"/>
      <c r="J7" s="16"/>
      <c r="K7" s="16"/>
      <c r="L7"/>
      <c r="M7" s="16"/>
    </row>
    <row r="8" spans="2:13" ht="15">
      <c r="B8" s="90"/>
      <c r="C8" s="18"/>
      <c r="D8" s="16"/>
      <c r="E8" s="16"/>
      <c r="F8" s="212"/>
      <c r="G8" s="20"/>
      <c r="H8" s="16"/>
      <c r="I8" s="16"/>
      <c r="J8" s="16"/>
      <c r="K8" s="16"/>
      <c r="L8"/>
      <c r="M8" s="16"/>
    </row>
    <row r="9" spans="2:13" ht="15.75" customHeight="1">
      <c r="B9" s="90" t="s">
        <v>777</v>
      </c>
      <c r="C9" s="18"/>
      <c r="D9" s="16"/>
      <c r="E9" s="16"/>
      <c r="F9" s="16"/>
      <c r="G9" s="20"/>
      <c r="H9" s="16"/>
      <c r="I9" s="16"/>
      <c r="J9" s="16"/>
      <c r="K9" s="16"/>
      <c r="L9" s="18" t="s">
        <v>723</v>
      </c>
      <c r="M9" s="16"/>
    </row>
    <row r="10" spans="2:13" ht="15.75" thickBot="1">
      <c r="B10" s="91" t="s">
        <v>725</v>
      </c>
      <c r="C10" s="23"/>
      <c r="D10" s="16"/>
      <c r="E10" s="23"/>
      <c r="F10" s="16"/>
      <c r="G10" s="16"/>
      <c r="H10" s="16"/>
      <c r="I10" s="16"/>
      <c r="J10" s="16"/>
      <c r="K10" s="16"/>
      <c r="L10" s="22" t="s">
        <v>778</v>
      </c>
      <c r="M10" s="16"/>
    </row>
    <row r="11" spans="2:13" ht="15">
      <c r="B11" s="90">
        <v>1</v>
      </c>
      <c r="C11" s="18"/>
      <c r="D11" s="85" t="s">
        <v>719</v>
      </c>
      <c r="E11" s="24" t="str">
        <f>"(ln "&amp;B213&amp;")"</f>
        <v>(ln 138)</v>
      </c>
      <c r="F11" s="24"/>
      <c r="G11" s="25"/>
      <c r="H11" s="26"/>
      <c r="I11" s="16"/>
      <c r="J11" s="16"/>
      <c r="K11" s="16"/>
      <c r="L11" s="66">
        <f>+L213</f>
        <v>41178105.36408009</v>
      </c>
      <c r="M11" s="16"/>
    </row>
    <row r="12" spans="2:13" ht="15.75" thickBot="1">
      <c r="B12" s="90"/>
      <c r="C12" s="18"/>
      <c r="E12" s="290"/>
      <c r="F12" s="27"/>
      <c r="G12" s="22" t="s">
        <v>726</v>
      </c>
      <c r="H12" s="17"/>
      <c r="I12" s="28" t="s">
        <v>727</v>
      </c>
      <c r="J12" s="28"/>
      <c r="K12" s="16"/>
      <c r="L12" s="25"/>
      <c r="M12" s="16"/>
    </row>
    <row r="13" spans="2:13" ht="15">
      <c r="B13" s="90">
        <f>+B11+1</f>
        <v>2</v>
      </c>
      <c r="C13" s="18"/>
      <c r="D13" s="86" t="s">
        <v>776</v>
      </c>
      <c r="E13" s="319" t="s">
        <v>111</v>
      </c>
      <c r="F13" s="27"/>
      <c r="G13" s="127">
        <f>+'KPCo WS E Rev Credits'!K25</f>
        <v>2434307</v>
      </c>
      <c r="H13" s="27"/>
      <c r="I13" s="47" t="s">
        <v>737</v>
      </c>
      <c r="J13" s="48">
        <f>VLOOKUP(I13,APCo_Proj_Allocators,2,FALSE)</f>
        <v>1</v>
      </c>
      <c r="K13" s="17"/>
      <c r="L13" s="157">
        <f>+J13*G13</f>
        <v>2434307</v>
      </c>
      <c r="M13" s="16"/>
    </row>
    <row r="14" spans="2:13" ht="15">
      <c r="B14" s="90"/>
      <c r="C14" s="18"/>
      <c r="D14" s="86"/>
      <c r="F14" s="17"/>
      <c r="L14" s="568"/>
      <c r="M14" s="16"/>
    </row>
    <row r="15" spans="2:13" ht="30.75" thickBot="1">
      <c r="B15" s="94">
        <f>+B13+1</f>
        <v>3</v>
      </c>
      <c r="C15" s="78"/>
      <c r="D15" s="138" t="s">
        <v>314</v>
      </c>
      <c r="E15" s="103" t="str">
        <f>"(ln "&amp;B11&amp;" less ln "&amp;B13&amp;")"</f>
        <v>(ln 1 less ln 2)</v>
      </c>
      <c r="F15" s="16"/>
      <c r="H15" s="17"/>
      <c r="I15" s="30"/>
      <c r="J15" s="17"/>
      <c r="K15" s="17"/>
      <c r="L15" s="289">
        <f>+L11-L13</f>
        <v>38743798.36408009</v>
      </c>
      <c r="M15" s="16"/>
    </row>
    <row r="16" spans="2:13" ht="15.75" thickTop="1">
      <c r="B16" s="94"/>
      <c r="C16" s="78"/>
      <c r="D16" s="86"/>
      <c r="E16" s="103"/>
      <c r="F16" s="16"/>
      <c r="H16" s="17"/>
      <c r="I16" s="30"/>
      <c r="J16" s="17"/>
      <c r="K16" s="17"/>
      <c r="L16" s="104"/>
      <c r="M16" s="16"/>
    </row>
    <row r="17" spans="2:9" ht="15" customHeight="1">
      <c r="B17" s="1110" t="str">
        <f>"MEMO:  The Carrying Charge Calculations on lines "&amp;B23&amp;" to "&amp;B30&amp;" below are used in calculating project revenue requirements billed through PJM Schedule 12, Transmission Enhancement Charges.  The total non-incentive revenue requirements for these projects shown on line "&amp;B20&amp;" is included in the total on line "&amp;B15&amp;"."</f>
        <v>MEMO:  The Carrying Charge Calculations on lines 6 to 11 below are used in calculating project revenue requirements billed through PJM Schedule 12, Transmission Enhancement Charges.  The total non-incentive revenue requirements for these projects shown on line 4 is included in the total on line 3.</v>
      </c>
      <c r="C17" s="1110"/>
      <c r="D17" s="1110"/>
      <c r="E17" s="1110"/>
      <c r="F17" s="1110"/>
      <c r="G17" s="1110"/>
      <c r="H17" s="1110"/>
      <c r="I17" s="1110"/>
    </row>
    <row r="18" spans="2:9" ht="36.75" customHeight="1">
      <c r="B18" s="1110"/>
      <c r="C18" s="1110"/>
      <c r="D18" s="1110"/>
      <c r="E18" s="1110"/>
      <c r="F18" s="1110"/>
      <c r="G18" s="1110"/>
      <c r="H18" s="1110"/>
      <c r="I18" s="1110"/>
    </row>
    <row r="19" spans="2:9" ht="15" customHeight="1">
      <c r="B19" s="675"/>
      <c r="C19" s="675"/>
      <c r="D19" s="675"/>
      <c r="E19" s="675"/>
      <c r="F19" s="675"/>
      <c r="G19" s="675"/>
      <c r="H19" s="675"/>
      <c r="I19" s="675"/>
    </row>
    <row r="20" spans="2:13" ht="15">
      <c r="B20" s="90">
        <f>+B15+1</f>
        <v>4</v>
      </c>
      <c r="C20" s="78"/>
      <c r="D20" s="318" t="s">
        <v>481</v>
      </c>
      <c r="E20" s="319"/>
      <c r="F20" s="27"/>
      <c r="G20" s="120">
        <f>+'KPCo WS J PROJECTED RTEP RR'!M24</f>
        <v>0</v>
      </c>
      <c r="H20" s="27"/>
      <c r="I20" s="47" t="s">
        <v>737</v>
      </c>
      <c r="J20" s="48">
        <f>VLOOKUP(I20,APCo_Proj_Allocators,2,FALSE)</f>
        <v>1</v>
      </c>
      <c r="K20" s="24"/>
      <c r="L20" s="320">
        <f>+J20*G20</f>
        <v>0</v>
      </c>
      <c r="M20" s="16"/>
    </row>
    <row r="21" spans="2:13" ht="15">
      <c r="B21" s="90"/>
      <c r="C21" s="78"/>
      <c r="D21" s="318"/>
      <c r="E21" s="103"/>
      <c r="F21" s="27"/>
      <c r="G21" s="120"/>
      <c r="H21" s="27"/>
      <c r="I21" s="27"/>
      <c r="J21" s="48"/>
      <c r="K21" s="24"/>
      <c r="L21" s="320"/>
      <c r="M21" s="16"/>
    </row>
    <row r="22" spans="2:13" ht="15">
      <c r="B22" s="94">
        <f>+B20+1</f>
        <v>5</v>
      </c>
      <c r="C22" s="78"/>
      <c r="D22" s="318" t="s">
        <v>198</v>
      </c>
      <c r="E22" s="319"/>
      <c r="F22" s="16"/>
      <c r="G22" s="694"/>
      <c r="H22" s="16"/>
      <c r="I22" s="11"/>
      <c r="J22" s="16"/>
      <c r="K22" s="16"/>
      <c r="M22" s="16"/>
    </row>
    <row r="23" spans="2:13" ht="15">
      <c r="B23" s="90">
        <f>B22+1</f>
        <v>6</v>
      </c>
      <c r="C23" s="78"/>
      <c r="D23" s="54" t="s">
        <v>33</v>
      </c>
      <c r="E23" s="1070" t="str">
        <f>"( (ln "&amp;B11&amp;" - ln "&amp;B171&amp;" - ln "&amp;B172&amp;")/((ln "&amp;$B$91&amp;" + ln "&amp;$B$92&amp;" + ln "&amp;$B$93&amp;" + ln "&amp;$B$94&amp;" + ln "&amp;$B$96&amp;") x 100) )"</f>
        <v>( (ln 1 - ln 105 - ln 106)/((ln 48 + ln 49 + ln 50 + ln 51 + ln 53) x 100) )</v>
      </c>
      <c r="F23" s="18"/>
      <c r="G23" s="18"/>
      <c r="H23" s="18"/>
      <c r="I23" s="322"/>
      <c r="J23" s="322"/>
      <c r="K23" s="322"/>
      <c r="L23" s="1071">
        <f>(L11-L171-L172)/(SUM(SUM($L$91:$L$94),$L$96))</f>
        <v>0.16277005952891208</v>
      </c>
      <c r="M23" s="16"/>
    </row>
    <row r="24" spans="2:13" ht="15">
      <c r="B24" s="90">
        <f>B23+1</f>
        <v>7</v>
      </c>
      <c r="C24" s="78"/>
      <c r="D24" s="54" t="s">
        <v>34</v>
      </c>
      <c r="E24" s="24" t="str">
        <f>"(ln "&amp;B23&amp;" / 12)"</f>
        <v>(ln 6 / 12)</v>
      </c>
      <c r="F24" s="18"/>
      <c r="G24" s="18"/>
      <c r="H24" s="18"/>
      <c r="I24" s="322"/>
      <c r="J24" s="322"/>
      <c r="K24" s="322"/>
      <c r="L24" s="324">
        <f>L23/12</f>
        <v>0.01356417162740934</v>
      </c>
      <c r="M24" s="16"/>
    </row>
    <row r="25" spans="2:13" ht="15">
      <c r="B25" s="90"/>
      <c r="C25" s="78"/>
      <c r="D25" s="54"/>
      <c r="E25" s="24"/>
      <c r="F25" s="18"/>
      <c r="G25" s="18"/>
      <c r="H25" s="18"/>
      <c r="I25" s="322"/>
      <c r="J25" s="322"/>
      <c r="K25" s="322"/>
      <c r="L25" s="324"/>
      <c r="M25" s="16"/>
    </row>
    <row r="26" spans="2:13" ht="15">
      <c r="B26" s="90">
        <f>B24+1</f>
        <v>8</v>
      </c>
      <c r="C26" s="78"/>
      <c r="D26" s="318" t="str">
        <f>"NET PLANT CARRYING CHARGE ON LINE "&amp;B23&amp;" , w/o depreciation or ROE incentives (Note B)"</f>
        <v>NET PLANT CARRYING CHARGE ON LINE 6 , w/o depreciation or ROE incentives (Note B)</v>
      </c>
      <c r="E26" s="24"/>
      <c r="F26" s="18"/>
      <c r="G26" s="18"/>
      <c r="H26" s="18"/>
      <c r="I26" s="322"/>
      <c r="J26" s="322"/>
      <c r="K26" s="322"/>
      <c r="L26" s="324"/>
      <c r="M26" s="16"/>
    </row>
    <row r="27" spans="2:13" ht="15">
      <c r="B27" s="90">
        <f>B26+1</f>
        <v>9</v>
      </c>
      <c r="C27" s="78"/>
      <c r="D27" s="54" t="s">
        <v>33</v>
      </c>
      <c r="E27" s="1070" t="str">
        <f>"( (ln "&amp;B11&amp;" - ln "&amp;B171&amp;" - ln "&amp;B172&amp;" - ln "&amp;B178&amp;" - ln "&amp;B179&amp;") /((ln "&amp;$B$91&amp;" + ln "&amp;$B$92&amp;" + ln "&amp;$B$93&amp;" + ln "&amp;$B$94&amp;" + ln "&amp;$B$96&amp;") x 100) )"</f>
        <v>( (ln 1 - ln 105 - ln 106 - ln 111 - ln 112) /((ln 48 + ln 49 + ln 50 + ln 51 + ln 53) x 100) )</v>
      </c>
      <c r="F27" s="18"/>
      <c r="G27" s="18"/>
      <c r="H27" s="18"/>
      <c r="I27" s="322"/>
      <c r="J27" s="322"/>
      <c r="K27" s="322"/>
      <c r="L27" s="1071">
        <f>(L11-L171-L172-L178-L179)/(SUM(SUM($L$91:$L$94),$L$96))</f>
        <v>0.13830291130459743</v>
      </c>
      <c r="M27" s="16"/>
    </row>
    <row r="28" spans="2:13" ht="15">
      <c r="B28" s="90"/>
      <c r="C28" s="78"/>
      <c r="D28" s="54"/>
      <c r="E28" s="24"/>
      <c r="F28" s="18"/>
      <c r="G28" s="18"/>
      <c r="H28" s="18"/>
      <c r="I28" s="322"/>
      <c r="J28" s="322"/>
      <c r="K28" s="322"/>
      <c r="L28" s="324"/>
      <c r="M28" s="16"/>
    </row>
    <row r="29" spans="2:13" ht="15">
      <c r="B29" s="90">
        <f>B27+1</f>
        <v>10</v>
      </c>
      <c r="C29" s="78"/>
      <c r="D29" s="318" t="str">
        <f>"NET PLANT CARRYING CHARGE ON LINE "&amp;B27&amp;", w/o Return, income taxes or ROE incentives (Note B)"</f>
        <v>NET PLANT CARRYING CHARGE ON LINE 9, w/o Return, income taxes or ROE incentives (Note B)</v>
      </c>
      <c r="E29" s="24"/>
      <c r="F29" s="78"/>
      <c r="G29" s="78"/>
      <c r="H29" s="78"/>
      <c r="I29" s="873"/>
      <c r="J29" s="873"/>
      <c r="K29" s="873"/>
      <c r="L29" s="874"/>
      <c r="M29" s="16"/>
    </row>
    <row r="30" spans="2:13" ht="15">
      <c r="B30" s="90">
        <f>B29+1</f>
        <v>11</v>
      </c>
      <c r="C30" s="78"/>
      <c r="D30" s="54" t="s">
        <v>33</v>
      </c>
      <c r="E30" s="1070" t="str">
        <f>"( (ln "&amp;B11&amp;" - ln "&amp;B171&amp;" - ln "&amp;B172&amp;" - ln "&amp;B178&amp;" - ln "&amp;B179&amp;" - ln "&amp;B203&amp;" - ln "&amp;B205&amp;") /((ln "&amp;$B$91&amp;" + ln "&amp;$B$92&amp;" + ln "&amp;$B$93&amp;" + ln "&amp;$B$94&amp;" + ln "&amp;$B$96&amp;") x 100) )"</f>
        <v>( (ln 1 - ln 105 - ln 106 - ln 111 - ln 112 - ln 133 - ln 134) /((ln 48 + ln 49 + ln 50 + ln 51 + ln 53) x 100) )</v>
      </c>
      <c r="F30" s="78"/>
      <c r="G30" s="78"/>
      <c r="H30" s="78"/>
      <c r="I30" s="873"/>
      <c r="J30" s="873"/>
      <c r="K30" s="873"/>
      <c r="L30" s="1072">
        <f>(L11-L171-L172-L178-L179-L203-L205)/(SUM(SUM($L$91:$L$94),$L$96))</f>
        <v>0.03700669627109171</v>
      </c>
      <c r="M30" s="572"/>
    </row>
    <row r="31" spans="2:13" ht="15">
      <c r="B31" s="90"/>
      <c r="C31" s="78"/>
      <c r="D31" s="15"/>
      <c r="E31" s="24"/>
      <c r="F31" s="18"/>
      <c r="G31" s="18"/>
      <c r="H31" s="18"/>
      <c r="I31" s="322"/>
      <c r="J31" s="322"/>
      <c r="K31" s="322"/>
      <c r="L31" s="323"/>
      <c r="M31" s="573"/>
    </row>
    <row r="32" spans="2:13" ht="15">
      <c r="B32" s="90">
        <f>B30+1</f>
        <v>12</v>
      </c>
      <c r="C32" s="18"/>
      <c r="D32" s="479" t="s">
        <v>313</v>
      </c>
      <c r="E32" s="24"/>
      <c r="F32" s="18"/>
      <c r="G32" s="18"/>
      <c r="H32" s="18"/>
      <c r="I32" s="322"/>
      <c r="J32" s="322"/>
      <c r="K32" s="322"/>
      <c r="L32" s="120">
        <f>+'KPCo WS J PROJECTED RTEP RR'!O24</f>
        <v>0</v>
      </c>
      <c r="M32" s="16"/>
    </row>
    <row r="33" spans="2:14" ht="15">
      <c r="B33" s="90"/>
      <c r="C33" s="18"/>
      <c r="D33" s="11"/>
      <c r="E33" s="24"/>
      <c r="F33" s="18"/>
      <c r="G33" s="18"/>
      <c r="H33" s="18"/>
      <c r="I33" s="322"/>
      <c r="J33" s="322"/>
      <c r="K33" s="322"/>
      <c r="L33" s="323"/>
      <c r="M33" s="16"/>
      <c r="N33" s="323"/>
    </row>
    <row r="34" spans="2:14" ht="15">
      <c r="B34" s="14"/>
      <c r="C34" s="18"/>
      <c r="D34" s="11"/>
      <c r="E34" s="24"/>
      <c r="F34" s="18"/>
      <c r="G34" s="18"/>
      <c r="H34" s="18"/>
      <c r="I34" s="322"/>
      <c r="J34" s="322"/>
      <c r="K34" s="322"/>
      <c r="L34" s="323"/>
      <c r="M34" s="16"/>
      <c r="N34" s="323"/>
    </row>
    <row r="35" spans="2:13" ht="15.75">
      <c r="B35" s="90">
        <f>+B32+1</f>
        <v>13</v>
      </c>
      <c r="C35" s="18"/>
      <c r="D35" s="1097" t="s">
        <v>255</v>
      </c>
      <c r="E35" s="1097"/>
      <c r="F35" s="1097"/>
      <c r="G35" s="1097"/>
      <c r="H35" s="1097"/>
      <c r="I35" s="1097"/>
      <c r="J35" s="1097"/>
      <c r="K35" s="1097"/>
      <c r="L35" s="1097"/>
      <c r="M35" s="16"/>
    </row>
    <row r="36" spans="2:13" ht="15">
      <c r="B36" s="90"/>
      <c r="C36" s="18"/>
      <c r="D36" s="11"/>
      <c r="E36" s="24"/>
      <c r="F36" s="18"/>
      <c r="G36" s="18"/>
      <c r="H36" s="18"/>
      <c r="I36" s="322"/>
      <c r="J36" s="322"/>
      <c r="K36" s="322"/>
      <c r="L36" s="323"/>
      <c r="M36" s="16"/>
    </row>
    <row r="37" spans="2:14" ht="15">
      <c r="B37" s="90">
        <f>+B35+1</f>
        <v>14</v>
      </c>
      <c r="C37" s="18"/>
      <c r="D37" s="85" t="s">
        <v>257</v>
      </c>
      <c r="E37" s="24" t="str">
        <f>"Line "&amp;B149&amp;" Below"</f>
        <v>Line 85 Below</v>
      </c>
      <c r="F37" s="18"/>
      <c r="H37" s="18"/>
      <c r="I37" s="322"/>
      <c r="J37" s="322"/>
      <c r="K37" s="322"/>
      <c r="L37" s="126">
        <f>+G149</f>
        <v>2102150</v>
      </c>
      <c r="M37" s="16"/>
      <c r="N37" s="56"/>
    </row>
    <row r="38" spans="2:14" ht="15">
      <c r="B38" s="90">
        <f>+B37+1</f>
        <v>15</v>
      </c>
      <c r="C38" s="18"/>
      <c r="D38" s="85" t="s">
        <v>563</v>
      </c>
      <c r="E38" s="16"/>
      <c r="F38" s="18"/>
      <c r="H38" s="18"/>
      <c r="I38" s="322"/>
      <c r="J38" s="322"/>
      <c r="K38" s="322"/>
      <c r="L38" s="929">
        <v>1089485</v>
      </c>
      <c r="M38" s="16"/>
      <c r="N38" s="1106"/>
    </row>
    <row r="39" spans="2:14" ht="15">
      <c r="B39" s="90">
        <f>+B38+1</f>
        <v>16</v>
      </c>
      <c r="C39" s="18"/>
      <c r="D39" s="85" t="s">
        <v>564</v>
      </c>
      <c r="E39" s="16"/>
      <c r="F39" s="18"/>
      <c r="H39" s="18"/>
      <c r="I39" s="322"/>
      <c r="J39" s="322"/>
      <c r="K39" s="322"/>
      <c r="L39" s="929">
        <v>205436</v>
      </c>
      <c r="M39" s="16"/>
      <c r="N39" s="1106"/>
    </row>
    <row r="40" spans="2:13" ht="15">
      <c r="B40" s="90"/>
      <c r="C40" s="18"/>
      <c r="E40" s="16"/>
      <c r="F40" s="18"/>
      <c r="H40" s="18"/>
      <c r="I40" s="322"/>
      <c r="J40" s="322"/>
      <c r="K40" s="322"/>
      <c r="L40" s="18"/>
      <c r="M40" s="16"/>
    </row>
    <row r="41" spans="2:13" ht="15.75" thickBot="1">
      <c r="B41" s="90">
        <f>+B39+1</f>
        <v>17</v>
      </c>
      <c r="C41" s="18"/>
      <c r="D41" s="85" t="s">
        <v>256</v>
      </c>
      <c r="E41" s="26" t="str">
        <f>"(Line "&amp;B37&amp;" - Line "&amp;B38&amp;" - Line "&amp;B39&amp;")"</f>
        <v>(Line 14 - Line 15 - Line 16)</v>
      </c>
      <c r="F41" s="18"/>
      <c r="H41" s="18"/>
      <c r="I41" s="322"/>
      <c r="J41" s="322"/>
      <c r="K41" s="322"/>
      <c r="L41" s="635">
        <f>+L37-L38-L39</f>
        <v>807229</v>
      </c>
      <c r="M41" s="16"/>
    </row>
    <row r="42" spans="2:13" ht="15.75" thickTop="1">
      <c r="B42" s="90"/>
      <c r="C42" s="18"/>
      <c r="D42" s="11"/>
      <c r="E42" s="24"/>
      <c r="F42" s="18"/>
      <c r="G42" s="18"/>
      <c r="H42" s="18"/>
      <c r="I42" s="322"/>
      <c r="J42" s="322"/>
      <c r="K42" s="322"/>
      <c r="L42" s="323"/>
      <c r="M42" s="16"/>
    </row>
    <row r="43" spans="2:13" ht="15">
      <c r="B43" s="90"/>
      <c r="C43" s="18"/>
      <c r="D43" s="11"/>
      <c r="E43" s="24"/>
      <c r="F43" s="18"/>
      <c r="G43" s="18"/>
      <c r="H43" s="18"/>
      <c r="I43" s="322"/>
      <c r="J43" s="322"/>
      <c r="K43" s="322"/>
      <c r="L43" s="323"/>
      <c r="M43" s="16"/>
    </row>
    <row r="44" spans="2:13" ht="15">
      <c r="B44" s="90"/>
      <c r="C44" s="18"/>
      <c r="D44" s="11"/>
      <c r="E44" s="24"/>
      <c r="F44" s="18"/>
      <c r="G44" s="18"/>
      <c r="H44" s="18"/>
      <c r="I44" s="322"/>
      <c r="J44" s="322"/>
      <c r="K44" s="322"/>
      <c r="L44" s="323"/>
      <c r="M44" s="16"/>
    </row>
    <row r="45" spans="2:13" ht="15">
      <c r="B45" s="89"/>
      <c r="C45" s="11"/>
      <c r="D45" s="15"/>
      <c r="E45" s="15"/>
      <c r="G45" s="26"/>
      <c r="H45" s="15"/>
      <c r="I45" s="15"/>
      <c r="J45" s="15"/>
      <c r="K45" s="15"/>
      <c r="L45" s="15"/>
      <c r="M45" s="201"/>
    </row>
    <row r="46" spans="2:13" ht="15">
      <c r="B46" s="89"/>
      <c r="C46" s="11"/>
      <c r="D46" s="15"/>
      <c r="E46" s="15"/>
      <c r="F46" s="18"/>
      <c r="G46" s="26"/>
      <c r="H46" s="15"/>
      <c r="I46" s="15"/>
      <c r="J46" s="15"/>
      <c r="K46" s="15"/>
      <c r="L46" s="15"/>
      <c r="M46" s="201"/>
    </row>
    <row r="47" spans="2:13" ht="15">
      <c r="B47" s="89"/>
      <c r="C47" s="11"/>
      <c r="D47" s="15"/>
      <c r="E47" s="15"/>
      <c r="F47" s="18" t="str">
        <f>F3</f>
        <v>AEP East Companies</v>
      </c>
      <c r="G47" s="26"/>
      <c r="H47" s="15"/>
      <c r="I47" s="15"/>
      <c r="J47" s="15"/>
      <c r="K47" s="15"/>
      <c r="L47" s="15"/>
      <c r="M47" s="201"/>
    </row>
    <row r="48" spans="2:13" ht="15">
      <c r="B48" s="89"/>
      <c r="C48" s="11"/>
      <c r="D48" s="15"/>
      <c r="E48" s="17"/>
      <c r="F48" s="18" t="str">
        <f>F4</f>
        <v>Transmission Cost of Service Formula Rate</v>
      </c>
      <c r="G48" s="17"/>
      <c r="H48" s="17"/>
      <c r="I48" s="17"/>
      <c r="J48" s="17"/>
      <c r="K48" s="17"/>
      <c r="L48" s="17"/>
      <c r="M48" s="574"/>
    </row>
    <row r="49" spans="2:13" ht="15">
      <c r="B49" s="89"/>
      <c r="C49" s="11"/>
      <c r="D49" s="15"/>
      <c r="E49" s="17"/>
      <c r="F49" s="30" t="str">
        <f>F5</f>
        <v>Utilizing  Historic Cost Data for 2009 and Projected Net Plant at Year-End 2010</v>
      </c>
      <c r="G49" s="17"/>
      <c r="H49" s="17"/>
      <c r="I49" s="17"/>
      <c r="J49" s="17"/>
      <c r="K49" s="17"/>
      <c r="L49" s="17"/>
      <c r="M49" s="145"/>
    </row>
    <row r="50" spans="2:13" ht="15">
      <c r="B50" s="89"/>
      <c r="C50" s="11"/>
      <c r="D50" s="15"/>
      <c r="E50" s="17"/>
      <c r="F50" s="18"/>
      <c r="G50" s="17"/>
      <c r="H50" s="17"/>
      <c r="I50" s="17"/>
      <c r="J50" s="17"/>
      <c r="K50" s="17"/>
      <c r="L50" s="17"/>
      <c r="M50" s="17"/>
    </row>
    <row r="51" spans="2:13" ht="15">
      <c r="B51" s="89"/>
      <c r="C51" s="11"/>
      <c r="D51" s="15"/>
      <c r="E51" s="17"/>
      <c r="F51" s="18" t="str">
        <f>F7</f>
        <v>KENTUCKY POWER COMPANY</v>
      </c>
      <c r="G51" s="17"/>
      <c r="H51" s="17"/>
      <c r="I51" s="17"/>
      <c r="J51" s="17"/>
      <c r="K51" s="17"/>
      <c r="L51" s="17"/>
      <c r="M51" s="17"/>
    </row>
    <row r="52" spans="2:13" ht="15">
      <c r="B52" s="89"/>
      <c r="C52" s="11"/>
      <c r="D52" s="15"/>
      <c r="E52" s="30"/>
      <c r="F52" s="30"/>
      <c r="G52" s="30"/>
      <c r="H52" s="30"/>
      <c r="I52" s="30"/>
      <c r="J52" s="30"/>
      <c r="K52" s="30"/>
      <c r="L52" s="17"/>
      <c r="M52" s="17"/>
    </row>
    <row r="53" spans="2:13" ht="15">
      <c r="B53" s="89"/>
      <c r="C53" s="11"/>
      <c r="D53" s="18" t="s">
        <v>729</v>
      </c>
      <c r="E53" s="18" t="s">
        <v>730</v>
      </c>
      <c r="F53" s="18"/>
      <c r="G53" s="18" t="s">
        <v>731</v>
      </c>
      <c r="H53" s="17" t="s">
        <v>722</v>
      </c>
      <c r="I53" s="1146" t="s">
        <v>732</v>
      </c>
      <c r="J53" s="1111"/>
      <c r="K53" s="17"/>
      <c r="L53" s="19" t="s">
        <v>733</v>
      </c>
      <c r="M53" s="17"/>
    </row>
    <row r="54" spans="2:13" ht="15">
      <c r="B54" s="14"/>
      <c r="C54" s="11"/>
      <c r="D54"/>
      <c r="E54"/>
      <c r="F54"/>
      <c r="G54" s="126"/>
      <c r="H54" s="17"/>
      <c r="I54" s="17"/>
      <c r="J54" s="32"/>
      <c r="K54" s="17"/>
      <c r="L54" s="11"/>
      <c r="M54" s="17"/>
    </row>
    <row r="55" spans="2:13" ht="15.75">
      <c r="B55" s="92"/>
      <c r="C55" s="18"/>
      <c r="D55"/>
      <c r="E55" s="33" t="s">
        <v>599</v>
      </c>
      <c r="F55" s="35"/>
      <c r="G55" s="17"/>
      <c r="H55" s="17"/>
      <c r="I55" s="17"/>
      <c r="J55" s="18"/>
      <c r="K55" s="17"/>
      <c r="L55" s="34" t="s">
        <v>726</v>
      </c>
      <c r="M55" s="17"/>
    </row>
    <row r="56" spans="2:13" ht="15.75">
      <c r="B56" s="14"/>
      <c r="C56" s="23"/>
      <c r="D56" s="52" t="s">
        <v>598</v>
      </c>
      <c r="E56" s="115" t="s">
        <v>720</v>
      </c>
      <c r="F56" s="17"/>
      <c r="G56" s="52" t="s">
        <v>585</v>
      </c>
      <c r="H56" s="37"/>
      <c r="I56" s="1144" t="s">
        <v>727</v>
      </c>
      <c r="J56" s="1145"/>
      <c r="K56" s="37"/>
      <c r="L56" s="52" t="s">
        <v>723</v>
      </c>
      <c r="M56" s="17"/>
    </row>
    <row r="57" spans="2:13" ht="15">
      <c r="B57" s="95" t="str">
        <f>B9</f>
        <v>Line</v>
      </c>
      <c r="C57" s="18"/>
      <c r="D57" s="15"/>
      <c r="E57" s="17"/>
      <c r="F57" s="17"/>
      <c r="G57" s="486" t="s">
        <v>142</v>
      </c>
      <c r="H57" s="17"/>
      <c r="I57" s="17"/>
      <c r="J57" s="17"/>
      <c r="K57" s="17"/>
      <c r="L57" s="17"/>
      <c r="M57" s="17"/>
    </row>
    <row r="58" spans="2:13" ht="15.75" thickBot="1">
      <c r="B58" s="91" t="str">
        <f>B10</f>
        <v>No.</v>
      </c>
      <c r="C58" s="18"/>
      <c r="D58" s="15" t="s">
        <v>586</v>
      </c>
      <c r="E58" s="39"/>
      <c r="F58" s="39"/>
      <c r="G58" s="27"/>
      <c r="H58" s="27"/>
      <c r="I58" s="47"/>
      <c r="J58" s="27"/>
      <c r="K58" s="27"/>
      <c r="L58" s="27"/>
      <c r="M58" s="17"/>
    </row>
    <row r="59" spans="2:14" ht="15">
      <c r="B59" s="90">
        <f>+B41+1</f>
        <v>18</v>
      </c>
      <c r="C59" s="18"/>
      <c r="D59" s="40" t="s">
        <v>734</v>
      </c>
      <c r="E59" s="27" t="s">
        <v>482</v>
      </c>
      <c r="F59" s="27"/>
      <c r="G59" s="27">
        <f>+'KPCo WS A  - RB Support '!E14</f>
        <v>540095917</v>
      </c>
      <c r="H59" s="120"/>
      <c r="I59" s="47" t="s">
        <v>735</v>
      </c>
      <c r="J59" s="48">
        <f>VLOOKUP(I59,APCo_Proj_Allocators,2,FALSE)</f>
        <v>0</v>
      </c>
      <c r="K59" s="27"/>
      <c r="L59" s="926">
        <f>+J59*G59</f>
        <v>0</v>
      </c>
      <c r="M59" s="17"/>
      <c r="N59" s="599"/>
    </row>
    <row r="60" spans="2:14" ht="15">
      <c r="B60" s="90">
        <f aca="true" t="shared" si="0" ref="B60:B70">+B59+1</f>
        <v>19</v>
      </c>
      <c r="C60" s="18"/>
      <c r="D60" s="40" t="s">
        <v>206</v>
      </c>
      <c r="E60" s="27" t="s">
        <v>483</v>
      </c>
      <c r="F60" s="27"/>
      <c r="G60" s="925">
        <f>-'KPCo WS A  - RB Support '!E16</f>
        <v>-3337422</v>
      </c>
      <c r="H60" s="120"/>
      <c r="I60" s="47" t="s">
        <v>735</v>
      </c>
      <c r="J60" s="48">
        <f>VLOOKUP(I60,APCo_Proj_Allocators,2,FALSE)</f>
        <v>0</v>
      </c>
      <c r="K60" s="27"/>
      <c r="L60" s="926">
        <f>+J60*G60</f>
        <v>0</v>
      </c>
      <c r="M60" s="17"/>
      <c r="N60" s="599"/>
    </row>
    <row r="61" spans="2:14" ht="15">
      <c r="B61" s="90">
        <f t="shared" si="0"/>
        <v>20</v>
      </c>
      <c r="C61" s="42"/>
      <c r="D61" s="43" t="s">
        <v>736</v>
      </c>
      <c r="E61" s="519" t="str">
        <f>"(Worksheet A ln "&amp;'KPCo WS A  - RB Support '!A18&amp;".C &amp; Ln "&amp;B229&amp;")"</f>
        <v>(Worksheet A ln 3.C &amp; Ln 142)</v>
      </c>
      <c r="F61" s="27"/>
      <c r="G61" s="27">
        <f>+'KPCo WS A  - RB Support '!E18</f>
        <v>438744866</v>
      </c>
      <c r="H61" s="120"/>
      <c r="I61" s="285" t="s">
        <v>737</v>
      </c>
      <c r="J61" s="27"/>
      <c r="K61" s="279"/>
      <c r="L61" s="928">
        <f>+L229</f>
        <v>437139495</v>
      </c>
      <c r="M61" s="45"/>
      <c r="N61" s="599"/>
    </row>
    <row r="62" spans="2:14" ht="15">
      <c r="B62" s="90">
        <f t="shared" si="0"/>
        <v>21</v>
      </c>
      <c r="C62" s="42"/>
      <c r="D62" s="58" t="s">
        <v>207</v>
      </c>
      <c r="E62" s="519" t="str">
        <f>"(Worksheet A ln "&amp;'KPCo WS A  - RB Support '!A20&amp;".C&amp; Ln "&amp;B231&amp;")"</f>
        <v>(Worksheet A ln 4.C&amp; Ln 143)</v>
      </c>
      <c r="F62" s="27"/>
      <c r="G62" s="27">
        <f>-+'KPCo WS A  - RB Support '!E19</f>
        <v>0</v>
      </c>
      <c r="H62" s="120"/>
      <c r="I62" s="285" t="s">
        <v>728</v>
      </c>
      <c r="J62" s="48">
        <f aca="true" t="shared" si="1" ref="J62:J69">VLOOKUP(I62,APCo_Proj_Allocators,2,FALSE)</f>
        <v>0.9963409919422282</v>
      </c>
      <c r="K62" s="279"/>
      <c r="L62" s="928">
        <f>+G62*J62</f>
        <v>0</v>
      </c>
      <c r="M62" s="45"/>
      <c r="N62" s="599"/>
    </row>
    <row r="63" spans="2:14" ht="15">
      <c r="B63" s="90">
        <f t="shared" si="0"/>
        <v>22</v>
      </c>
      <c r="C63" s="42"/>
      <c r="D63" s="480" t="s">
        <v>484</v>
      </c>
      <c r="E63" s="44"/>
      <c r="F63" s="44"/>
      <c r="G63" s="27">
        <f>+'KPCo WS I Projected Plant'!D34</f>
        <v>18840335.28999996</v>
      </c>
      <c r="H63" s="741"/>
      <c r="I63" s="285" t="s">
        <v>737</v>
      </c>
      <c r="J63" s="48">
        <f t="shared" si="1"/>
        <v>1</v>
      </c>
      <c r="K63" s="279"/>
      <c r="L63" s="928">
        <f>+G63*J63</f>
        <v>18840335.28999996</v>
      </c>
      <c r="M63" s="45"/>
      <c r="N63" s="599"/>
    </row>
    <row r="64" spans="2:14" ht="15">
      <c r="B64" s="90">
        <f t="shared" si="0"/>
        <v>23</v>
      </c>
      <c r="C64" s="42"/>
      <c r="D64" s="480" t="s">
        <v>485</v>
      </c>
      <c r="E64" s="39"/>
      <c r="F64" s="39"/>
      <c r="G64" s="27">
        <f>+'KPCo WS I Projected Plant'!D37</f>
        <v>0</v>
      </c>
      <c r="H64" s="741"/>
      <c r="I64" s="285" t="s">
        <v>737</v>
      </c>
      <c r="J64" s="48">
        <f t="shared" si="1"/>
        <v>1</v>
      </c>
      <c r="K64" s="17"/>
      <c r="L64" s="928">
        <f>+G64*J64</f>
        <v>0</v>
      </c>
      <c r="M64" s="45"/>
      <c r="N64" s="599"/>
    </row>
    <row r="65" spans="2:14" ht="15">
      <c r="B65" s="90">
        <f t="shared" si="0"/>
        <v>24</v>
      </c>
      <c r="C65" s="42"/>
      <c r="D65" s="15" t="s">
        <v>738</v>
      </c>
      <c r="E65" s="27" t="s">
        <v>486</v>
      </c>
      <c r="F65" s="27"/>
      <c r="G65" s="27">
        <f>+'KPCo WS A  - RB Support '!E22</f>
        <v>568761740</v>
      </c>
      <c r="H65" s="120"/>
      <c r="I65" s="47" t="s">
        <v>735</v>
      </c>
      <c r="J65" s="48">
        <f t="shared" si="1"/>
        <v>0</v>
      </c>
      <c r="K65" s="27"/>
      <c r="L65" s="926">
        <f>+J65*G65</f>
        <v>0</v>
      </c>
      <c r="M65" s="17"/>
      <c r="N65" s="599"/>
    </row>
    <row r="66" spans="2:14" ht="15">
      <c r="B66" s="90">
        <f t="shared" si="0"/>
        <v>25</v>
      </c>
      <c r="C66" s="42"/>
      <c r="D66" s="40" t="s">
        <v>204</v>
      </c>
      <c r="E66" s="27" t="s">
        <v>487</v>
      </c>
      <c r="F66" s="27"/>
      <c r="G66" s="925">
        <f>-+'KPCo WS A  - RB Support '!E24</f>
        <v>0</v>
      </c>
      <c r="H66" s="120"/>
      <c r="I66" s="47" t="s">
        <v>735</v>
      </c>
      <c r="J66" s="48">
        <f t="shared" si="1"/>
        <v>0</v>
      </c>
      <c r="K66" s="27"/>
      <c r="L66" s="926">
        <f>+G66*J66</f>
        <v>0</v>
      </c>
      <c r="M66" s="17"/>
      <c r="N66" s="599"/>
    </row>
    <row r="67" spans="2:14" ht="15">
      <c r="B67" s="90">
        <f t="shared" si="0"/>
        <v>26</v>
      </c>
      <c r="C67" s="42"/>
      <c r="D67" s="15" t="s">
        <v>739</v>
      </c>
      <c r="E67" s="27" t="s">
        <v>488</v>
      </c>
      <c r="F67" s="27"/>
      <c r="G67" s="27">
        <f>+'KPCo WS A  - RB Support '!E26</f>
        <v>33960860</v>
      </c>
      <c r="H67" s="120"/>
      <c r="I67" s="47" t="s">
        <v>740</v>
      </c>
      <c r="J67" s="48">
        <f t="shared" si="1"/>
        <v>0.08594668838210866</v>
      </c>
      <c r="K67" s="27"/>
      <c r="L67" s="926">
        <f>+J67*G67</f>
        <v>2918823.4516084185</v>
      </c>
      <c r="M67" s="17"/>
      <c r="N67" s="599"/>
    </row>
    <row r="68" spans="2:14" ht="15">
      <c r="B68" s="90">
        <f t="shared" si="0"/>
        <v>27</v>
      </c>
      <c r="C68" s="42"/>
      <c r="D68" s="40" t="s">
        <v>205</v>
      </c>
      <c r="E68" s="27" t="s">
        <v>489</v>
      </c>
      <c r="F68" s="27"/>
      <c r="G68" s="925">
        <f>-'KPCo WS A  - RB Support '!E28</f>
        <v>0</v>
      </c>
      <c r="H68" s="120"/>
      <c r="I68" s="47" t="s">
        <v>740</v>
      </c>
      <c r="J68" s="48">
        <f t="shared" si="1"/>
        <v>0.08594668838210866</v>
      </c>
      <c r="K68" s="27"/>
      <c r="L68" s="926">
        <f>+G68*J68</f>
        <v>0</v>
      </c>
      <c r="M68" s="17"/>
      <c r="N68" s="599"/>
    </row>
    <row r="69" spans="2:14" ht="15.75" thickBot="1">
      <c r="B69" s="90">
        <f t="shared" si="0"/>
        <v>28</v>
      </c>
      <c r="C69" s="42"/>
      <c r="D69" s="15" t="s">
        <v>741</v>
      </c>
      <c r="E69" s="27" t="s">
        <v>490</v>
      </c>
      <c r="F69" s="27"/>
      <c r="G69" s="303">
        <f>+'KPCo WS A  - RB Support '!E30</f>
        <v>16666518</v>
      </c>
      <c r="H69" s="120"/>
      <c r="I69" s="47" t="s">
        <v>740</v>
      </c>
      <c r="J69" s="48">
        <f t="shared" si="1"/>
        <v>0.08594668838210866</v>
      </c>
      <c r="K69" s="27"/>
      <c r="L69" s="927">
        <f>+J69*G69</f>
        <v>1432432.028960805</v>
      </c>
      <c r="M69" s="17"/>
      <c r="N69" s="599"/>
    </row>
    <row r="70" spans="2:14" ht="15.75">
      <c r="B70" s="92">
        <f t="shared" si="0"/>
        <v>29</v>
      </c>
      <c r="C70" s="42"/>
      <c r="D70" s="15" t="s">
        <v>584</v>
      </c>
      <c r="E70" s="18" t="str">
        <f>"(sum lns "&amp;B59&amp;" to "&amp;B69&amp;")"</f>
        <v>(sum lns 18 to 28)</v>
      </c>
      <c r="F70" s="742"/>
      <c r="G70" s="27">
        <f>SUM(G59:G69)</f>
        <v>1613732814.29</v>
      </c>
      <c r="H70" s="120"/>
      <c r="I70" s="293"/>
      <c r="J70" s="107"/>
      <c r="K70" s="27"/>
      <c r="L70" s="926">
        <f>SUM(L59:L69)</f>
        <v>460331085.7705692</v>
      </c>
      <c r="M70" s="17"/>
      <c r="N70" s="599"/>
    </row>
    <row r="71" spans="2:14" ht="15.75">
      <c r="B71" s="92"/>
      <c r="C71" s="18"/>
      <c r="D71" s="15"/>
      <c r="E71" s="364"/>
      <c r="F71" s="742"/>
      <c r="G71" s="27"/>
      <c r="H71" s="120"/>
      <c r="I71" s="293"/>
      <c r="J71" s="294"/>
      <c r="K71" s="27"/>
      <c r="L71" s="926"/>
      <c r="M71" s="17"/>
      <c r="N71" s="599"/>
    </row>
    <row r="72" spans="2:14" ht="15">
      <c r="B72" s="90">
        <f>+B70+1</f>
        <v>30</v>
      </c>
      <c r="C72" s="18"/>
      <c r="D72" s="15" t="s">
        <v>557</v>
      </c>
      <c r="E72" s="39"/>
      <c r="F72" s="39"/>
      <c r="G72" s="27"/>
      <c r="H72" s="295"/>
      <c r="I72" s="47"/>
      <c r="J72" s="296"/>
      <c r="K72" s="27"/>
      <c r="L72" s="926"/>
      <c r="M72" s="17"/>
      <c r="N72" s="599"/>
    </row>
    <row r="73" spans="2:14" ht="15">
      <c r="B73" s="90">
        <f aca="true" t="shared" si="2" ref="B73:B87">+B72+1</f>
        <v>31</v>
      </c>
      <c r="C73" s="18"/>
      <c r="D73" s="40" t="str">
        <f>+D59</f>
        <v>  Production</v>
      </c>
      <c r="E73" s="27" t="s">
        <v>491</v>
      </c>
      <c r="F73" s="27"/>
      <c r="G73" s="27">
        <f>+'KPCo WS A  - RB Support '!E38</f>
        <v>225725166</v>
      </c>
      <c r="H73" s="120"/>
      <c r="I73" s="47" t="s">
        <v>735</v>
      </c>
      <c r="J73" s="48">
        <f>VLOOKUP(I73,APCo_Proj_Allocators,2,FALSE)</f>
        <v>0</v>
      </c>
      <c r="K73" s="27"/>
      <c r="L73" s="926">
        <f>+J73*G73</f>
        <v>0</v>
      </c>
      <c r="M73" s="17"/>
      <c r="N73" s="599"/>
    </row>
    <row r="74" spans="2:14" ht="15">
      <c r="B74" s="90">
        <f t="shared" si="2"/>
        <v>32</v>
      </c>
      <c r="C74" s="18"/>
      <c r="D74" s="40" t="s">
        <v>206</v>
      </c>
      <c r="E74" s="27" t="s">
        <v>492</v>
      </c>
      <c r="F74" s="27"/>
      <c r="G74" s="925">
        <f>-+'KPCo WS A  - RB Support '!E40</f>
        <v>-357559</v>
      </c>
      <c r="H74" s="120"/>
      <c r="I74" s="47" t="s">
        <v>735</v>
      </c>
      <c r="J74" s="48">
        <f>VLOOKUP(I74,APCo_Proj_Allocators,2,FALSE)</f>
        <v>0</v>
      </c>
      <c r="K74" s="27"/>
      <c r="L74" s="926">
        <f>+J74*G74</f>
        <v>0</v>
      </c>
      <c r="M74" s="17"/>
      <c r="N74" s="599"/>
    </row>
    <row r="75" spans="2:14" ht="15.75">
      <c r="B75" s="90">
        <f t="shared" si="2"/>
        <v>33</v>
      </c>
      <c r="C75" s="42"/>
      <c r="D75" s="43" t="str">
        <f>D61</f>
        <v>  Transmission</v>
      </c>
      <c r="E75" s="27" t="s">
        <v>493</v>
      </c>
      <c r="F75" s="27"/>
      <c r="G75" s="279">
        <f>+'KPCo WS A  - RB Support '!E42</f>
        <v>141779874</v>
      </c>
      <c r="H75" s="120"/>
      <c r="I75" s="297" t="s">
        <v>560</v>
      </c>
      <c r="J75" s="298">
        <f>L75/G75</f>
        <v>0.9958946147744496</v>
      </c>
      <c r="K75" s="279"/>
      <c r="L75" s="926">
        <f>+'KPCo WS A  - RB Support '!E74</f>
        <v>141197813</v>
      </c>
      <c r="M75" s="45"/>
      <c r="N75" s="599"/>
    </row>
    <row r="76" spans="2:14" ht="15.75">
      <c r="B76" s="90">
        <f t="shared" si="2"/>
        <v>34</v>
      </c>
      <c r="C76" s="42"/>
      <c r="D76" s="40" t="s">
        <v>207</v>
      </c>
      <c r="E76" s="27" t="s">
        <v>494</v>
      </c>
      <c r="F76" s="27"/>
      <c r="G76" s="925">
        <f>-'KPCo WS A  - RB Support '!E44</f>
        <v>0</v>
      </c>
      <c r="H76" s="120"/>
      <c r="I76" s="297" t="s">
        <v>560</v>
      </c>
      <c r="J76" s="48">
        <f>+J75</f>
        <v>0.9958946147744496</v>
      </c>
      <c r="K76" s="279"/>
      <c r="L76" s="926">
        <f aca="true" t="shared" si="3" ref="L76:L81">+G76*J76</f>
        <v>0</v>
      </c>
      <c r="M76" s="45"/>
      <c r="N76" s="599"/>
    </row>
    <row r="77" spans="2:14" ht="15">
      <c r="B77" s="90">
        <f t="shared" si="2"/>
        <v>35</v>
      </c>
      <c r="C77" s="42"/>
      <c r="D77" s="480" t="s">
        <v>495</v>
      </c>
      <c r="E77" s="44"/>
      <c r="F77" s="44"/>
      <c r="G77" s="925">
        <f>+'KPCo WS I Projected Plant'!I34</f>
        <v>127664</v>
      </c>
      <c r="H77" s="100"/>
      <c r="I77" s="285" t="s">
        <v>737</v>
      </c>
      <c r="J77" s="48">
        <f aca="true" t="shared" si="4" ref="J77:J86">VLOOKUP(I77,APCo_Proj_Allocators,2,FALSE)</f>
        <v>1</v>
      </c>
      <c r="K77" s="279"/>
      <c r="L77" s="926">
        <f t="shared" si="3"/>
        <v>127664</v>
      </c>
      <c r="M77" s="45"/>
      <c r="N77" s="599"/>
    </row>
    <row r="78" spans="2:14" ht="15">
      <c r="B78" s="90">
        <f t="shared" si="2"/>
        <v>36</v>
      </c>
      <c r="C78" s="42"/>
      <c r="D78" s="480" t="s">
        <v>496</v>
      </c>
      <c r="E78" s="44"/>
      <c r="F78" s="44"/>
      <c r="G78" s="925">
        <f>+'KPCo WS I Projected Plant'!D40</f>
        <v>0</v>
      </c>
      <c r="H78" s="100"/>
      <c r="I78" s="285" t="s">
        <v>737</v>
      </c>
      <c r="J78" s="48">
        <f t="shared" si="4"/>
        <v>1</v>
      </c>
      <c r="K78" s="279"/>
      <c r="L78" s="926">
        <f t="shared" si="3"/>
        <v>0</v>
      </c>
      <c r="M78" s="45"/>
      <c r="N78" s="599"/>
    </row>
    <row r="79" spans="2:14" ht="15">
      <c r="B79" s="90">
        <f t="shared" si="2"/>
        <v>37</v>
      </c>
      <c r="C79" s="42"/>
      <c r="D79" s="480" t="str">
        <f>"     Plus: Additional Transmission Depreciation for "&amp;'KPCo Historic TCOS'!O2&amp;"  (ln "&amp;B178&amp;")"</f>
        <v>     Plus: Additional Transmission Depreciation for 2010  (ln 111)</v>
      </c>
      <c r="E79" s="44"/>
      <c r="F79" s="44"/>
      <c r="G79" s="925">
        <f>+G178</f>
        <v>7420678</v>
      </c>
      <c r="H79" s="100"/>
      <c r="I79" s="571" t="s">
        <v>559</v>
      </c>
      <c r="J79" s="48">
        <f t="shared" si="4"/>
        <v>0.9958946147744496</v>
      </c>
      <c r="K79" s="279"/>
      <c r="L79" s="926">
        <f t="shared" si="3"/>
        <v>7390213.258175233</v>
      </c>
      <c r="M79" s="45"/>
      <c r="N79" s="599"/>
    </row>
    <row r="80" spans="2:14" ht="15">
      <c r="B80" s="90">
        <f t="shared" si="2"/>
        <v>38</v>
      </c>
      <c r="C80" s="42"/>
      <c r="D80" s="481" t="str">
        <f>"     Plus: Additional General &amp; Intangible Depreciation for "&amp;'KPCo Historic TCOS'!O2&amp;" (ln "&amp;B180&amp;" + ln "&amp;B181&amp;")"</f>
        <v>     Plus: Additional General &amp; Intangible Depreciation for 2010 (ln 113 + ln 114)</v>
      </c>
      <c r="E80" s="44"/>
      <c r="F80" s="44"/>
      <c r="G80" s="925">
        <f>+G180+G181</f>
        <v>4528066</v>
      </c>
      <c r="H80" s="100"/>
      <c r="I80" s="285" t="s">
        <v>740</v>
      </c>
      <c r="J80" s="48">
        <f t="shared" si="4"/>
        <v>0.08594668838210866</v>
      </c>
      <c r="K80" s="279"/>
      <c r="L80" s="926">
        <f t="shared" si="3"/>
        <v>389172.2774756212</v>
      </c>
      <c r="M80" s="45"/>
      <c r="N80" s="599"/>
    </row>
    <row r="81" spans="2:14" ht="15">
      <c r="B81" s="90">
        <f t="shared" si="2"/>
        <v>39</v>
      </c>
      <c r="C81" s="42"/>
      <c r="D81" s="480" t="s">
        <v>497</v>
      </c>
      <c r="E81" s="44"/>
      <c r="F81" s="44"/>
      <c r="G81" s="925">
        <f>+'KPCo WS I Projected Plant'!D38</f>
        <v>0</v>
      </c>
      <c r="H81" s="100"/>
      <c r="I81" s="285" t="s">
        <v>737</v>
      </c>
      <c r="J81" s="48">
        <f t="shared" si="4"/>
        <v>1</v>
      </c>
      <c r="K81" s="279"/>
      <c r="L81" s="926">
        <f t="shared" si="3"/>
        <v>0</v>
      </c>
      <c r="M81" s="45"/>
      <c r="N81" s="599"/>
    </row>
    <row r="82" spans="2:14" ht="15">
      <c r="B82" s="90">
        <f t="shared" si="2"/>
        <v>40</v>
      </c>
      <c r="C82" s="42"/>
      <c r="D82" s="15" t="str">
        <f>+D65</f>
        <v>  Distribution</v>
      </c>
      <c r="E82" s="27" t="s">
        <v>498</v>
      </c>
      <c r="F82" s="27"/>
      <c r="G82" s="27">
        <f>+'KPCo WS A  - RB Support '!E46</f>
        <v>139979041</v>
      </c>
      <c r="H82" s="120"/>
      <c r="I82" s="47" t="s">
        <v>735</v>
      </c>
      <c r="J82" s="48">
        <f t="shared" si="4"/>
        <v>0</v>
      </c>
      <c r="K82" s="27"/>
      <c r="L82" s="926">
        <f>+J82*G82</f>
        <v>0</v>
      </c>
      <c r="M82" s="17"/>
      <c r="N82" s="599"/>
    </row>
    <row r="83" spans="2:14" ht="15">
      <c r="B83" s="90">
        <f t="shared" si="2"/>
        <v>41</v>
      </c>
      <c r="C83" s="42"/>
      <c r="D83" s="40" t="s">
        <v>204</v>
      </c>
      <c r="E83" s="27" t="s">
        <v>499</v>
      </c>
      <c r="F83" s="27"/>
      <c r="G83" s="925">
        <f>-'KPCo WS A  - RB Support '!E48</f>
        <v>0</v>
      </c>
      <c r="H83" s="120"/>
      <c r="I83" s="47" t="s">
        <v>735</v>
      </c>
      <c r="J83" s="48">
        <f t="shared" si="4"/>
        <v>0</v>
      </c>
      <c r="K83" s="27"/>
      <c r="L83" s="926">
        <f>+J83*G83</f>
        <v>0</v>
      </c>
      <c r="M83" s="17"/>
      <c r="N83" s="599"/>
    </row>
    <row r="84" spans="2:14" ht="15">
      <c r="B84" s="90">
        <f t="shared" si="2"/>
        <v>42</v>
      </c>
      <c r="C84" s="208"/>
      <c r="D84" s="54" t="str">
        <f>+D67</f>
        <v>  General Plant   </v>
      </c>
      <c r="E84" s="27" t="s">
        <v>500</v>
      </c>
      <c r="F84" s="27"/>
      <c r="G84" s="69">
        <f>+'KPCo WS A  - RB Support '!E50</f>
        <v>7194870</v>
      </c>
      <c r="H84" s="120"/>
      <c r="I84" s="47" t="s">
        <v>740</v>
      </c>
      <c r="J84" s="48">
        <f t="shared" si="4"/>
        <v>0.08594668838210866</v>
      </c>
      <c r="K84" s="27"/>
      <c r="L84" s="926">
        <f>+J84*G84</f>
        <v>618375.2498397821</v>
      </c>
      <c r="M84" s="17"/>
      <c r="N84" s="599"/>
    </row>
    <row r="85" spans="2:14" ht="15">
      <c r="B85" s="90">
        <f t="shared" si="2"/>
        <v>43</v>
      </c>
      <c r="C85" s="208"/>
      <c r="D85" s="40" t="s">
        <v>205</v>
      </c>
      <c r="E85" s="27" t="s">
        <v>501</v>
      </c>
      <c r="F85" s="27"/>
      <c r="G85" s="925">
        <f>-'KPCo WS A  - RB Support '!E52</f>
        <v>0</v>
      </c>
      <c r="H85" s="120"/>
      <c r="I85" s="47" t="s">
        <v>740</v>
      </c>
      <c r="J85" s="48">
        <f t="shared" si="4"/>
        <v>0.08594668838210866</v>
      </c>
      <c r="K85" s="27"/>
      <c r="L85" s="926">
        <f>+J85*G85</f>
        <v>0</v>
      </c>
      <c r="M85" s="17"/>
      <c r="N85" s="599"/>
    </row>
    <row r="86" spans="2:14" ht="15.75" thickBot="1">
      <c r="B86" s="90">
        <f t="shared" si="2"/>
        <v>44</v>
      </c>
      <c r="C86" s="208"/>
      <c r="D86" s="54" t="str">
        <f>+D69</f>
        <v>  Intangible Plant</v>
      </c>
      <c r="E86" s="27" t="s">
        <v>502</v>
      </c>
      <c r="F86" s="27"/>
      <c r="G86" s="303">
        <f>+'KPCo WS A  - RB Support '!E54</f>
        <v>17291094</v>
      </c>
      <c r="H86" s="120"/>
      <c r="I86" s="47" t="s">
        <v>740</v>
      </c>
      <c r="J86" s="48">
        <f t="shared" si="4"/>
        <v>0.08594668838210866</v>
      </c>
      <c r="K86" s="27"/>
      <c r="L86" s="927">
        <f>+J86*G86</f>
        <v>1486112.2678037486</v>
      </c>
      <c r="M86" s="27"/>
      <c r="N86" s="599"/>
    </row>
    <row r="87" spans="2:14" ht="15">
      <c r="B87" s="90">
        <f t="shared" si="2"/>
        <v>45</v>
      </c>
      <c r="C87" s="208"/>
      <c r="D87" s="54" t="s">
        <v>583</v>
      </c>
      <c r="E87" s="259" t="str">
        <f>"(sum lns "&amp;B73&amp;" to "&amp;B86&amp;")"</f>
        <v>(sum lns 31 to 44)</v>
      </c>
      <c r="F87" s="440"/>
      <c r="G87" s="120">
        <f>SUM(G73:G86)</f>
        <v>543688894</v>
      </c>
      <c r="H87" s="120"/>
      <c r="I87" s="47"/>
      <c r="J87" s="27"/>
      <c r="K87" s="120"/>
      <c r="L87" s="120">
        <f>SUM(L73:L86)</f>
        <v>151209350.0532944</v>
      </c>
      <c r="M87" s="17"/>
      <c r="N87" s="599"/>
    </row>
    <row r="88" spans="2:14" ht="15">
      <c r="B88" s="90"/>
      <c r="C88" s="18"/>
      <c r="D88" s="11"/>
      <c r="E88" s="743"/>
      <c r="F88" s="440"/>
      <c r="G88" s="120"/>
      <c r="H88" s="120"/>
      <c r="I88" s="47"/>
      <c r="J88" s="299"/>
      <c r="K88" s="27"/>
      <c r="L88" s="120"/>
      <c r="M88" s="17"/>
      <c r="N88" s="599"/>
    </row>
    <row r="89" spans="2:14" ht="15">
      <c r="B89" s="90">
        <f>+B87+1</f>
        <v>46</v>
      </c>
      <c r="C89" s="18"/>
      <c r="D89" s="15" t="s">
        <v>587</v>
      </c>
      <c r="E89" s="39"/>
      <c r="F89" s="39"/>
      <c r="G89" s="120"/>
      <c r="H89" s="120"/>
      <c r="I89" s="47"/>
      <c r="J89" s="27"/>
      <c r="K89" s="27"/>
      <c r="L89" s="120"/>
      <c r="M89" s="17"/>
      <c r="N89" s="599"/>
    </row>
    <row r="90" spans="2:14" ht="15">
      <c r="B90" s="92">
        <f aca="true" t="shared" si="5" ref="B90:B100">+B89+1</f>
        <v>47</v>
      </c>
      <c r="C90" s="42"/>
      <c r="D90" s="40" t="str">
        <f>+D73</f>
        <v>  Production</v>
      </c>
      <c r="E90" s="27" t="str">
        <f>" (ln "&amp;B59&amp;" + ln "&amp;B60&amp;" - ln "&amp;B73&amp;" - ln "&amp;B74&amp;")"</f>
        <v> (ln 18 + ln 19 - ln 31 - ln 32)</v>
      </c>
      <c r="F90" s="27"/>
      <c r="G90" s="926">
        <f>G59+G60-G73-G74</f>
        <v>311390888</v>
      </c>
      <c r="H90" s="120"/>
      <c r="I90" s="47"/>
      <c r="J90" s="300"/>
      <c r="K90" s="27"/>
      <c r="L90" s="926">
        <f>L59+L60-L73-L74</f>
        <v>0</v>
      </c>
      <c r="M90" s="17"/>
      <c r="N90" s="599"/>
    </row>
    <row r="91" spans="2:14" ht="15">
      <c r="B91" s="92">
        <f t="shared" si="5"/>
        <v>48</v>
      </c>
      <c r="C91" s="42"/>
      <c r="D91" s="40" t="str">
        <f>+D75</f>
        <v>  Transmission</v>
      </c>
      <c r="E91" s="27" t="s">
        <v>503</v>
      </c>
      <c r="F91" s="27"/>
      <c r="G91" s="926">
        <f>+G61+G62-G75-G76</f>
        <v>296964992</v>
      </c>
      <c r="H91" s="120"/>
      <c r="I91" s="47"/>
      <c r="J91" s="298"/>
      <c r="K91" s="27"/>
      <c r="L91" s="926">
        <f>+L61+L62-L75-L76</f>
        <v>295941682</v>
      </c>
      <c r="M91" s="17"/>
      <c r="N91" s="599"/>
    </row>
    <row r="92" spans="2:14" ht="15">
      <c r="B92" s="92">
        <f t="shared" si="5"/>
        <v>49</v>
      </c>
      <c r="C92" s="42"/>
      <c r="D92" s="43" t="str">
        <f>"     Plus: Transmission Plant-in-Service Additions (ln "&amp;B63&amp;" - ln "&amp;B77&amp;")"</f>
        <v>     Plus: Transmission Plant-in-Service Additions (ln 22 - ln 35)</v>
      </c>
      <c r="E92" s="27"/>
      <c r="F92" s="27"/>
      <c r="G92" s="928">
        <f>+G63-G77</f>
        <v>18712671.28999996</v>
      </c>
      <c r="H92" s="120"/>
      <c r="I92" s="47"/>
      <c r="J92" s="298"/>
      <c r="K92" s="27"/>
      <c r="L92" s="928">
        <f>+L63-L77</f>
        <v>18712671.28999996</v>
      </c>
      <c r="M92" s="17"/>
      <c r="N92" s="599"/>
    </row>
    <row r="93" spans="2:14" ht="15">
      <c r="B93" s="92">
        <f t="shared" si="5"/>
        <v>50</v>
      </c>
      <c r="C93" s="42"/>
      <c r="D93" s="43" t="str">
        <f>"     Plus: Additional Trans Plant on Transferred Assets  (ln "&amp;B64&amp;" - ln "&amp;B78&amp;")"</f>
        <v>     Plus: Additional Trans Plant on Transferred Assets  (ln 23 - ln 36)</v>
      </c>
      <c r="E93" s="27"/>
      <c r="F93" s="27"/>
      <c r="G93" s="928">
        <f>+G64-G78</f>
        <v>0</v>
      </c>
      <c r="H93" s="120"/>
      <c r="I93" s="47"/>
      <c r="J93" s="298"/>
      <c r="K93" s="27"/>
      <c r="L93" s="928">
        <f>+L64-L78</f>
        <v>0</v>
      </c>
      <c r="M93" s="17"/>
      <c r="N93" s="599"/>
    </row>
    <row r="94" spans="2:14" ht="15">
      <c r="B94" s="92">
        <f t="shared" si="5"/>
        <v>51</v>
      </c>
      <c r="C94" s="42"/>
      <c r="D94" s="480" t="str">
        <f>"     Plus: Additional Transmission Depreciation for "&amp;'KPCo Historic TCOS'!O2&amp;"  (-ln "&amp;B79&amp;")"</f>
        <v>     Plus: Additional Transmission Depreciation for 2010  (-ln 37)</v>
      </c>
      <c r="E94" s="27"/>
      <c r="F94" s="27"/>
      <c r="G94" s="928">
        <f>-G79</f>
        <v>-7420678</v>
      </c>
      <c r="H94" s="120"/>
      <c r="I94" s="47"/>
      <c r="J94" s="298"/>
      <c r="K94" s="27"/>
      <c r="L94" s="928">
        <f>-L79</f>
        <v>-7390213.258175233</v>
      </c>
      <c r="M94" s="17"/>
      <c r="N94" s="599"/>
    </row>
    <row r="95" spans="2:14" ht="15">
      <c r="B95" s="92">
        <f t="shared" si="5"/>
        <v>52</v>
      </c>
      <c r="C95" s="42"/>
      <c r="D95" s="481" t="str">
        <f>"     Plus: Additional General &amp; Intangible Depreciation for "&amp;'KPCo Historic TCOS'!O2&amp;" (-ln "&amp;B80&amp;")"</f>
        <v>     Plus: Additional General &amp; Intangible Depreciation for 2010 (-ln 38)</v>
      </c>
      <c r="E95" s="27"/>
      <c r="F95" s="27"/>
      <c r="G95" s="928">
        <f>-G80</f>
        <v>-4528066</v>
      </c>
      <c r="H95" s="120"/>
      <c r="I95" s="47"/>
      <c r="J95" s="298"/>
      <c r="K95" s="27"/>
      <c r="L95" s="928">
        <f>-L80</f>
        <v>-389172.2774756212</v>
      </c>
      <c r="M95" s="17"/>
      <c r="N95" s="599"/>
    </row>
    <row r="96" spans="2:14" ht="15">
      <c r="B96" s="92">
        <f t="shared" si="5"/>
        <v>53</v>
      </c>
      <c r="C96" s="42"/>
      <c r="D96" s="480" t="str">
        <f>"     Plus: Additional Accum Deprec on Transferred Assets (Worksheet I) (-ln "&amp;B81&amp;")"</f>
        <v>     Plus: Additional Accum Deprec on Transferred Assets (Worksheet I) (-ln 39)</v>
      </c>
      <c r="E96" s="27"/>
      <c r="F96" s="27"/>
      <c r="G96" s="928">
        <f>-G81</f>
        <v>0</v>
      </c>
      <c r="H96" s="120"/>
      <c r="I96" s="47"/>
      <c r="J96" s="298"/>
      <c r="K96" s="27"/>
      <c r="L96" s="928">
        <f>-L81</f>
        <v>0</v>
      </c>
      <c r="M96" s="17"/>
      <c r="N96" s="599"/>
    </row>
    <row r="97" spans="2:14" ht="15">
      <c r="B97" s="92">
        <f t="shared" si="5"/>
        <v>54</v>
      </c>
      <c r="C97" s="42"/>
      <c r="D97" s="40" t="str">
        <f>+D82</f>
        <v>  Distribution</v>
      </c>
      <c r="E97" s="27" t="str">
        <f>" (ln "&amp;B65&amp;" + ln "&amp;B66&amp;" - ln "&amp;B82&amp;" - ln "&amp;B83&amp;")"</f>
        <v> (ln 24 + ln 25 - ln 40 - ln 41)</v>
      </c>
      <c r="F97" s="27"/>
      <c r="G97" s="926">
        <f>+G65+G66-G82-G83</f>
        <v>428782699</v>
      </c>
      <c r="H97" s="120"/>
      <c r="I97" s="47"/>
      <c r="J97" s="299"/>
      <c r="K97" s="27"/>
      <c r="L97" s="926">
        <f>+L65+L66-L82-L83</f>
        <v>0</v>
      </c>
      <c r="M97" s="17"/>
      <c r="N97" s="599"/>
    </row>
    <row r="98" spans="2:14" ht="15">
      <c r="B98" s="92">
        <f t="shared" si="5"/>
        <v>55</v>
      </c>
      <c r="C98" s="42"/>
      <c r="D98" s="40" t="str">
        <f>+D84</f>
        <v>  General Plant   </v>
      </c>
      <c r="E98" s="27" t="str">
        <f>" (ln "&amp;B67&amp;" + ln "&amp;B68&amp;" - ln "&amp;B84&amp;" - ln "&amp;B85&amp;")"</f>
        <v> (ln 26 + ln 27 - ln 42 - ln 43)</v>
      </c>
      <c r="F98" s="27"/>
      <c r="G98" s="926">
        <f>+G67+G68-G84-G85</f>
        <v>26765990</v>
      </c>
      <c r="H98" s="120"/>
      <c r="I98" s="47"/>
      <c r="J98" s="299"/>
      <c r="K98" s="27"/>
      <c r="L98" s="926">
        <f>+L67+L68-L84-L85</f>
        <v>2300448.2017686362</v>
      </c>
      <c r="M98" s="17"/>
      <c r="N98" s="599"/>
    </row>
    <row r="99" spans="2:14" ht="15.75" thickBot="1">
      <c r="B99" s="92">
        <f t="shared" si="5"/>
        <v>56</v>
      </c>
      <c r="C99" s="42"/>
      <c r="D99" s="40" t="str">
        <f>+D86</f>
        <v>  Intangible Plant</v>
      </c>
      <c r="E99" s="27" t="str">
        <f>" (ln "&amp;B69&amp;" - ln "&amp;B86&amp;")"</f>
        <v> (ln 28 - ln 44)</v>
      </c>
      <c r="F99" s="27"/>
      <c r="G99" s="927">
        <f>+G69-G86</f>
        <v>-624576</v>
      </c>
      <c r="H99" s="120"/>
      <c r="I99" s="47"/>
      <c r="J99" s="299"/>
      <c r="K99" s="27"/>
      <c r="L99" s="927">
        <f>+L69-L86</f>
        <v>-53680.23884294368</v>
      </c>
      <c r="M99" s="17"/>
      <c r="N99" s="599"/>
    </row>
    <row r="100" spans="2:14" ht="15.75">
      <c r="B100" s="92">
        <f t="shared" si="5"/>
        <v>57</v>
      </c>
      <c r="C100" s="42"/>
      <c r="D100" s="40" t="s">
        <v>582</v>
      </c>
      <c r="E100" s="40" t="str">
        <f>"(sum lns "&amp;B90&amp;" to "&amp;B99&amp;")"</f>
        <v>(sum lns 47 to 56)</v>
      </c>
      <c r="F100" s="27"/>
      <c r="G100" s="120">
        <f>SUM(G90:G99)</f>
        <v>1070043920.29</v>
      </c>
      <c r="H100" s="120"/>
      <c r="I100" s="258"/>
      <c r="J100" s="107"/>
      <c r="K100" s="27"/>
      <c r="L100" s="120">
        <f>SUM(L91:L99)</f>
        <v>309121735.7172748</v>
      </c>
      <c r="M100" s="17"/>
      <c r="N100" s="599"/>
    </row>
    <row r="101" spans="2:14" ht="15">
      <c r="B101" s="90"/>
      <c r="C101" s="18"/>
      <c r="D101" s="15"/>
      <c r="E101" s="27"/>
      <c r="F101" s="27"/>
      <c r="G101" s="120"/>
      <c r="H101" s="120"/>
      <c r="I101" s="13"/>
      <c r="J101" s="301"/>
      <c r="K101" s="27"/>
      <c r="L101" s="120"/>
      <c r="M101" s="17"/>
      <c r="N101" s="599"/>
    </row>
    <row r="102" spans="2:14" ht="15">
      <c r="B102" s="90"/>
      <c r="C102" s="18"/>
      <c r="D102" s="11"/>
      <c r="G102" s="100"/>
      <c r="H102" s="100"/>
      <c r="I102" s="100"/>
      <c r="J102" s="100"/>
      <c r="K102" s="100"/>
      <c r="L102" s="100"/>
      <c r="M102"/>
      <c r="N102" s="599"/>
    </row>
    <row r="103" spans="2:14" ht="15">
      <c r="B103" s="90">
        <f>+B100+1</f>
        <v>58</v>
      </c>
      <c r="C103" s="18"/>
      <c r="D103" s="15" t="s">
        <v>112</v>
      </c>
      <c r="E103" s="27" t="s">
        <v>90</v>
      </c>
      <c r="F103" s="47"/>
      <c r="G103" s="100"/>
      <c r="H103" s="100"/>
      <c r="I103" s="100"/>
      <c r="J103" s="100"/>
      <c r="K103" s="100"/>
      <c r="L103" s="100"/>
      <c r="M103"/>
      <c r="N103" s="599"/>
    </row>
    <row r="104" spans="2:14" ht="15">
      <c r="B104" s="92">
        <f aca="true" t="shared" si="6" ref="B104:B109">+B103+1</f>
        <v>59</v>
      </c>
      <c r="C104" s="42"/>
      <c r="D104" s="58" t="s">
        <v>823</v>
      </c>
      <c r="E104" s="27" t="s">
        <v>504</v>
      </c>
      <c r="F104" s="27"/>
      <c r="G104" s="926">
        <f>-'KPCo WS B ADIT &amp; ITC'!E15</f>
        <v>-31362189</v>
      </c>
      <c r="H104" s="120"/>
      <c r="I104" s="47" t="s">
        <v>735</v>
      </c>
      <c r="J104" s="48"/>
      <c r="K104" s="27"/>
      <c r="L104" s="926">
        <f>-'KPCo WS B ADIT &amp; ITC'!E18</f>
        <v>0</v>
      </c>
      <c r="M104" s="17"/>
      <c r="N104" s="599"/>
    </row>
    <row r="105" spans="2:14" ht="15">
      <c r="B105" s="92">
        <f t="shared" si="6"/>
        <v>60</v>
      </c>
      <c r="C105" s="42"/>
      <c r="D105" s="58" t="s">
        <v>825</v>
      </c>
      <c r="E105" s="27" t="s">
        <v>505</v>
      </c>
      <c r="F105" s="27"/>
      <c r="G105" s="926">
        <f>-'KPCo WS B ADIT &amp; ITC'!E23</f>
        <v>-162185880</v>
      </c>
      <c r="H105" s="120"/>
      <c r="I105" s="47" t="s">
        <v>737</v>
      </c>
      <c r="J105" s="48"/>
      <c r="K105" s="27"/>
      <c r="L105" s="926">
        <f>-'KPCo WS B ADIT &amp; ITC'!E26</f>
        <v>-46357239</v>
      </c>
      <c r="M105" s="17"/>
      <c r="N105" s="599"/>
    </row>
    <row r="106" spans="2:14" ht="15">
      <c r="B106" s="92">
        <f t="shared" si="6"/>
        <v>61</v>
      </c>
      <c r="C106" s="42"/>
      <c r="D106" s="58" t="s">
        <v>826</v>
      </c>
      <c r="E106" s="27" t="s">
        <v>506</v>
      </c>
      <c r="F106" s="27"/>
      <c r="G106" s="926">
        <f>-'KPCo WS B ADIT &amp; ITC'!E31</f>
        <v>-21654672</v>
      </c>
      <c r="H106" s="120"/>
      <c r="I106" s="47" t="s">
        <v>737</v>
      </c>
      <c r="J106" s="48"/>
      <c r="K106" s="27"/>
      <c r="L106" s="926">
        <f>-'KPCo WS B ADIT &amp; ITC'!E34</f>
        <v>-1380134</v>
      </c>
      <c r="M106" s="17"/>
      <c r="N106" s="599"/>
    </row>
    <row r="107" spans="2:14" ht="15">
      <c r="B107" s="92">
        <f t="shared" si="6"/>
        <v>62</v>
      </c>
      <c r="C107" s="42"/>
      <c r="D107" s="58" t="s">
        <v>827</v>
      </c>
      <c r="E107" s="27" t="s">
        <v>507</v>
      </c>
      <c r="F107" s="27"/>
      <c r="G107" s="926">
        <f>+'KPCo WS B ADIT &amp; ITC'!E39</f>
        <v>14157012</v>
      </c>
      <c r="H107" s="120"/>
      <c r="I107" s="47" t="s">
        <v>737</v>
      </c>
      <c r="J107" s="48"/>
      <c r="K107" s="27"/>
      <c r="L107" s="926">
        <f>+'KPCo WS B ADIT &amp; ITC'!E42</f>
        <v>3460421</v>
      </c>
      <c r="M107" s="17"/>
      <c r="N107" s="599"/>
    </row>
    <row r="108" spans="2:14" ht="15.75" thickBot="1">
      <c r="B108" s="92">
        <f t="shared" si="6"/>
        <v>63</v>
      </c>
      <c r="C108" s="42"/>
      <c r="D108" s="49" t="s">
        <v>742</v>
      </c>
      <c r="E108" s="27" t="s">
        <v>508</v>
      </c>
      <c r="F108" s="13"/>
      <c r="G108" s="927">
        <f>-+'KPCo WS B ADIT &amp; ITC'!E49</f>
        <v>0</v>
      </c>
      <c r="H108" s="120"/>
      <c r="I108" s="47" t="s">
        <v>737</v>
      </c>
      <c r="J108" s="48"/>
      <c r="K108" s="27"/>
      <c r="L108" s="927">
        <f>-+'KPCo WS B ADIT &amp; ITC'!E50</f>
        <v>0</v>
      </c>
      <c r="M108" s="50"/>
      <c r="N108" s="599"/>
    </row>
    <row r="109" spans="2:14" ht="15">
      <c r="B109" s="92">
        <f t="shared" si="6"/>
        <v>64</v>
      </c>
      <c r="C109" s="42"/>
      <c r="D109" s="40" t="s">
        <v>596</v>
      </c>
      <c r="E109" s="40" t="str">
        <f>"(sum lns "&amp;B104&amp;" to "&amp;B108&amp;")"</f>
        <v>(sum lns 59 to 63)</v>
      </c>
      <c r="F109" s="27"/>
      <c r="G109" s="120">
        <f>SUM(G104:G108)</f>
        <v>-201045729</v>
      </c>
      <c r="H109" s="99"/>
      <c r="I109" s="47"/>
      <c r="J109" s="302"/>
      <c r="K109" s="27"/>
      <c r="L109" s="120">
        <f>SUM(L104:L108)</f>
        <v>-44276952</v>
      </c>
      <c r="M109" s="17"/>
      <c r="N109" s="599"/>
    </row>
    <row r="110" spans="2:14" ht="15">
      <c r="B110" s="90"/>
      <c r="C110" s="18"/>
      <c r="D110" s="40"/>
      <c r="E110" s="27"/>
      <c r="F110" s="27"/>
      <c r="G110" s="120"/>
      <c r="H110" s="99"/>
      <c r="I110" s="47"/>
      <c r="J110" s="299"/>
      <c r="K110" s="27"/>
      <c r="L110" s="120"/>
      <c r="M110" s="17"/>
      <c r="N110" s="599"/>
    </row>
    <row r="111" spans="2:14" ht="15">
      <c r="B111" s="90">
        <f>+B109+1</f>
        <v>65</v>
      </c>
      <c r="C111" s="18"/>
      <c r="D111" s="40" t="s">
        <v>840</v>
      </c>
      <c r="E111" s="27" t="str">
        <f>"(Worksheet A ln "&amp;'KPCo WS A  - RB Support '!A78&amp;".C &amp; ln "&amp;'KPCo WS A  - RB Support '!A80&amp;".C)"</f>
        <v>(Worksheet A ln 29.C &amp; ln 30.C)</v>
      </c>
      <c r="F111" s="27"/>
      <c r="G111" s="120">
        <f>+'KPCo WS A  - RB Support '!E78</f>
        <v>7436551</v>
      </c>
      <c r="H111" s="99"/>
      <c r="I111" s="47" t="s">
        <v>737</v>
      </c>
      <c r="J111" s="48"/>
      <c r="K111" s="27"/>
      <c r="L111" s="926">
        <f>+'KPCo WS A  - RB Support '!E80</f>
        <v>30592</v>
      </c>
      <c r="M111" s="17"/>
      <c r="N111" s="599"/>
    </row>
    <row r="112" spans="2:14" ht="15">
      <c r="B112" s="90"/>
      <c r="C112" s="18"/>
      <c r="D112" s="40"/>
      <c r="E112" s="27"/>
      <c r="F112" s="27"/>
      <c r="G112" s="120"/>
      <c r="H112" s="99"/>
      <c r="I112" s="47"/>
      <c r="J112" s="48"/>
      <c r="K112" s="27"/>
      <c r="L112" s="120"/>
      <c r="M112" s="17"/>
      <c r="N112" s="599"/>
    </row>
    <row r="113" spans="2:14" ht="15">
      <c r="B113" s="94">
        <f>+B111+1</f>
        <v>66</v>
      </c>
      <c r="C113" s="78"/>
      <c r="D113" s="58" t="s">
        <v>113</v>
      </c>
      <c r="E113" s="27" t="str">
        <f>"(Worksheet A ln "&amp;'KPCo WS A  - RB Support '!A89&amp;". "&amp;'KPCo WS A  - RB Support '!E6&amp;")"</f>
        <v>(Worksheet A ln 36. (C))</v>
      </c>
      <c r="F113" s="27"/>
      <c r="G113" s="926">
        <f>+'KPCo WS A  - RB Support '!E89</f>
        <v>0</v>
      </c>
      <c r="H113" s="99"/>
      <c r="I113" s="47" t="s">
        <v>737</v>
      </c>
      <c r="J113" s="27"/>
      <c r="K113" s="27"/>
      <c r="L113" s="926">
        <f>+G113</f>
        <v>0</v>
      </c>
      <c r="M113" s="27"/>
      <c r="N113" s="599"/>
    </row>
    <row r="114" spans="2:14" ht="15">
      <c r="B114" s="90"/>
      <c r="C114" s="18"/>
      <c r="D114" s="40"/>
      <c r="E114" s="27"/>
      <c r="F114" s="27"/>
      <c r="G114" s="120"/>
      <c r="H114" s="99"/>
      <c r="I114" s="47"/>
      <c r="J114" s="27"/>
      <c r="K114" s="27"/>
      <c r="L114" s="926"/>
      <c r="M114" s="17"/>
      <c r="N114" s="599"/>
    </row>
    <row r="115" spans="2:14" ht="15">
      <c r="B115" s="90">
        <f>+B113+1</f>
        <v>67</v>
      </c>
      <c r="C115" s="18"/>
      <c r="D115" s="40" t="s">
        <v>597</v>
      </c>
      <c r="E115" s="27" t="s">
        <v>388</v>
      </c>
      <c r="F115" s="27"/>
      <c r="G115" s="120"/>
      <c r="H115" s="99"/>
      <c r="I115" s="47"/>
      <c r="J115" s="27"/>
      <c r="K115" s="27"/>
      <c r="L115" s="120"/>
      <c r="M115" s="17"/>
      <c r="N115" s="599"/>
    </row>
    <row r="116" spans="2:14" ht="15">
      <c r="B116" s="92">
        <f aca="true" t="shared" si="7" ref="B116:B124">+B115+1</f>
        <v>68</v>
      </c>
      <c r="C116" s="42"/>
      <c r="D116" s="40" t="s">
        <v>839</v>
      </c>
      <c r="E116" s="13" t="str">
        <f>"(1/8 * ln "&amp;B152&amp;")"</f>
        <v>(1/8 * ln 88)</v>
      </c>
      <c r="F116" s="13"/>
      <c r="G116" s="926">
        <f>+G152/8</f>
        <v>617192.125</v>
      </c>
      <c r="H116" s="27"/>
      <c r="I116" s="47"/>
      <c r="J116" s="299"/>
      <c r="K116" s="27"/>
      <c r="L116" s="926">
        <f>+L152/8</f>
        <v>614933.8140414318</v>
      </c>
      <c r="M116" s="16"/>
      <c r="N116" s="599"/>
    </row>
    <row r="117" spans="2:14" ht="15">
      <c r="B117" s="207">
        <f t="shared" si="7"/>
        <v>69</v>
      </c>
      <c r="C117" s="208"/>
      <c r="D117" s="40" t="s">
        <v>121</v>
      </c>
      <c r="E117" s="27" t="s">
        <v>317</v>
      </c>
      <c r="F117" s="27"/>
      <c r="G117" s="926">
        <f>+'KPCo WS C  - Working Capital'!E15</f>
        <v>103391</v>
      </c>
      <c r="H117" s="100"/>
      <c r="I117" s="30" t="s">
        <v>728</v>
      </c>
      <c r="J117" s="48">
        <f aca="true" t="shared" si="8" ref="J117:J123">VLOOKUP(I117,APCo_Proj_Allocators,2,FALSE)</f>
        <v>0.9963409919422282</v>
      </c>
      <c r="K117" s="17"/>
      <c r="L117" s="926">
        <f>+J117*G117</f>
        <v>103012.69149789892</v>
      </c>
      <c r="M117" s="27"/>
      <c r="N117" s="599"/>
    </row>
    <row r="118" spans="2:14" ht="15">
      <c r="B118" s="207">
        <f t="shared" si="7"/>
        <v>70</v>
      </c>
      <c r="C118" s="208"/>
      <c r="D118" s="40" t="s">
        <v>122</v>
      </c>
      <c r="E118" s="27" t="s">
        <v>318</v>
      </c>
      <c r="F118" s="27"/>
      <c r="G118" s="926">
        <f>+'KPCo WS C  - Working Capital'!E17</f>
        <v>119885</v>
      </c>
      <c r="H118" s="100"/>
      <c r="I118" s="30" t="s">
        <v>740</v>
      </c>
      <c r="J118" s="48">
        <f t="shared" si="8"/>
        <v>0.08594668838210866</v>
      </c>
      <c r="K118" s="17"/>
      <c r="L118" s="926">
        <f>+J118*G118</f>
        <v>10303.718736689096</v>
      </c>
      <c r="M118" s="27"/>
      <c r="N118" s="599"/>
    </row>
    <row r="119" spans="2:14" ht="15">
      <c r="B119" s="207">
        <f t="shared" si="7"/>
        <v>71</v>
      </c>
      <c r="C119" s="208"/>
      <c r="D119" s="40" t="s">
        <v>442</v>
      </c>
      <c r="E119" s="27" t="s">
        <v>509</v>
      </c>
      <c r="F119" s="27"/>
      <c r="G119" s="926">
        <f>+'KPCo WS C  - Working Capital'!E19</f>
        <v>0</v>
      </c>
      <c r="H119" s="100"/>
      <c r="I119" s="30" t="s">
        <v>123</v>
      </c>
      <c r="J119" s="48">
        <f t="shared" si="8"/>
        <v>0.2768153692450695</v>
      </c>
      <c r="K119" s="17"/>
      <c r="L119" s="926">
        <f>+J119*G119</f>
        <v>0</v>
      </c>
      <c r="M119" s="27"/>
      <c r="N119" s="599"/>
    </row>
    <row r="120" spans="2:14" ht="15">
      <c r="B120" s="207">
        <f t="shared" si="7"/>
        <v>72</v>
      </c>
      <c r="C120" s="208"/>
      <c r="D120" s="58" t="s">
        <v>906</v>
      </c>
      <c r="E120" s="27" t="s">
        <v>510</v>
      </c>
      <c r="F120" s="27"/>
      <c r="G120" s="926">
        <f>+'KPCo WS C  - Working Capital'!J27</f>
        <v>14836181</v>
      </c>
      <c r="H120" s="99"/>
      <c r="I120" s="47" t="s">
        <v>740</v>
      </c>
      <c r="J120" s="48">
        <f t="shared" si="8"/>
        <v>0.08594668838210866</v>
      </c>
      <c r="K120" s="27"/>
      <c r="L120" s="926">
        <f>+J120*G120</f>
        <v>1275120.6251875611</v>
      </c>
      <c r="M120" s="27"/>
      <c r="N120" s="599"/>
    </row>
    <row r="121" spans="2:14" ht="15">
      <c r="B121" s="92">
        <f t="shared" si="7"/>
        <v>73</v>
      </c>
      <c r="C121" s="42"/>
      <c r="D121" s="40" t="s">
        <v>907</v>
      </c>
      <c r="E121" s="27" t="s">
        <v>511</v>
      </c>
      <c r="F121" s="27"/>
      <c r="G121" s="926">
        <f>+'KPCo WS C  - Working Capital'!I27</f>
        <v>922254</v>
      </c>
      <c r="H121" s="99"/>
      <c r="I121" s="47" t="s">
        <v>123</v>
      </c>
      <c r="J121" s="48">
        <f t="shared" si="8"/>
        <v>0.2768153692450695</v>
      </c>
      <c r="K121" s="27"/>
      <c r="L121" s="926">
        <f>+G121*J121</f>
        <v>255294.08154774233</v>
      </c>
      <c r="M121" s="27"/>
      <c r="N121" s="599"/>
    </row>
    <row r="122" spans="2:14" ht="15">
      <c r="B122" s="92">
        <f t="shared" si="7"/>
        <v>74</v>
      </c>
      <c r="C122" s="42"/>
      <c r="D122" s="40" t="s">
        <v>92</v>
      </c>
      <c r="E122" s="27" t="s">
        <v>512</v>
      </c>
      <c r="F122" s="27"/>
      <c r="G122" s="926">
        <f>+'KPCo WS C  - Working Capital'!G27</f>
        <v>0</v>
      </c>
      <c r="H122" s="99"/>
      <c r="I122" s="47" t="s">
        <v>737</v>
      </c>
      <c r="J122" s="48">
        <f t="shared" si="8"/>
        <v>1</v>
      </c>
      <c r="K122" s="27"/>
      <c r="L122" s="926">
        <f>+G122</f>
        <v>0</v>
      </c>
      <c r="M122" s="27"/>
      <c r="N122" s="599"/>
    </row>
    <row r="123" spans="2:14" ht="15.75" thickBot="1">
      <c r="B123" s="92">
        <f t="shared" si="7"/>
        <v>75</v>
      </c>
      <c r="C123" s="42"/>
      <c r="D123" s="40" t="s">
        <v>712</v>
      </c>
      <c r="E123" s="27" t="s">
        <v>513</v>
      </c>
      <c r="F123" s="27"/>
      <c r="G123" s="121">
        <f>+'KPCo WS C  - Working Capital'!E27</f>
        <v>-14476581</v>
      </c>
      <c r="H123" s="120"/>
      <c r="I123" s="47" t="s">
        <v>735</v>
      </c>
      <c r="J123" s="48">
        <f t="shared" si="8"/>
        <v>0</v>
      </c>
      <c r="K123" s="27"/>
      <c r="L123" s="927">
        <f>+G123*J123</f>
        <v>0</v>
      </c>
      <c r="M123" s="27"/>
      <c r="N123" s="599"/>
    </row>
    <row r="124" spans="2:14" ht="15">
      <c r="B124" s="92">
        <f t="shared" si="7"/>
        <v>76</v>
      </c>
      <c r="C124" s="42"/>
      <c r="D124" s="40" t="s">
        <v>581</v>
      </c>
      <c r="E124" s="40" t="str">
        <f>"(sum lns "&amp;B116&amp;" to "&amp;B123&amp;")"</f>
        <v>(sum lns 68 to 75)</v>
      </c>
      <c r="F124" s="24"/>
      <c r="G124" s="120">
        <f>SUM(G116:G123)</f>
        <v>2122322.125</v>
      </c>
      <c r="H124" s="24"/>
      <c r="I124" s="78"/>
      <c r="J124" s="24"/>
      <c r="K124" s="24"/>
      <c r="L124" s="120">
        <f>SUM(L116:L123)</f>
        <v>2258664.9310113234</v>
      </c>
      <c r="M124" s="16"/>
      <c r="N124" s="599"/>
    </row>
    <row r="125" spans="2:14" ht="15">
      <c r="B125" s="90"/>
      <c r="C125" s="18"/>
      <c r="D125" s="40"/>
      <c r="E125" s="16"/>
      <c r="F125" s="16"/>
      <c r="G125" s="105"/>
      <c r="H125" s="16"/>
      <c r="I125" s="18"/>
      <c r="J125" s="16"/>
      <c r="K125" s="16"/>
      <c r="L125" s="105"/>
      <c r="M125" s="16"/>
      <c r="N125" s="599"/>
    </row>
    <row r="126" spans="2:14" ht="15">
      <c r="B126" s="90">
        <f>+B124+1</f>
        <v>77</v>
      </c>
      <c r="C126" s="18"/>
      <c r="D126" s="58" t="s">
        <v>562</v>
      </c>
      <c r="E126" s="15" t="s">
        <v>514</v>
      </c>
      <c r="F126" s="16"/>
      <c r="G126" s="105">
        <f>'KPCo WS D IPP Credits'!C19</f>
        <v>-236193</v>
      </c>
      <c r="H126" s="16"/>
      <c r="I126" s="130" t="s">
        <v>737</v>
      </c>
      <c r="J126" s="48">
        <f>VLOOKUP(I126,APCo_Proj_Allocators,2,FALSE)</f>
        <v>1</v>
      </c>
      <c r="K126" s="17"/>
      <c r="L126" s="105">
        <f>+J126*G126</f>
        <v>-236193</v>
      </c>
      <c r="M126" s="16"/>
      <c r="N126" s="599"/>
    </row>
    <row r="127" spans="2:13" ht="15.75" thickBot="1">
      <c r="B127" s="89"/>
      <c r="C127" s="11"/>
      <c r="D127" s="49"/>
      <c r="E127" s="17"/>
      <c r="F127" s="17"/>
      <c r="G127" s="106"/>
      <c r="H127" s="17"/>
      <c r="I127" s="30"/>
      <c r="J127" s="17"/>
      <c r="K127" s="17"/>
      <c r="L127" s="106"/>
      <c r="M127" s="17"/>
    </row>
    <row r="128" spans="2:13" ht="15.75" thickBot="1">
      <c r="B128" s="90">
        <f>+B126+1</f>
        <v>78</v>
      </c>
      <c r="C128" s="18"/>
      <c r="D128" s="15" t="str">
        <f>"RATE BASE  (sum lns "&amp;B100&amp;", "&amp;B109&amp;", "&amp;B111&amp;", "&amp;B113&amp;", "&amp;B124&amp;", "&amp;B126&amp;")"</f>
        <v>RATE BASE  (sum lns 57, 64, 65, 66, 76, 77)</v>
      </c>
      <c r="E128" s="17"/>
      <c r="F128" s="17"/>
      <c r="G128" s="117">
        <f>+G124+G111+G109+G100+G126+G113</f>
        <v>878320871.415</v>
      </c>
      <c r="H128" s="17"/>
      <c r="I128" s="17"/>
      <c r="J128" s="46"/>
      <c r="K128" s="17"/>
      <c r="L128" s="117">
        <f>+L124+L111+L109+L100+L126+L113</f>
        <v>266897847.6482861</v>
      </c>
      <c r="M128" s="17"/>
    </row>
    <row r="129" spans="2:13" ht="16.5" thickTop="1">
      <c r="B129" s="90"/>
      <c r="C129"/>
      <c r="D129" s="100"/>
      <c r="E129" s="100"/>
      <c r="F129" s="100"/>
      <c r="G129" s="100"/>
      <c r="H129" s="100"/>
      <c r="I129" s="12"/>
      <c r="J129" s="12"/>
      <c r="K129" s="12"/>
      <c r="L129" s="100"/>
      <c r="M129" s="11"/>
    </row>
    <row r="130" spans="2:13" ht="15">
      <c r="B130" s="90"/>
      <c r="C130" s="18"/>
      <c r="D130" s="15"/>
      <c r="E130" s="17"/>
      <c r="F130" s="17"/>
      <c r="G130" s="17"/>
      <c r="H130" s="17"/>
      <c r="I130" s="17"/>
      <c r="J130" s="17"/>
      <c r="K130" s="17"/>
      <c r="L130" s="100"/>
      <c r="M130" s="17"/>
    </row>
    <row r="131" spans="2:13" ht="15">
      <c r="B131" s="90"/>
      <c r="C131" s="18"/>
      <c r="D131" s="15"/>
      <c r="E131" s="17"/>
      <c r="F131" s="30" t="str">
        <f>F47</f>
        <v>AEP East Companies</v>
      </c>
      <c r="G131" s="30"/>
      <c r="H131" s="17"/>
      <c r="I131" s="17"/>
      <c r="J131" s="17"/>
      <c r="K131" s="17"/>
      <c r="L131" s="100"/>
      <c r="M131" s="62"/>
    </row>
    <row r="132" spans="2:13" ht="15">
      <c r="B132" s="90"/>
      <c r="C132" s="18"/>
      <c r="D132" s="15"/>
      <c r="E132" s="17"/>
      <c r="F132" s="30" t="str">
        <f>F48</f>
        <v>Transmission Cost of Service Formula Rate</v>
      </c>
      <c r="G132" s="30"/>
      <c r="H132" s="17"/>
      <c r="I132" s="17"/>
      <c r="J132" s="17"/>
      <c r="K132" s="17"/>
      <c r="L132" s="100"/>
      <c r="M132" s="62"/>
    </row>
    <row r="133" spans="2:13" ht="15">
      <c r="B133" s="90"/>
      <c r="C133" s="18"/>
      <c r="D133" s="11"/>
      <c r="E133" s="17"/>
      <c r="F133" s="30" t="str">
        <f>F49</f>
        <v>Utilizing  Historic Cost Data for 2009 and Projected Net Plant at Year-End 2010</v>
      </c>
      <c r="G133" s="17"/>
      <c r="H133" s="17"/>
      <c r="I133" s="17"/>
      <c r="J133" s="17"/>
      <c r="K133" s="17"/>
      <c r="L133" s="100"/>
      <c r="M133" s="145"/>
    </row>
    <row r="134" spans="2:13" ht="15">
      <c r="B134" s="90"/>
      <c r="C134" s="18"/>
      <c r="D134" s="11"/>
      <c r="E134" s="17"/>
      <c r="F134" s="30"/>
      <c r="G134" s="17"/>
      <c r="H134" s="17"/>
      <c r="I134" s="17"/>
      <c r="J134" s="17"/>
      <c r="K134" s="17"/>
      <c r="L134" s="100"/>
      <c r="M134" s="17"/>
    </row>
    <row r="135" spans="2:13" ht="15">
      <c r="B135" s="90"/>
      <c r="C135" s="18"/>
      <c r="D135" s="11"/>
      <c r="E135" s="21"/>
      <c r="F135" s="30" t="str">
        <f>F51</f>
        <v>KENTUCKY POWER COMPANY</v>
      </c>
      <c r="G135" s="21"/>
      <c r="H135" s="83"/>
      <c r="I135" s="21"/>
      <c r="J135" s="21"/>
      <c r="K135" s="21"/>
      <c r="L135" s="11"/>
      <c r="M135" s="17"/>
    </row>
    <row r="136" spans="2:13" ht="15">
      <c r="B136" s="90"/>
      <c r="C136" s="18"/>
      <c r="D136" s="11"/>
      <c r="E136" s="21"/>
      <c r="F136" s="30"/>
      <c r="G136" s="21"/>
      <c r="H136" s="83"/>
      <c r="I136" s="21"/>
      <c r="J136" s="21"/>
      <c r="K136" s="21"/>
      <c r="L136" s="11"/>
      <c r="M136" s="17"/>
    </row>
    <row r="137" spans="2:13" ht="15">
      <c r="B137" s="89"/>
      <c r="C137" s="11"/>
      <c r="D137" s="18" t="s">
        <v>729</v>
      </c>
      <c r="E137" s="18" t="s">
        <v>730</v>
      </c>
      <c r="F137" s="18"/>
      <c r="G137" s="18" t="s">
        <v>731</v>
      </c>
      <c r="H137" s="27"/>
      <c r="I137" s="1146" t="s">
        <v>732</v>
      </c>
      <c r="J137" s="1147"/>
      <c r="K137" s="17"/>
      <c r="L137" s="19" t="s">
        <v>733</v>
      </c>
      <c r="M137" s="17"/>
    </row>
    <row r="138" spans="2:13" ht="15">
      <c r="B138" s="14"/>
      <c r="C138" s="11"/>
      <c r="D138" s="18"/>
      <c r="E138" s="18"/>
      <c r="F138" s="18"/>
      <c r="G138" s="18"/>
      <c r="H138" s="27"/>
      <c r="I138" s="17"/>
      <c r="J138" s="32"/>
      <c r="K138" s="17"/>
      <c r="L138" s="11"/>
      <c r="M138" s="17"/>
    </row>
    <row r="139" spans="2:13" ht="15.75">
      <c r="B139" s="92"/>
      <c r="C139" s="18"/>
      <c r="D139" s="36" t="s">
        <v>704</v>
      </c>
      <c r="E139" s="33" t="str">
        <f>E55</f>
        <v>Data Sources</v>
      </c>
      <c r="F139" s="35"/>
      <c r="G139" s="17"/>
      <c r="H139" s="27"/>
      <c r="I139" s="17"/>
      <c r="J139" s="18"/>
      <c r="K139" s="17"/>
      <c r="L139" s="33" t="str">
        <f>L55</f>
        <v>Total</v>
      </c>
      <c r="M139" s="11"/>
    </row>
    <row r="140" spans="2:13" ht="15.75">
      <c r="B140" s="14"/>
      <c r="C140" s="23"/>
      <c r="D140" s="52" t="s">
        <v>705</v>
      </c>
      <c r="E140" s="119" t="str">
        <f>E56</f>
        <v>(See "General Notes")</v>
      </c>
      <c r="F140" s="17"/>
      <c r="G140" s="119" t="str">
        <f>G56</f>
        <v>TO Total</v>
      </c>
      <c r="H140" s="292"/>
      <c r="I140" s="1144" t="str">
        <f>I56</f>
        <v>Allocator</v>
      </c>
      <c r="J140" s="1145"/>
      <c r="K140" s="37"/>
      <c r="L140" s="119" t="str">
        <f>L56</f>
        <v>Transmission</v>
      </c>
      <c r="M140" s="17"/>
    </row>
    <row r="141" spans="2:13" ht="15.75">
      <c r="B141" s="116" t="str">
        <f>B57</f>
        <v>Line</v>
      </c>
      <c r="C141" s="11"/>
      <c r="D141" s="15"/>
      <c r="E141" s="17"/>
      <c r="F141" s="17"/>
      <c r="G141" s="52"/>
      <c r="H141" s="283"/>
      <c r="I141" s="36"/>
      <c r="J141" s="11"/>
      <c r="K141" s="53"/>
      <c r="L141" s="52"/>
      <c r="M141" s="17"/>
    </row>
    <row r="142" spans="2:13" ht="15.75" thickBot="1">
      <c r="B142" s="91" t="str">
        <f>B58</f>
        <v>No.</v>
      </c>
      <c r="C142" s="18"/>
      <c r="D142" s="15" t="s">
        <v>706</v>
      </c>
      <c r="E142" s="17"/>
      <c r="F142" s="17"/>
      <c r="G142" s="17"/>
      <c r="H142" s="27"/>
      <c r="I142" s="30"/>
      <c r="J142" s="17"/>
      <c r="K142" s="17"/>
      <c r="L142" s="17"/>
      <c r="M142" s="17"/>
    </row>
    <row r="143" spans="2:13" ht="15">
      <c r="B143" s="95">
        <f>+B128+1</f>
        <v>79</v>
      </c>
      <c r="C143" s="18"/>
      <c r="D143" s="15" t="s">
        <v>734</v>
      </c>
      <c r="E143" s="17" t="s">
        <v>515</v>
      </c>
      <c r="F143" s="17"/>
      <c r="G143" s="120">
        <f>'KPCo Historic TCOS'!G143</f>
        <v>457856290</v>
      </c>
      <c r="H143" s="27"/>
      <c r="I143" s="30"/>
      <c r="J143" s="48"/>
      <c r="K143" s="17"/>
      <c r="L143" s="120"/>
      <c r="M143" s="17"/>
    </row>
    <row r="144" spans="2:13" ht="15">
      <c r="B144" s="95">
        <f aca="true" t="shared" si="9" ref="B144:B150">+B143+1</f>
        <v>80</v>
      </c>
      <c r="C144" s="18"/>
      <c r="D144" s="54" t="s">
        <v>738</v>
      </c>
      <c r="E144" s="17" t="s">
        <v>516</v>
      </c>
      <c r="F144" s="27"/>
      <c r="G144" s="120">
        <f>'KPCo Historic TCOS'!G144</f>
        <v>29693612</v>
      </c>
      <c r="H144" s="27"/>
      <c r="I144" s="30"/>
      <c r="J144" s="48"/>
      <c r="K144" s="17"/>
      <c r="L144" s="120"/>
      <c r="M144" s="17"/>
    </row>
    <row r="145" spans="2:13" ht="15">
      <c r="B145" s="95">
        <f t="shared" si="9"/>
        <v>81</v>
      </c>
      <c r="C145" s="18"/>
      <c r="D145" s="54" t="s">
        <v>29</v>
      </c>
      <c r="E145" s="17" t="s">
        <v>238</v>
      </c>
      <c r="F145" s="27"/>
      <c r="G145" s="120">
        <f>'KPCo Historic TCOS'!G145</f>
        <v>8740355</v>
      </c>
      <c r="H145" s="27"/>
      <c r="I145" s="47"/>
      <c r="J145" s="48"/>
      <c r="K145" s="27"/>
      <c r="L145" s="120"/>
      <c r="M145" s="17"/>
    </row>
    <row r="146" spans="2:13" ht="15">
      <c r="B146" s="95">
        <f t="shared" si="9"/>
        <v>82</v>
      </c>
      <c r="C146" s="18"/>
      <c r="D146" s="54" t="s">
        <v>30</v>
      </c>
      <c r="E146" s="17" t="s">
        <v>239</v>
      </c>
      <c r="F146" s="27"/>
      <c r="G146" s="120">
        <f>'KPCo Historic TCOS'!G146</f>
        <v>1168311</v>
      </c>
      <c r="H146" s="27"/>
      <c r="I146" s="47"/>
      <c r="J146" s="48"/>
      <c r="K146" s="27"/>
      <c r="L146" s="120"/>
      <c r="M146" s="17"/>
    </row>
    <row r="147" spans="2:13" ht="15.75" thickBot="1">
      <c r="B147" s="95">
        <f t="shared" si="9"/>
        <v>83</v>
      </c>
      <c r="C147" s="18"/>
      <c r="D147" s="54" t="s">
        <v>743</v>
      </c>
      <c r="E147" s="17" t="s">
        <v>237</v>
      </c>
      <c r="F147" s="27"/>
      <c r="G147" s="121">
        <f>'KPCo Historic TCOS'!G147</f>
        <v>-821880</v>
      </c>
      <c r="H147" s="120"/>
      <c r="I147" s="100"/>
      <c r="J147" s="100"/>
      <c r="K147" s="100"/>
      <c r="L147" s="100"/>
      <c r="M147" s="16"/>
    </row>
    <row r="148" spans="2:13" ht="15">
      <c r="B148" s="95">
        <f t="shared" si="9"/>
        <v>84</v>
      </c>
      <c r="C148" s="18"/>
      <c r="D148" s="54" t="s">
        <v>31</v>
      </c>
      <c r="E148" s="27" t="str">
        <f>"(sum lns "&amp;B143&amp;"  to "&amp;B147&amp;")"</f>
        <v>(sum lns 79  to 83)</v>
      </c>
      <c r="F148" s="27"/>
      <c r="G148" s="120">
        <f>SUM(G143:G147)</f>
        <v>496636688</v>
      </c>
      <c r="H148" s="120"/>
      <c r="I148" s="100"/>
      <c r="J148" s="100"/>
      <c r="K148" s="100"/>
      <c r="L148" s="100"/>
      <c r="M148" s="16"/>
    </row>
    <row r="149" spans="2:13" ht="15">
      <c r="B149" s="95">
        <f t="shared" si="9"/>
        <v>85</v>
      </c>
      <c r="C149" s="18"/>
      <c r="D149" s="54" t="s">
        <v>114</v>
      </c>
      <c r="E149" s="519" t="str">
        <f>"(Note G) (Worksheet F, ln "&amp;'KPCo WS F Misc Exp'!A31&amp;".C)"</f>
        <v>(Note G) (Worksheet F, ln 14.C)</v>
      </c>
      <c r="F149" s="27"/>
      <c r="G149" s="120">
        <f>'KPCo Historic TCOS'!G149</f>
        <v>2102150</v>
      </c>
      <c r="H149" s="120"/>
      <c r="I149" s="100"/>
      <c r="J149" s="100"/>
      <c r="K149" s="100"/>
      <c r="L149" s="100"/>
      <c r="M149" s="16"/>
    </row>
    <row r="150" spans="2:13" ht="15">
      <c r="B150" s="95">
        <f t="shared" si="9"/>
        <v>86</v>
      </c>
      <c r="C150" s="18"/>
      <c r="D150" s="54" t="s">
        <v>556</v>
      </c>
      <c r="E150" s="27" t="s">
        <v>606</v>
      </c>
      <c r="F150" s="27"/>
      <c r="G150" s="120">
        <f>'KPCo Historic TCOS'!G150</f>
        <v>-7861567</v>
      </c>
      <c r="H150" s="120"/>
      <c r="I150" s="100"/>
      <c r="J150" s="100"/>
      <c r="K150" s="100"/>
      <c r="L150" s="100"/>
      <c r="M150" s="16"/>
    </row>
    <row r="151" spans="2:13" ht="15.75" thickBot="1">
      <c r="B151" s="518">
        <f>+B150+1</f>
        <v>87</v>
      </c>
      <c r="C151" s="78"/>
      <c r="D151" s="54" t="s">
        <v>274</v>
      </c>
      <c r="E151" s="27" t="s">
        <v>357</v>
      </c>
      <c r="F151" s="27"/>
      <c r="G151" s="121">
        <f>+'KPCo WS F Misc Exp'!D19</f>
        <v>0</v>
      </c>
      <c r="H151" s="120"/>
      <c r="I151" s="99"/>
      <c r="J151" s="99"/>
      <c r="K151" s="100"/>
      <c r="L151" s="100"/>
      <c r="M151" s="16"/>
    </row>
    <row r="152" spans="2:13" ht="15">
      <c r="B152" s="90">
        <f>+B151+1</f>
        <v>88</v>
      </c>
      <c r="C152" s="18"/>
      <c r="D152" s="54" t="s">
        <v>227</v>
      </c>
      <c r="E152" s="17" t="str">
        <f>"(lns "&amp;B147&amp;" - "&amp;B149&amp;" - "&amp;B150&amp;" - "&amp;B151&amp;")"</f>
        <v>(lns 83 - 85 - 86 - 87)</v>
      </c>
      <c r="F152" s="54"/>
      <c r="G152" s="120">
        <f>G147-G149-G150-G151</f>
        <v>4937537</v>
      </c>
      <c r="H152" s="27"/>
      <c r="I152" s="30" t="s">
        <v>728</v>
      </c>
      <c r="J152" s="48">
        <f>VLOOKUP(I152,APCo_Proj_Allocators,2,FALSE)</f>
        <v>0.9963409919422282</v>
      </c>
      <c r="K152" s="27"/>
      <c r="L152" s="120">
        <f>+G152*J152</f>
        <v>4919470.512331454</v>
      </c>
      <c r="M152" s="24"/>
    </row>
    <row r="153" spans="2:13" ht="15">
      <c r="B153" s="90"/>
      <c r="C153" s="18"/>
      <c r="D153" s="54"/>
      <c r="E153" s="27"/>
      <c r="F153" s="27"/>
      <c r="G153" s="354"/>
      <c r="H153" s="120"/>
      <c r="I153" s="100"/>
      <c r="J153" s="100"/>
      <c r="K153" s="100"/>
      <c r="L153" s="100"/>
      <c r="M153" s="16"/>
    </row>
    <row r="154" spans="2:13" ht="15">
      <c r="B154" s="90">
        <f>+B152+1</f>
        <v>89</v>
      </c>
      <c r="C154" s="18"/>
      <c r="D154" s="15" t="s">
        <v>711</v>
      </c>
      <c r="E154" s="17" t="s">
        <v>358</v>
      </c>
      <c r="F154" s="17"/>
      <c r="G154" s="120">
        <f>'KPCo Historic TCOS'!G154</f>
        <v>24046450</v>
      </c>
      <c r="H154" s="120"/>
      <c r="I154" s="41"/>
      <c r="J154" s="41"/>
      <c r="K154" s="17"/>
      <c r="L154" s="105"/>
      <c r="M154" s="17"/>
    </row>
    <row r="155" spans="2:13" ht="15">
      <c r="B155" s="90">
        <f aca="true" t="shared" si="10" ref="B155:B164">+B154+1</f>
        <v>90</v>
      </c>
      <c r="C155" s="18"/>
      <c r="D155" s="54" t="s">
        <v>116</v>
      </c>
      <c r="E155" s="17" t="s">
        <v>240</v>
      </c>
      <c r="F155" s="17"/>
      <c r="G155" s="120">
        <f>'KPCo Historic TCOS'!G155</f>
        <v>406399</v>
      </c>
      <c r="H155" s="120"/>
      <c r="I155" s="41"/>
      <c r="J155" s="15"/>
      <c r="K155" s="17"/>
      <c r="L155" s="105"/>
      <c r="M155"/>
    </row>
    <row r="156" spans="2:13" ht="15">
      <c r="B156" s="90">
        <f t="shared" si="10"/>
        <v>91</v>
      </c>
      <c r="C156" s="18"/>
      <c r="D156" s="54" t="s">
        <v>383</v>
      </c>
      <c r="E156" s="27" t="str">
        <f>'KPCo Historic TCOS'!E156</f>
        <v>PBOP Worksheet O Line 9 &amp; 10, (Note K)</v>
      </c>
      <c r="F156" s="17"/>
      <c r="G156" s="120">
        <f>'KPCo Historic TCOS'!G156</f>
        <v>4099565</v>
      </c>
      <c r="H156" s="120"/>
      <c r="I156" s="41"/>
      <c r="J156" s="15"/>
      <c r="K156" s="17"/>
      <c r="L156" s="105"/>
      <c r="M156"/>
    </row>
    <row r="157" spans="2:13" ht="15">
      <c r="B157" s="90">
        <f t="shared" si="10"/>
        <v>92</v>
      </c>
      <c r="C157" s="18"/>
      <c r="D157" s="1042" t="s">
        <v>703</v>
      </c>
      <c r="E157" s="27" t="str">
        <f>'KPCo Historic TCOS'!E157</f>
        <v>PBOP Worksheet O  Line 11, (Note K)</v>
      </c>
      <c r="F157" s="17"/>
      <c r="G157" s="120">
        <f>'KPCo Historic TCOS'!G157</f>
        <v>-867380</v>
      </c>
      <c r="H157" s="120"/>
      <c r="I157" s="41"/>
      <c r="J157" s="15"/>
      <c r="K157" s="17"/>
      <c r="L157" s="105"/>
      <c r="M157"/>
    </row>
    <row r="158" spans="2:13" ht="15">
      <c r="B158" s="90">
        <f t="shared" si="10"/>
        <v>93</v>
      </c>
      <c r="C158" s="18"/>
      <c r="D158" s="15" t="s">
        <v>369</v>
      </c>
      <c r="E158" s="27" t="str">
        <f>'KPCo Historic TCOS'!E158</f>
        <v>PBOP Worksheet O Line 13, (Note K)</v>
      </c>
      <c r="F158" s="17"/>
      <c r="G158" s="120">
        <f>'KPCo Historic TCOS'!G158</f>
        <v>297334.9856326827</v>
      </c>
      <c r="H158" s="120"/>
      <c r="I158" s="41"/>
      <c r="J158" s="15"/>
      <c r="K158" s="17"/>
      <c r="L158" s="105"/>
      <c r="M158"/>
    </row>
    <row r="159" spans="2:13" ht="15">
      <c r="B159" s="90">
        <f t="shared" si="10"/>
        <v>94</v>
      </c>
      <c r="C159" s="18"/>
      <c r="D159" s="15" t="s">
        <v>115</v>
      </c>
      <c r="E159" s="17" t="s">
        <v>600</v>
      </c>
      <c r="F159" s="27"/>
      <c r="G159" s="120">
        <f>'KPCo Historic TCOS'!G159</f>
        <v>-496</v>
      </c>
      <c r="H159" s="120"/>
      <c r="I159" s="41"/>
      <c r="J159" s="253"/>
      <c r="K159" s="17"/>
      <c r="L159" s="105"/>
      <c r="M159" s="17"/>
    </row>
    <row r="160" spans="2:13" ht="15">
      <c r="B160" s="90">
        <f t="shared" si="10"/>
        <v>95</v>
      </c>
      <c r="C160" s="18"/>
      <c r="D160" s="54" t="s">
        <v>715</v>
      </c>
      <c r="E160" s="17" t="s">
        <v>601</v>
      </c>
      <c r="F160" s="27"/>
      <c r="G160" s="120">
        <f>'KPCo Historic TCOS'!G160</f>
        <v>398905</v>
      </c>
      <c r="H160" s="120"/>
      <c r="I160" s="41"/>
      <c r="J160" s="41"/>
      <c r="K160" s="17"/>
      <c r="L160" s="105"/>
      <c r="M160" s="17"/>
    </row>
    <row r="161" spans="2:13" ht="15.75" thickBot="1">
      <c r="B161" s="90">
        <f t="shared" si="10"/>
        <v>96</v>
      </c>
      <c r="C161" s="18"/>
      <c r="D161" s="54" t="s">
        <v>117</v>
      </c>
      <c r="E161" s="17" t="s">
        <v>602</v>
      </c>
      <c r="F161" s="27"/>
      <c r="G161" s="121">
        <f>'KPCo Historic TCOS'!G161</f>
        <v>507618</v>
      </c>
      <c r="H161" s="120"/>
      <c r="I161" s="41"/>
      <c r="J161" s="41"/>
      <c r="K161" s="17"/>
      <c r="L161" s="105"/>
      <c r="M161" s="17"/>
    </row>
    <row r="162" spans="2:13" ht="15">
      <c r="B162" s="90">
        <f t="shared" si="10"/>
        <v>97</v>
      </c>
      <c r="C162" s="18"/>
      <c r="D162" s="15" t="s">
        <v>716</v>
      </c>
      <c r="E162" s="27" t="str">
        <f>"(ln "&amp;B154&amp;" - sum ln "&amp;B155&amp;"  to ln "&amp;B161&amp;")"</f>
        <v>(ln 89 - sum ln 90  to ln 96)</v>
      </c>
      <c r="F162" s="27"/>
      <c r="G162" s="120">
        <f>G154-SUM(G155:G161)</f>
        <v>19204504.01436732</v>
      </c>
      <c r="H162" s="120"/>
      <c r="I162" s="30" t="s">
        <v>740</v>
      </c>
      <c r="J162" s="48">
        <f aca="true" t="shared" si="11" ref="J162:J167">VLOOKUP(I162,APCo_Proj_Allocators,2,FALSE)</f>
        <v>0.08594668838210866</v>
      </c>
      <c r="K162" s="17"/>
      <c r="L162" s="105">
        <f>+J162*G162</f>
        <v>1650563.5220557828</v>
      </c>
      <c r="M162" s="17"/>
    </row>
    <row r="163" spans="2:13" ht="15">
      <c r="B163" s="94">
        <f t="shared" si="10"/>
        <v>98</v>
      </c>
      <c r="C163" s="78"/>
      <c r="D163" s="54" t="s">
        <v>829</v>
      </c>
      <c r="E163" s="27" t="str">
        <f>"(ln "&amp;B155&amp;")"</f>
        <v>(ln 90)</v>
      </c>
      <c r="F163" s="27"/>
      <c r="G163" s="120">
        <f>+G155</f>
        <v>406399</v>
      </c>
      <c r="H163" s="120"/>
      <c r="I163" s="210" t="s">
        <v>123</v>
      </c>
      <c r="J163" s="48">
        <f t="shared" si="11"/>
        <v>0.2768153692450695</v>
      </c>
      <c r="K163" s="27"/>
      <c r="L163" s="120">
        <f>+J163*G163</f>
        <v>112497.489245827</v>
      </c>
      <c r="M163" s="17"/>
    </row>
    <row r="164" spans="2:13" ht="15">
      <c r="B164" s="90">
        <f t="shared" si="10"/>
        <v>99</v>
      </c>
      <c r="C164" s="18"/>
      <c r="D164" s="54" t="s">
        <v>7</v>
      </c>
      <c r="E164" s="27" t="e">
        <f>"Worksheet F ln "&amp;'KPCo WS F Misc Exp'!#REF!&amp;".(E) (Note L)"</f>
        <v>#REF!</v>
      </c>
      <c r="F164" s="27"/>
      <c r="G164" s="120">
        <f>+'KPCo WS F Misc Exp'!F39</f>
        <v>0</v>
      </c>
      <c r="H164" s="120"/>
      <c r="I164" s="30" t="s">
        <v>728</v>
      </c>
      <c r="J164" s="48">
        <f t="shared" si="11"/>
        <v>0.9963409919422282</v>
      </c>
      <c r="K164" s="17"/>
      <c r="L164" s="105">
        <f>J164*G164</f>
        <v>0</v>
      </c>
      <c r="M164" s="17"/>
    </row>
    <row r="165" spans="2:13" ht="15">
      <c r="B165" s="90">
        <f>B164+1</f>
        <v>100</v>
      </c>
      <c r="C165" s="18"/>
      <c r="D165" s="54" t="s">
        <v>22</v>
      </c>
      <c r="E165" s="27" t="str">
        <f>"Worksheet F ln "&amp;'KPCo WS F Misc Exp'!A53&amp;".(E) (Note L)"</f>
        <v>Worksheet F ln 29.(E) (Note L)</v>
      </c>
      <c r="F165" s="27"/>
      <c r="G165" s="127">
        <f>+'KPCo WS F Misc Exp'!F53</f>
        <v>0</v>
      </c>
      <c r="H165" s="27"/>
      <c r="I165" s="47" t="s">
        <v>728</v>
      </c>
      <c r="J165" s="48">
        <f t="shared" si="11"/>
        <v>0.9963409919422282</v>
      </c>
      <c r="K165" s="17"/>
      <c r="L165" s="144">
        <f>+J165*G165</f>
        <v>0</v>
      </c>
      <c r="M165" s="17"/>
    </row>
    <row r="166" spans="2:13" ht="15">
      <c r="B166" s="90">
        <f>+B165+1</f>
        <v>101</v>
      </c>
      <c r="C166" s="18"/>
      <c r="D166" s="54" t="s">
        <v>23</v>
      </c>
      <c r="E166" s="27" t="str">
        <f>"Worksheet F ln "&amp;'KPCo WS F Misc Exp'!A62&amp;".(E) (Note L)"</f>
        <v>Worksheet F ln 35.(E) (Note L)</v>
      </c>
      <c r="F166" s="27"/>
      <c r="G166" s="127">
        <f>+'KPCo WS F Misc Exp'!F62</f>
        <v>83295</v>
      </c>
      <c r="H166" s="27"/>
      <c r="I166" s="47" t="s">
        <v>737</v>
      </c>
      <c r="J166" s="48">
        <f t="shared" si="11"/>
        <v>1</v>
      </c>
      <c r="K166" s="17"/>
      <c r="L166" s="105">
        <f>J166*G166</f>
        <v>83295</v>
      </c>
      <c r="M166" s="17"/>
    </row>
    <row r="167" spans="2:13" ht="15.75" thickBot="1">
      <c r="B167" s="90">
        <f>+B166+1</f>
        <v>102</v>
      </c>
      <c r="C167" s="18"/>
      <c r="D167" s="54" t="s">
        <v>273</v>
      </c>
      <c r="E167" s="27" t="str">
        <f>'KPCo Historic TCOS'!E167</f>
        <v>PBOP Worksheet O, Col. C, Line 4, (Note M)</v>
      </c>
      <c r="F167" s="27"/>
      <c r="G167" s="121">
        <f>'KPCo Historic TCOS'!G167</f>
        <v>2693481</v>
      </c>
      <c r="H167" s="27"/>
      <c r="I167" s="47" t="s">
        <v>740</v>
      </c>
      <c r="J167" s="48">
        <f t="shared" si="11"/>
        <v>0.08594668838210866</v>
      </c>
      <c r="K167" s="27"/>
      <c r="L167" s="121">
        <f>+G167*J167</f>
        <v>231495.7721701304</v>
      </c>
      <c r="M167" s="493"/>
    </row>
    <row r="168" spans="2:13" ht="15">
      <c r="B168" s="90">
        <f>+B167+1</f>
        <v>103</v>
      </c>
      <c r="C168" s="18"/>
      <c r="D168" s="15" t="s">
        <v>717</v>
      </c>
      <c r="E168" s="27" t="str">
        <f>"(sum lns "&amp;B162&amp;"  to "&amp;B167&amp;")"</f>
        <v>(sum lns 97  to 102)</v>
      </c>
      <c r="F168" s="27"/>
      <c r="G168" s="105">
        <f>SUM(G162:G167)</f>
        <v>22387679.01436732</v>
      </c>
      <c r="H168" s="120"/>
      <c r="I168" s="30"/>
      <c r="J168" s="41"/>
      <c r="K168" s="17"/>
      <c r="L168" s="105">
        <f>SUM(L162:L167)</f>
        <v>2077851.7834717403</v>
      </c>
      <c r="M168" s="17"/>
    </row>
    <row r="169" spans="2:13" ht="15.75" thickBot="1">
      <c r="B169" s="90"/>
      <c r="C169" s="18"/>
      <c r="D169" s="54"/>
      <c r="E169" s="27"/>
      <c r="F169" s="27"/>
      <c r="G169" s="121"/>
      <c r="H169" s="27"/>
      <c r="I169" s="30"/>
      <c r="J169" s="41"/>
      <c r="K169" s="17"/>
      <c r="L169" s="106"/>
      <c r="M169" s="17"/>
    </row>
    <row r="170" spans="2:13" ht="15">
      <c r="B170" s="94">
        <f>+B168+1</f>
        <v>104</v>
      </c>
      <c r="C170" s="78"/>
      <c r="D170" s="54" t="s">
        <v>234</v>
      </c>
      <c r="E170" s="27" t="str">
        <f>"(ln "&amp;B152&amp;" + ln "&amp;B168&amp;")"</f>
        <v>(ln 88 + ln 103)</v>
      </c>
      <c r="F170" s="27"/>
      <c r="G170" s="120">
        <f>+G152+G168</f>
        <v>27325216.01436732</v>
      </c>
      <c r="H170" s="120"/>
      <c r="I170" s="47"/>
      <c r="J170" s="27"/>
      <c r="K170" s="27"/>
      <c r="L170" s="120">
        <f>L152+L168</f>
        <v>6997322.295803195</v>
      </c>
      <c r="M170" s="17"/>
    </row>
    <row r="171" spans="2:13" ht="15">
      <c r="B171" s="90">
        <f>+B170+1</f>
        <v>105</v>
      </c>
      <c r="C171" s="78"/>
      <c r="D171" s="54" t="s">
        <v>353</v>
      </c>
      <c r="E171" s="27" t="s">
        <v>362</v>
      </c>
      <c r="F171" s="27"/>
      <c r="G171" s="120">
        <f>'KPCo Historic TCOS'!G171</f>
        <v>-8835297</v>
      </c>
      <c r="H171" s="120"/>
      <c r="I171" s="30" t="s">
        <v>737</v>
      </c>
      <c r="J171" s="48">
        <f>VLOOKUP(I171,APCo_Proj_Allocators,2,FALSE)</f>
        <v>1</v>
      </c>
      <c r="K171" s="27"/>
      <c r="L171" s="105">
        <f>J171*G171</f>
        <v>-8835297</v>
      </c>
      <c r="M171" s="17"/>
    </row>
    <row r="172" spans="2:13" ht="15.75" thickBot="1">
      <c r="B172" s="90">
        <f>+B171+1</f>
        <v>106</v>
      </c>
      <c r="C172" s="78"/>
      <c r="D172" s="54" t="s">
        <v>363</v>
      </c>
      <c r="E172" s="54"/>
      <c r="F172" s="27"/>
      <c r="G172" s="121">
        <f>+'KPCo Historic TCOS'!G172</f>
        <v>0</v>
      </c>
      <c r="H172" s="120"/>
      <c r="I172" s="30" t="s">
        <v>737</v>
      </c>
      <c r="J172" s="48">
        <f>VLOOKUP(I172,APCo_Proj_Allocators,2,FALSE)</f>
        <v>1</v>
      </c>
      <c r="K172" s="27"/>
      <c r="L172" s="106">
        <f>J172*G172</f>
        <v>0</v>
      </c>
      <c r="M172" s="17"/>
    </row>
    <row r="173" spans="2:13" ht="15">
      <c r="B173" s="90">
        <f>+B172+1</f>
        <v>107</v>
      </c>
      <c r="C173" s="18"/>
      <c r="D173" s="54" t="s">
        <v>718</v>
      </c>
      <c r="E173" s="27" t="str">
        <f>"(ln "&amp;B170&amp;" + ln "&amp;B171&amp;" + ln "&amp;B172&amp;")"</f>
        <v>(ln 104 + ln 105 + ln 106)</v>
      </c>
      <c r="F173" s="27"/>
      <c r="G173" s="120">
        <f>+G170+G171+G172</f>
        <v>18489919.01436732</v>
      </c>
      <c r="H173" s="120"/>
      <c r="I173" s="47"/>
      <c r="J173" s="27"/>
      <c r="K173" s="27"/>
      <c r="L173" s="120">
        <f>+L170+L171+L172</f>
        <v>-1837974.7041968051</v>
      </c>
      <c r="M173" s="17"/>
    </row>
    <row r="174" spans="2:13" ht="15">
      <c r="B174" s="90"/>
      <c r="C174" s="18"/>
      <c r="D174" s="54"/>
      <c r="E174" s="17"/>
      <c r="F174" s="17"/>
      <c r="G174" s="105"/>
      <c r="H174" s="27"/>
      <c r="I174" s="17"/>
      <c r="J174" s="17"/>
      <c r="K174" s="17"/>
      <c r="L174" s="105"/>
      <c r="M174" s="17"/>
    </row>
    <row r="175" spans="2:13" ht="15">
      <c r="B175" s="90">
        <f>+B173+1</f>
        <v>108</v>
      </c>
      <c r="C175" s="18"/>
      <c r="D175" s="40" t="s">
        <v>721</v>
      </c>
      <c r="E175" s="47"/>
      <c r="F175" s="47"/>
      <c r="G175" s="105"/>
      <c r="H175" s="27"/>
      <c r="I175" s="30"/>
      <c r="J175" s="17"/>
      <c r="K175" s="17"/>
      <c r="L175" s="105"/>
      <c r="M175" s="17"/>
    </row>
    <row r="176" spans="2:13" ht="15">
      <c r="B176" s="90">
        <f aca="true" t="shared" si="12" ref="B176:B182">+B175+1</f>
        <v>109</v>
      </c>
      <c r="C176" s="18"/>
      <c r="D176" s="15" t="s">
        <v>734</v>
      </c>
      <c r="E176" s="319" t="s">
        <v>246</v>
      </c>
      <c r="F176" s="47"/>
      <c r="G176" s="286">
        <f>'KPCo Historic TCOS'!G176</f>
        <v>20344274</v>
      </c>
      <c r="H176" s="27"/>
      <c r="I176" s="30" t="s">
        <v>735</v>
      </c>
      <c r="J176" s="48">
        <f aca="true" t="shared" si="13" ref="J176:J181">VLOOKUP(I176,APCo_Proj_Allocators,2,FALSE)</f>
        <v>0</v>
      </c>
      <c r="K176" s="17"/>
      <c r="L176" s="120">
        <f>+G176*J176</f>
        <v>0</v>
      </c>
      <c r="M176" s="17"/>
    </row>
    <row r="177" spans="2:13" ht="15">
      <c r="B177" s="90">
        <f t="shared" si="12"/>
        <v>110</v>
      </c>
      <c r="C177" s="18"/>
      <c r="D177" s="54" t="s">
        <v>738</v>
      </c>
      <c r="E177" s="319" t="s">
        <v>245</v>
      </c>
      <c r="F177" s="47"/>
      <c r="G177" s="286">
        <f>'KPCo Historic TCOS'!G177</f>
        <v>19366762</v>
      </c>
      <c r="H177" s="27"/>
      <c r="I177" s="30" t="s">
        <v>735</v>
      </c>
      <c r="J177" s="48">
        <f t="shared" si="13"/>
        <v>0</v>
      </c>
      <c r="K177" s="17"/>
      <c r="L177" s="120">
        <f>+G177*J177</f>
        <v>0</v>
      </c>
      <c r="M177" s="17"/>
    </row>
    <row r="178" spans="2:13" ht="15">
      <c r="B178" s="90">
        <f t="shared" si="12"/>
        <v>111</v>
      </c>
      <c r="C178" s="18"/>
      <c r="D178" s="43" t="str">
        <f>+D147</f>
        <v>  Transmission </v>
      </c>
      <c r="E178" s="319" t="s">
        <v>241</v>
      </c>
      <c r="F178" s="55"/>
      <c r="G178" s="286">
        <f>'KPCo Historic TCOS'!G178</f>
        <v>7420678</v>
      </c>
      <c r="H178" s="741"/>
      <c r="I178" s="748" t="s">
        <v>559</v>
      </c>
      <c r="J178" s="48">
        <f t="shared" si="13"/>
        <v>0.9958946147744496</v>
      </c>
      <c r="K178" s="45"/>
      <c r="L178" s="120">
        <f>+G178*J178</f>
        <v>7390213.258175233</v>
      </c>
      <c r="M178" s="45"/>
    </row>
    <row r="179" spans="2:13" ht="15">
      <c r="B179" s="90">
        <f t="shared" si="12"/>
        <v>112</v>
      </c>
      <c r="C179" s="18"/>
      <c r="D179" s="480" t="s">
        <v>517</v>
      </c>
      <c r="E179" s="44"/>
      <c r="F179" s="44"/>
      <c r="G179" s="598">
        <f>+'KPCo WS I Projected Plant'!I34</f>
        <v>127664</v>
      </c>
      <c r="H179" s="741"/>
      <c r="I179" s="748" t="s">
        <v>737</v>
      </c>
      <c r="J179" s="48">
        <f t="shared" si="13"/>
        <v>1</v>
      </c>
      <c r="K179" s="17"/>
      <c r="L179" s="120">
        <f>+G179*J179</f>
        <v>127664</v>
      </c>
      <c r="M179" s="45"/>
    </row>
    <row r="180" spans="2:13" ht="15">
      <c r="B180" s="90">
        <f>+B179+1</f>
        <v>113</v>
      </c>
      <c r="C180" s="18"/>
      <c r="D180" s="40" t="s">
        <v>744</v>
      </c>
      <c r="E180" s="55" t="s">
        <v>242</v>
      </c>
      <c r="F180" s="17"/>
      <c r="G180" s="120">
        <f>'KPCo Historic TCOS'!G180</f>
        <v>802099</v>
      </c>
      <c r="H180" s="120"/>
      <c r="I180" s="30" t="s">
        <v>740</v>
      </c>
      <c r="J180" s="48">
        <f t="shared" si="13"/>
        <v>0.08594668838210866</v>
      </c>
      <c r="K180" s="17"/>
      <c r="L180" s="105">
        <f>+J180*G180</f>
        <v>68937.75280460097</v>
      </c>
      <c r="M180" s="17"/>
    </row>
    <row r="181" spans="2:13" ht="15.75" thickBot="1">
      <c r="B181" s="90">
        <f t="shared" si="12"/>
        <v>114</v>
      </c>
      <c r="C181" s="18"/>
      <c r="D181" s="40" t="s">
        <v>745</v>
      </c>
      <c r="E181" s="44" t="s">
        <v>243</v>
      </c>
      <c r="F181" s="27"/>
      <c r="G181" s="121">
        <f>'KPCo Historic TCOS'!G181</f>
        <v>3725967</v>
      </c>
      <c r="H181" s="120"/>
      <c r="I181" s="30" t="s">
        <v>740</v>
      </c>
      <c r="J181" s="48">
        <f t="shared" si="13"/>
        <v>0.08594668838210866</v>
      </c>
      <c r="K181" s="17"/>
      <c r="L181" s="106">
        <f>+J181*G181</f>
        <v>320234.5246710202</v>
      </c>
      <c r="M181" s="17"/>
    </row>
    <row r="182" spans="2:13" ht="15">
      <c r="B182" s="90">
        <f t="shared" si="12"/>
        <v>115</v>
      </c>
      <c r="C182" s="18"/>
      <c r="D182" s="40" t="s">
        <v>88</v>
      </c>
      <c r="E182" s="1116" t="str">
        <f>"(Lns "&amp;B176&amp;"+"&amp;B177&amp;"+"&amp;B178&amp;"
+"&amp;B179&amp;"+"&amp;B180&amp;"+"&amp;B181&amp;")"</f>
        <v>(Lns 109+110+111
+112+113+114)</v>
      </c>
      <c r="F182" s="17"/>
      <c r="G182" s="120">
        <f>+G176+G177+G178+G179+G180+G181</f>
        <v>51787444</v>
      </c>
      <c r="H182" s="27"/>
      <c r="I182" s="30"/>
      <c r="J182" s="17"/>
      <c r="K182" s="17"/>
      <c r="L182" s="120">
        <f>+L176+L177+L178+L179+L180+L181</f>
        <v>7907049.535650854</v>
      </c>
      <c r="M182" s="17"/>
    </row>
    <row r="183" spans="2:13" ht="15">
      <c r="B183" s="90"/>
      <c r="C183" s="18"/>
      <c r="D183" s="40"/>
      <c r="E183" s="1117"/>
      <c r="F183" s="17"/>
      <c r="G183" s="105"/>
      <c r="H183" s="27"/>
      <c r="I183" s="30"/>
      <c r="J183" s="17"/>
      <c r="K183" s="17"/>
      <c r="L183" s="105"/>
      <c r="M183" s="17"/>
    </row>
    <row r="184" spans="2:13" ht="15">
      <c r="B184" s="90">
        <f>+B182+1</f>
        <v>116</v>
      </c>
      <c r="C184" s="18"/>
      <c r="D184" s="40" t="s">
        <v>569</v>
      </c>
      <c r="E184" s="13" t="s">
        <v>244</v>
      </c>
      <c r="F184" s="11"/>
      <c r="G184" s="105"/>
      <c r="H184" s="27"/>
      <c r="I184" s="30"/>
      <c r="J184" s="17"/>
      <c r="K184" s="17"/>
      <c r="L184" s="105"/>
      <c r="M184" s="17"/>
    </row>
    <row r="185" spans="2:13" ht="15">
      <c r="B185" s="90">
        <f aca="true" t="shared" si="14" ref="B185:B191">+B184+1</f>
        <v>117</v>
      </c>
      <c r="C185" s="18"/>
      <c r="D185" s="40" t="s">
        <v>746</v>
      </c>
      <c r="E185" s="11"/>
      <c r="F185" s="11"/>
      <c r="G185" s="105"/>
      <c r="H185" s="27"/>
      <c r="I185" s="30"/>
      <c r="J185" s="11"/>
      <c r="K185" s="17"/>
      <c r="L185" s="105"/>
      <c r="M185" s="17"/>
    </row>
    <row r="186" spans="2:13" ht="15">
      <c r="B186" s="90">
        <f t="shared" si="14"/>
        <v>118</v>
      </c>
      <c r="C186" s="18"/>
      <c r="D186" s="40" t="s">
        <v>747</v>
      </c>
      <c r="E186" s="27" t="str">
        <f>"Worksheet H ln "&amp;'KPCo WS H Other Taxes'!A39&amp;"."&amp;'KPCo WS H Other Taxes'!I8&amp;""</f>
        <v>Worksheet H ln 21.(D)</v>
      </c>
      <c r="F186" s="17"/>
      <c r="G186" s="120">
        <f>+'KPCo Historic TCOS'!G186</f>
        <v>1655606</v>
      </c>
      <c r="H186" s="120"/>
      <c r="I186" s="30" t="s">
        <v>740</v>
      </c>
      <c r="J186" s="48">
        <f>VLOOKUP(I186,APCo_Proj_Allocators,2,FALSE)</f>
        <v>0.08594668838210866</v>
      </c>
      <c r="K186" s="17"/>
      <c r="L186" s="105">
        <f>+J186*G186</f>
        <v>142293.8529655494</v>
      </c>
      <c r="M186" s="50"/>
    </row>
    <row r="187" spans="2:13" ht="15">
      <c r="B187" s="90">
        <f t="shared" si="14"/>
        <v>119</v>
      </c>
      <c r="C187" s="18"/>
      <c r="D187" s="40" t="s">
        <v>748</v>
      </c>
      <c r="E187" s="27" t="s">
        <v>722</v>
      </c>
      <c r="F187" s="17"/>
      <c r="G187" s="120"/>
      <c r="H187" s="120"/>
      <c r="I187" s="30"/>
      <c r="J187" s="11"/>
      <c r="K187" s="17"/>
      <c r="L187" s="105"/>
      <c r="M187" s="27"/>
    </row>
    <row r="188" spans="2:13" ht="15">
      <c r="B188" s="94">
        <f t="shared" si="14"/>
        <v>120</v>
      </c>
      <c r="C188" s="78"/>
      <c r="D188" s="58" t="s">
        <v>749</v>
      </c>
      <c r="E188" s="27" t="str">
        <f>"Worksheet H ln "&amp;'KPCo WS H Other Taxes'!A39&amp;".(C) &amp; ln "&amp;'KPCo WS H Other Taxes'!A60&amp;"."&amp;'KPCo WS H Other Taxes'!G8&amp;""</f>
        <v>Worksheet H ln 21.(C) &amp; ln 35.(C)</v>
      </c>
      <c r="F188" s="27"/>
      <c r="G188" s="120">
        <f>+'KPCo Historic TCOS'!G188</f>
        <v>9619712</v>
      </c>
      <c r="H188" s="120"/>
      <c r="I188" s="47" t="str">
        <f>+'KPCo Historic TCOS'!I188</f>
        <v>DA</v>
      </c>
      <c r="J188" s="48"/>
      <c r="K188" s="27"/>
      <c r="L188" s="120">
        <f>+'KPCo WS H Other Taxes'!G60</f>
        <v>3618146.62857503</v>
      </c>
      <c r="M188" s="27"/>
    </row>
    <row r="189" spans="2:13" ht="15">
      <c r="B189" s="90">
        <f t="shared" si="14"/>
        <v>121</v>
      </c>
      <c r="C189" s="18"/>
      <c r="D189" s="40" t="s">
        <v>833</v>
      </c>
      <c r="E189" s="27" t="str">
        <f>"Worksheet H ln "&amp;'KPCo WS H Other Taxes'!A39&amp;"."&amp;'KPCo WS H Other Taxes'!M8&amp;""</f>
        <v>Worksheet H ln 21.(F)</v>
      </c>
      <c r="F189" s="17"/>
      <c r="G189" s="120">
        <f>+'KPCo Historic TCOS'!G189</f>
        <v>-371606</v>
      </c>
      <c r="H189" s="99"/>
      <c r="I189" s="30" t="s">
        <v>735</v>
      </c>
      <c r="J189" s="48">
        <f>VLOOKUP(I189,APCo_Proj_Allocators,2,FALSE)</f>
        <v>0</v>
      </c>
      <c r="K189" s="17"/>
      <c r="L189" s="105">
        <f>+J189*G189</f>
        <v>0</v>
      </c>
      <c r="M189" s="27"/>
    </row>
    <row r="190" spans="2:13" ht="15.75" thickBot="1">
      <c r="B190" s="90">
        <f t="shared" si="14"/>
        <v>122</v>
      </c>
      <c r="C190" s="18"/>
      <c r="D190" s="40" t="s">
        <v>750</v>
      </c>
      <c r="E190" s="27" t="str">
        <f>"Worksheet H ln "&amp;'KPCo WS H Other Taxes'!A39&amp;"."&amp;'KPCo WS H Other Taxes'!K8&amp;""</f>
        <v>Worksheet H ln 21.(E)</v>
      </c>
      <c r="F190" s="17"/>
      <c r="G190" s="121">
        <f>+'KPCo Historic TCOS'!G190</f>
        <v>778850</v>
      </c>
      <c r="H190" s="99"/>
      <c r="I190" s="30" t="s">
        <v>123</v>
      </c>
      <c r="J190" s="48">
        <f>VLOOKUP(I190,APCo_Proj_Allocators,2,FALSE)</f>
        <v>0.2768153692450695</v>
      </c>
      <c r="K190" s="17"/>
      <c r="L190" s="106">
        <f>+J190*G190</f>
        <v>215597.65033652238</v>
      </c>
      <c r="M190" s="27"/>
    </row>
    <row r="191" spans="2:13" ht="15">
      <c r="B191" s="90">
        <f t="shared" si="14"/>
        <v>123</v>
      </c>
      <c r="C191" s="18"/>
      <c r="D191" s="40" t="s">
        <v>570</v>
      </c>
      <c r="E191" s="103" t="str">
        <f>"(sum lns "&amp;B186&amp;" to "&amp;B190&amp;")"</f>
        <v>(sum lns 118 to 122)</v>
      </c>
      <c r="F191" s="17"/>
      <c r="G191" s="120">
        <f>SUM(G186:G190)</f>
        <v>11682562</v>
      </c>
      <c r="H191" s="27"/>
      <c r="I191" s="30"/>
      <c r="J191" s="29"/>
      <c r="K191" s="17"/>
      <c r="L191" s="105">
        <f>SUM(L186:L190)</f>
        <v>3976038.131877102</v>
      </c>
      <c r="M191" s="17"/>
    </row>
    <row r="192" spans="2:13" ht="15">
      <c r="B192" s="90"/>
      <c r="C192" s="18"/>
      <c r="D192" s="40"/>
      <c r="E192" s="17"/>
      <c r="F192" s="17"/>
      <c r="G192" s="17"/>
      <c r="H192" s="27"/>
      <c r="I192" s="30"/>
      <c r="J192" s="29"/>
      <c r="K192" s="17"/>
      <c r="L192" s="17"/>
      <c r="M192" s="482"/>
    </row>
    <row r="193" spans="2:13" ht="15">
      <c r="B193" s="90">
        <f>+B191+1</f>
        <v>124</v>
      </c>
      <c r="C193" s="18"/>
      <c r="D193" s="40" t="s">
        <v>125</v>
      </c>
      <c r="E193" s="27" t="s">
        <v>247</v>
      </c>
      <c r="F193" s="61"/>
      <c r="G193" s="17"/>
      <c r="H193" s="100"/>
      <c r="I193" s="21"/>
      <c r="J193" s="11"/>
      <c r="K193" s="17"/>
      <c r="L193" s="11"/>
      <c r="M193" s="17"/>
    </row>
    <row r="194" spans="2:13" ht="15">
      <c r="B194" s="90">
        <f aca="true" t="shared" si="15" ref="B194:B199">+B193+1</f>
        <v>125</v>
      </c>
      <c r="C194" s="18"/>
      <c r="D194" s="57" t="s">
        <v>126</v>
      </c>
      <c r="E194" s="17"/>
      <c r="F194" s="520"/>
      <c r="G194" s="441">
        <f>IF(F337&gt;0,1-(((1-F338)*(1-F337))/(1-F338*F337*F339)),0)</f>
        <v>0.38204499999999997</v>
      </c>
      <c r="H194" s="100"/>
      <c r="I194" s="21"/>
      <c r="J194" s="11"/>
      <c r="K194" s="17"/>
      <c r="L194" s="11"/>
      <c r="M194" s="17"/>
    </row>
    <row r="195" spans="2:14" ht="15">
      <c r="B195" s="90">
        <f t="shared" si="15"/>
        <v>126</v>
      </c>
      <c r="C195" s="18"/>
      <c r="D195" s="49" t="s">
        <v>127</v>
      </c>
      <c r="E195" s="17"/>
      <c r="F195" s="520"/>
      <c r="G195" s="441">
        <f>IF(L255&gt;0,($G194/(1-$G194))*(1-$L255/$L258),0)</f>
        <v>0.36041606606507814</v>
      </c>
      <c r="H195" s="100"/>
      <c r="I195" s="21"/>
      <c r="J195" s="11"/>
      <c r="K195" s="17"/>
      <c r="L195" s="11"/>
      <c r="M195" s="17"/>
      <c r="N195" s="689"/>
    </row>
    <row r="196" spans="2:13" ht="15">
      <c r="B196" s="90">
        <f t="shared" si="15"/>
        <v>127</v>
      </c>
      <c r="C196" s="18"/>
      <c r="D196" s="58" t="str">
        <f>"       where WCLTD=(ln "&amp;B255&amp;") and WACC = (ln "&amp;B258&amp;")"</f>
        <v>       where WCLTD=(ln 162) and WACC = (ln 165)</v>
      </c>
      <c r="E196" s="27"/>
      <c r="F196" s="749"/>
      <c r="G196" s="17"/>
      <c r="H196" s="833"/>
      <c r="I196" s="21"/>
      <c r="J196" s="750"/>
      <c r="K196" s="17"/>
      <c r="L196" s="751"/>
      <c r="M196" s="17"/>
    </row>
    <row r="197" spans="2:13" ht="15">
      <c r="B197" s="90">
        <f t="shared" si="15"/>
        <v>128</v>
      </c>
      <c r="C197" s="18"/>
      <c r="D197" s="40" t="s">
        <v>251</v>
      </c>
      <c r="E197" s="752"/>
      <c r="F197" s="520"/>
      <c r="G197" s="17"/>
      <c r="H197" s="100"/>
      <c r="I197" s="21"/>
      <c r="J197" s="750"/>
      <c r="K197" s="17"/>
      <c r="L197" s="11"/>
      <c r="M197" s="17"/>
    </row>
    <row r="198" spans="2:20" ht="15">
      <c r="B198" s="90">
        <f t="shared" si="15"/>
        <v>129</v>
      </c>
      <c r="C198" s="18"/>
      <c r="D198" s="59" t="str">
        <f>"      GRCF=1 / (1 - T)  = (from ln "&amp;B194&amp;")"</f>
        <v>      GRCF=1 / (1 - T)  = (from ln 125)</v>
      </c>
      <c r="E198" s="61"/>
      <c r="F198" s="61"/>
      <c r="G198" s="442">
        <f>IF(G194&gt;0,1/(1-G194),0)</f>
        <v>1.6182408104149977</v>
      </c>
      <c r="H198" s="100"/>
      <c r="I198" s="126"/>
      <c r="J198" s="753"/>
      <c r="K198" s="105"/>
      <c r="L198" s="567"/>
      <c r="M198" s="17"/>
      <c r="N198"/>
      <c r="O198"/>
      <c r="P198"/>
      <c r="Q198"/>
      <c r="R198"/>
      <c r="S198"/>
      <c r="T198"/>
    </row>
    <row r="199" spans="2:20" ht="15">
      <c r="B199" s="90">
        <f t="shared" si="15"/>
        <v>130</v>
      </c>
      <c r="C199" s="18"/>
      <c r="D199" s="40" t="s">
        <v>128</v>
      </c>
      <c r="E199" s="41" t="s">
        <v>397</v>
      </c>
      <c r="F199" s="61"/>
      <c r="G199" s="120">
        <f>+'KPCo Historic TCOS'!G199</f>
        <v>-821956</v>
      </c>
      <c r="H199" s="100"/>
      <c r="I199" s="126"/>
      <c r="J199" s="754"/>
      <c r="K199" s="105"/>
      <c r="M199" s="30"/>
      <c r="N199"/>
      <c r="O199"/>
      <c r="P199"/>
      <c r="Q199"/>
      <c r="R199"/>
      <c r="S199"/>
      <c r="T199"/>
    </row>
    <row r="200" spans="2:20" ht="15">
      <c r="B200" s="90"/>
      <c r="C200" s="18"/>
      <c r="D200" s="40"/>
      <c r="E200" s="17"/>
      <c r="F200" s="520"/>
      <c r="G200" s="105"/>
      <c r="H200" s="100"/>
      <c r="I200" s="126"/>
      <c r="J200" s="751"/>
      <c r="K200" s="105"/>
      <c r="L200" s="11"/>
      <c r="M200" s="17"/>
      <c r="N200"/>
      <c r="O200"/>
      <c r="P200"/>
      <c r="Q200"/>
      <c r="R200"/>
      <c r="S200"/>
      <c r="T200"/>
    </row>
    <row r="201" spans="2:20" ht="15">
      <c r="B201" s="90">
        <f>+B199+1</f>
        <v>131</v>
      </c>
      <c r="C201" s="18"/>
      <c r="D201" s="57" t="s">
        <v>129</v>
      </c>
      <c r="E201" s="60" t="str">
        <f>"(ln "&amp;B195&amp;" * ln "&amp;B205&amp;")"</f>
        <v>(ln 126 * ln 134)</v>
      </c>
      <c r="F201" s="161"/>
      <c r="G201" s="105">
        <f>+G195*G205</f>
        <v>27461205.3041735</v>
      </c>
      <c r="H201" s="100"/>
      <c r="I201" s="126"/>
      <c r="J201" s="751"/>
      <c r="K201" s="105"/>
      <c r="L201" s="105">
        <f>+L205*G195</f>
        <v>8344714.133576076</v>
      </c>
      <c r="M201" s="17"/>
      <c r="N201"/>
      <c r="O201"/>
      <c r="P201"/>
      <c r="Q201"/>
      <c r="R201"/>
      <c r="S201"/>
      <c r="T201"/>
    </row>
    <row r="202" spans="2:20" ht="15.75" thickBot="1">
      <c r="B202" s="90">
        <f>+B201+1</f>
        <v>132</v>
      </c>
      <c r="C202" s="18"/>
      <c r="D202" s="49" t="s">
        <v>130</v>
      </c>
      <c r="E202" s="60" t="str">
        <f>"(ln "&amp;B198&amp;" * ln "&amp;B199&amp;")"</f>
        <v>(ln 129 * ln 130)</v>
      </c>
      <c r="F202" s="60"/>
      <c r="G202" s="106">
        <f>G198*G199</f>
        <v>-1330122.7435654697</v>
      </c>
      <c r="H202" s="100"/>
      <c r="I202" s="201" t="s">
        <v>124</v>
      </c>
      <c r="J202" s="48">
        <f>VLOOKUP(I202,APCo_Proj_Allocators,2,FALSE)</f>
        <v>0.28044207727599524</v>
      </c>
      <c r="K202" s="105"/>
      <c r="L202" s="106">
        <f>+G202*J202</f>
        <v>-373022.3852375463</v>
      </c>
      <c r="M202" s="17"/>
      <c r="N202"/>
      <c r="O202"/>
      <c r="P202"/>
      <c r="Q202"/>
      <c r="R202"/>
      <c r="S202"/>
      <c r="T202"/>
    </row>
    <row r="203" spans="2:20" ht="15">
      <c r="B203" s="90">
        <f>+B202+1</f>
        <v>133</v>
      </c>
      <c r="C203" s="18"/>
      <c r="D203" s="57" t="s">
        <v>571</v>
      </c>
      <c r="E203" s="17" t="str">
        <f>"(sum lns "&amp;B201&amp;" to "&amp;B202&amp;")"</f>
        <v>(sum lns 131 to 132)</v>
      </c>
      <c r="F203" s="60"/>
      <c r="G203" s="129">
        <f>SUM(G201:G202)</f>
        <v>26131082.56060803</v>
      </c>
      <c r="H203" s="100"/>
      <c r="I203" s="126" t="s">
        <v>722</v>
      </c>
      <c r="J203" s="755"/>
      <c r="K203" s="105"/>
      <c r="L203" s="129">
        <f>SUM(L201:L202)</f>
        <v>7971691.748338529</v>
      </c>
      <c r="M203" s="17"/>
      <c r="N203"/>
      <c r="O203"/>
      <c r="P203"/>
      <c r="Q203"/>
      <c r="R203"/>
      <c r="S203"/>
      <c r="T203"/>
    </row>
    <row r="204" spans="2:20" ht="15">
      <c r="B204" s="90"/>
      <c r="C204" s="18"/>
      <c r="D204" s="40"/>
      <c r="E204" s="17"/>
      <c r="F204" s="17"/>
      <c r="G204" s="17"/>
      <c r="H204" s="27"/>
      <c r="I204" s="30"/>
      <c r="J204" s="29"/>
      <c r="K204" s="17"/>
      <c r="L204" s="17"/>
      <c r="M204" s="17"/>
      <c r="N204"/>
      <c r="O204"/>
      <c r="P204"/>
      <c r="Q204"/>
      <c r="R204"/>
      <c r="S204"/>
      <c r="T204"/>
    </row>
    <row r="205" spans="2:20" ht="15">
      <c r="B205" s="90">
        <f>+B203+1</f>
        <v>134</v>
      </c>
      <c r="C205" s="18"/>
      <c r="D205" s="59" t="s">
        <v>159</v>
      </c>
      <c r="E205" s="59" t="str">
        <f>"(ln "&amp;B128&amp;" * ln "&amp;B258&amp;")"</f>
        <v>(ln 78 * ln 165)</v>
      </c>
      <c r="F205" s="46"/>
      <c r="G205" s="105">
        <f>+$L258*G128</f>
        <v>76193066.54108754</v>
      </c>
      <c r="H205" s="27"/>
      <c r="I205" s="126"/>
      <c r="J205" s="105"/>
      <c r="K205" s="105"/>
      <c r="L205" s="105">
        <f>+L258*L128</f>
        <v>23153002.6524104</v>
      </c>
      <c r="M205" s="17"/>
      <c r="N205"/>
      <c r="O205"/>
      <c r="P205"/>
      <c r="Q205"/>
      <c r="R205"/>
      <c r="S205"/>
      <c r="T205"/>
    </row>
    <row r="206" spans="2:20" ht="15">
      <c r="B206" s="90"/>
      <c r="C206" s="18"/>
      <c r="D206" s="57"/>
      <c r="E206" s="11"/>
      <c r="F206" s="11"/>
      <c r="G206" s="105"/>
      <c r="H206" s="105"/>
      <c r="I206" s="126"/>
      <c r="J206" s="126"/>
      <c r="K206" s="105"/>
      <c r="L206" s="105"/>
      <c r="M206" s="17"/>
      <c r="N206"/>
      <c r="O206"/>
      <c r="P206"/>
      <c r="Q206"/>
      <c r="R206"/>
      <c r="S206"/>
      <c r="T206"/>
    </row>
    <row r="207" spans="2:20" ht="15">
      <c r="B207" s="90">
        <f>+B205+1</f>
        <v>135</v>
      </c>
      <c r="C207" s="18"/>
      <c r="D207" s="740" t="s">
        <v>605</v>
      </c>
      <c r="E207" s="11"/>
      <c r="F207" s="55"/>
      <c r="G207" s="120">
        <f>-'KPCo WS D IPP Credits'!C11</f>
        <v>8298</v>
      </c>
      <c r="H207" s="120"/>
      <c r="I207" s="130" t="s">
        <v>737</v>
      </c>
      <c r="J207" s="48">
        <f>VLOOKUP(I207,APCo_Proj_Allocators,2,FALSE)</f>
        <v>1</v>
      </c>
      <c r="K207" s="118"/>
      <c r="L207" s="105">
        <f>+J207*G207</f>
        <v>8298</v>
      </c>
      <c r="M207" s="45"/>
      <c r="N207"/>
      <c r="O207"/>
      <c r="P207"/>
      <c r="Q207"/>
      <c r="R207"/>
      <c r="S207"/>
      <c r="T207"/>
    </row>
    <row r="208" spans="2:20" ht="15">
      <c r="B208" s="90"/>
      <c r="C208" s="18"/>
      <c r="D208" s="740"/>
      <c r="E208" s="11"/>
      <c r="F208" s="55"/>
      <c r="G208" s="120"/>
      <c r="H208" s="120"/>
      <c r="I208" s="130"/>
      <c r="J208" s="48"/>
      <c r="K208" s="118"/>
      <c r="L208" s="105"/>
      <c r="M208" s="45"/>
      <c r="N208"/>
      <c r="O208"/>
      <c r="P208"/>
      <c r="Q208"/>
      <c r="R208"/>
      <c r="S208"/>
      <c r="T208"/>
    </row>
    <row r="209" spans="2:20" ht="15">
      <c r="B209" s="90">
        <f>+B207+1</f>
        <v>136</v>
      </c>
      <c r="C209" s="18"/>
      <c r="D209" s="740" t="str">
        <f>"(Gains) / Losses on Sales of Plant Held for Future Use (Worksheet N, ln "&amp;'KPCo WS N - Sale of Plant Held'!A31&amp;", Cols. ("&amp;'KPCo WS N - Sale of Plant Held'!O10&amp;" &amp; "&amp;'KPCo WS N - Sale of Plant Held'!S10&amp;")"</f>
        <v>(Gains) / Losses on Sales of Plant Held for Future Use (Worksheet N, ln 4, Cols. ((F) &amp; (H))</v>
      </c>
      <c r="E209" s="13"/>
      <c r="F209" s="44"/>
      <c r="G209" s="120">
        <f>+'KPCo WS N - Sale of Plant Held'!O31</f>
        <v>0</v>
      </c>
      <c r="H209" s="120"/>
      <c r="I209" s="598"/>
      <c r="J209" s="48"/>
      <c r="K209" s="286"/>
      <c r="L209" s="120">
        <f>'KPCo WS N - Sale of Plant Held'!S31</f>
        <v>0</v>
      </c>
      <c r="M209" s="279"/>
      <c r="N209" s="756"/>
      <c r="O209"/>
      <c r="P209"/>
      <c r="Q209"/>
      <c r="R209"/>
      <c r="S209"/>
      <c r="T209"/>
    </row>
    <row r="210" spans="2:20" ht="15">
      <c r="B210" s="90"/>
      <c r="C210" s="18"/>
      <c r="D210" s="740"/>
      <c r="E210" s="13"/>
      <c r="F210" s="44"/>
      <c r="G210" s="120"/>
      <c r="H210" s="120"/>
      <c r="I210" s="598"/>
      <c r="J210" s="48"/>
      <c r="K210" s="286"/>
      <c r="L210" s="120"/>
      <c r="M210" s="279"/>
      <c r="N210" s="756"/>
      <c r="O210"/>
      <c r="P210"/>
      <c r="Q210"/>
      <c r="R210"/>
      <c r="S210"/>
      <c r="T210"/>
    </row>
    <row r="211" spans="2:20" ht="15">
      <c r="B211" s="90">
        <f>+B209+1</f>
        <v>137</v>
      </c>
      <c r="C211" s="18"/>
      <c r="D211" s="740" t="str">
        <f>" Tax Impact on (Gains) / Losses on Sales of Plant Held for Future Use (ln "&amp;B209&amp;" * ln"&amp;B195&amp;")"</f>
        <v> Tax Impact on (Gains) / Losses on Sales of Plant Held for Future Use (ln 136 * ln126)</v>
      </c>
      <c r="E211" s="13"/>
      <c r="F211" s="44"/>
      <c r="G211" s="120">
        <f>-+G195*G209</f>
        <v>0</v>
      </c>
      <c r="H211" s="120"/>
      <c r="I211" s="598"/>
      <c r="J211" s="48"/>
      <c r="K211" s="286"/>
      <c r="L211" s="120">
        <f>L209*-G195</f>
        <v>0</v>
      </c>
      <c r="M211" s="279"/>
      <c r="N211" s="756"/>
      <c r="O211"/>
      <c r="P211"/>
      <c r="Q211"/>
      <c r="R211"/>
      <c r="S211"/>
      <c r="T211"/>
    </row>
    <row r="212" spans="2:20" ht="15.75" thickBot="1">
      <c r="B212" s="90"/>
      <c r="C212" s="18"/>
      <c r="D212" s="40"/>
      <c r="E212" s="11"/>
      <c r="F212" s="11"/>
      <c r="G212" s="106"/>
      <c r="H212" s="140"/>
      <c r="I212" s="126"/>
      <c r="J212" s="126"/>
      <c r="K212" s="105"/>
      <c r="L212" s="106"/>
      <c r="M212" s="17"/>
      <c r="N212"/>
      <c r="O212"/>
      <c r="P212"/>
      <c r="Q212"/>
      <c r="R212"/>
      <c r="S212"/>
      <c r="T212"/>
    </row>
    <row r="213" spans="2:20" ht="15.75" thickBot="1">
      <c r="B213" s="90">
        <f>+B211+1</f>
        <v>138</v>
      </c>
      <c r="C213" s="18"/>
      <c r="D213" s="11" t="s">
        <v>32</v>
      </c>
      <c r="E213" s="11"/>
      <c r="F213" s="11"/>
      <c r="G213" s="158">
        <f>+G207+G205+G203+G191+G182+G173+G209+G211</f>
        <v>184292372.11606288</v>
      </c>
      <c r="H213" s="11"/>
      <c r="I213" s="11"/>
      <c r="J213" s="11"/>
      <c r="K213" s="11"/>
      <c r="L213" s="158">
        <f>+L207+L205+L203+L191+L182+L173+L209+L211</f>
        <v>41178105.36408009</v>
      </c>
      <c r="M213" s="17"/>
      <c r="N213"/>
      <c r="O213"/>
      <c r="P213"/>
      <c r="Q213"/>
      <c r="R213"/>
      <c r="S213"/>
      <c r="T213"/>
    </row>
    <row r="214" spans="2:20" ht="15.75" thickTop="1">
      <c r="B214" s="90"/>
      <c r="C214" s="18"/>
      <c r="D214" s="15" t="str">
        <f>"    (sum lns "&amp;B173&amp;", "&amp;B182&amp;", "&amp;B191&amp;", "&amp;B203&amp;", "&amp;B205&amp;", "&amp;B207&amp;", "&amp;B209&amp;", "&amp;B211&amp;")"</f>
        <v>    (sum lns 107, 115, 123, 133, 134, 135, 136, 137)</v>
      </c>
      <c r="E214" s="11"/>
      <c r="F214" s="123"/>
      <c r="G214" s="11"/>
      <c r="H214" s="11"/>
      <c r="I214" s="11"/>
      <c r="J214" s="11"/>
      <c r="K214" s="11"/>
      <c r="L214" s="779"/>
      <c r="M214" s="17"/>
      <c r="N214"/>
      <c r="O214"/>
      <c r="P214"/>
      <c r="Q214"/>
      <c r="R214"/>
      <c r="S214"/>
      <c r="T214"/>
    </row>
    <row r="215" spans="2:20" ht="15">
      <c r="B215" s="90"/>
      <c r="C215" s="18"/>
      <c r="D215" s="11"/>
      <c r="E215" s="11"/>
      <c r="F215" s="123"/>
      <c r="G215" s="11"/>
      <c r="H215" s="11"/>
      <c r="I215" s="11"/>
      <c r="J215" s="11"/>
      <c r="K215" s="11"/>
      <c r="L215" s="779"/>
      <c r="M215" s="17"/>
      <c r="N215"/>
      <c r="O215"/>
      <c r="P215"/>
      <c r="Q215"/>
      <c r="R215"/>
      <c r="S215"/>
      <c r="T215"/>
    </row>
    <row r="216" spans="2:20" ht="15">
      <c r="B216" s="90"/>
      <c r="C216" s="18"/>
      <c r="D216" s="15"/>
      <c r="E216" s="11"/>
      <c r="F216" s="21" t="str">
        <f>F131</f>
        <v>AEP East Companies</v>
      </c>
      <c r="G216" s="11"/>
      <c r="H216" s="11"/>
      <c r="I216" s="11"/>
      <c r="J216" s="11"/>
      <c r="K216" s="11"/>
      <c r="L216" s="11"/>
      <c r="M216" s="62"/>
      <c r="N216"/>
      <c r="O216"/>
      <c r="P216"/>
      <c r="Q216"/>
      <c r="R216"/>
      <c r="S216"/>
      <c r="T216"/>
    </row>
    <row r="217" spans="2:20" ht="15">
      <c r="B217" s="90"/>
      <c r="C217" s="18"/>
      <c r="D217" s="15"/>
      <c r="E217" s="11"/>
      <c r="F217" s="21" t="str">
        <f>F132</f>
        <v>Transmission Cost of Service Formula Rate</v>
      </c>
      <c r="G217" s="11"/>
      <c r="H217" s="11"/>
      <c r="I217" s="11"/>
      <c r="J217" s="11"/>
      <c r="K217" s="11"/>
      <c r="L217" s="686"/>
      <c r="M217" s="62"/>
      <c r="N217"/>
      <c r="O217"/>
      <c r="P217"/>
      <c r="Q217"/>
      <c r="R217"/>
      <c r="S217"/>
      <c r="T217"/>
    </row>
    <row r="218" spans="2:20" ht="15">
      <c r="B218" s="11"/>
      <c r="C218" s="18"/>
      <c r="D218" s="11"/>
      <c r="E218" s="11"/>
      <c r="F218" s="21" t="str">
        <f>F133</f>
        <v>Utilizing  Historic Cost Data for 2009 and Projected Net Plant at Year-End 2010</v>
      </c>
      <c r="G218" s="11"/>
      <c r="H218" s="11"/>
      <c r="I218" s="11"/>
      <c r="J218" s="11"/>
      <c r="K218" s="11"/>
      <c r="M218" s="145"/>
      <c r="N218"/>
      <c r="O218"/>
      <c r="P218"/>
      <c r="Q218"/>
      <c r="R218"/>
      <c r="S218"/>
      <c r="T218"/>
    </row>
    <row r="219" spans="2:20" ht="15">
      <c r="B219" s="90"/>
      <c r="C219" s="18"/>
      <c r="E219" s="21"/>
      <c r="F219" s="21"/>
      <c r="G219" s="21"/>
      <c r="H219" s="21"/>
      <c r="I219" s="21"/>
      <c r="J219" s="21"/>
      <c r="K219" s="21"/>
      <c r="M219" s="17"/>
      <c r="N219"/>
      <c r="O219"/>
      <c r="P219"/>
      <c r="Q219"/>
      <c r="R219"/>
      <c r="S219"/>
      <c r="T219"/>
    </row>
    <row r="220" spans="2:20" ht="15">
      <c r="B220" s="90"/>
      <c r="C220" s="18"/>
      <c r="D220" s="11"/>
      <c r="E220" s="15"/>
      <c r="F220" s="21" t="str">
        <f>F135</f>
        <v>KENTUCKY POWER COMPANY</v>
      </c>
      <c r="G220" s="15"/>
      <c r="H220" s="15"/>
      <c r="I220" s="15"/>
      <c r="J220" s="15"/>
      <c r="K220" s="15"/>
      <c r="L220" s="15"/>
      <c r="M220" s="15"/>
      <c r="N220"/>
      <c r="O220"/>
      <c r="P220"/>
      <c r="Q220"/>
      <c r="R220"/>
      <c r="S220"/>
      <c r="T220"/>
    </row>
    <row r="221" spans="2:20" ht="15">
      <c r="B221" s="90"/>
      <c r="C221" s="18"/>
      <c r="D221" s="11"/>
      <c r="E221" s="15"/>
      <c r="F221" s="21"/>
      <c r="G221" s="15"/>
      <c r="H221" s="15"/>
      <c r="I221" s="15"/>
      <c r="J221" s="15"/>
      <c r="K221" s="15"/>
      <c r="L221" s="15"/>
      <c r="M221" s="15"/>
      <c r="N221"/>
      <c r="O221"/>
      <c r="P221"/>
      <c r="Q221"/>
      <c r="R221"/>
      <c r="S221"/>
      <c r="T221"/>
    </row>
    <row r="222" spans="2:20" ht="15.75">
      <c r="B222" s="90"/>
      <c r="C222" s="18"/>
      <c r="D222" s="11"/>
      <c r="F222" s="36" t="s">
        <v>576</v>
      </c>
      <c r="G222" s="11"/>
      <c r="H222" s="16"/>
      <c r="I222" s="16"/>
      <c r="J222" s="16"/>
      <c r="K222" s="16"/>
      <c r="L222" s="16"/>
      <c r="M222" s="17"/>
      <c r="N222"/>
      <c r="O222"/>
      <c r="P222"/>
      <c r="Q222"/>
      <c r="R222"/>
      <c r="S222"/>
      <c r="T222"/>
    </row>
    <row r="223" spans="2:20" ht="15.75">
      <c r="B223" s="90"/>
      <c r="C223" s="18"/>
      <c r="D223" s="38"/>
      <c r="E223" s="16"/>
      <c r="F223" s="16"/>
      <c r="G223" s="16"/>
      <c r="H223" s="16"/>
      <c r="I223" s="16"/>
      <c r="J223" s="16"/>
      <c r="K223" s="16"/>
      <c r="L223" s="16"/>
      <c r="M223" s="17"/>
      <c r="N223"/>
      <c r="O223"/>
      <c r="P223"/>
      <c r="Q223"/>
      <c r="R223"/>
      <c r="S223"/>
      <c r="T223"/>
    </row>
    <row r="224" spans="2:20" ht="15.75">
      <c r="B224" s="90" t="s">
        <v>724</v>
      </c>
      <c r="C224" s="18"/>
      <c r="D224" s="38"/>
      <c r="E224" s="16"/>
      <c r="F224" s="16"/>
      <c r="G224" s="16"/>
      <c r="H224" s="16"/>
      <c r="I224" s="16"/>
      <c r="J224" s="16"/>
      <c r="K224" s="16"/>
      <c r="L224" s="16"/>
      <c r="M224" s="17"/>
      <c r="N224"/>
      <c r="O224"/>
      <c r="P224"/>
      <c r="Q224"/>
      <c r="R224"/>
      <c r="S224"/>
      <c r="T224"/>
    </row>
    <row r="225" spans="2:20" ht="15.75" thickBot="1">
      <c r="B225" s="91" t="s">
        <v>725</v>
      </c>
      <c r="C225" s="23"/>
      <c r="D225" s="54" t="s">
        <v>919</v>
      </c>
      <c r="E225" s="24"/>
      <c r="F225" s="24"/>
      <c r="G225" s="24"/>
      <c r="H225" s="24"/>
      <c r="I225" s="24"/>
      <c r="J225" s="24"/>
      <c r="K225" s="13"/>
      <c r="L225" s="11"/>
      <c r="M225" s="17"/>
      <c r="N225"/>
      <c r="O225"/>
      <c r="P225"/>
      <c r="Q225"/>
      <c r="R225"/>
      <c r="S225"/>
      <c r="T225"/>
    </row>
    <row r="226" spans="2:20" ht="15">
      <c r="B226" s="90">
        <f>+B213+1</f>
        <v>139</v>
      </c>
      <c r="C226" s="18"/>
      <c r="D226" s="24" t="s">
        <v>774</v>
      </c>
      <c r="E226" s="143" t="str">
        <f>"(ln "&amp;B61&amp;")"</f>
        <v>(ln 20)</v>
      </c>
      <c r="F226" s="68"/>
      <c r="H226" s="69"/>
      <c r="I226" s="69"/>
      <c r="J226" s="69"/>
      <c r="K226" s="69"/>
      <c r="L226" s="127">
        <f>+G61</f>
        <v>438744866</v>
      </c>
      <c r="M226" s="17"/>
      <c r="N226"/>
      <c r="O226"/>
      <c r="P226"/>
      <c r="Q226"/>
      <c r="R226"/>
      <c r="S226"/>
      <c r="T226"/>
    </row>
    <row r="227" spans="2:20" ht="15">
      <c r="B227" s="90">
        <f>+B226+1</f>
        <v>140</v>
      </c>
      <c r="C227" s="18"/>
      <c r="D227" s="24" t="s">
        <v>248</v>
      </c>
      <c r="E227" s="70"/>
      <c r="F227" s="70"/>
      <c r="G227" s="71"/>
      <c r="H227" s="70"/>
      <c r="I227" s="70"/>
      <c r="J227" s="70"/>
      <c r="K227" s="70"/>
      <c r="L227" s="205">
        <f>'KPCo Historic TCOS'!L227</f>
        <v>0</v>
      </c>
      <c r="M227" s="17"/>
      <c r="N227"/>
      <c r="O227"/>
      <c r="P227"/>
      <c r="Q227"/>
      <c r="R227"/>
      <c r="S227"/>
      <c r="T227"/>
    </row>
    <row r="228" spans="2:20" ht="15.75" thickBot="1">
      <c r="B228" s="90">
        <f>+B227+1</f>
        <v>141</v>
      </c>
      <c r="C228" s="18"/>
      <c r="D228" s="68" t="str">
        <f>"  Less transmission plant included in OATT Ancillary Services (Worksheet A, ln "&amp;'KPCo WS A  - RB Support '!A62&amp;", Col. "&amp;'KPCo WS A  - RB Support '!E6&amp;")  (Note Q)"</f>
        <v>  Less transmission plant included in OATT Ancillary Services (Worksheet A, ln 23, Col. (C))  (Note Q)</v>
      </c>
      <c r="E228" s="68"/>
      <c r="F228" s="68"/>
      <c r="G228" s="39"/>
      <c r="H228" s="69"/>
      <c r="I228" s="69"/>
      <c r="J228" s="39"/>
      <c r="K228" s="69"/>
      <c r="L228" s="213">
        <f>+'KPCo WS A  - RB Support '!E62</f>
        <v>1605371</v>
      </c>
      <c r="M228" s="17"/>
      <c r="N228"/>
      <c r="O228"/>
      <c r="P228"/>
      <c r="Q228"/>
      <c r="R228"/>
      <c r="S228"/>
      <c r="T228"/>
    </row>
    <row r="229" spans="2:20" ht="15">
      <c r="B229" s="90">
        <f>+B228+1</f>
        <v>142</v>
      </c>
      <c r="C229" s="18"/>
      <c r="D229" s="24" t="s">
        <v>920</v>
      </c>
      <c r="E229" s="122" t="str">
        <f>"(ln "&amp;B226&amp;" - ln "&amp;B227&amp;" - ln "&amp;B228&amp;")"</f>
        <v>(ln 139 - ln 140 - ln 141)</v>
      </c>
      <c r="F229" s="68"/>
      <c r="H229" s="69"/>
      <c r="I229" s="69"/>
      <c r="J229" s="39"/>
      <c r="K229" s="69"/>
      <c r="L229" s="127">
        <f>L226-L227-L228</f>
        <v>437139495</v>
      </c>
      <c r="M229" s="17"/>
      <c r="N229"/>
      <c r="O229"/>
      <c r="P229"/>
      <c r="Q229"/>
      <c r="R229"/>
      <c r="S229"/>
      <c r="T229"/>
    </row>
    <row r="230" spans="2:20" ht="15">
      <c r="B230" s="90"/>
      <c r="C230" s="18"/>
      <c r="D230" s="13"/>
      <c r="E230" s="68"/>
      <c r="F230" s="68"/>
      <c r="G230" s="39"/>
      <c r="H230" s="69"/>
      <c r="I230" s="69"/>
      <c r="J230" s="39"/>
      <c r="K230" s="69"/>
      <c r="L230" s="70"/>
      <c r="M230" s="17"/>
      <c r="N230"/>
      <c r="O230"/>
      <c r="P230"/>
      <c r="Q230"/>
      <c r="R230"/>
      <c r="S230"/>
      <c r="T230"/>
    </row>
    <row r="231" spans="2:20" ht="15.75">
      <c r="B231" s="90">
        <f>+B229+1</f>
        <v>143</v>
      </c>
      <c r="C231" s="18"/>
      <c r="D231" s="24" t="s">
        <v>921</v>
      </c>
      <c r="E231" s="73" t="str">
        <f>"(ln "&amp;B229&amp;" / ln "&amp;B226&amp;")"</f>
        <v>(ln 142 / ln 139)</v>
      </c>
      <c r="F231" s="72"/>
      <c r="H231" s="74"/>
      <c r="I231" s="75"/>
      <c r="J231" s="75"/>
      <c r="K231" s="76" t="s">
        <v>751</v>
      </c>
      <c r="L231" s="77">
        <f>IF(L226&gt;0,L229/L226,0)</f>
        <v>0.9963409919422282</v>
      </c>
      <c r="M231" s="17"/>
      <c r="N231"/>
      <c r="O231"/>
      <c r="P231"/>
      <c r="Q231"/>
      <c r="R231"/>
      <c r="S231"/>
      <c r="T231"/>
    </row>
    <row r="232" spans="2:20" ht="15.75">
      <c r="B232" s="90"/>
      <c r="C232" s="18"/>
      <c r="D232" s="67"/>
      <c r="E232" s="24"/>
      <c r="F232" s="24"/>
      <c r="G232" s="142"/>
      <c r="H232" s="24"/>
      <c r="I232" s="78"/>
      <c r="J232" s="24"/>
      <c r="K232" s="24"/>
      <c r="L232" s="16"/>
      <c r="M232" s="17"/>
      <c r="N232"/>
      <c r="O232"/>
      <c r="P232"/>
      <c r="Q232"/>
      <c r="R232"/>
      <c r="S232"/>
      <c r="T232"/>
    </row>
    <row r="233" spans="2:20" ht="30">
      <c r="B233" s="94">
        <f>B231+1</f>
        <v>144</v>
      </c>
      <c r="C233" s="78"/>
      <c r="D233" s="54" t="s">
        <v>577</v>
      </c>
      <c r="E233" s="47" t="s">
        <v>131</v>
      </c>
      <c r="F233" s="47" t="s">
        <v>813</v>
      </c>
      <c r="G233" s="209" t="s">
        <v>912</v>
      </c>
      <c r="H233" s="204" t="s">
        <v>726</v>
      </c>
      <c r="I233" s="30"/>
      <c r="J233" s="17"/>
      <c r="K233" s="17"/>
      <c r="L233" s="17"/>
      <c r="M233" s="17"/>
      <c r="N233"/>
      <c r="O233"/>
      <c r="P233"/>
      <c r="Q233"/>
      <c r="R233"/>
      <c r="S233"/>
      <c r="T233"/>
    </row>
    <row r="234" spans="2:20" ht="15">
      <c r="B234" s="94">
        <f aca="true" t="shared" si="16" ref="B234:B239">+B233+1</f>
        <v>145</v>
      </c>
      <c r="C234" s="78"/>
      <c r="D234" s="54" t="s">
        <v>734</v>
      </c>
      <c r="E234" s="17" t="s">
        <v>254</v>
      </c>
      <c r="F234" s="27">
        <f>+'KPCo Historic TCOS'!F234</f>
        <v>9541025</v>
      </c>
      <c r="G234" s="27">
        <f>+'KPCo Historic TCOS'!G234</f>
        <v>2878391</v>
      </c>
      <c r="H234" s="205">
        <f>+F234+G234</f>
        <v>12419416</v>
      </c>
      <c r="I234" s="30" t="s">
        <v>735</v>
      </c>
      <c r="J234" s="48">
        <f>VLOOKUP(I234,APCo_Proj_Allocators,2,FALSE)</f>
        <v>0</v>
      </c>
      <c r="K234" s="80"/>
      <c r="L234" s="105">
        <f>(F234+G234)*J234</f>
        <v>0</v>
      </c>
      <c r="M234" s="17"/>
      <c r="N234"/>
      <c r="O234"/>
      <c r="P234"/>
      <c r="Q234"/>
      <c r="R234"/>
      <c r="S234"/>
      <c r="T234"/>
    </row>
    <row r="235" spans="2:20" ht="15">
      <c r="B235" s="94">
        <f t="shared" si="16"/>
        <v>146</v>
      </c>
      <c r="C235" s="78"/>
      <c r="D235" s="58" t="s">
        <v>736</v>
      </c>
      <c r="E235" s="27" t="s">
        <v>518</v>
      </c>
      <c r="F235" s="27">
        <f>+'KPCo Historic TCOS'!F235</f>
        <v>1320732</v>
      </c>
      <c r="G235" s="27">
        <f>+'KPCo Historic TCOS'!G235</f>
        <v>1123582</v>
      </c>
      <c r="H235" s="205">
        <f>+F235+G235</f>
        <v>2444314</v>
      </c>
      <c r="I235" s="78" t="s">
        <v>728</v>
      </c>
      <c r="J235" s="48">
        <f>VLOOKUP(I235,APCo_Proj_Allocators,2,FALSE)</f>
        <v>0.9963409919422282</v>
      </c>
      <c r="K235" s="80"/>
      <c r="L235" s="105">
        <f>(F235+G235)*J235</f>
        <v>2435370.2353782756</v>
      </c>
      <c r="M235" s="17"/>
      <c r="N235"/>
      <c r="O235"/>
      <c r="P235"/>
      <c r="Q235"/>
      <c r="R235"/>
      <c r="S235"/>
      <c r="T235"/>
    </row>
    <row r="236" spans="2:20" ht="15">
      <c r="B236" s="94">
        <f t="shared" si="16"/>
        <v>147</v>
      </c>
      <c r="C236" s="78"/>
      <c r="D236" s="58" t="s">
        <v>930</v>
      </c>
      <c r="E236" s="17" t="s">
        <v>319</v>
      </c>
      <c r="F236" s="27">
        <v>0</v>
      </c>
      <c r="G236" s="27">
        <v>0</v>
      </c>
      <c r="H236" s="205">
        <v>0</v>
      </c>
      <c r="I236" s="30" t="s">
        <v>735</v>
      </c>
      <c r="J236" s="48">
        <f>VLOOKUP(I236,APCo_Proj_Allocators,2,FALSE)</f>
        <v>0</v>
      </c>
      <c r="K236" s="80"/>
      <c r="L236" s="105">
        <f>(F236+G236)*J236</f>
        <v>0</v>
      </c>
      <c r="M236" s="17"/>
      <c r="N236"/>
      <c r="O236"/>
      <c r="P236"/>
      <c r="Q236"/>
      <c r="R236"/>
      <c r="S236"/>
      <c r="T236"/>
    </row>
    <row r="237" spans="2:20" ht="15">
      <c r="B237" s="94">
        <f t="shared" si="16"/>
        <v>148</v>
      </c>
      <c r="C237" s="78"/>
      <c r="D237" s="58" t="s">
        <v>738</v>
      </c>
      <c r="E237" s="17" t="s">
        <v>252</v>
      </c>
      <c r="F237" s="27">
        <f>+'KPCo Historic TCOS'!F237</f>
        <v>8965083</v>
      </c>
      <c r="G237" s="27">
        <f>+'KPCo Historic TCOS'!G237</f>
        <v>782203</v>
      </c>
      <c r="H237" s="205">
        <f>+F237+G237</f>
        <v>9747286</v>
      </c>
      <c r="I237" s="30" t="s">
        <v>735</v>
      </c>
      <c r="J237" s="48">
        <f>VLOOKUP(I237,APCo_Proj_Allocators,2,FALSE)</f>
        <v>0</v>
      </c>
      <c r="K237" s="80"/>
      <c r="L237" s="105">
        <f>(F237+G237)*J237</f>
        <v>0</v>
      </c>
      <c r="M237" s="17"/>
      <c r="N237"/>
      <c r="O237"/>
      <c r="P237"/>
      <c r="Q237"/>
      <c r="R237"/>
      <c r="S237"/>
      <c r="T237"/>
    </row>
    <row r="238" spans="2:20" ht="15.75" thickBot="1">
      <c r="B238" s="94">
        <f t="shared" si="16"/>
        <v>149</v>
      </c>
      <c r="C238" s="78"/>
      <c r="D238" s="58" t="s">
        <v>834</v>
      </c>
      <c r="E238" s="17" t="s">
        <v>253</v>
      </c>
      <c r="F238" s="303">
        <f>+'KPCo Historic TCOS'!F238</f>
        <v>1828519</v>
      </c>
      <c r="G238" s="303">
        <f>+'KPCo Historic TCOS'!G238</f>
        <v>1896289</v>
      </c>
      <c r="H238" s="206">
        <f>+F238+G238</f>
        <v>3724808</v>
      </c>
      <c r="I238" s="30" t="s">
        <v>735</v>
      </c>
      <c r="J238" s="48">
        <f>VLOOKUP(I238,APCo_Proj_Allocators,2,FALSE)</f>
        <v>0</v>
      </c>
      <c r="K238" s="80"/>
      <c r="L238" s="106">
        <f>(F238+G238)*J238</f>
        <v>0</v>
      </c>
      <c r="M238" s="17"/>
      <c r="N238"/>
      <c r="O238"/>
      <c r="P238"/>
      <c r="Q238"/>
      <c r="R238"/>
      <c r="S238"/>
      <c r="T238"/>
    </row>
    <row r="239" spans="2:13" ht="15.75">
      <c r="B239" s="94">
        <f t="shared" si="16"/>
        <v>150</v>
      </c>
      <c r="C239" s="78"/>
      <c r="D239" s="58" t="s">
        <v>726</v>
      </c>
      <c r="E239" s="58" t="str">
        <f>"(sum lns "&amp;B234&amp;" to "&amp;B238&amp;")"</f>
        <v>(sum lns 145 to 149)</v>
      </c>
      <c r="F239" s="27">
        <f>SUM(F234:F238)</f>
        <v>21655359</v>
      </c>
      <c r="G239" s="27">
        <f>SUM(G234:G238)</f>
        <v>6680465</v>
      </c>
      <c r="H239" s="27">
        <f>SUM(H234:H238)</f>
        <v>28335824</v>
      </c>
      <c r="I239" s="30"/>
      <c r="J239" s="17"/>
      <c r="K239" s="17"/>
      <c r="L239" s="105">
        <f>SUM(L234:L238)</f>
        <v>2435370.2353782756</v>
      </c>
      <c r="M239" s="33"/>
    </row>
    <row r="240" spans="2:13" ht="15">
      <c r="B240" s="94"/>
      <c r="C240" s="78"/>
      <c r="D240" s="58" t="s">
        <v>722</v>
      </c>
      <c r="E240" s="27" t="s">
        <v>722</v>
      </c>
      <c r="F240" s="27"/>
      <c r="G240" s="13"/>
      <c r="H240" s="27"/>
      <c r="I240" s="141"/>
      <c r="M240" s="11"/>
    </row>
    <row r="241" spans="2:13" ht="15.75">
      <c r="B241" s="90">
        <f>+B239+1</f>
        <v>151</v>
      </c>
      <c r="C241" s="18"/>
      <c r="D241" s="40" t="s">
        <v>579</v>
      </c>
      <c r="E241" s="27"/>
      <c r="F241" s="27"/>
      <c r="G241" s="27"/>
      <c r="H241" s="27"/>
      <c r="I241" s="141"/>
      <c r="K241" s="124" t="s">
        <v>580</v>
      </c>
      <c r="L241" s="125">
        <f>L239/(F239+G239)</f>
        <v>0.08594668838210866</v>
      </c>
      <c r="M241" s="11"/>
    </row>
    <row r="242" spans="2:13" ht="15">
      <c r="B242" s="90"/>
      <c r="C242" s="18"/>
      <c r="D242" s="40"/>
      <c r="E242" s="27"/>
      <c r="F242" s="27"/>
      <c r="G242" s="27"/>
      <c r="H242" s="27"/>
      <c r="I242" s="30"/>
      <c r="J242" s="17"/>
      <c r="K242" s="17"/>
      <c r="L242" s="17"/>
      <c r="M242" s="17"/>
    </row>
    <row r="243" spans="2:13" ht="15.75">
      <c r="B243" s="90"/>
      <c r="C243" s="18"/>
      <c r="D243" s="40"/>
      <c r="E243" s="123"/>
      <c r="F243" s="17"/>
      <c r="G243" s="11"/>
      <c r="H243" s="17"/>
      <c r="I243" s="17"/>
      <c r="J243" s="17"/>
      <c r="K243" s="37"/>
      <c r="L243" s="79"/>
      <c r="M243" s="17"/>
    </row>
    <row r="244" spans="2:13" ht="15.75" thickBot="1">
      <c r="B244" s="94">
        <f>+B241+1</f>
        <v>152</v>
      </c>
      <c r="C244" s="78"/>
      <c r="D244" s="58" t="s">
        <v>831</v>
      </c>
      <c r="E244" s="27"/>
      <c r="F244" s="27"/>
      <c r="G244" s="27"/>
      <c r="H244" s="27"/>
      <c r="I244" s="27"/>
      <c r="J244" s="27"/>
      <c r="K244" s="27"/>
      <c r="L244" s="211" t="s">
        <v>752</v>
      </c>
      <c r="M244" s="17"/>
    </row>
    <row r="245" spans="2:13" ht="15">
      <c r="B245" s="94">
        <f aca="true" t="shared" si="17" ref="B245:B258">+B244+1</f>
        <v>153</v>
      </c>
      <c r="C245" s="78"/>
      <c r="D245" s="27" t="s">
        <v>917</v>
      </c>
      <c r="E245" s="14" t="str">
        <f>"(Worksheet L, ln. "&amp;'KPCo WS L Cost of Debt'!A52&amp;", col. "&amp;'KPCo WS L Cost of Debt'!E8&amp;")"</f>
        <v>(Worksheet L, ln. 35, col. (D))</v>
      </c>
      <c r="F245" s="27"/>
      <c r="G245" s="27"/>
      <c r="H245" s="27"/>
      <c r="I245" s="27"/>
      <c r="J245" s="27"/>
      <c r="K245" s="27"/>
      <c r="L245" s="120">
        <f>+'KPCo WS L Cost of Debt'!E52</f>
        <v>35539453</v>
      </c>
      <c r="M245" s="17"/>
    </row>
    <row r="246" spans="2:13" ht="15">
      <c r="B246" s="94">
        <f>+B245+1</f>
        <v>154</v>
      </c>
      <c r="C246" s="78"/>
      <c r="D246" s="27" t="s">
        <v>918</v>
      </c>
      <c r="E246" s="14" t="str">
        <f>"(Worksheet L, ln. "&amp;'KPCo WS L Cost of Debt'!A59&amp;", col. "&amp;'KPCo WS L Cost of Debt'!E8&amp;")"</f>
        <v>(Worksheet L, ln. 40, col. (D))</v>
      </c>
      <c r="F246" s="27"/>
      <c r="G246" s="27"/>
      <c r="H246" s="27"/>
      <c r="I246" s="27"/>
      <c r="J246" s="27"/>
      <c r="K246" s="27"/>
      <c r="L246" s="120">
        <f>+'KPCo WS L Cost of Debt'!E59</f>
        <v>0</v>
      </c>
      <c r="M246" s="17"/>
    </row>
    <row r="247" spans="2:13" ht="15">
      <c r="B247" s="94">
        <f t="shared" si="17"/>
        <v>155</v>
      </c>
      <c r="C247" s="78"/>
      <c r="D247" s="291" t="s">
        <v>24</v>
      </c>
      <c r="E247" s="27"/>
      <c r="F247" s="27"/>
      <c r="G247" s="27"/>
      <c r="H247" s="99"/>
      <c r="I247" s="27"/>
      <c r="J247" s="27"/>
      <c r="K247" s="27"/>
      <c r="L247" s="120"/>
      <c r="M247" s="17"/>
    </row>
    <row r="248" spans="2:13" ht="15">
      <c r="B248" s="94">
        <f t="shared" si="17"/>
        <v>156</v>
      </c>
      <c r="C248" s="78"/>
      <c r="D248" s="27" t="s">
        <v>25</v>
      </c>
      <c r="E248" s="14" t="s">
        <v>390</v>
      </c>
      <c r="F248" s="27"/>
      <c r="G248" s="24"/>
      <c r="H248" s="99"/>
      <c r="I248" s="27"/>
      <c r="J248" s="27"/>
      <c r="K248" s="27"/>
      <c r="L248" s="120">
        <f>+'KPCo Historic TCOS'!L248</f>
        <v>431783697</v>
      </c>
      <c r="M248" s="17"/>
    </row>
    <row r="249" spans="2:13" ht="15">
      <c r="B249" s="94">
        <f t="shared" si="17"/>
        <v>157</v>
      </c>
      <c r="C249" s="78"/>
      <c r="D249" s="27" t="s">
        <v>192</v>
      </c>
      <c r="E249" s="14" t="s">
        <v>391</v>
      </c>
      <c r="F249" s="27"/>
      <c r="G249" s="27"/>
      <c r="H249" s="99"/>
      <c r="I249" s="27"/>
      <c r="J249" s="27"/>
      <c r="K249" s="27"/>
      <c r="L249" s="120">
        <f>+'KPCo Historic TCOS'!L249</f>
        <v>0</v>
      </c>
      <c r="M249" s="17"/>
    </row>
    <row r="250" spans="2:13" ht="15">
      <c r="B250" s="94">
        <f t="shared" si="17"/>
        <v>158</v>
      </c>
      <c r="C250" s="78"/>
      <c r="D250" s="27" t="s">
        <v>183</v>
      </c>
      <c r="E250" s="14" t="s">
        <v>519</v>
      </c>
      <c r="F250" s="27"/>
      <c r="G250" s="27"/>
      <c r="H250" s="99"/>
      <c r="I250" s="27"/>
      <c r="J250" s="27"/>
      <c r="K250" s="27"/>
      <c r="L250" s="120">
        <f>+'KPCo Historic TCOS'!L250</f>
        <v>0</v>
      </c>
      <c r="M250" s="17"/>
    </row>
    <row r="251" spans="2:13" ht="15.75" thickBot="1">
      <c r="B251" s="94">
        <f t="shared" si="17"/>
        <v>159</v>
      </c>
      <c r="C251" s="78"/>
      <c r="D251" s="27" t="s">
        <v>189</v>
      </c>
      <c r="E251" s="14" t="s">
        <v>392</v>
      </c>
      <c r="F251" s="27"/>
      <c r="G251" s="27"/>
      <c r="H251" s="99"/>
      <c r="I251" s="27"/>
      <c r="J251" s="27"/>
      <c r="K251" s="27"/>
      <c r="L251" s="121">
        <f>+'KPCo Historic TCOS'!L251</f>
        <v>-600942</v>
      </c>
      <c r="M251" s="17"/>
    </row>
    <row r="252" spans="2:13" ht="15">
      <c r="B252" s="94">
        <f t="shared" si="17"/>
        <v>160</v>
      </c>
      <c r="C252" s="78"/>
      <c r="D252" s="14" t="s">
        <v>26</v>
      </c>
      <c r="E252" s="27" t="str">
        <f>"(ln "&amp;B248&amp;" - ln "&amp;B249&amp;" - ln "&amp;B250&amp;" - ln "&amp;B251&amp;")"</f>
        <v>(ln 156 - ln 157 - ln 158 - ln 159)</v>
      </c>
      <c r="F252" s="256"/>
      <c r="G252" s="56"/>
      <c r="H252" s="24"/>
      <c r="I252" s="24"/>
      <c r="J252" s="24"/>
      <c r="K252" s="24"/>
      <c r="L252" s="120">
        <f>+L248-L249-L250-L251</f>
        <v>432384639</v>
      </c>
      <c r="M252" s="17"/>
    </row>
    <row r="253" spans="2:13" ht="15.75">
      <c r="B253" s="94"/>
      <c r="C253" s="78"/>
      <c r="D253" s="58"/>
      <c r="E253" s="27"/>
      <c r="F253" s="27"/>
      <c r="G253" s="1115"/>
      <c r="H253" s="1115"/>
      <c r="I253" s="27"/>
      <c r="J253" s="876" t="s">
        <v>753</v>
      </c>
      <c r="K253" s="27"/>
      <c r="L253" s="27"/>
      <c r="M253" s="17"/>
    </row>
    <row r="254" spans="2:18" ht="15.75" thickBot="1">
      <c r="B254" s="94">
        <f>+B252+1</f>
        <v>161</v>
      </c>
      <c r="C254" s="78"/>
      <c r="D254" s="58"/>
      <c r="F254" s="27"/>
      <c r="G254" s="257" t="s">
        <v>752</v>
      </c>
      <c r="H254" s="257" t="s">
        <v>754</v>
      </c>
      <c r="I254" s="27"/>
      <c r="J254" s="878" t="s">
        <v>250</v>
      </c>
      <c r="K254" s="27"/>
      <c r="L254" s="257" t="s">
        <v>755</v>
      </c>
      <c r="M254" s="17"/>
      <c r="N254" s="31"/>
      <c r="O254" s="31"/>
      <c r="P254" s="31"/>
      <c r="Q254" s="31"/>
      <c r="R254" s="31"/>
    </row>
    <row r="255" spans="2:18" ht="15">
      <c r="B255" s="94">
        <f t="shared" si="17"/>
        <v>162</v>
      </c>
      <c r="C255" s="78"/>
      <c r="D255" s="58" t="str">
        <f>"  Long Term Debt  (Note T) Worksheet L, ln "&amp;'KPCo WS L Cost of Debt'!A52&amp;", col. "&amp;'KPCo WS L Cost of Debt'!C8&amp;")"</f>
        <v>  Long Term Debt  (Note T) Worksheet L, ln 35, col. (B))</v>
      </c>
      <c r="F255" s="27"/>
      <c r="G255" s="120">
        <f>+'KPCo WS L Cost of Debt'!C52</f>
        <v>550000000</v>
      </c>
      <c r="H255" s="879">
        <f>IF($G$258&gt;0,G255/$G$258,0)</f>
        <v>0.5598621743107284</v>
      </c>
      <c r="I255" s="881"/>
      <c r="J255" s="882">
        <f>IF(G255&gt;0,L245/G255,0)</f>
        <v>0.06461718727272728</v>
      </c>
      <c r="K255" s="13"/>
      <c r="L255" s="883">
        <f>J255*H255</f>
        <v>0.036176718964352615</v>
      </c>
      <c r="M255" s="81"/>
      <c r="N255" s="31"/>
      <c r="O255" s="31"/>
      <c r="P255" s="31"/>
      <c r="Q255" s="31"/>
      <c r="R255" s="31"/>
    </row>
    <row r="256" spans="2:13" ht="15">
      <c r="B256" s="94">
        <f t="shared" si="17"/>
        <v>163</v>
      </c>
      <c r="C256" s="78"/>
      <c r="D256" s="58" t="str">
        <f>"  Preferred Stock (ln "&amp;B249&amp;")"</f>
        <v>  Preferred Stock (ln 157)</v>
      </c>
      <c r="F256" s="13"/>
      <c r="G256" s="120">
        <f>+L249</f>
        <v>0</v>
      </c>
      <c r="H256" s="879">
        <f>IF($G$258&gt;0,G256/$G$258,0)</f>
        <v>0</v>
      </c>
      <c r="I256" s="881"/>
      <c r="J256" s="882">
        <f>IF(G256&gt;0,L246/G256,0)</f>
        <v>0</v>
      </c>
      <c r="K256" s="13"/>
      <c r="L256" s="884">
        <f>J256*H256</f>
        <v>0</v>
      </c>
      <c r="M256" s="17"/>
    </row>
    <row r="257" spans="2:13" ht="15.75" thickBot="1">
      <c r="B257" s="94">
        <f t="shared" si="17"/>
        <v>164</v>
      </c>
      <c r="C257" s="78"/>
      <c r="D257" s="58" t="str">
        <f>"  Common Stock (ln "&amp;B252&amp;")"</f>
        <v>  Common Stock (ln 160)</v>
      </c>
      <c r="F257" s="13"/>
      <c r="G257" s="121">
        <f>+L252</f>
        <v>432384639</v>
      </c>
      <c r="H257" s="879">
        <f>IF($G$258&gt;0,G257/$G$258,0)</f>
        <v>0.44013782568927157</v>
      </c>
      <c r="I257" s="881"/>
      <c r="J257" s="302">
        <f>+'KPCo Historic TCOS'!J257</f>
        <v>0.1149</v>
      </c>
      <c r="K257" s="13"/>
      <c r="L257" s="885">
        <f>J257*H257</f>
        <v>0.050571836171697304</v>
      </c>
      <c r="M257" s="17"/>
    </row>
    <row r="258" spans="2:13" ht="15.75">
      <c r="B258" s="94">
        <f t="shared" si="17"/>
        <v>165</v>
      </c>
      <c r="C258" s="78"/>
      <c r="D258" s="58" t="str">
        <f>" Total (Sum lns "&amp;B255&amp;" to "&amp;B257&amp;")"</f>
        <v> Total (Sum lns 162 to 164)</v>
      </c>
      <c r="F258" s="13"/>
      <c r="G258" s="120">
        <f>G257+G256+G255</f>
        <v>982384639</v>
      </c>
      <c r="I258" s="27"/>
      <c r="J258" s="886"/>
      <c r="K258" s="258" t="s">
        <v>558</v>
      </c>
      <c r="L258" s="887">
        <f>SUM(L255:L257)</f>
        <v>0.08674855513604993</v>
      </c>
      <c r="M258" s="82"/>
    </row>
    <row r="259" spans="2:18" ht="15">
      <c r="B259" s="93"/>
      <c r="C259" s="756"/>
      <c r="D259" s="100"/>
      <c r="E259" s="99"/>
      <c r="F259" s="99"/>
      <c r="H259" s="99"/>
      <c r="I259" s="99"/>
      <c r="J259" s="139"/>
      <c r="K259" s="139"/>
      <c r="L259" s="888"/>
      <c r="M259" s="5"/>
      <c r="N259" s="84"/>
      <c r="O259" s="84"/>
      <c r="P259" s="84"/>
      <c r="Q259" s="84"/>
      <c r="R259" s="84"/>
    </row>
    <row r="260" spans="2:18" ht="15.75">
      <c r="B260" s="90"/>
      <c r="C260" s="18"/>
      <c r="D260" s="63"/>
      <c r="E260" s="63"/>
      <c r="F260" s="21" t="str">
        <f>F216</f>
        <v>AEP East Companies</v>
      </c>
      <c r="G260" s="64"/>
      <c r="H260" s="17"/>
      <c r="I260" s="17"/>
      <c r="J260" s="749"/>
      <c r="K260" s="16"/>
      <c r="L260" s="41"/>
      <c r="M260" s="145"/>
      <c r="N260" s="84"/>
      <c r="O260" s="84"/>
      <c r="P260" s="84"/>
      <c r="Q260" s="84"/>
      <c r="R260" s="84"/>
    </row>
    <row r="261" spans="2:18" ht="15">
      <c r="B261" s="90"/>
      <c r="C261" s="18"/>
      <c r="D261" s="65"/>
      <c r="E261" s="18"/>
      <c r="F261" s="21" t="str">
        <f>F217</f>
        <v>Transmission Cost of Service Formula Rate</v>
      </c>
      <c r="G261" s="17"/>
      <c r="H261" s="17"/>
      <c r="I261" s="17"/>
      <c r="J261" s="61"/>
      <c r="K261" s="16"/>
      <c r="L261" s="832"/>
      <c r="M261" s="128"/>
      <c r="N261" s="84"/>
      <c r="O261" s="84"/>
      <c r="P261" s="84"/>
      <c r="Q261" s="84"/>
      <c r="R261" s="84"/>
    </row>
    <row r="262" spans="2:18" ht="15.75">
      <c r="B262" s="90"/>
      <c r="C262" s="18"/>
      <c r="D262" s="65"/>
      <c r="E262" s="36"/>
      <c r="F262" s="21" t="str">
        <f>F218</f>
        <v>Utilizing  Historic Cost Data for 2009 and Projected Net Plant at Year-End 2010</v>
      </c>
      <c r="G262" s="17"/>
      <c r="H262" s="17"/>
      <c r="I262" s="17"/>
      <c r="J262" s="17"/>
      <c r="K262" s="16"/>
      <c r="L262" s="688"/>
      <c r="M262" s="145"/>
      <c r="N262" s="84"/>
      <c r="O262" s="84"/>
      <c r="P262" s="84"/>
      <c r="Q262" s="84"/>
      <c r="R262" s="84"/>
    </row>
    <row r="263" spans="2:18" ht="15.75">
      <c r="B263" s="90"/>
      <c r="C263" s="18"/>
      <c r="D263" s="65"/>
      <c r="E263" s="36"/>
      <c r="F263" s="21"/>
      <c r="G263" s="17"/>
      <c r="H263" s="17"/>
      <c r="I263" s="17"/>
      <c r="J263" s="17"/>
      <c r="K263" s="16"/>
      <c r="L263" s="889"/>
      <c r="M263" s="13"/>
      <c r="N263" s="84"/>
      <c r="O263" s="84"/>
      <c r="P263" s="84"/>
      <c r="Q263" s="84"/>
      <c r="R263" s="84"/>
    </row>
    <row r="264" spans="2:18" ht="15.75">
      <c r="B264" s="90"/>
      <c r="C264" s="18"/>
      <c r="D264" s="65"/>
      <c r="E264" s="36"/>
      <c r="F264" s="21" t="str">
        <f>F220</f>
        <v>KENTUCKY POWER COMPANY</v>
      </c>
      <c r="G264" s="17"/>
      <c r="H264" s="17"/>
      <c r="I264" s="17"/>
      <c r="J264" s="17"/>
      <c r="K264" s="16"/>
      <c r="L264" s="688"/>
      <c r="M264" s="13"/>
      <c r="N264" s="84"/>
      <c r="O264" s="84"/>
      <c r="P264" s="84"/>
      <c r="Q264" s="84"/>
      <c r="R264" s="84"/>
    </row>
    <row r="265" spans="2:18" ht="15.75">
      <c r="B265" s="90"/>
      <c r="C265" s="18"/>
      <c r="D265" s="65"/>
      <c r="E265" s="36"/>
      <c r="F265" s="21"/>
      <c r="G265" s="17"/>
      <c r="H265" s="17"/>
      <c r="I265" s="17"/>
      <c r="J265" s="17"/>
      <c r="K265" s="16"/>
      <c r="L265" s="66"/>
      <c r="M265" s="13"/>
      <c r="N265" s="84"/>
      <c r="O265" s="84"/>
      <c r="P265" s="84"/>
      <c r="Q265" s="84"/>
      <c r="R265" s="84"/>
    </row>
    <row r="266" spans="2:18" ht="15.75">
      <c r="B266" s="200" t="s">
        <v>784</v>
      </c>
      <c r="C266" s="23"/>
      <c r="D266" s="54"/>
      <c r="E266" s="24"/>
      <c r="F266" s="200" t="s">
        <v>783</v>
      </c>
      <c r="G266" s="27"/>
      <c r="H266" s="27"/>
      <c r="I266" s="27"/>
      <c r="J266" s="27"/>
      <c r="K266" s="24"/>
      <c r="L266" s="27"/>
      <c r="M266" s="13"/>
      <c r="N266" s="84"/>
      <c r="O266" s="84"/>
      <c r="P266" s="84"/>
      <c r="Q266" s="84"/>
      <c r="R266" s="84"/>
    </row>
    <row r="267" spans="3:18" ht="15">
      <c r="C267" s="23"/>
      <c r="L267" s="66"/>
      <c r="M267" s="13"/>
      <c r="N267" s="84"/>
      <c r="O267" s="84"/>
      <c r="P267" s="84"/>
      <c r="Q267" s="84"/>
      <c r="R267" s="84"/>
    </row>
    <row r="268" spans="2:18" ht="15">
      <c r="B268" s="90"/>
      <c r="C268" s="18"/>
      <c r="D268" s="15" t="s">
        <v>461</v>
      </c>
      <c r="E268" s="78"/>
      <c r="F268" s="78"/>
      <c r="G268" s="27"/>
      <c r="H268" s="27"/>
      <c r="I268" s="27"/>
      <c r="J268" s="27"/>
      <c r="K268" s="24"/>
      <c r="L268" s="27"/>
      <c r="M268" s="24"/>
      <c r="N268" s="84"/>
      <c r="O268" s="84"/>
      <c r="P268" s="84"/>
      <c r="Q268" s="84"/>
      <c r="R268" s="84"/>
    </row>
    <row r="269" spans="2:18" ht="15">
      <c r="B269" s="14"/>
      <c r="D269" s="54"/>
      <c r="E269" s="24"/>
      <c r="F269" s="24"/>
      <c r="G269" s="27"/>
      <c r="H269" s="27"/>
      <c r="I269" s="27"/>
      <c r="J269" s="27"/>
      <c r="K269" s="24"/>
      <c r="L269" s="27"/>
      <c r="M269" s="24"/>
      <c r="N269" s="84"/>
      <c r="O269" s="84"/>
      <c r="P269" s="84"/>
      <c r="Q269" s="84"/>
      <c r="R269" s="84"/>
    </row>
    <row r="270" spans="2:18" ht="15">
      <c r="B270" s="14"/>
      <c r="D270" s="54"/>
      <c r="E270" s="24"/>
      <c r="F270" s="24"/>
      <c r="G270" s="27"/>
      <c r="H270" s="27"/>
      <c r="I270" s="27"/>
      <c r="J270" s="27"/>
      <c r="K270" s="24"/>
      <c r="L270" s="27"/>
      <c r="M270" s="24"/>
      <c r="N270" s="84"/>
      <c r="O270" s="84"/>
      <c r="P270" s="84"/>
      <c r="Q270" s="84"/>
      <c r="R270" s="84"/>
    </row>
    <row r="271" spans="2:18" ht="15">
      <c r="B271" s="96" t="s">
        <v>756</v>
      </c>
      <c r="C271" s="23"/>
      <c r="D271" s="54" t="s">
        <v>354</v>
      </c>
      <c r="E271" s="24"/>
      <c r="F271" s="24"/>
      <c r="G271" s="27"/>
      <c r="H271" s="27"/>
      <c r="I271" s="27"/>
      <c r="J271" s="27"/>
      <c r="K271" s="24"/>
      <c r="L271" s="27"/>
      <c r="M271" s="24"/>
      <c r="N271" s="84"/>
      <c r="O271" s="84"/>
      <c r="P271" s="84"/>
      <c r="Q271" s="84"/>
      <c r="R271" s="84"/>
    </row>
    <row r="272" spans="2:18" ht="15">
      <c r="B272" s="96"/>
      <c r="C272" s="83"/>
      <c r="D272" s="54" t="s">
        <v>193</v>
      </c>
      <c r="E272" s="24"/>
      <c r="F272" s="24"/>
      <c r="G272" s="24"/>
      <c r="H272" s="24"/>
      <c r="I272" s="24"/>
      <c r="J272" s="24"/>
      <c r="K272" s="24"/>
      <c r="L272" s="24"/>
      <c r="M272" s="24"/>
      <c r="N272" s="84"/>
      <c r="O272" s="84"/>
      <c r="P272" s="84"/>
      <c r="Q272" s="84"/>
      <c r="R272" s="84"/>
    </row>
    <row r="273" spans="2:18" ht="15">
      <c r="B273" s="97"/>
      <c r="C273" s="13"/>
      <c r="D273" s="14" t="s">
        <v>194</v>
      </c>
      <c r="E273" s="88"/>
      <c r="F273" s="88"/>
      <c r="G273" s="24"/>
      <c r="H273" s="24"/>
      <c r="I273" s="24"/>
      <c r="J273" s="24"/>
      <c r="K273" s="24"/>
      <c r="L273" s="24"/>
      <c r="M273" s="24"/>
      <c r="N273" s="84"/>
      <c r="O273" s="84"/>
      <c r="P273" s="84"/>
      <c r="Q273" s="84"/>
      <c r="R273" s="84"/>
    </row>
    <row r="274" spans="2:18" ht="15">
      <c r="B274" s="97"/>
      <c r="C274" s="13"/>
      <c r="D274" s="54" t="s">
        <v>355</v>
      </c>
      <c r="E274" s="24"/>
      <c r="F274" s="24"/>
      <c r="G274" s="24"/>
      <c r="H274" s="24"/>
      <c r="I274" s="24"/>
      <c r="J274" s="24"/>
      <c r="K274" s="24"/>
      <c r="L274" s="24"/>
      <c r="M274" s="24"/>
      <c r="N274" s="84"/>
      <c r="O274" s="84"/>
      <c r="P274" s="84"/>
      <c r="Q274" s="84"/>
      <c r="R274" s="84"/>
    </row>
    <row r="275" spans="2:18" ht="15">
      <c r="B275" s="94"/>
      <c r="C275" s="78"/>
      <c r="D275" s="54" t="s">
        <v>356</v>
      </c>
      <c r="E275" s="24"/>
      <c r="F275" s="24"/>
      <c r="G275" s="24"/>
      <c r="H275" s="24"/>
      <c r="I275" s="24"/>
      <c r="J275" s="24"/>
      <c r="K275" s="24"/>
      <c r="L275" s="24"/>
      <c r="M275" s="24"/>
      <c r="N275" s="84"/>
      <c r="O275" s="84"/>
      <c r="P275" s="84"/>
      <c r="Q275" s="84"/>
      <c r="R275" s="84"/>
    </row>
    <row r="276" spans="2:18" ht="15">
      <c r="B276" s="94"/>
      <c r="C276" s="78"/>
      <c r="D276" s="54" t="s">
        <v>195</v>
      </c>
      <c r="E276" s="24"/>
      <c r="F276" s="24"/>
      <c r="G276" s="24"/>
      <c r="H276" s="24"/>
      <c r="I276" s="24"/>
      <c r="J276" s="24"/>
      <c r="K276" s="24"/>
      <c r="L276" s="24"/>
      <c r="M276" s="24"/>
      <c r="N276" s="84"/>
      <c r="O276" s="84"/>
      <c r="P276" s="84"/>
      <c r="Q276" s="84"/>
      <c r="R276" s="84"/>
    </row>
    <row r="277" spans="2:18" ht="15">
      <c r="B277" s="94"/>
      <c r="C277" s="78"/>
      <c r="D277" s="54" t="s">
        <v>196</v>
      </c>
      <c r="E277" s="24"/>
      <c r="F277" s="24"/>
      <c r="G277" s="24"/>
      <c r="H277" s="24"/>
      <c r="I277" s="24"/>
      <c r="J277" s="24"/>
      <c r="K277" s="24"/>
      <c r="L277" s="24"/>
      <c r="M277" s="24"/>
      <c r="N277" s="84"/>
      <c r="O277" s="84"/>
      <c r="P277" s="84"/>
      <c r="Q277" s="84"/>
      <c r="R277" s="84"/>
    </row>
    <row r="278" spans="2:18" ht="15">
      <c r="B278" s="94"/>
      <c r="C278" s="78"/>
      <c r="D278" s="54" t="s">
        <v>364</v>
      </c>
      <c r="E278" s="24"/>
      <c r="F278" s="24"/>
      <c r="G278" s="24"/>
      <c r="H278" s="24"/>
      <c r="I278" s="24"/>
      <c r="J278" s="24"/>
      <c r="K278" s="24"/>
      <c r="L278" s="24"/>
      <c r="M278" s="24"/>
      <c r="N278" s="84"/>
      <c r="O278" s="84"/>
      <c r="P278" s="84"/>
      <c r="Q278" s="84"/>
      <c r="R278" s="84"/>
    </row>
    <row r="279" spans="2:18" ht="15">
      <c r="B279" s="94"/>
      <c r="C279" s="78"/>
      <c r="D279" s="139"/>
      <c r="E279" s="24"/>
      <c r="F279" s="24"/>
      <c r="G279" s="24"/>
      <c r="H279" s="24"/>
      <c r="I279" s="24"/>
      <c r="J279" s="24"/>
      <c r="K279" s="24"/>
      <c r="L279" s="54"/>
      <c r="M279" s="24"/>
      <c r="N279" s="84"/>
      <c r="O279" s="84"/>
      <c r="P279" s="84"/>
      <c r="Q279" s="84"/>
      <c r="R279" s="84"/>
    </row>
    <row r="280" spans="2:18" ht="15" customHeight="1">
      <c r="B280" s="94" t="s">
        <v>757</v>
      </c>
      <c r="C280" s="78"/>
      <c r="D280" s="1148" t="s">
        <v>236</v>
      </c>
      <c r="E280" s="1149"/>
      <c r="F280" s="1149"/>
      <c r="G280" s="1149"/>
      <c r="H280" s="1149"/>
      <c r="I280" s="1149"/>
      <c r="J280" s="1149"/>
      <c r="K280" s="1149"/>
      <c r="L280" s="54"/>
      <c r="M280" s="24"/>
      <c r="N280" s="84"/>
      <c r="O280" s="84"/>
      <c r="P280" s="84"/>
      <c r="Q280" s="84"/>
      <c r="R280" s="84"/>
    </row>
    <row r="281" spans="2:18" ht="15">
      <c r="B281" s="94"/>
      <c r="C281" s="78"/>
      <c r="D281" s="1149"/>
      <c r="E281" s="1149"/>
      <c r="F281" s="1149"/>
      <c r="G281" s="1149"/>
      <c r="H281" s="1149"/>
      <c r="I281" s="1149"/>
      <c r="J281" s="1149"/>
      <c r="K281" s="1149"/>
      <c r="L281" s="54"/>
      <c r="M281" s="24"/>
      <c r="N281" s="84"/>
      <c r="O281" s="84"/>
      <c r="P281" s="84"/>
      <c r="Q281" s="84"/>
      <c r="R281" s="84"/>
    </row>
    <row r="282" spans="5:18" ht="15">
      <c r="E282" s="24"/>
      <c r="F282" s="24"/>
      <c r="G282" s="24"/>
      <c r="H282" s="24"/>
      <c r="I282" s="24"/>
      <c r="J282" s="24"/>
      <c r="K282" s="24"/>
      <c r="L282" s="24"/>
      <c r="M282" s="24"/>
      <c r="N282" s="84"/>
      <c r="O282" s="84"/>
      <c r="P282" s="84"/>
      <c r="Q282" s="84"/>
      <c r="R282" s="84"/>
    </row>
    <row r="283" spans="2:18" ht="15">
      <c r="B283" s="94" t="s">
        <v>758</v>
      </c>
      <c r="C283" s="78"/>
      <c r="D283" s="5" t="str">
        <f>"Transmission Plant balances in this study are projected as of December 31, "&amp;'KPCo Historic TCOS'!O2&amp;". Other ratebase amounts are as of December 31, "&amp;'KPCo Historic TCOS'!O1&amp;"."</f>
        <v>Transmission Plant balances in this study are projected as of December 31, 2010. Other ratebase amounts are as of December 31, 2009.</v>
      </c>
      <c r="E283" s="24"/>
      <c r="F283" s="24"/>
      <c r="G283" s="24"/>
      <c r="H283" s="24"/>
      <c r="I283" s="24"/>
      <c r="J283" s="24"/>
      <c r="K283" s="24"/>
      <c r="L283" s="24"/>
      <c r="M283" s="24"/>
      <c r="N283" s="84"/>
      <c r="O283" s="84"/>
      <c r="P283" s="84"/>
      <c r="Q283" s="84"/>
      <c r="R283" s="84"/>
    </row>
    <row r="284" spans="2:18" ht="15">
      <c r="B284" s="94"/>
      <c r="C284" s="78"/>
      <c r="D284" s="5"/>
      <c r="E284" s="24"/>
      <c r="F284" s="24"/>
      <c r="G284" s="24"/>
      <c r="H284" s="24"/>
      <c r="I284" s="24"/>
      <c r="J284" s="24"/>
      <c r="K284" s="24"/>
      <c r="L284" s="24"/>
      <c r="M284" s="24"/>
      <c r="N284" s="84"/>
      <c r="O284" s="84"/>
      <c r="P284" s="84"/>
      <c r="Q284" s="84"/>
      <c r="R284" s="84"/>
    </row>
    <row r="285" spans="2:18" ht="15">
      <c r="B285" s="94" t="s">
        <v>759</v>
      </c>
      <c r="C285" s="78"/>
      <c r="D285" s="54" t="s">
        <v>27</v>
      </c>
      <c r="E285" s="24"/>
      <c r="F285" s="24"/>
      <c r="G285" s="24"/>
      <c r="H285" s="24"/>
      <c r="I285" s="24"/>
      <c r="J285" s="24"/>
      <c r="K285" s="24"/>
      <c r="L285" s="24"/>
      <c r="M285" s="24"/>
      <c r="N285" s="54"/>
      <c r="O285" s="84"/>
      <c r="P285" s="84"/>
      <c r="Q285" s="84"/>
      <c r="R285" s="84"/>
    </row>
    <row r="286" spans="2:18" ht="15">
      <c r="B286" s="94"/>
      <c r="C286" s="78"/>
      <c r="D286" s="54" t="s">
        <v>372</v>
      </c>
      <c r="E286" s="24"/>
      <c r="F286" s="24"/>
      <c r="G286" s="24"/>
      <c r="H286" s="24"/>
      <c r="I286" s="24"/>
      <c r="J286" s="24"/>
      <c r="K286" s="24"/>
      <c r="L286" s="24"/>
      <c r="M286" s="24"/>
      <c r="N286" s="54"/>
      <c r="O286" s="84"/>
      <c r="P286" s="84"/>
      <c r="Q286" s="84"/>
      <c r="R286" s="84"/>
    </row>
    <row r="287" spans="2:18" ht="15">
      <c r="B287" s="94"/>
      <c r="C287" s="78"/>
      <c r="D287" s="54" t="s">
        <v>386</v>
      </c>
      <c r="E287" s="24"/>
      <c r="F287" s="24"/>
      <c r="G287" s="24"/>
      <c r="H287" s="24"/>
      <c r="I287" s="24"/>
      <c r="J287" s="24"/>
      <c r="K287" s="24"/>
      <c r="L287" s="24"/>
      <c r="M287" s="24"/>
      <c r="N287" s="54"/>
      <c r="O287" s="84"/>
      <c r="P287" s="84"/>
      <c r="Q287" s="84"/>
      <c r="R287" s="84"/>
    </row>
    <row r="288" spans="2:18" ht="15">
      <c r="B288" s="94"/>
      <c r="C288" s="78"/>
      <c r="D288" s="54" t="s">
        <v>181</v>
      </c>
      <c r="E288" s="24"/>
      <c r="F288" s="24"/>
      <c r="G288" s="24"/>
      <c r="H288" s="24"/>
      <c r="I288" s="24"/>
      <c r="J288" s="24"/>
      <c r="K288" s="24"/>
      <c r="L288" s="24"/>
      <c r="M288" s="24"/>
      <c r="N288" s="84"/>
      <c r="O288" s="84"/>
      <c r="P288" s="84"/>
      <c r="Q288" s="84"/>
      <c r="R288" s="84"/>
    </row>
    <row r="289" spans="2:18" ht="15">
      <c r="B289" s="94"/>
      <c r="C289" s="78"/>
      <c r="D289" s="1068" t="s">
        <v>44</v>
      </c>
      <c r="E289" s="24"/>
      <c r="F289" s="24"/>
      <c r="G289" s="24"/>
      <c r="H289" s="24"/>
      <c r="I289" s="24"/>
      <c r="J289" s="24"/>
      <c r="K289" s="24"/>
      <c r="L289" s="24"/>
      <c r="M289" s="24"/>
      <c r="N289" s="84"/>
      <c r="O289" s="84"/>
      <c r="P289" s="84"/>
      <c r="Q289" s="84"/>
      <c r="R289" s="84"/>
    </row>
    <row r="290" spans="2:18" ht="15">
      <c r="B290" s="94"/>
      <c r="C290" s="78"/>
      <c r="D290" s="54"/>
      <c r="E290" s="24"/>
      <c r="F290" s="24"/>
      <c r="G290" s="24"/>
      <c r="H290" s="24"/>
      <c r="I290" s="24"/>
      <c r="J290" s="24"/>
      <c r="K290" s="24"/>
      <c r="L290" s="68"/>
      <c r="M290" s="24"/>
      <c r="N290" s="84"/>
      <c r="O290" s="84"/>
      <c r="P290" s="84"/>
      <c r="Q290" s="84"/>
      <c r="R290" s="84"/>
    </row>
    <row r="291" spans="2:18" ht="15">
      <c r="B291" s="94" t="s">
        <v>760</v>
      </c>
      <c r="C291" s="78"/>
      <c r="D291" s="54" t="str">
        <f>"Cash Working Capital assigned to transmission is one-eighth of O&amp;M allocated to transmission, as shown on line "&amp;B152&amp;". It excludes:"</f>
        <v>Cash Working Capital assigned to transmission is one-eighth of O&amp;M allocated to transmission, as shown on line 88. It excludes:</v>
      </c>
      <c r="E291" s="742"/>
      <c r="F291" s="742"/>
      <c r="G291" s="742"/>
      <c r="H291" s="742"/>
      <c r="I291" s="742"/>
      <c r="J291" s="742"/>
      <c r="K291" s="742"/>
      <c r="L291" s="859"/>
      <c r="M291" s="24"/>
      <c r="N291" s="84"/>
      <c r="O291" s="84"/>
      <c r="P291" s="84"/>
      <c r="Q291" s="84"/>
      <c r="R291" s="84"/>
    </row>
    <row r="292" spans="2:18" ht="15">
      <c r="B292" s="94"/>
      <c r="C292" s="78"/>
      <c r="D292" s="54" t="str">
        <f>+"1)  Load Scheduling &amp; Dispatch Charges in account 561 that are collected in the OATT Ancilliary Services Revenue, as shown on line "&amp;B149&amp;"."</f>
        <v>1)  Load Scheduling &amp; Dispatch Charges in account 561 that are collected in the OATT Ancilliary Services Revenue, as shown on line 85.</v>
      </c>
      <c r="E292" s="742"/>
      <c r="F292" s="742"/>
      <c r="G292" s="742"/>
      <c r="H292" s="742"/>
      <c r="I292" s="742"/>
      <c r="J292" s="742"/>
      <c r="K292" s="742"/>
      <c r="L292" s="859"/>
      <c r="M292" s="24"/>
      <c r="N292" s="84"/>
      <c r="O292" s="84"/>
      <c r="P292" s="84"/>
      <c r="Q292" s="84"/>
      <c r="R292" s="84"/>
    </row>
    <row r="293" spans="2:18" ht="15">
      <c r="B293" s="94"/>
      <c r="C293" s="78"/>
      <c r="D293" s="54" t="str">
        <f>+"2)  AEP transmission equalization transfers, as shown on line "&amp;B150&amp;""</f>
        <v>2)  AEP transmission equalization transfers, as shown on line 86</v>
      </c>
      <c r="E293" s="742"/>
      <c r="F293" s="742"/>
      <c r="G293" s="742"/>
      <c r="H293" s="742"/>
      <c r="I293" s="742"/>
      <c r="J293" s="742"/>
      <c r="K293" s="742"/>
      <c r="L293" s="859"/>
      <c r="M293" s="24"/>
      <c r="N293" s="84"/>
      <c r="O293" s="84"/>
      <c r="P293" s="84"/>
      <c r="Q293" s="84"/>
      <c r="R293" s="84"/>
    </row>
    <row r="294" spans="2:18" ht="15">
      <c r="B294" s="94"/>
      <c r="C294" s="78"/>
      <c r="D294" s="54" t="str">
        <f>+"3)  The impact of state regulatory deferrals and amortizations, as shown on line  "&amp;B151&amp;""</f>
        <v>3)  The impact of state regulatory deferrals and amortizations, as shown on line  87</v>
      </c>
      <c r="E294" s="742"/>
      <c r="F294" s="742"/>
      <c r="G294" s="742"/>
      <c r="H294" s="742"/>
      <c r="I294" s="742"/>
      <c r="J294" s="742"/>
      <c r="K294" s="742"/>
      <c r="L294" s="859"/>
      <c r="M294" s="24"/>
      <c r="N294" s="84"/>
      <c r="O294" s="84"/>
      <c r="P294" s="84"/>
      <c r="Q294" s="84"/>
      <c r="R294" s="84"/>
    </row>
    <row r="295" spans="2:18" ht="15">
      <c r="B295" s="94"/>
      <c r="C295" s="78"/>
      <c r="D295" s="54" t="str">
        <f>"4) All A&amp;G Expenses, as shown on line "&amp;B168&amp;"."</f>
        <v>4) All A&amp;G Expenses, as shown on line 103.</v>
      </c>
      <c r="E295" s="742"/>
      <c r="F295" s="742"/>
      <c r="G295" s="742"/>
      <c r="H295" s="742"/>
      <c r="I295" s="742"/>
      <c r="J295" s="742"/>
      <c r="K295" s="742"/>
      <c r="L295" s="859"/>
      <c r="M295" s="24"/>
      <c r="N295" s="84"/>
      <c r="O295" s="84"/>
      <c r="P295" s="84"/>
      <c r="Q295" s="84"/>
      <c r="R295" s="84"/>
    </row>
    <row r="296" spans="2:18" ht="15">
      <c r="B296" s="94"/>
      <c r="C296" s="78"/>
      <c r="D296" s="54"/>
      <c r="E296" s="742"/>
      <c r="F296" s="742"/>
      <c r="G296" s="742"/>
      <c r="H296" s="742"/>
      <c r="I296" s="742"/>
      <c r="J296" s="742"/>
      <c r="K296" s="742"/>
      <c r="L296" s="859"/>
      <c r="M296" s="24"/>
      <c r="N296" s="84"/>
      <c r="O296" s="84"/>
      <c r="P296" s="84"/>
      <c r="Q296" s="84"/>
      <c r="R296" s="84"/>
    </row>
    <row r="297" spans="2:18" ht="15">
      <c r="B297" s="96" t="s">
        <v>761</v>
      </c>
      <c r="C297" s="83"/>
      <c r="D297" s="13" t="str">
        <f>"Consistent with Paragraph 657 of Order 2003-A, the amount on line "&amp;B126&amp;" is equal to the balance of IPP System Upgrade Credits owed to transmission customers that"</f>
        <v>Consistent with Paragraph 657 of Order 2003-A, the amount on line 77 is equal to the balance of IPP System Upgrade Credits owed to transmission customers that</v>
      </c>
      <c r="E297" s="13"/>
      <c r="F297" s="13"/>
      <c r="G297" s="13"/>
      <c r="H297" s="13"/>
      <c r="I297" s="13"/>
      <c r="J297" s="13"/>
      <c r="K297" s="13"/>
      <c r="L297" s="13"/>
      <c r="M297" s="24"/>
      <c r="N297" s="84"/>
      <c r="O297" s="84"/>
      <c r="P297" s="84"/>
      <c r="Q297" s="84"/>
      <c r="R297" s="84"/>
    </row>
    <row r="298" spans="2:18" ht="15">
      <c r="B298" s="97"/>
      <c r="C298" s="13"/>
      <c r="D298" s="13" t="s">
        <v>916</v>
      </c>
      <c r="E298" s="13"/>
      <c r="F298" s="13"/>
      <c r="G298" s="13"/>
      <c r="H298" s="13"/>
      <c r="I298" s="13"/>
      <c r="J298" s="13"/>
      <c r="K298" s="13"/>
      <c r="L298" s="13"/>
      <c r="M298" s="24"/>
      <c r="N298" s="84"/>
      <c r="O298" s="84"/>
      <c r="P298" s="84"/>
      <c r="Q298" s="84"/>
      <c r="R298" s="84"/>
    </row>
    <row r="299" spans="2:18" ht="15">
      <c r="B299" s="97"/>
      <c r="C299" s="13"/>
      <c r="D299" s="13" t="str">
        <f>"expense is included on line "&amp;B207&amp;"."</f>
        <v>expense is included on line 135.</v>
      </c>
      <c r="E299" s="13"/>
      <c r="F299" s="13"/>
      <c r="G299" s="13"/>
      <c r="H299" s="13"/>
      <c r="I299" s="13"/>
      <c r="J299" s="13"/>
      <c r="K299" s="13"/>
      <c r="L299" s="13"/>
      <c r="M299" s="24"/>
      <c r="N299" s="84"/>
      <c r="O299" s="84"/>
      <c r="P299" s="84"/>
      <c r="Q299" s="84"/>
      <c r="R299" s="84"/>
    </row>
    <row r="300" spans="2:18" ht="15">
      <c r="B300" s="97"/>
      <c r="C300" s="13"/>
      <c r="D300" s="13"/>
      <c r="E300" s="13"/>
      <c r="F300" s="13"/>
      <c r="G300" s="13"/>
      <c r="H300" s="13"/>
      <c r="I300" s="13"/>
      <c r="J300" s="13"/>
      <c r="K300" s="13"/>
      <c r="L300" s="13"/>
      <c r="M300" s="13"/>
      <c r="N300" s="84"/>
      <c r="O300" s="84"/>
      <c r="P300" s="84"/>
      <c r="Q300" s="84"/>
      <c r="R300" s="84"/>
    </row>
    <row r="301" spans="2:18" ht="15">
      <c r="B301" s="96" t="s">
        <v>762</v>
      </c>
      <c r="C301" s="13"/>
      <c r="D301" s="1109" t="str">
        <f>"Removes from the cost of service the Load Scheduling and Dispatch expenses booked to accounts 561.1 through 561.8.  Expenses recorded in these accounts, with the exception of 561.4 &amp; 561.8 (lines "&amp;B38&amp;" &amp; "&amp;B39&amp;" above) are recovered in Schedule 1A, OATT ancillary services rates. See Worksheet F, lines "&amp;'KPCo WS F Misc Exp'!A22&amp;" through "&amp;'KPCo WS F Misc Exp'!A31&amp;", for descriptions and the Form 1 Source of these accounts' balances."</f>
        <v>Removes from the cost of service the Load Scheduling and Dispatch expenses booked to accounts 561.1 through 561.8.  Expenses recorded in these accounts, with the exception of 561.4 &amp; 561.8 (lines 15 &amp; 16 above) are recovered in Schedule 1A, OATT ancillary services rates. See Worksheet F, lines 5 through 14, for descriptions and the Form 1 Source of these accounts' balances.</v>
      </c>
      <c r="E301" s="1109"/>
      <c r="F301" s="1109"/>
      <c r="G301" s="1109"/>
      <c r="H301" s="1109"/>
      <c r="I301" s="1109"/>
      <c r="J301" s="1109"/>
      <c r="K301" s="1109"/>
      <c r="L301" s="13"/>
      <c r="M301" s="13"/>
      <c r="N301" s="84"/>
      <c r="O301" s="84"/>
      <c r="P301" s="84"/>
      <c r="Q301" s="84"/>
      <c r="R301" s="84"/>
    </row>
    <row r="302" spans="2:18" ht="15">
      <c r="B302" s="96"/>
      <c r="C302" s="13"/>
      <c r="D302" s="1109"/>
      <c r="E302" s="1109"/>
      <c r="F302" s="1109"/>
      <c r="G302" s="1109"/>
      <c r="H302" s="1109"/>
      <c r="I302" s="1109"/>
      <c r="J302" s="1109"/>
      <c r="K302" s="1109"/>
      <c r="L302" s="13"/>
      <c r="M302" s="13"/>
      <c r="N302" s="84"/>
      <c r="O302" s="84"/>
      <c r="P302" s="84"/>
      <c r="Q302" s="84"/>
      <c r="R302" s="84"/>
    </row>
    <row r="303" spans="2:18" ht="15">
      <c r="B303" s="96"/>
      <c r="C303" s="13"/>
      <c r="D303" s="1109"/>
      <c r="E303" s="1109"/>
      <c r="F303" s="1109"/>
      <c r="G303" s="1109"/>
      <c r="H303" s="1109"/>
      <c r="I303" s="1109"/>
      <c r="J303" s="1109"/>
      <c r="K303" s="1109"/>
      <c r="L303" s="13"/>
      <c r="M303" s="13"/>
      <c r="N303" s="84"/>
      <c r="O303" s="84"/>
      <c r="P303" s="84"/>
      <c r="Q303" s="84"/>
      <c r="R303" s="84"/>
    </row>
    <row r="304" spans="2:18" ht="15">
      <c r="B304" s="96"/>
      <c r="C304" s="13"/>
      <c r="D304" s="607"/>
      <c r="E304" s="607"/>
      <c r="F304" s="607"/>
      <c r="G304" s="607"/>
      <c r="H304" s="607"/>
      <c r="I304" s="607"/>
      <c r="J304" s="607"/>
      <c r="K304" s="607"/>
      <c r="L304" s="13"/>
      <c r="M304" s="13"/>
      <c r="N304" s="84"/>
      <c r="O304" s="84"/>
      <c r="P304" s="84"/>
      <c r="Q304" s="84"/>
      <c r="R304" s="84"/>
    </row>
    <row r="305" spans="2:18" ht="15">
      <c r="B305" s="96" t="s">
        <v>763</v>
      </c>
      <c r="C305" s="13"/>
      <c r="D305" s="1095" t="str">
        <f>"Removes cost of transmission service provided by others to determine the basis of cash working capital on line "&amp;B152&amp;". To the extent such service is incurred to provide the PJM service at issue, e.g. transmission equalization agreement, such costs are added back on lines "&amp;B171&amp;" and "&amp;B172&amp;" to determine the total O&amp;M collected in the formula.  The amounts on lines "&amp;B171&amp;" and "&amp;B172&amp;" are also excluded in the calculation of the FCR percentage calculated on lines "&amp;B22&amp;" through "&amp;B30&amp;"."</f>
        <v>Removes cost of transmission service provided by others to determine the basis of cash working capital on line 88. To the extent such service is incurred to provide the PJM service at issue, e.g. transmission equalization agreement, such costs are added back on lines 105 and 106 to determine the total O&amp;M collected in the formula.  The amounts on lines 105 and 106 are also excluded in the calculation of the FCR percentage calculated on lines 5 through 11.</v>
      </c>
      <c r="E305" s="1095"/>
      <c r="F305" s="1095"/>
      <c r="G305" s="1095"/>
      <c r="H305" s="1095"/>
      <c r="I305" s="1095"/>
      <c r="J305" s="1095"/>
      <c r="K305" s="1095"/>
      <c r="L305" s="13"/>
      <c r="M305" s="13"/>
      <c r="N305" s="84"/>
      <c r="O305" s="84"/>
      <c r="P305" s="84"/>
      <c r="Q305" s="84"/>
      <c r="R305" s="84"/>
    </row>
    <row r="306" spans="2:18" ht="15">
      <c r="B306" s="96"/>
      <c r="C306" s="13"/>
      <c r="D306" s="1095"/>
      <c r="E306" s="1095"/>
      <c r="F306" s="1095"/>
      <c r="G306" s="1095"/>
      <c r="H306" s="1095"/>
      <c r="I306" s="1095"/>
      <c r="J306" s="1095"/>
      <c r="K306" s="1095"/>
      <c r="L306" s="13"/>
      <c r="M306" s="13"/>
      <c r="N306" s="84"/>
      <c r="O306" s="84"/>
      <c r="P306" s="84"/>
      <c r="Q306" s="84"/>
      <c r="R306" s="84"/>
    </row>
    <row r="307" spans="2:18" ht="15">
      <c r="B307" s="96"/>
      <c r="C307" s="13"/>
      <c r="D307" s="1096"/>
      <c r="E307" s="1096"/>
      <c r="F307" s="1096"/>
      <c r="G307" s="1096"/>
      <c r="H307" s="1096"/>
      <c r="I307" s="1096"/>
      <c r="J307" s="1096"/>
      <c r="K307" s="1096"/>
      <c r="L307" s="13"/>
      <c r="M307" s="13"/>
      <c r="N307" s="84"/>
      <c r="O307" s="84"/>
      <c r="P307" s="84"/>
      <c r="Q307" s="84"/>
      <c r="R307" s="84"/>
    </row>
    <row r="308" spans="2:18" ht="15">
      <c r="B308" s="96"/>
      <c r="C308" s="13"/>
      <c r="D308" s="1098" t="str">
        <f>"The addbacks  on lines "&amp;B171&amp;" and "&amp;B172&amp;" of activity recorded in 565 represents inter-company sales or purchases of transmission capacity necessary to meet each AEP company's transmission load relative to their available transmission capacity."</f>
        <v>The addbacks  on lines 105 and 106 of activity recorded in 565 represents inter-company sales or purchases of transmission capacity necessary to meet each AEP company's transmission load relative to their available transmission capacity.</v>
      </c>
      <c r="E308" s="1098"/>
      <c r="F308" s="1098"/>
      <c r="G308" s="1098"/>
      <c r="H308" s="1098"/>
      <c r="I308" s="1098"/>
      <c r="J308" s="1098"/>
      <c r="K308" s="890"/>
      <c r="L308" s="13"/>
      <c r="M308" s="13"/>
      <c r="N308" s="84"/>
      <c r="O308" s="84"/>
      <c r="P308" s="84"/>
      <c r="Q308" s="84"/>
      <c r="R308" s="84"/>
    </row>
    <row r="309" spans="2:18" ht="15">
      <c r="B309" s="96"/>
      <c r="C309" s="13"/>
      <c r="D309" s="1098"/>
      <c r="E309" s="1098"/>
      <c r="F309" s="1098"/>
      <c r="G309" s="1098"/>
      <c r="H309" s="1098"/>
      <c r="I309" s="1098"/>
      <c r="J309" s="1098"/>
      <c r="K309" s="890"/>
      <c r="L309" s="13"/>
      <c r="M309" s="13"/>
      <c r="N309" s="84"/>
      <c r="O309" s="84"/>
      <c r="P309" s="84"/>
      <c r="Q309" s="84"/>
      <c r="R309" s="84"/>
    </row>
    <row r="310" spans="2:18" ht="15">
      <c r="B310" s="96"/>
      <c r="C310" s="13"/>
      <c r="D310" s="781" t="str">
        <f>"The company records referenced on lines "&amp;B171&amp;" and "&amp;B172&amp;" is the "&amp;F7&amp;" general ledger."</f>
        <v>The company records referenced on lines 105 and 106 is the KENTUCKY POWER COMPANY general ledger.</v>
      </c>
      <c r="E310" s="890"/>
      <c r="F310" s="890"/>
      <c r="G310" s="890"/>
      <c r="H310" s="890"/>
      <c r="I310" s="890"/>
      <c r="J310" s="890"/>
      <c r="K310" s="890"/>
      <c r="L310" s="13"/>
      <c r="M310" s="13"/>
      <c r="N310" s="84"/>
      <c r="O310" s="84"/>
      <c r="P310" s="84"/>
      <c r="Q310" s="84"/>
      <c r="R310" s="84"/>
    </row>
    <row r="311" spans="2:18" ht="15">
      <c r="B311" s="96"/>
      <c r="C311" s="13"/>
      <c r="D311" s="781"/>
      <c r="E311" s="890"/>
      <c r="F311" s="890"/>
      <c r="G311" s="890"/>
      <c r="H311" s="890"/>
      <c r="I311" s="890"/>
      <c r="J311" s="890"/>
      <c r="K311" s="890"/>
      <c r="L311" s="13"/>
      <c r="M311" s="13"/>
      <c r="N311" s="84"/>
      <c r="O311" s="84"/>
      <c r="P311" s="84"/>
      <c r="Q311" s="84"/>
      <c r="R311" s="84"/>
    </row>
    <row r="312" spans="1:18" ht="15">
      <c r="A312" s="793"/>
      <c r="B312" s="96" t="s">
        <v>764</v>
      </c>
      <c r="C312" s="13"/>
      <c r="D312" s="13" t="s">
        <v>13</v>
      </c>
      <c r="E312" s="890"/>
      <c r="F312" s="890"/>
      <c r="G312" s="890"/>
      <c r="H312" s="890"/>
      <c r="I312" s="890"/>
      <c r="J312" s="890"/>
      <c r="K312" s="890"/>
      <c r="L312" s="13"/>
      <c r="M312" s="13"/>
      <c r="N312" s="84"/>
      <c r="O312" s="84"/>
      <c r="P312" s="84"/>
      <c r="Q312" s="84"/>
      <c r="R312" s="84"/>
    </row>
    <row r="313" spans="2:18" ht="15">
      <c r="B313" s="96"/>
      <c r="C313" s="13"/>
      <c r="D313" s="890"/>
      <c r="E313" s="890"/>
      <c r="F313" s="890"/>
      <c r="G313" s="890"/>
      <c r="H313" s="890"/>
      <c r="I313" s="890"/>
      <c r="J313" s="890"/>
      <c r="K313" s="890"/>
      <c r="L313" s="13"/>
      <c r="M313" s="13"/>
      <c r="N313" s="84"/>
      <c r="O313" s="84"/>
      <c r="P313" s="84"/>
      <c r="Q313" s="84"/>
      <c r="R313" s="84"/>
    </row>
    <row r="314" spans="1:18" ht="15">
      <c r="A314" s="793"/>
      <c r="B314" s="141" t="s">
        <v>765</v>
      </c>
      <c r="D314" s="1099" t="s">
        <v>607</v>
      </c>
      <c r="E314" s="1142"/>
      <c r="F314" s="1142"/>
      <c r="G314" s="1142"/>
      <c r="H314" s="1142"/>
      <c r="I314" s="1142"/>
      <c r="J314" s="1142"/>
      <c r="L314" s="13"/>
      <c r="M314" s="13"/>
      <c r="N314" s="84"/>
      <c r="O314" s="84"/>
      <c r="P314" s="84"/>
      <c r="Q314" s="84"/>
      <c r="R314" s="84"/>
    </row>
    <row r="315" spans="1:18" ht="15">
      <c r="A315" s="793"/>
      <c r="B315" s="141"/>
      <c r="D315" s="1142"/>
      <c r="E315" s="1142"/>
      <c r="F315" s="1142"/>
      <c r="G315" s="1142"/>
      <c r="H315" s="1142"/>
      <c r="I315" s="1142"/>
      <c r="J315" s="1142"/>
      <c r="L315" s="13"/>
      <c r="M315" s="13"/>
      <c r="N315" s="84"/>
      <c r="O315" s="84"/>
      <c r="P315" s="84"/>
      <c r="Q315" s="84"/>
      <c r="R315" s="84"/>
    </row>
    <row r="316" spans="1:18" ht="15">
      <c r="A316" s="793"/>
      <c r="B316" s="141"/>
      <c r="D316" s="1142"/>
      <c r="E316" s="1142"/>
      <c r="F316" s="1142"/>
      <c r="G316" s="1142"/>
      <c r="H316" s="1142"/>
      <c r="I316" s="1142"/>
      <c r="J316" s="1142"/>
      <c r="L316" s="13"/>
      <c r="M316" s="13"/>
      <c r="N316" s="84"/>
      <c r="O316" s="84"/>
      <c r="P316" s="84"/>
      <c r="Q316" s="84"/>
      <c r="R316" s="84"/>
    </row>
    <row r="317" spans="2:18" ht="15">
      <c r="B317" s="14"/>
      <c r="L317" s="13"/>
      <c r="M317" s="13"/>
      <c r="N317" s="84"/>
      <c r="O317" s="84"/>
      <c r="P317" s="84"/>
      <c r="Q317" s="84"/>
      <c r="R317" s="84"/>
    </row>
    <row r="318" spans="2:18" ht="15">
      <c r="B318" s="96" t="s">
        <v>766</v>
      </c>
      <c r="C318" s="13"/>
      <c r="D318" s="1100" t="str">
        <f>"These deductions on lines "&amp;B156&amp;" through "&amp;B158&amp;" are to remove from the cost of service the expenses recorded by the company for Postemployment Benefits Other than Pensions (PBOP). See Note M below for the recoverable PBOP expense."</f>
        <v>These deductions on lines 91 through 93 are to remove from the cost of service the expenses recorded by the company for Postemployment Benefits Other than Pensions (PBOP). See Note M below for the recoverable PBOP expense.</v>
      </c>
      <c r="E318" s="1149"/>
      <c r="F318" s="1149"/>
      <c r="G318" s="1149"/>
      <c r="H318" s="1149"/>
      <c r="I318" s="1149"/>
      <c r="J318" s="1149"/>
      <c r="K318" s="1149"/>
      <c r="L318" s="87"/>
      <c r="M318" s="13"/>
      <c r="N318" s="84"/>
      <c r="O318" s="84"/>
      <c r="P318" s="84"/>
      <c r="Q318" s="84"/>
      <c r="R318" s="84"/>
    </row>
    <row r="319" spans="2:18" ht="15">
      <c r="B319" s="96"/>
      <c r="C319" s="13"/>
      <c r="D319" s="1149"/>
      <c r="E319" s="1149"/>
      <c r="F319" s="1149"/>
      <c r="G319" s="1149"/>
      <c r="H319" s="1149"/>
      <c r="I319" s="1149"/>
      <c r="J319" s="1149"/>
      <c r="K319" s="1149"/>
      <c r="L319" s="87"/>
      <c r="M319" s="13"/>
      <c r="N319" s="84"/>
      <c r="O319" s="84"/>
      <c r="P319" s="84"/>
      <c r="Q319" s="84"/>
      <c r="R319" s="84"/>
    </row>
    <row r="320" spans="2:18" ht="15">
      <c r="B320" s="96"/>
      <c r="C320" s="13"/>
      <c r="D320" s="87"/>
      <c r="E320" s="87"/>
      <c r="F320" s="87"/>
      <c r="G320" s="87"/>
      <c r="H320" s="87"/>
      <c r="I320" s="87"/>
      <c r="J320" s="87"/>
      <c r="K320" s="87"/>
      <c r="L320" s="87"/>
      <c r="M320" s="13"/>
      <c r="N320" s="84"/>
      <c r="O320" s="84"/>
      <c r="P320" s="84"/>
      <c r="Q320" s="84"/>
      <c r="R320" s="84"/>
    </row>
    <row r="321" spans="2:18" ht="15">
      <c r="B321" s="94" t="s">
        <v>767</v>
      </c>
      <c r="C321" s="78"/>
      <c r="D321" s="54" t="s">
        <v>157</v>
      </c>
      <c r="E321" s="24"/>
      <c r="F321" s="24"/>
      <c r="G321" s="24"/>
      <c r="H321" s="24"/>
      <c r="I321" s="24"/>
      <c r="J321" s="24"/>
      <c r="K321" s="24"/>
      <c r="L321" s="24"/>
      <c r="M321" s="13"/>
      <c r="N321" s="84"/>
      <c r="O321" s="84"/>
      <c r="P321" s="84"/>
      <c r="Q321" s="84"/>
      <c r="R321" s="84"/>
    </row>
    <row r="322" spans="2:18" ht="15">
      <c r="B322" s="94"/>
      <c r="C322" s="78"/>
      <c r="D322" s="54" t="s">
        <v>359</v>
      </c>
      <c r="E322" s="24"/>
      <c r="F322" s="24"/>
      <c r="G322" s="24"/>
      <c r="H322" s="24"/>
      <c r="I322" s="24"/>
      <c r="J322" s="24"/>
      <c r="K322" s="24"/>
      <c r="L322" s="24"/>
      <c r="M322" s="13"/>
      <c r="N322" s="84"/>
      <c r="O322" s="84"/>
      <c r="P322" s="84"/>
      <c r="Q322" s="84"/>
      <c r="R322" s="84"/>
    </row>
    <row r="323" spans="2:18" ht="15">
      <c r="B323" s="94"/>
      <c r="C323" s="78"/>
      <c r="D323" s="54" t="s">
        <v>360</v>
      </c>
      <c r="E323" s="24"/>
      <c r="F323" s="24"/>
      <c r="G323" s="24"/>
      <c r="H323" s="24"/>
      <c r="I323" s="24"/>
      <c r="J323" s="24"/>
      <c r="K323" s="24"/>
      <c r="L323" s="24"/>
      <c r="M323" s="13"/>
      <c r="N323" s="84"/>
      <c r="O323" s="84"/>
      <c r="P323" s="84"/>
      <c r="Q323" s="84"/>
      <c r="R323" s="84"/>
    </row>
    <row r="324" spans="2:18" ht="15">
      <c r="B324" s="94"/>
      <c r="C324" s="78"/>
      <c r="D324" s="13" t="s">
        <v>361</v>
      </c>
      <c r="E324" s="24"/>
      <c r="F324" s="24"/>
      <c r="G324" s="24"/>
      <c r="H324" s="24"/>
      <c r="I324" s="24"/>
      <c r="J324" s="24"/>
      <c r="K324" s="24"/>
      <c r="L324" s="24"/>
      <c r="M324" s="13"/>
      <c r="N324" s="84"/>
      <c r="O324" s="84"/>
      <c r="P324" s="84"/>
      <c r="Q324" s="84"/>
      <c r="R324" s="84"/>
    </row>
    <row r="325" spans="2:18" ht="15">
      <c r="B325" s="94"/>
      <c r="C325" s="78"/>
      <c r="D325" s="13"/>
      <c r="E325" s="24"/>
      <c r="F325" s="24"/>
      <c r="G325" s="24"/>
      <c r="H325" s="24"/>
      <c r="I325" s="24"/>
      <c r="J325" s="24"/>
      <c r="K325" s="24"/>
      <c r="L325" s="24"/>
      <c r="M325" s="13"/>
      <c r="N325" s="84"/>
      <c r="O325" s="84"/>
      <c r="P325" s="84"/>
      <c r="Q325" s="84"/>
      <c r="R325" s="84"/>
    </row>
    <row r="326" spans="2:18" ht="15" customHeight="1">
      <c r="B326" s="94" t="s">
        <v>768</v>
      </c>
      <c r="C326" s="78"/>
      <c r="D326" s="1112" t="s">
        <v>859</v>
      </c>
      <c r="E326" s="1113"/>
      <c r="F326" s="1113"/>
      <c r="G326" s="1113"/>
      <c r="H326" s="1113"/>
      <c r="I326" s="1113"/>
      <c r="J326" s="1113"/>
      <c r="K326" s="1113"/>
      <c r="L326" s="1114"/>
      <c r="M326" s="13"/>
      <c r="N326" s="84"/>
      <c r="O326" s="84"/>
      <c r="P326" s="84"/>
      <c r="Q326" s="84"/>
      <c r="R326" s="84"/>
    </row>
    <row r="327" spans="2:18" ht="15">
      <c r="B327" s="94"/>
      <c r="C327" s="78"/>
      <c r="D327" s="1113"/>
      <c r="E327" s="1113"/>
      <c r="F327" s="1113"/>
      <c r="G327" s="1113"/>
      <c r="H327" s="1113"/>
      <c r="I327" s="1113"/>
      <c r="J327" s="1113"/>
      <c r="K327" s="1113"/>
      <c r="L327" s="1114"/>
      <c r="M327" s="13"/>
      <c r="N327" s="84"/>
      <c r="O327" s="84"/>
      <c r="P327" s="84"/>
      <c r="Q327" s="84"/>
      <c r="R327" s="84"/>
    </row>
    <row r="328" spans="2:18" ht="15">
      <c r="B328" s="94"/>
      <c r="C328" s="78"/>
      <c r="D328" s="1114"/>
      <c r="E328" s="1114"/>
      <c r="F328" s="1114"/>
      <c r="G328" s="1114"/>
      <c r="H328" s="1114"/>
      <c r="I328" s="1114"/>
      <c r="J328" s="1114"/>
      <c r="K328" s="1114"/>
      <c r="L328" s="1114"/>
      <c r="M328" s="13"/>
      <c r="N328" s="84"/>
      <c r="O328" s="84"/>
      <c r="P328" s="84"/>
      <c r="Q328" s="84"/>
      <c r="R328" s="84"/>
    </row>
    <row r="329" spans="2:18" ht="15">
      <c r="B329" s="94"/>
      <c r="C329" s="78"/>
      <c r="D329" s="746"/>
      <c r="E329" s="746"/>
      <c r="F329" s="746"/>
      <c r="G329" s="746"/>
      <c r="H329" s="746"/>
      <c r="I329" s="746"/>
      <c r="J329" s="746"/>
      <c r="K329" s="746"/>
      <c r="L329" s="24"/>
      <c r="M329" s="13"/>
      <c r="N329" s="84"/>
      <c r="O329" s="84"/>
      <c r="P329" s="84"/>
      <c r="Q329" s="84"/>
      <c r="R329" s="84"/>
    </row>
    <row r="330" spans="2:18" ht="15">
      <c r="B330" s="141" t="s">
        <v>28</v>
      </c>
      <c r="C330" s="78"/>
      <c r="D330" s="54" t="s">
        <v>158</v>
      </c>
      <c r="E330" s="87"/>
      <c r="F330" s="87"/>
      <c r="G330" s="87"/>
      <c r="H330" s="87"/>
      <c r="I330" s="87"/>
      <c r="J330" s="87"/>
      <c r="K330" s="13"/>
      <c r="L330" s="13"/>
      <c r="M330" s="13"/>
      <c r="N330" s="84"/>
      <c r="O330" s="84"/>
      <c r="P330" s="84"/>
      <c r="Q330" s="84"/>
      <c r="R330" s="84"/>
    </row>
    <row r="331" spans="2:18" ht="15">
      <c r="B331" s="141"/>
      <c r="C331" s="78"/>
      <c r="D331" s="87"/>
      <c r="E331" s="87"/>
      <c r="F331" s="87"/>
      <c r="G331" s="87"/>
      <c r="H331" s="87"/>
      <c r="I331" s="87"/>
      <c r="J331" s="87"/>
      <c r="K331" s="13"/>
      <c r="L331" s="13"/>
      <c r="M331" s="13"/>
      <c r="N331" s="84"/>
      <c r="O331" s="84"/>
      <c r="P331" s="84"/>
      <c r="Q331" s="84"/>
      <c r="R331" s="84"/>
    </row>
    <row r="332" spans="2:18" ht="15">
      <c r="B332" s="94" t="s">
        <v>91</v>
      </c>
      <c r="C332" s="78"/>
      <c r="D332" s="54" t="s">
        <v>132</v>
      </c>
      <c r="H332" s="13"/>
      <c r="I332" s="13"/>
      <c r="J332" s="13"/>
      <c r="K332" s="13"/>
      <c r="L332" s="13"/>
      <c r="M332" s="13"/>
      <c r="N332" s="84"/>
      <c r="O332" s="84"/>
      <c r="P332" s="84"/>
      <c r="Q332" s="84"/>
      <c r="R332" s="84"/>
    </row>
    <row r="333" spans="2:18" ht="15">
      <c r="B333" s="94"/>
      <c r="C333" s="78"/>
      <c r="D333" s="54" t="s">
        <v>8</v>
      </c>
      <c r="H333" s="13"/>
      <c r="I333" s="13"/>
      <c r="J333" s="13"/>
      <c r="K333" s="13"/>
      <c r="L333" s="13"/>
      <c r="M333" s="13"/>
      <c r="N333" s="84"/>
      <c r="O333" s="84"/>
      <c r="P333" s="84"/>
      <c r="Q333" s="84"/>
      <c r="R333" s="84"/>
    </row>
    <row r="334" spans="2:18" ht="15">
      <c r="B334" s="94"/>
      <c r="C334" s="78"/>
      <c r="D334" s="54" t="s">
        <v>9</v>
      </c>
      <c r="H334" s="13"/>
      <c r="I334" s="13"/>
      <c r="J334" s="13"/>
      <c r="K334" s="13"/>
      <c r="L334" s="13"/>
      <c r="M334" s="13"/>
      <c r="N334" s="84"/>
      <c r="O334" s="84"/>
      <c r="P334" s="84"/>
      <c r="Q334" s="84"/>
      <c r="R334" s="84"/>
    </row>
    <row r="335" spans="2:18" ht="15">
      <c r="B335" s="94"/>
      <c r="C335" s="78"/>
      <c r="D335" s="54" t="s">
        <v>10</v>
      </c>
      <c r="E335" s="84"/>
      <c r="F335" s="84"/>
      <c r="G335" s="84"/>
      <c r="H335" s="13"/>
      <c r="I335" s="13"/>
      <c r="J335" s="13"/>
      <c r="K335" s="13"/>
      <c r="L335" s="13"/>
      <c r="M335" s="13"/>
      <c r="N335" s="84"/>
      <c r="O335" s="84"/>
      <c r="P335" s="84"/>
      <c r="Q335" s="84"/>
      <c r="R335" s="84"/>
    </row>
    <row r="336" spans="2:18" ht="15">
      <c r="B336" s="94"/>
      <c r="C336" s="78"/>
      <c r="D336" s="54" t="str">
        <f>"(ln "&amp;B199&amp;") multiplied by (1/1-T) .  If the applicable tax rates are zero enter 0."</f>
        <v>(ln 130) multiplied by (1/1-T) .  If the applicable tax rates are zero enter 0.</v>
      </c>
      <c r="E336" s="84"/>
      <c r="F336" s="84"/>
      <c r="G336" s="84"/>
      <c r="H336" s="13"/>
      <c r="I336" s="13"/>
      <c r="J336" s="13"/>
      <c r="K336" s="13"/>
      <c r="L336" s="13"/>
      <c r="M336" s="13"/>
      <c r="N336" s="84"/>
      <c r="O336" s="84"/>
      <c r="P336" s="84"/>
      <c r="Q336" s="84"/>
      <c r="R336" s="84"/>
    </row>
    <row r="337" spans="2:18" ht="15">
      <c r="B337" s="3"/>
      <c r="C337" s="84"/>
      <c r="D337" s="54" t="s">
        <v>133</v>
      </c>
      <c r="E337" s="24" t="s">
        <v>134</v>
      </c>
      <c r="F337" s="88">
        <f>+'KPCo Historic TCOS'!F337</f>
        <v>0.35</v>
      </c>
      <c r="G337" s="24"/>
      <c r="H337" s="13"/>
      <c r="I337" s="13"/>
      <c r="J337" s="13"/>
      <c r="K337" s="13"/>
      <c r="L337" s="13"/>
      <c r="M337" s="13"/>
      <c r="N337" s="84"/>
      <c r="O337" s="84"/>
      <c r="P337" s="84"/>
      <c r="Q337" s="84"/>
      <c r="R337" s="84"/>
    </row>
    <row r="338" spans="2:18" ht="15">
      <c r="B338" s="3"/>
      <c r="C338" s="84"/>
      <c r="D338" s="54"/>
      <c r="E338" s="24" t="s">
        <v>135</v>
      </c>
      <c r="F338" s="88">
        <f>+'KPCo Historic TCOS'!F338</f>
        <v>0.0493</v>
      </c>
      <c r="G338" s="24" t="s">
        <v>398</v>
      </c>
      <c r="H338" s="13"/>
      <c r="I338" s="13"/>
      <c r="J338" s="13"/>
      <c r="K338" s="13"/>
      <c r="L338" s="13"/>
      <c r="M338" s="13"/>
      <c r="N338" s="84"/>
      <c r="O338" s="84"/>
      <c r="P338" s="84"/>
      <c r="Q338" s="84"/>
      <c r="R338" s="84"/>
    </row>
    <row r="339" spans="2:18" ht="15">
      <c r="B339" s="3"/>
      <c r="C339" s="84"/>
      <c r="D339" s="54"/>
      <c r="E339" s="24" t="s">
        <v>136</v>
      </c>
      <c r="F339" s="88">
        <f>+'KPCo Historic TCOS'!F339</f>
        <v>0</v>
      </c>
      <c r="G339" s="24" t="s">
        <v>137</v>
      </c>
      <c r="H339" s="13"/>
      <c r="I339" s="13"/>
      <c r="J339" s="13"/>
      <c r="K339" s="13"/>
      <c r="L339" s="13"/>
      <c r="M339" s="13"/>
      <c r="N339" s="84"/>
      <c r="O339" s="84"/>
      <c r="P339" s="84"/>
      <c r="Q339" s="84"/>
      <c r="R339" s="84"/>
    </row>
    <row r="340" spans="2:18" ht="15">
      <c r="B340" s="141"/>
      <c r="C340" s="78"/>
      <c r="D340" s="54"/>
      <c r="E340" s="13"/>
      <c r="F340" s="13"/>
      <c r="G340" s="13"/>
      <c r="H340" s="13"/>
      <c r="I340" s="13"/>
      <c r="J340" s="13"/>
      <c r="K340" s="13"/>
      <c r="L340" s="13"/>
      <c r="M340" s="24"/>
      <c r="N340" s="84"/>
      <c r="O340" s="84"/>
      <c r="P340" s="84"/>
      <c r="Q340" s="84"/>
      <c r="R340" s="84"/>
    </row>
    <row r="341" spans="2:18" ht="15">
      <c r="B341" s="94" t="s">
        <v>138</v>
      </c>
      <c r="C341" s="78"/>
      <c r="D341" s="54" t="s">
        <v>922</v>
      </c>
      <c r="E341" s="13"/>
      <c r="F341" s="13"/>
      <c r="G341" s="13"/>
      <c r="H341" s="13"/>
      <c r="I341" s="13"/>
      <c r="J341" s="13"/>
      <c r="K341" s="13"/>
      <c r="L341" s="13"/>
      <c r="M341" s="13"/>
      <c r="N341" s="84"/>
      <c r="O341" s="84"/>
      <c r="P341" s="84"/>
      <c r="Q341" s="84"/>
      <c r="R341" s="84"/>
    </row>
    <row r="342" spans="2:18" ht="15">
      <c r="B342" s="14"/>
      <c r="D342" s="54"/>
      <c r="E342" s="13"/>
      <c r="F342" s="13"/>
      <c r="G342" s="13"/>
      <c r="H342" s="13"/>
      <c r="I342" s="13"/>
      <c r="J342" s="13"/>
      <c r="K342" s="13"/>
      <c r="L342" s="13"/>
      <c r="M342" s="13"/>
      <c r="N342" s="84"/>
      <c r="O342" s="84"/>
      <c r="P342" s="84"/>
      <c r="Q342" s="84"/>
      <c r="R342" s="84"/>
    </row>
    <row r="343" spans="2:18" ht="15">
      <c r="B343" s="94" t="s">
        <v>139</v>
      </c>
      <c r="C343" s="78"/>
      <c r="D343" s="54" t="s">
        <v>555</v>
      </c>
      <c r="E343" s="13"/>
      <c r="F343" s="13"/>
      <c r="G343" s="13"/>
      <c r="H343" s="13"/>
      <c r="I343" s="13"/>
      <c r="J343" s="13"/>
      <c r="K343" s="13"/>
      <c r="L343" s="13"/>
      <c r="M343" s="13"/>
      <c r="N343" s="84"/>
      <c r="O343" s="84"/>
      <c r="P343" s="84"/>
      <c r="Q343" s="84"/>
      <c r="R343" s="84"/>
    </row>
    <row r="344" spans="2:18" ht="15">
      <c r="B344" s="94"/>
      <c r="C344" s="78"/>
      <c r="D344" s="54"/>
      <c r="E344" s="24"/>
      <c r="F344" s="24"/>
      <c r="G344" s="24"/>
      <c r="H344" s="24"/>
      <c r="I344" s="24"/>
      <c r="J344" s="24"/>
      <c r="K344" s="24"/>
      <c r="L344" s="24"/>
      <c r="M344" s="24"/>
      <c r="N344" s="84"/>
      <c r="O344" s="84"/>
      <c r="P344" s="84"/>
      <c r="Q344" s="84"/>
      <c r="R344" s="84"/>
    </row>
    <row r="345" spans="2:18" ht="15">
      <c r="B345" s="94" t="s">
        <v>140</v>
      </c>
      <c r="C345" s="78"/>
      <c r="D345" s="54" t="s">
        <v>235</v>
      </c>
      <c r="E345" s="24"/>
      <c r="F345" s="24"/>
      <c r="G345" s="24"/>
      <c r="H345" s="24"/>
      <c r="I345" s="24"/>
      <c r="J345" s="24"/>
      <c r="K345" s="24"/>
      <c r="L345" s="24"/>
      <c r="M345" s="24"/>
      <c r="N345" s="84"/>
      <c r="O345" s="84"/>
      <c r="P345" s="84"/>
      <c r="Q345" s="84"/>
      <c r="R345" s="84"/>
    </row>
    <row r="346" spans="2:18" ht="15">
      <c r="B346" s="94"/>
      <c r="C346" s="78"/>
      <c r="D346" s="54"/>
      <c r="E346" s="24"/>
      <c r="F346" s="24"/>
      <c r="G346" s="24"/>
      <c r="H346" s="24"/>
      <c r="I346" s="24"/>
      <c r="J346" s="24"/>
      <c r="K346" s="24"/>
      <c r="L346" s="24"/>
      <c r="M346" s="24"/>
      <c r="N346" s="84"/>
      <c r="O346" s="84"/>
      <c r="P346" s="84"/>
      <c r="Q346" s="84"/>
      <c r="R346" s="84"/>
    </row>
    <row r="347" spans="2:18" ht="15">
      <c r="B347" s="96" t="s">
        <v>141</v>
      </c>
      <c r="C347" s="83"/>
      <c r="D347" s="54" t="str">
        <f>"Long Term Debt cost rate = long-term interest (ln "&amp;B245&amp;") / long term debt (ln "&amp;B255&amp;").  Preferred Stock cost rate = preferred dividends (ln "&amp;B246&amp;") / preferred outstanding (ln "&amp;B256&amp;")."</f>
        <v>Long Term Debt cost rate = long-term interest (ln 153) / long term debt (ln 162).  Preferred Stock cost rate = preferred dividends (ln 154) / preferred outstanding (ln 163).</v>
      </c>
      <c r="M347" s="24"/>
      <c r="N347" s="84"/>
      <c r="O347" s="84"/>
      <c r="P347" s="84"/>
      <c r="Q347" s="84"/>
      <c r="R347" s="84"/>
    </row>
    <row r="348" spans="2:18" ht="15">
      <c r="B348" s="97"/>
      <c r="C348" s="13"/>
      <c r="D348" s="54" t="str">
        <f>"Common Stock cost rate (ROE) = "&amp;J257*100&amp;"%, the rate accepted by FERC in Docket No. ER08-1329.  It includes an additional 50 basis points for PJM RTO membership."</f>
        <v>Common Stock cost rate (ROE) = 11.49%, the rate accepted by FERC in Docket No. ER08-1329.  It includes an additional 50 basis points for PJM RTO membership.</v>
      </c>
      <c r="M348" s="24"/>
      <c r="N348" s="84"/>
      <c r="O348" s="84"/>
      <c r="P348" s="84"/>
      <c r="Q348" s="84"/>
      <c r="R348" s="84"/>
    </row>
    <row r="349" spans="2:18" ht="15">
      <c r="B349" s="97"/>
      <c r="C349" s="13"/>
      <c r="D349" s="1140" t="s">
        <v>635</v>
      </c>
      <c r="E349" s="1141"/>
      <c r="F349" s="1141"/>
      <c r="G349" s="1141"/>
      <c r="H349" s="1141"/>
      <c r="I349" s="1141"/>
      <c r="J349" s="1141"/>
      <c r="M349" s="24"/>
      <c r="N349" s="84"/>
      <c r="O349" s="84"/>
      <c r="P349" s="84"/>
      <c r="Q349" s="84"/>
      <c r="R349" s="84"/>
    </row>
    <row r="350" spans="2:18" ht="15">
      <c r="B350" s="97"/>
      <c r="C350" s="13"/>
      <c r="D350" s="1141"/>
      <c r="E350" s="1141"/>
      <c r="F350" s="1141"/>
      <c r="G350" s="1141"/>
      <c r="H350" s="1141"/>
      <c r="I350" s="1141"/>
      <c r="J350" s="1141"/>
      <c r="M350" s="24"/>
      <c r="N350" s="84"/>
      <c r="O350" s="84"/>
      <c r="P350" s="84"/>
      <c r="Q350" s="84"/>
      <c r="R350" s="84"/>
    </row>
    <row r="351" spans="2:18" ht="15">
      <c r="B351" s="97"/>
      <c r="C351" s="13"/>
      <c r="D351" s="1142"/>
      <c r="E351" s="1142"/>
      <c r="F351" s="1142"/>
      <c r="G351" s="1142"/>
      <c r="H351" s="1142"/>
      <c r="I351" s="1142"/>
      <c r="J351" s="1142"/>
      <c r="M351" s="24"/>
      <c r="N351" s="84"/>
      <c r="O351" s="84"/>
      <c r="P351" s="84"/>
      <c r="Q351" s="84"/>
      <c r="R351" s="84"/>
    </row>
    <row r="352" spans="2:18" ht="15">
      <c r="B352" s="97"/>
      <c r="C352" s="13"/>
      <c r="D352" s="1142"/>
      <c r="E352" s="1142"/>
      <c r="F352" s="1142"/>
      <c r="G352" s="1142"/>
      <c r="H352" s="1142"/>
      <c r="I352" s="1142"/>
      <c r="J352" s="1142"/>
      <c r="M352" s="24"/>
      <c r="N352" s="84"/>
      <c r="O352" s="84"/>
      <c r="P352" s="84"/>
      <c r="Q352" s="84"/>
      <c r="R352" s="84"/>
    </row>
    <row r="353" spans="2:18" ht="15">
      <c r="B353" s="97"/>
      <c r="C353" s="13"/>
      <c r="D353" s="1143"/>
      <c r="E353" s="1143"/>
      <c r="F353" s="1143"/>
      <c r="G353" s="1143"/>
      <c r="H353" s="1143"/>
      <c r="I353" s="1143"/>
      <c r="J353" s="1143"/>
      <c r="M353" s="24"/>
      <c r="N353" s="84"/>
      <c r="O353" s="84"/>
      <c r="P353" s="84"/>
      <c r="Q353" s="84"/>
      <c r="R353" s="84"/>
    </row>
    <row r="354" spans="2:18" ht="15">
      <c r="B354" s="97"/>
      <c r="C354" s="13"/>
      <c r="D354" s="1143"/>
      <c r="E354" s="1143"/>
      <c r="F354" s="1143"/>
      <c r="G354" s="1143"/>
      <c r="H354" s="1143"/>
      <c r="I354" s="1143"/>
      <c r="J354" s="1143"/>
      <c r="M354" s="24"/>
      <c r="N354" s="84"/>
      <c r="O354" s="84"/>
      <c r="P354" s="84"/>
      <c r="Q354" s="84"/>
      <c r="R354" s="84"/>
    </row>
    <row r="355" spans="2:18" ht="15">
      <c r="B355" s="97"/>
      <c r="C355" s="13"/>
      <c r="D355" s="54"/>
      <c r="M355" s="24"/>
      <c r="N355" s="84"/>
      <c r="O355" s="84"/>
      <c r="P355" s="84"/>
      <c r="Q355" s="84"/>
      <c r="R355" s="84"/>
    </row>
    <row r="356" spans="2:18" ht="15">
      <c r="B356" s="94" t="s">
        <v>249</v>
      </c>
      <c r="C356" s="78"/>
      <c r="D356" s="14" t="s">
        <v>294</v>
      </c>
      <c r="M356" s="24"/>
      <c r="N356" s="84"/>
      <c r="O356" s="84"/>
      <c r="P356" s="84"/>
      <c r="Q356" s="84"/>
      <c r="R356" s="84"/>
    </row>
    <row r="357" spans="2:18" ht="6" customHeight="1">
      <c r="B357" s="94"/>
      <c r="C357" s="78"/>
      <c r="M357" s="24"/>
      <c r="N357" s="84"/>
      <c r="O357" s="84"/>
      <c r="P357" s="84"/>
      <c r="Q357" s="84"/>
      <c r="R357" s="84"/>
    </row>
    <row r="358" spans="2:18" ht="15">
      <c r="B358" s="977" t="s">
        <v>380</v>
      </c>
      <c r="C358" s="978"/>
      <c r="D358" s="160" t="s">
        <v>608</v>
      </c>
      <c r="M358" s="24"/>
      <c r="N358" s="84"/>
      <c r="O358" s="84"/>
      <c r="P358" s="84"/>
      <c r="Q358" s="84"/>
      <c r="R358" s="84"/>
    </row>
    <row r="359" spans="2:18" ht="15">
      <c r="B359" s="94"/>
      <c r="C359" s="78"/>
      <c r="M359" s="24"/>
      <c r="N359" s="84"/>
      <c r="O359" s="84"/>
      <c r="P359" s="84"/>
      <c r="Q359" s="84"/>
      <c r="R359" s="84"/>
    </row>
    <row r="360" spans="2:18" ht="15">
      <c r="B360" s="94"/>
      <c r="C360" s="78"/>
      <c r="I360" s="84" t="s">
        <v>295</v>
      </c>
      <c r="J360" s="198"/>
      <c r="M360" s="24"/>
      <c r="N360" s="84"/>
      <c r="O360" s="84"/>
      <c r="P360" s="84"/>
      <c r="Q360" s="84"/>
      <c r="R360" s="84"/>
    </row>
    <row r="361" spans="2:18" ht="15">
      <c r="B361" s="94"/>
      <c r="C361" s="78"/>
      <c r="I361" s="197" t="s">
        <v>737</v>
      </c>
      <c r="J361" s="198">
        <v>1</v>
      </c>
      <c r="M361" s="24"/>
      <c r="N361" s="84"/>
      <c r="O361" s="84"/>
      <c r="P361" s="84"/>
      <c r="Q361" s="84"/>
      <c r="R361" s="84"/>
    </row>
    <row r="362" spans="2:18" ht="15">
      <c r="B362" s="94"/>
      <c r="C362" s="78"/>
      <c r="I362" s="197" t="s">
        <v>123</v>
      </c>
      <c r="J362" s="198">
        <f>+'KPCo Historic TCOS'!J$70</f>
        <v>0.2768153692450695</v>
      </c>
      <c r="M362" s="24"/>
      <c r="N362" s="84"/>
      <c r="O362" s="84"/>
      <c r="P362" s="84"/>
      <c r="Q362" s="84"/>
      <c r="R362" s="84"/>
    </row>
    <row r="363" spans="2:18" ht="15">
      <c r="B363" s="94"/>
      <c r="C363" s="78"/>
      <c r="I363" s="197" t="s">
        <v>915</v>
      </c>
      <c r="J363" s="198">
        <f>+'KPCo Historic TCOS'!J$71</f>
        <v>0.4338825099475328</v>
      </c>
      <c r="M363" s="24"/>
      <c r="N363" s="84"/>
      <c r="O363" s="84"/>
      <c r="P363" s="84"/>
      <c r="Q363" s="84"/>
      <c r="R363" s="84"/>
    </row>
    <row r="364" spans="2:18" ht="15">
      <c r="B364" s="94"/>
      <c r="C364" s="78"/>
      <c r="I364" s="197" t="s">
        <v>735</v>
      </c>
      <c r="J364" s="199">
        <v>0</v>
      </c>
      <c r="M364" s="24"/>
      <c r="N364" s="84"/>
      <c r="O364" s="84"/>
      <c r="P364" s="84"/>
      <c r="Q364" s="84"/>
      <c r="R364" s="84"/>
    </row>
    <row r="365" spans="2:18" ht="15">
      <c r="B365" s="94"/>
      <c r="C365" s="78"/>
      <c r="I365" s="197" t="s">
        <v>124</v>
      </c>
      <c r="J365" s="198">
        <f>+'KPCo Historic TCOS'!J$100</f>
        <v>0.28044207727599524</v>
      </c>
      <c r="M365" s="24"/>
      <c r="N365" s="84"/>
      <c r="O365" s="84"/>
      <c r="P365" s="84"/>
      <c r="Q365" s="84"/>
      <c r="R365" s="84"/>
    </row>
    <row r="366" spans="2:18" ht="15">
      <c r="B366" s="756"/>
      <c r="C366"/>
      <c r="D366"/>
      <c r="E366"/>
      <c r="F366"/>
      <c r="G366"/>
      <c r="H366"/>
      <c r="I366" s="197" t="s">
        <v>728</v>
      </c>
      <c r="J366" s="198">
        <f>$L$231</f>
        <v>0.9963409919422282</v>
      </c>
      <c r="M366" s="24"/>
      <c r="N366" s="84"/>
      <c r="O366" s="84"/>
      <c r="P366" s="84"/>
      <c r="Q366" s="84"/>
      <c r="R366" s="84"/>
    </row>
    <row r="367" spans="2:18" ht="15">
      <c r="B367" s="756"/>
      <c r="C367"/>
      <c r="D367"/>
      <c r="E367"/>
      <c r="F367"/>
      <c r="G367"/>
      <c r="H367"/>
      <c r="I367" s="197" t="s">
        <v>559</v>
      </c>
      <c r="J367" s="198">
        <f>$J$75</f>
        <v>0.9958946147744496</v>
      </c>
      <c r="M367" s="24"/>
      <c r="N367" s="84"/>
      <c r="O367" s="84"/>
      <c r="P367" s="84"/>
      <c r="Q367" s="84"/>
      <c r="R367" s="84"/>
    </row>
    <row r="368" spans="2:18" ht="15">
      <c r="B368" s="756"/>
      <c r="C368"/>
      <c r="D368"/>
      <c r="E368"/>
      <c r="F368"/>
      <c r="G368"/>
      <c r="H368"/>
      <c r="I368" s="197" t="s">
        <v>740</v>
      </c>
      <c r="J368" s="198">
        <f>$L$241</f>
        <v>0.08594668838210866</v>
      </c>
      <c r="M368" s="24"/>
      <c r="N368" s="84"/>
      <c r="O368" s="84"/>
      <c r="P368" s="84"/>
      <c r="Q368" s="84"/>
      <c r="R368" s="84"/>
    </row>
    <row r="369" spans="2:18" ht="15">
      <c r="B369" s="756"/>
      <c r="C369"/>
      <c r="D369"/>
      <c r="E369"/>
      <c r="F369"/>
      <c r="G369"/>
      <c r="H369"/>
      <c r="M369" s="24"/>
      <c r="N369" s="84"/>
      <c r="O369" s="84"/>
      <c r="P369" s="84"/>
      <c r="Q369" s="84"/>
      <c r="R369" s="84"/>
    </row>
    <row r="370" spans="2:18" ht="15">
      <c r="B370" s="756"/>
      <c r="C370"/>
      <c r="D370"/>
      <c r="E370"/>
      <c r="F370"/>
      <c r="G370"/>
      <c r="H370"/>
      <c r="M370" s="24"/>
      <c r="N370" s="84"/>
      <c r="O370" s="84"/>
      <c r="P370" s="84"/>
      <c r="Q370" s="84"/>
      <c r="R370" s="84"/>
    </row>
    <row r="371" spans="2:18" ht="15">
      <c r="B371" s="756"/>
      <c r="C371"/>
      <c r="D371"/>
      <c r="E371"/>
      <c r="F371"/>
      <c r="G371"/>
      <c r="H371"/>
      <c r="M371" s="24"/>
      <c r="N371" s="84"/>
      <c r="O371" s="84"/>
      <c r="P371" s="84"/>
      <c r="Q371" s="84"/>
      <c r="R371" s="84"/>
    </row>
    <row r="372" spans="2:18" ht="15">
      <c r="B372" s="756"/>
      <c r="C372"/>
      <c r="D372"/>
      <c r="E372"/>
      <c r="F372"/>
      <c r="G372"/>
      <c r="H372"/>
      <c r="M372" s="24"/>
      <c r="N372" s="84"/>
      <c r="O372" s="84"/>
      <c r="P372" s="84"/>
      <c r="Q372" s="84"/>
      <c r="R372" s="84"/>
    </row>
    <row r="373" spans="2:18" ht="15">
      <c r="B373" s="756"/>
      <c r="C373"/>
      <c r="D373"/>
      <c r="E373"/>
      <c r="F373"/>
      <c r="G373"/>
      <c r="H373"/>
      <c r="M373" s="24"/>
      <c r="N373" s="84"/>
      <c r="O373" s="84"/>
      <c r="P373" s="84"/>
      <c r="Q373" s="84"/>
      <c r="R373" s="84"/>
    </row>
    <row r="374" spans="2:18" ht="15">
      <c r="B374" s="756"/>
      <c r="C374"/>
      <c r="D374"/>
      <c r="E374"/>
      <c r="F374"/>
      <c r="G374"/>
      <c r="H374"/>
      <c r="M374" s="24"/>
      <c r="N374" s="84"/>
      <c r="O374" s="84"/>
      <c r="P374" s="84"/>
      <c r="Q374" s="84"/>
      <c r="R374" s="84"/>
    </row>
    <row r="375" spans="2:18" ht="15">
      <c r="B375" s="756"/>
      <c r="C375"/>
      <c r="D375"/>
      <c r="E375"/>
      <c r="F375"/>
      <c r="G375"/>
      <c r="H375"/>
      <c r="M375" s="24"/>
      <c r="N375" s="84"/>
      <c r="O375" s="84"/>
      <c r="P375" s="84"/>
      <c r="Q375" s="84"/>
      <c r="R375" s="84"/>
    </row>
    <row r="376" spans="2:18" ht="15">
      <c r="B376" s="756"/>
      <c r="C376"/>
      <c r="D376"/>
      <c r="E376"/>
      <c r="F376"/>
      <c r="G376"/>
      <c r="H376"/>
      <c r="M376" s="24"/>
      <c r="N376" s="84"/>
      <c r="O376" s="84"/>
      <c r="P376" s="84"/>
      <c r="Q376" s="84"/>
      <c r="R376" s="84"/>
    </row>
    <row r="377" spans="2:18" ht="15">
      <c r="B377" s="94"/>
      <c r="C377" s="78"/>
      <c r="M377" s="24"/>
      <c r="N377" s="84"/>
      <c r="O377" s="84"/>
      <c r="P377" s="84"/>
      <c r="Q377" s="84"/>
      <c r="R377" s="84"/>
    </row>
    <row r="378" spans="2:18" ht="15">
      <c r="B378" s="14"/>
      <c r="M378" s="24"/>
      <c r="N378" s="84"/>
      <c r="O378" s="84"/>
      <c r="P378" s="84"/>
      <c r="Q378" s="84"/>
      <c r="R378" s="84"/>
    </row>
    <row r="379" spans="2:18" ht="15">
      <c r="B379" s="14"/>
      <c r="M379" s="24"/>
      <c r="N379" s="84"/>
      <c r="O379" s="84"/>
      <c r="P379" s="84"/>
      <c r="Q379" s="84"/>
      <c r="R379" s="84"/>
    </row>
    <row r="380" spans="2:18" ht="15">
      <c r="B380" s="14"/>
      <c r="M380" s="24"/>
      <c r="N380" s="84"/>
      <c r="O380" s="84"/>
      <c r="P380" s="84"/>
      <c r="Q380" s="84"/>
      <c r="R380" s="84"/>
    </row>
    <row r="381" spans="2:18" ht="15">
      <c r="B381" s="14"/>
      <c r="H381" s="84"/>
      <c r="I381" s="84"/>
      <c r="J381" s="84"/>
      <c r="K381" s="84"/>
      <c r="L381" s="84"/>
      <c r="M381" s="84"/>
      <c r="N381" s="84"/>
      <c r="O381" s="84"/>
      <c r="P381" s="84"/>
      <c r="Q381" s="84"/>
      <c r="R381" s="84"/>
    </row>
    <row r="382" spans="2:18" ht="15">
      <c r="B382" s="14"/>
      <c r="H382" s="84"/>
      <c r="K382" s="84"/>
      <c r="L382" s="84"/>
      <c r="M382" s="84"/>
      <c r="N382" s="84"/>
      <c r="O382" s="84"/>
      <c r="P382" s="84"/>
      <c r="Q382" s="84"/>
      <c r="R382" s="84"/>
    </row>
    <row r="383" spans="2:18" ht="15">
      <c r="B383" s="14"/>
      <c r="H383" s="84"/>
      <c r="K383" s="84"/>
      <c r="L383" s="84"/>
      <c r="M383" s="84"/>
      <c r="N383" s="84"/>
      <c r="O383" s="84"/>
      <c r="P383" s="84"/>
      <c r="Q383" s="84"/>
      <c r="R383" s="84"/>
    </row>
    <row r="384" spans="2:18" ht="15">
      <c r="B384" s="14"/>
      <c r="H384" s="84"/>
      <c r="K384" s="84"/>
      <c r="L384" s="84"/>
      <c r="M384" s="84"/>
      <c r="N384" s="84"/>
      <c r="O384" s="84"/>
      <c r="P384" s="84"/>
      <c r="Q384" s="84"/>
      <c r="R384" s="84"/>
    </row>
    <row r="385" spans="2:18" ht="15">
      <c r="B385" s="14"/>
      <c r="H385" s="84"/>
      <c r="K385" s="84"/>
      <c r="L385" s="84"/>
      <c r="M385" s="84"/>
      <c r="N385" s="84"/>
      <c r="O385" s="84"/>
      <c r="P385" s="84"/>
      <c r="Q385" s="84"/>
      <c r="R385" s="84"/>
    </row>
    <row r="386" spans="2:18" ht="15">
      <c r="B386" s="14"/>
      <c r="H386" s="84"/>
      <c r="K386" s="84"/>
      <c r="L386" s="84"/>
      <c r="M386" s="84"/>
      <c r="N386" s="84"/>
      <c r="O386" s="84"/>
      <c r="P386" s="84"/>
      <c r="Q386" s="84"/>
      <c r="R386" s="84"/>
    </row>
    <row r="387" spans="2:18" ht="15">
      <c r="B387" s="3"/>
      <c r="C387" s="84"/>
      <c r="D387" s="84"/>
      <c r="E387" s="84"/>
      <c r="F387" s="84"/>
      <c r="G387" s="84"/>
      <c r="H387" s="84"/>
      <c r="K387" s="84"/>
      <c r="L387" s="84"/>
      <c r="M387" s="84"/>
      <c r="N387" s="84"/>
      <c r="O387" s="84"/>
      <c r="P387" s="84"/>
      <c r="Q387" s="84"/>
      <c r="R387" s="84"/>
    </row>
    <row r="388" spans="2:18" ht="15">
      <c r="B388" s="3"/>
      <c r="C388" s="84"/>
      <c r="D388" s="84"/>
      <c r="E388" s="84"/>
      <c r="F388" s="84"/>
      <c r="G388" s="84"/>
      <c r="H388" s="84"/>
      <c r="K388" s="84"/>
      <c r="L388" s="84"/>
      <c r="M388" s="84"/>
      <c r="N388" s="84"/>
      <c r="O388" s="84"/>
      <c r="P388" s="84"/>
      <c r="Q388" s="84"/>
      <c r="R388" s="84"/>
    </row>
    <row r="389" spans="2:18" ht="15">
      <c r="B389" s="3"/>
      <c r="C389" s="84"/>
      <c r="D389" s="84"/>
      <c r="E389" s="84"/>
      <c r="F389" s="84"/>
      <c r="G389" s="84"/>
      <c r="H389" s="84"/>
      <c r="K389" s="84"/>
      <c r="L389" s="84"/>
      <c r="M389" s="84"/>
      <c r="N389" s="84"/>
      <c r="O389" s="84"/>
      <c r="P389" s="84"/>
      <c r="Q389" s="84"/>
      <c r="R389" s="84"/>
    </row>
    <row r="390" spans="2:13" ht="15">
      <c r="B390" s="7"/>
      <c r="C390" s="56"/>
      <c r="D390" s="56"/>
      <c r="E390" s="56"/>
      <c r="F390" s="56"/>
      <c r="G390" s="56"/>
      <c r="H390" s="56"/>
      <c r="K390" s="56"/>
      <c r="L390" s="56"/>
      <c r="M390" s="56"/>
    </row>
    <row r="391" spans="2:13" ht="15">
      <c r="B391" s="7"/>
      <c r="C391" s="56"/>
      <c r="D391" s="56"/>
      <c r="E391" s="56"/>
      <c r="F391" s="56"/>
      <c r="G391" s="56"/>
      <c r="H391" s="56"/>
      <c r="K391" s="56"/>
      <c r="L391" s="56"/>
      <c r="M391" s="56"/>
    </row>
    <row r="392" spans="2:13" ht="15">
      <c r="B392" s="7"/>
      <c r="C392" s="56"/>
      <c r="D392" s="56"/>
      <c r="E392" s="56"/>
      <c r="F392" s="56"/>
      <c r="G392" s="56"/>
      <c r="H392" s="56"/>
      <c r="I392" s="56"/>
      <c r="J392" s="56"/>
      <c r="K392" s="56"/>
      <c r="L392" s="56"/>
      <c r="M392" s="56"/>
    </row>
    <row r="393" spans="2:13" ht="15">
      <c r="B393" s="7"/>
      <c r="C393" s="56"/>
      <c r="D393" s="56"/>
      <c r="E393" s="56"/>
      <c r="F393" s="56"/>
      <c r="G393" s="56"/>
      <c r="H393" s="56"/>
      <c r="I393" s="56"/>
      <c r="J393" s="56"/>
      <c r="K393" s="56"/>
      <c r="L393" s="56"/>
      <c r="M393" s="56"/>
    </row>
    <row r="394" spans="2:13" ht="15">
      <c r="B394" s="7"/>
      <c r="C394" s="56"/>
      <c r="D394" s="56"/>
      <c r="E394" s="56"/>
      <c r="F394" s="56"/>
      <c r="G394" s="56"/>
      <c r="H394" s="56"/>
      <c r="I394" s="56"/>
      <c r="J394" s="56"/>
      <c r="K394" s="56"/>
      <c r="L394" s="56"/>
      <c r="M394" s="56"/>
    </row>
    <row r="395" spans="2:13" ht="15">
      <c r="B395" s="7"/>
      <c r="C395" s="56"/>
      <c r="D395" s="56"/>
      <c r="E395" s="56"/>
      <c r="F395" s="56"/>
      <c r="G395" s="56"/>
      <c r="H395" s="56"/>
      <c r="I395" s="56"/>
      <c r="J395" s="56"/>
      <c r="K395" s="56"/>
      <c r="L395" s="56"/>
      <c r="M395" s="56"/>
    </row>
    <row r="396" spans="2:13" ht="15">
      <c r="B396" s="7"/>
      <c r="C396" s="56"/>
      <c r="D396" s="56"/>
      <c r="E396" s="56"/>
      <c r="F396" s="56"/>
      <c r="G396" s="56"/>
      <c r="H396" s="56"/>
      <c r="I396" s="56"/>
      <c r="J396" s="56"/>
      <c r="K396" s="56"/>
      <c r="L396" s="56"/>
      <c r="M396" s="56"/>
    </row>
    <row r="397" spans="2:13" ht="15">
      <c r="B397" s="7"/>
      <c r="C397" s="56"/>
      <c r="D397" s="56"/>
      <c r="E397" s="56"/>
      <c r="F397" s="56"/>
      <c r="G397" s="56"/>
      <c r="H397" s="56"/>
      <c r="I397" s="56"/>
      <c r="J397" s="56"/>
      <c r="K397" s="56"/>
      <c r="L397" s="56"/>
      <c r="M397" s="56"/>
    </row>
    <row r="398" spans="2:13" ht="15">
      <c r="B398" s="7"/>
      <c r="C398" s="56"/>
      <c r="D398" s="56"/>
      <c r="E398" s="56"/>
      <c r="F398" s="56"/>
      <c r="G398" s="56"/>
      <c r="H398" s="56"/>
      <c r="I398" s="56"/>
      <c r="J398" s="56"/>
      <c r="K398" s="56"/>
      <c r="L398" s="56"/>
      <c r="M398" s="56"/>
    </row>
    <row r="399" spans="2:13" ht="15">
      <c r="B399" s="7"/>
      <c r="C399" s="56"/>
      <c r="D399" s="56"/>
      <c r="E399" s="56"/>
      <c r="F399" s="56"/>
      <c r="G399" s="56"/>
      <c r="H399" s="56"/>
      <c r="I399" s="56"/>
      <c r="J399" s="56"/>
      <c r="K399" s="56"/>
      <c r="L399" s="56"/>
      <c r="M399" s="56"/>
    </row>
    <row r="400" spans="2:13" ht="15">
      <c r="B400" s="7"/>
      <c r="C400" s="56"/>
      <c r="D400" s="56"/>
      <c r="E400" s="56"/>
      <c r="F400" s="56"/>
      <c r="G400" s="56"/>
      <c r="H400" s="56"/>
      <c r="I400" s="56"/>
      <c r="J400" s="56"/>
      <c r="K400" s="56"/>
      <c r="L400" s="56"/>
      <c r="M400" s="56"/>
    </row>
    <row r="401" spans="2:13" ht="15">
      <c r="B401" s="7"/>
      <c r="C401" s="56"/>
      <c r="D401" s="56"/>
      <c r="E401" s="56"/>
      <c r="F401" s="56"/>
      <c r="G401" s="56"/>
      <c r="H401" s="56"/>
      <c r="I401" s="56"/>
      <c r="J401" s="56"/>
      <c r="K401" s="56"/>
      <c r="L401" s="56"/>
      <c r="M401" s="56"/>
    </row>
    <row r="402" spans="2:13" ht="15">
      <c r="B402" s="7"/>
      <c r="C402" s="56"/>
      <c r="D402" s="56"/>
      <c r="E402" s="56"/>
      <c r="F402" s="56"/>
      <c r="G402" s="56"/>
      <c r="H402" s="56"/>
      <c r="I402" s="56"/>
      <c r="J402" s="56"/>
      <c r="K402" s="56"/>
      <c r="L402" s="56"/>
      <c r="M402" s="56"/>
    </row>
    <row r="403" spans="2:13" ht="15">
      <c r="B403" s="7"/>
      <c r="C403" s="56"/>
      <c r="D403" s="56"/>
      <c r="E403" s="56"/>
      <c r="F403" s="56"/>
      <c r="G403" s="56"/>
      <c r="H403" s="56"/>
      <c r="I403" s="56"/>
      <c r="J403" s="56"/>
      <c r="K403" s="56"/>
      <c r="L403" s="56"/>
      <c r="M403" s="56"/>
    </row>
    <row r="404" spans="2:13" ht="15">
      <c r="B404" s="7"/>
      <c r="C404" s="56"/>
      <c r="D404" s="56"/>
      <c r="E404" s="56"/>
      <c r="F404" s="56"/>
      <c r="G404" s="56"/>
      <c r="H404" s="56"/>
      <c r="I404" s="56"/>
      <c r="J404" s="56"/>
      <c r="K404" s="56"/>
      <c r="L404" s="56"/>
      <c r="M404" s="56"/>
    </row>
    <row r="405" spans="2:13" ht="15">
      <c r="B405" s="7"/>
      <c r="C405" s="56"/>
      <c r="D405" s="56"/>
      <c r="E405" s="56"/>
      <c r="F405" s="56"/>
      <c r="G405" s="56"/>
      <c r="H405" s="56"/>
      <c r="I405" s="56"/>
      <c r="J405" s="56"/>
      <c r="K405" s="56"/>
      <c r="L405" s="56"/>
      <c r="M405" s="56"/>
    </row>
    <row r="406" spans="2:13" ht="15">
      <c r="B406" s="7"/>
      <c r="C406" s="56"/>
      <c r="D406" s="56"/>
      <c r="E406" s="56"/>
      <c r="F406" s="56"/>
      <c r="G406" s="56"/>
      <c r="H406" s="56"/>
      <c r="I406" s="56"/>
      <c r="J406" s="56"/>
      <c r="K406" s="56"/>
      <c r="L406" s="56"/>
      <c r="M406" s="56"/>
    </row>
    <row r="407" spans="2:13" ht="15">
      <c r="B407" s="7"/>
      <c r="C407" s="56"/>
      <c r="D407" s="56"/>
      <c r="E407" s="56"/>
      <c r="F407" s="56"/>
      <c r="G407" s="56"/>
      <c r="H407" s="56"/>
      <c r="I407" s="56"/>
      <c r="J407" s="56"/>
      <c r="K407" s="56"/>
      <c r="L407" s="56"/>
      <c r="M407" s="56"/>
    </row>
    <row r="408" spans="2:13" ht="15">
      <c r="B408" s="7"/>
      <c r="C408" s="56"/>
      <c r="D408" s="56"/>
      <c r="E408" s="56"/>
      <c r="F408" s="56"/>
      <c r="G408" s="56"/>
      <c r="H408" s="56"/>
      <c r="I408" s="56"/>
      <c r="J408" s="56"/>
      <c r="K408" s="56"/>
      <c r="L408" s="56"/>
      <c r="M408" s="56"/>
    </row>
    <row r="409" spans="2:13" ht="15">
      <c r="B409" s="7"/>
      <c r="C409" s="56"/>
      <c r="D409" s="56"/>
      <c r="E409" s="56"/>
      <c r="F409" s="56"/>
      <c r="G409" s="56"/>
      <c r="H409" s="56"/>
      <c r="I409" s="56"/>
      <c r="J409" s="56"/>
      <c r="K409" s="56"/>
      <c r="L409" s="56"/>
      <c r="M409" s="56"/>
    </row>
    <row r="410" spans="2:13" ht="15">
      <c r="B410" s="7"/>
      <c r="C410" s="56"/>
      <c r="D410" s="56"/>
      <c r="E410" s="56"/>
      <c r="F410" s="56"/>
      <c r="G410" s="56"/>
      <c r="H410" s="56"/>
      <c r="I410" s="56"/>
      <c r="J410" s="56"/>
      <c r="K410" s="56"/>
      <c r="L410" s="56"/>
      <c r="M410" s="56"/>
    </row>
    <row r="411" spans="2:13" ht="15">
      <c r="B411" s="7"/>
      <c r="C411" s="56"/>
      <c r="D411" s="56"/>
      <c r="E411" s="56"/>
      <c r="F411" s="56"/>
      <c r="G411" s="56"/>
      <c r="H411" s="56"/>
      <c r="I411" s="56"/>
      <c r="J411" s="56"/>
      <c r="K411" s="56"/>
      <c r="L411" s="56"/>
      <c r="M411" s="56"/>
    </row>
    <row r="412" spans="2:13" ht="15">
      <c r="B412" s="7"/>
      <c r="C412" s="56"/>
      <c r="D412" s="56"/>
      <c r="E412" s="56"/>
      <c r="F412" s="56"/>
      <c r="G412" s="56"/>
      <c r="H412" s="56"/>
      <c r="I412" s="56"/>
      <c r="J412" s="56"/>
      <c r="K412" s="56"/>
      <c r="L412" s="56"/>
      <c r="M412" s="56"/>
    </row>
    <row r="413" spans="2:13" ht="15">
      <c r="B413" s="7"/>
      <c r="C413" s="56"/>
      <c r="D413" s="56"/>
      <c r="E413" s="56"/>
      <c r="F413" s="56"/>
      <c r="G413" s="56"/>
      <c r="H413" s="56"/>
      <c r="I413" s="56"/>
      <c r="J413" s="56"/>
      <c r="K413" s="56"/>
      <c r="L413" s="56"/>
      <c r="M413" s="56"/>
    </row>
    <row r="414" spans="2:13" ht="15">
      <c r="B414" s="7"/>
      <c r="C414" s="56"/>
      <c r="D414" s="56"/>
      <c r="E414" s="56"/>
      <c r="F414" s="56"/>
      <c r="G414" s="56"/>
      <c r="H414" s="56"/>
      <c r="I414" s="56"/>
      <c r="J414" s="56"/>
      <c r="K414" s="56"/>
      <c r="L414" s="56"/>
      <c r="M414" s="56"/>
    </row>
    <row r="415" spans="2:13" ht="15">
      <c r="B415" s="7"/>
      <c r="C415" s="56"/>
      <c r="D415" s="56"/>
      <c r="E415" s="56"/>
      <c r="F415" s="56"/>
      <c r="G415" s="56"/>
      <c r="H415" s="56"/>
      <c r="I415" s="56"/>
      <c r="J415" s="56"/>
      <c r="K415" s="56"/>
      <c r="L415" s="56"/>
      <c r="M415" s="56"/>
    </row>
    <row r="416" spans="2:13" ht="15">
      <c r="B416" s="7"/>
      <c r="C416" s="56"/>
      <c r="D416" s="56"/>
      <c r="E416" s="56"/>
      <c r="F416" s="56"/>
      <c r="G416" s="56"/>
      <c r="H416" s="56"/>
      <c r="I416" s="56"/>
      <c r="J416" s="56"/>
      <c r="K416" s="56"/>
      <c r="L416" s="56"/>
      <c r="M416" s="56"/>
    </row>
    <row r="417" spans="2:13" ht="15">
      <c r="B417" s="7"/>
      <c r="C417" s="56"/>
      <c r="D417" s="56"/>
      <c r="E417" s="56"/>
      <c r="F417" s="56"/>
      <c r="G417" s="56"/>
      <c r="H417" s="56"/>
      <c r="I417" s="56"/>
      <c r="J417" s="56"/>
      <c r="K417" s="56"/>
      <c r="L417" s="56"/>
      <c r="M417" s="56"/>
    </row>
    <row r="418" spans="2:13" ht="15">
      <c r="B418" s="7"/>
      <c r="C418" s="56"/>
      <c r="D418" s="56"/>
      <c r="E418" s="56"/>
      <c r="F418" s="56"/>
      <c r="G418" s="56"/>
      <c r="H418" s="56"/>
      <c r="I418" s="56"/>
      <c r="J418" s="56"/>
      <c r="K418" s="56"/>
      <c r="L418" s="56"/>
      <c r="M418" s="56"/>
    </row>
    <row r="419" spans="2:13" ht="15">
      <c r="B419" s="7"/>
      <c r="C419" s="56"/>
      <c r="D419" s="56"/>
      <c r="E419" s="56"/>
      <c r="F419" s="56"/>
      <c r="G419" s="56"/>
      <c r="H419" s="56"/>
      <c r="I419" s="56"/>
      <c r="J419" s="56"/>
      <c r="K419" s="56"/>
      <c r="L419" s="56"/>
      <c r="M419" s="56"/>
    </row>
    <row r="420" spans="2:13" ht="15">
      <c r="B420" s="7"/>
      <c r="C420" s="56"/>
      <c r="D420" s="56"/>
      <c r="E420" s="56"/>
      <c r="F420" s="56"/>
      <c r="G420" s="56"/>
      <c r="H420" s="56"/>
      <c r="I420" s="56"/>
      <c r="J420" s="56"/>
      <c r="K420" s="56"/>
      <c r="L420" s="56"/>
      <c r="M420" s="56"/>
    </row>
    <row r="421" spans="2:13" ht="15">
      <c r="B421" s="7"/>
      <c r="C421" s="56"/>
      <c r="D421" s="56"/>
      <c r="E421" s="56"/>
      <c r="F421" s="56"/>
      <c r="G421" s="56"/>
      <c r="H421" s="56"/>
      <c r="I421" s="56"/>
      <c r="J421" s="56"/>
      <c r="K421" s="56"/>
      <c r="L421" s="56"/>
      <c r="M421" s="56"/>
    </row>
    <row r="422" spans="2:13" ht="15">
      <c r="B422" s="7"/>
      <c r="C422" s="56"/>
      <c r="D422" s="56"/>
      <c r="E422" s="56"/>
      <c r="F422" s="56"/>
      <c r="G422" s="56"/>
      <c r="H422" s="56"/>
      <c r="I422" s="56"/>
      <c r="J422" s="56"/>
      <c r="K422" s="56"/>
      <c r="L422" s="56"/>
      <c r="M422" s="56"/>
    </row>
    <row r="423" spans="2:13" ht="15">
      <c r="B423" s="7"/>
      <c r="C423" s="56"/>
      <c r="D423" s="56"/>
      <c r="E423" s="56"/>
      <c r="F423" s="56"/>
      <c r="G423" s="56"/>
      <c r="H423" s="56"/>
      <c r="I423" s="56"/>
      <c r="J423" s="56"/>
      <c r="K423" s="56"/>
      <c r="L423" s="56"/>
      <c r="M423" s="56"/>
    </row>
    <row r="424" spans="2:13" ht="15">
      <c r="B424" s="7"/>
      <c r="C424" s="56"/>
      <c r="D424" s="56"/>
      <c r="E424" s="56"/>
      <c r="F424" s="56"/>
      <c r="G424" s="56"/>
      <c r="H424" s="56"/>
      <c r="I424" s="56"/>
      <c r="J424" s="56"/>
      <c r="K424" s="56"/>
      <c r="L424" s="56"/>
      <c r="M424" s="56"/>
    </row>
    <row r="425" spans="2:13" ht="15">
      <c r="B425" s="7"/>
      <c r="C425" s="56"/>
      <c r="D425" s="56"/>
      <c r="E425" s="56"/>
      <c r="F425" s="56"/>
      <c r="G425" s="56"/>
      <c r="H425" s="56"/>
      <c r="I425" s="56"/>
      <c r="J425" s="56"/>
      <c r="K425" s="56"/>
      <c r="L425" s="56"/>
      <c r="M425" s="56"/>
    </row>
    <row r="426" spans="2:13" ht="15">
      <c r="B426" s="7"/>
      <c r="C426" s="56"/>
      <c r="D426" s="56"/>
      <c r="E426" s="56"/>
      <c r="F426" s="56"/>
      <c r="G426" s="56"/>
      <c r="H426" s="56"/>
      <c r="I426" s="56"/>
      <c r="J426" s="56"/>
      <c r="K426" s="56"/>
      <c r="L426" s="56"/>
      <c r="M426" s="56"/>
    </row>
    <row r="427" spans="2:13" ht="15">
      <c r="B427" s="7"/>
      <c r="C427" s="56"/>
      <c r="D427" s="56"/>
      <c r="E427" s="56"/>
      <c r="F427" s="56"/>
      <c r="G427" s="56"/>
      <c r="H427" s="56"/>
      <c r="I427" s="56"/>
      <c r="J427" s="56"/>
      <c r="K427" s="56"/>
      <c r="L427" s="56"/>
      <c r="M427" s="56"/>
    </row>
    <row r="428" spans="2:13" ht="15">
      <c r="B428" s="7"/>
      <c r="C428" s="56"/>
      <c r="D428" s="56"/>
      <c r="E428" s="56"/>
      <c r="F428" s="56"/>
      <c r="G428" s="56"/>
      <c r="H428" s="56"/>
      <c r="I428" s="56"/>
      <c r="J428" s="56"/>
      <c r="K428" s="56"/>
      <c r="L428" s="56"/>
      <c r="M428" s="56"/>
    </row>
    <row r="429" spans="2:13" ht="15">
      <c r="B429" s="7"/>
      <c r="C429" s="56"/>
      <c r="D429" s="56"/>
      <c r="E429" s="56"/>
      <c r="F429" s="56"/>
      <c r="G429" s="56"/>
      <c r="H429" s="56"/>
      <c r="I429" s="56"/>
      <c r="J429" s="56"/>
      <c r="K429" s="56"/>
      <c r="L429" s="56"/>
      <c r="M429" s="56"/>
    </row>
    <row r="430" spans="2:13" ht="15">
      <c r="B430" s="7"/>
      <c r="C430" s="56"/>
      <c r="D430" s="56"/>
      <c r="E430" s="56"/>
      <c r="F430" s="56"/>
      <c r="G430" s="56"/>
      <c r="H430" s="56"/>
      <c r="I430" s="56"/>
      <c r="J430" s="56"/>
      <c r="K430" s="56"/>
      <c r="L430" s="56"/>
      <c r="M430" s="56"/>
    </row>
    <row r="431" spans="2:13" ht="15">
      <c r="B431" s="7"/>
      <c r="C431" s="56"/>
      <c r="D431" s="56"/>
      <c r="E431" s="56"/>
      <c r="F431" s="56"/>
      <c r="G431" s="56"/>
      <c r="H431" s="56"/>
      <c r="I431" s="56"/>
      <c r="J431" s="56"/>
      <c r="K431" s="56"/>
      <c r="L431" s="56"/>
      <c r="M431" s="56"/>
    </row>
    <row r="432" spans="2:13" ht="15">
      <c r="B432" s="7"/>
      <c r="C432" s="56"/>
      <c r="D432" s="56"/>
      <c r="E432" s="56"/>
      <c r="F432" s="56"/>
      <c r="G432" s="56"/>
      <c r="H432" s="56"/>
      <c r="I432" s="56"/>
      <c r="J432" s="56"/>
      <c r="K432" s="56"/>
      <c r="L432" s="56"/>
      <c r="M432" s="56"/>
    </row>
    <row r="433" spans="2:13" ht="15">
      <c r="B433" s="7"/>
      <c r="C433" s="56"/>
      <c r="D433" s="56"/>
      <c r="E433" s="56"/>
      <c r="F433" s="56"/>
      <c r="G433" s="56"/>
      <c r="H433" s="56"/>
      <c r="I433" s="56"/>
      <c r="J433" s="56"/>
      <c r="K433" s="56"/>
      <c r="L433" s="56"/>
      <c r="M433" s="56"/>
    </row>
    <row r="434" spans="2:13" ht="15">
      <c r="B434" s="7"/>
      <c r="C434" s="56"/>
      <c r="D434" s="56"/>
      <c r="E434" s="56"/>
      <c r="F434" s="56"/>
      <c r="G434" s="56"/>
      <c r="H434" s="56"/>
      <c r="I434" s="56"/>
      <c r="J434" s="56"/>
      <c r="K434" s="56"/>
      <c r="L434" s="56"/>
      <c r="M434" s="56"/>
    </row>
    <row r="435" spans="2:13" ht="15">
      <c r="B435" s="7"/>
      <c r="C435" s="56"/>
      <c r="D435" s="56"/>
      <c r="E435" s="56"/>
      <c r="F435" s="56"/>
      <c r="G435" s="56"/>
      <c r="H435" s="56"/>
      <c r="I435" s="56"/>
      <c r="J435" s="56"/>
      <c r="K435" s="56"/>
      <c r="L435" s="56"/>
      <c r="M435" s="56"/>
    </row>
    <row r="436" spans="2:13" ht="15">
      <c r="B436" s="7"/>
      <c r="C436" s="56"/>
      <c r="D436" s="56"/>
      <c r="E436" s="56"/>
      <c r="F436" s="56"/>
      <c r="G436" s="56"/>
      <c r="H436" s="56"/>
      <c r="I436" s="56"/>
      <c r="J436" s="56"/>
      <c r="K436" s="56"/>
      <c r="L436" s="56"/>
      <c r="M436" s="56"/>
    </row>
    <row r="437" spans="2:13" ht="15">
      <c r="B437" s="7"/>
      <c r="C437" s="56"/>
      <c r="D437" s="56"/>
      <c r="E437" s="56"/>
      <c r="F437" s="56"/>
      <c r="G437" s="56"/>
      <c r="H437" s="56"/>
      <c r="I437" s="56"/>
      <c r="J437" s="56"/>
      <c r="K437" s="56"/>
      <c r="L437" s="56"/>
      <c r="M437" s="56"/>
    </row>
    <row r="438" spans="2:13" ht="15">
      <c r="B438" s="7"/>
      <c r="C438" s="56"/>
      <c r="D438" s="56"/>
      <c r="E438" s="56"/>
      <c r="F438" s="56"/>
      <c r="G438" s="56"/>
      <c r="H438" s="56"/>
      <c r="I438" s="56"/>
      <c r="J438" s="56"/>
      <c r="K438" s="56"/>
      <c r="L438" s="56"/>
      <c r="M438" s="56"/>
    </row>
    <row r="439" spans="2:13" ht="15">
      <c r="B439" s="7"/>
      <c r="C439" s="56"/>
      <c r="D439" s="56"/>
      <c r="E439" s="56"/>
      <c r="F439" s="56"/>
      <c r="G439" s="56"/>
      <c r="H439" s="56"/>
      <c r="I439" s="56"/>
      <c r="J439" s="56"/>
      <c r="K439" s="56"/>
      <c r="L439" s="56"/>
      <c r="M439" s="56"/>
    </row>
    <row r="440" spans="2:13" ht="15">
      <c r="B440" s="7"/>
      <c r="C440" s="56"/>
      <c r="D440" s="56"/>
      <c r="E440" s="56"/>
      <c r="F440" s="56"/>
      <c r="G440" s="56"/>
      <c r="H440" s="56"/>
      <c r="I440" s="56"/>
      <c r="J440" s="56"/>
      <c r="K440" s="56"/>
      <c r="L440" s="56"/>
      <c r="M440" s="56"/>
    </row>
    <row r="441" spans="2:13" ht="15">
      <c r="B441" s="7"/>
      <c r="C441" s="56"/>
      <c r="D441" s="56"/>
      <c r="E441" s="56"/>
      <c r="F441" s="56"/>
      <c r="G441" s="56"/>
      <c r="H441" s="56"/>
      <c r="I441" s="56"/>
      <c r="J441" s="56"/>
      <c r="K441" s="56"/>
      <c r="L441" s="56"/>
      <c r="M441" s="56"/>
    </row>
    <row r="442" spans="2:13" ht="15">
      <c r="B442" s="7"/>
      <c r="C442" s="56"/>
      <c r="D442" s="56"/>
      <c r="E442" s="56"/>
      <c r="F442" s="56"/>
      <c r="G442" s="56"/>
      <c r="H442" s="56"/>
      <c r="I442" s="56"/>
      <c r="J442" s="56"/>
      <c r="K442" s="56"/>
      <c r="L442" s="56"/>
      <c r="M442" s="56"/>
    </row>
    <row r="443" spans="2:13" ht="15">
      <c r="B443" s="7"/>
      <c r="C443" s="56"/>
      <c r="D443" s="56"/>
      <c r="E443" s="56"/>
      <c r="F443" s="56"/>
      <c r="G443" s="56"/>
      <c r="H443" s="56"/>
      <c r="I443" s="56"/>
      <c r="J443" s="56"/>
      <c r="K443" s="56"/>
      <c r="L443" s="56"/>
      <c r="M443" s="56"/>
    </row>
    <row r="444" spans="2:13" ht="15">
      <c r="B444" s="7"/>
      <c r="C444" s="56"/>
      <c r="D444" s="56"/>
      <c r="E444" s="56"/>
      <c r="F444" s="56"/>
      <c r="G444" s="56"/>
      <c r="H444" s="56"/>
      <c r="I444" s="56"/>
      <c r="J444" s="56"/>
      <c r="K444" s="56"/>
      <c r="L444" s="56"/>
      <c r="M444" s="56"/>
    </row>
    <row r="445" spans="2:13" ht="15">
      <c r="B445" s="7"/>
      <c r="C445" s="56"/>
      <c r="D445" s="56"/>
      <c r="E445" s="56"/>
      <c r="F445" s="56"/>
      <c r="G445" s="56"/>
      <c r="H445" s="56"/>
      <c r="I445" s="56"/>
      <c r="J445" s="56"/>
      <c r="K445" s="56"/>
      <c r="L445" s="56"/>
      <c r="M445" s="56"/>
    </row>
    <row r="446" spans="2:13" ht="15">
      <c r="B446" s="7"/>
      <c r="C446" s="56"/>
      <c r="D446" s="56"/>
      <c r="E446" s="56"/>
      <c r="F446" s="56"/>
      <c r="G446" s="56"/>
      <c r="H446" s="56"/>
      <c r="I446" s="56"/>
      <c r="J446" s="56"/>
      <c r="K446" s="56"/>
      <c r="L446" s="56"/>
      <c r="M446" s="56"/>
    </row>
    <row r="447" spans="2:13" ht="15">
      <c r="B447" s="7"/>
      <c r="C447" s="56"/>
      <c r="D447" s="56"/>
      <c r="E447" s="56"/>
      <c r="F447" s="56"/>
      <c r="G447" s="56"/>
      <c r="H447" s="56"/>
      <c r="I447" s="56"/>
      <c r="J447" s="56"/>
      <c r="K447" s="56"/>
      <c r="L447" s="56"/>
      <c r="M447" s="56"/>
    </row>
    <row r="448" spans="2:13" ht="15">
      <c r="B448" s="7"/>
      <c r="C448" s="56"/>
      <c r="D448" s="56"/>
      <c r="E448" s="56"/>
      <c r="F448" s="56"/>
      <c r="G448" s="56"/>
      <c r="H448" s="56"/>
      <c r="I448" s="56"/>
      <c r="J448" s="56"/>
      <c r="K448" s="56"/>
      <c r="L448" s="56"/>
      <c r="M448" s="56"/>
    </row>
    <row r="449" spans="2:13" ht="15">
      <c r="B449" s="7"/>
      <c r="C449" s="56"/>
      <c r="D449" s="56"/>
      <c r="E449" s="56"/>
      <c r="F449" s="56"/>
      <c r="G449" s="56"/>
      <c r="H449" s="56"/>
      <c r="I449" s="56"/>
      <c r="J449" s="56"/>
      <c r="K449" s="56"/>
      <c r="L449" s="56"/>
      <c r="M449" s="56"/>
    </row>
    <row r="450" spans="2:13" ht="15">
      <c r="B450" s="7"/>
      <c r="C450" s="56"/>
      <c r="D450" s="56"/>
      <c r="E450" s="56"/>
      <c r="F450" s="56"/>
      <c r="G450" s="56"/>
      <c r="H450" s="56"/>
      <c r="I450" s="56"/>
      <c r="J450" s="56"/>
      <c r="K450" s="56"/>
      <c r="L450" s="56"/>
      <c r="M450" s="56"/>
    </row>
    <row r="451" spans="2:13" ht="15">
      <c r="B451" s="7"/>
      <c r="C451" s="56"/>
      <c r="D451" s="56"/>
      <c r="E451" s="56"/>
      <c r="F451" s="56"/>
      <c r="G451" s="56"/>
      <c r="H451" s="56"/>
      <c r="I451" s="56"/>
      <c r="J451" s="56"/>
      <c r="K451" s="56"/>
      <c r="L451" s="56"/>
      <c r="M451" s="56"/>
    </row>
    <row r="452" spans="2:13" ht="15">
      <c r="B452" s="7"/>
      <c r="C452" s="56"/>
      <c r="D452" s="56"/>
      <c r="E452" s="56"/>
      <c r="F452" s="56"/>
      <c r="G452" s="56"/>
      <c r="H452" s="56"/>
      <c r="I452" s="56"/>
      <c r="J452" s="56"/>
      <c r="K452" s="56"/>
      <c r="L452" s="56"/>
      <c r="M452" s="56"/>
    </row>
    <row r="453" spans="2:13" ht="15">
      <c r="B453" s="7"/>
      <c r="C453" s="56"/>
      <c r="D453" s="56"/>
      <c r="E453" s="56"/>
      <c r="F453" s="56"/>
      <c r="G453" s="56"/>
      <c r="H453" s="56"/>
      <c r="I453" s="56"/>
      <c r="J453" s="56"/>
      <c r="K453" s="56"/>
      <c r="L453" s="56"/>
      <c r="M453" s="56"/>
    </row>
    <row r="454" spans="2:13" ht="15">
      <c r="B454" s="7"/>
      <c r="C454" s="56"/>
      <c r="D454" s="56"/>
      <c r="E454" s="56"/>
      <c r="F454" s="56"/>
      <c r="G454" s="56"/>
      <c r="H454" s="56"/>
      <c r="I454" s="56"/>
      <c r="J454" s="56"/>
      <c r="K454" s="56"/>
      <c r="L454" s="56"/>
      <c r="M454" s="56"/>
    </row>
    <row r="455" spans="2:13" ht="15">
      <c r="B455" s="7"/>
      <c r="C455" s="56"/>
      <c r="D455" s="56"/>
      <c r="E455" s="56"/>
      <c r="F455" s="56"/>
      <c r="G455" s="56"/>
      <c r="H455" s="56"/>
      <c r="I455" s="56"/>
      <c r="J455" s="56"/>
      <c r="K455" s="56"/>
      <c r="L455" s="56"/>
      <c r="M455" s="56"/>
    </row>
    <row r="456" spans="2:13" ht="15">
      <c r="B456" s="7"/>
      <c r="C456" s="56"/>
      <c r="D456" s="56"/>
      <c r="E456" s="56"/>
      <c r="F456" s="56"/>
      <c r="G456" s="56"/>
      <c r="H456" s="56"/>
      <c r="I456" s="56"/>
      <c r="J456" s="56"/>
      <c r="K456" s="56"/>
      <c r="L456" s="56"/>
      <c r="M456" s="56"/>
    </row>
    <row r="457" spans="2:13" ht="15">
      <c r="B457" s="7"/>
      <c r="C457" s="56"/>
      <c r="D457" s="56"/>
      <c r="E457" s="56"/>
      <c r="F457" s="56"/>
      <c r="G457" s="56"/>
      <c r="H457" s="56"/>
      <c r="I457" s="56"/>
      <c r="J457" s="56"/>
      <c r="K457" s="56"/>
      <c r="L457" s="56"/>
      <c r="M457" s="56"/>
    </row>
    <row r="458" spans="2:13" ht="15">
      <c r="B458" s="7"/>
      <c r="C458" s="56"/>
      <c r="D458" s="56"/>
      <c r="E458" s="56"/>
      <c r="F458" s="56"/>
      <c r="G458" s="56"/>
      <c r="H458" s="56"/>
      <c r="I458" s="56"/>
      <c r="J458" s="56"/>
      <c r="K458" s="56"/>
      <c r="L458" s="56"/>
      <c r="M458" s="56"/>
    </row>
    <row r="459" spans="2:13" ht="15">
      <c r="B459" s="7"/>
      <c r="C459" s="56"/>
      <c r="D459" s="56"/>
      <c r="E459" s="56"/>
      <c r="F459" s="56"/>
      <c r="G459" s="56"/>
      <c r="H459" s="56"/>
      <c r="I459" s="56"/>
      <c r="J459" s="56"/>
      <c r="K459" s="56"/>
      <c r="L459" s="56"/>
      <c r="M459" s="56"/>
    </row>
    <row r="460" spans="2:13" ht="15">
      <c r="B460" s="7"/>
      <c r="C460" s="56"/>
      <c r="D460" s="56"/>
      <c r="E460" s="56"/>
      <c r="F460" s="56"/>
      <c r="G460" s="56"/>
      <c r="H460" s="56"/>
      <c r="I460" s="56"/>
      <c r="J460" s="56"/>
      <c r="K460" s="56"/>
      <c r="L460" s="56"/>
      <c r="M460" s="56"/>
    </row>
    <row r="461" spans="2:13" ht="15">
      <c r="B461" s="7"/>
      <c r="C461" s="56"/>
      <c r="D461" s="56"/>
      <c r="E461" s="56"/>
      <c r="F461" s="56"/>
      <c r="G461" s="56"/>
      <c r="H461" s="56"/>
      <c r="I461" s="56"/>
      <c r="J461" s="56"/>
      <c r="K461" s="56"/>
      <c r="L461" s="56"/>
      <c r="M461" s="56"/>
    </row>
    <row r="462" spans="2:13" ht="15">
      <c r="B462" s="7"/>
      <c r="C462" s="56"/>
      <c r="D462" s="56"/>
      <c r="E462" s="56"/>
      <c r="F462" s="56"/>
      <c r="G462" s="56"/>
      <c r="H462" s="56"/>
      <c r="I462" s="56"/>
      <c r="J462" s="56"/>
      <c r="K462" s="56"/>
      <c r="L462" s="56"/>
      <c r="M462" s="56"/>
    </row>
    <row r="463" spans="2:13" ht="15">
      <c r="B463" s="7"/>
      <c r="C463" s="56"/>
      <c r="D463" s="56"/>
      <c r="E463" s="56"/>
      <c r="F463" s="56"/>
      <c r="G463" s="56"/>
      <c r="H463" s="56"/>
      <c r="I463" s="56"/>
      <c r="J463" s="56"/>
      <c r="K463" s="56"/>
      <c r="L463" s="56"/>
      <c r="M463" s="56"/>
    </row>
    <row r="464" spans="2:13" ht="15">
      <c r="B464" s="7"/>
      <c r="C464" s="56"/>
      <c r="D464" s="56"/>
      <c r="E464" s="56"/>
      <c r="F464" s="56"/>
      <c r="G464" s="56"/>
      <c r="H464" s="56"/>
      <c r="I464" s="56"/>
      <c r="J464" s="56"/>
      <c r="K464" s="56"/>
      <c r="L464" s="56"/>
      <c r="M464" s="56"/>
    </row>
    <row r="465" spans="2:13" ht="15">
      <c r="B465" s="7"/>
      <c r="C465" s="56"/>
      <c r="D465" s="56"/>
      <c r="E465" s="56"/>
      <c r="F465" s="56"/>
      <c r="G465" s="56"/>
      <c r="H465" s="56"/>
      <c r="I465" s="56"/>
      <c r="J465" s="56"/>
      <c r="K465" s="56"/>
      <c r="L465" s="56"/>
      <c r="M465" s="56"/>
    </row>
    <row r="466" spans="2:13" ht="15">
      <c r="B466" s="7"/>
      <c r="C466" s="56"/>
      <c r="D466" s="56"/>
      <c r="E466" s="56"/>
      <c r="F466" s="56"/>
      <c r="G466" s="56"/>
      <c r="H466" s="56"/>
      <c r="I466" s="56"/>
      <c r="J466" s="56"/>
      <c r="K466" s="56"/>
      <c r="L466" s="56"/>
      <c r="M466" s="56"/>
    </row>
    <row r="467" spans="2:13" ht="15">
      <c r="B467" s="7"/>
      <c r="C467" s="56"/>
      <c r="D467" s="56"/>
      <c r="E467" s="56"/>
      <c r="F467" s="56"/>
      <c r="G467" s="56"/>
      <c r="H467" s="56"/>
      <c r="I467" s="56"/>
      <c r="J467" s="56"/>
      <c r="K467" s="56"/>
      <c r="L467" s="56"/>
      <c r="M467" s="56"/>
    </row>
    <row r="468" spans="2:13" ht="15">
      <c r="B468" s="7"/>
      <c r="C468" s="56"/>
      <c r="D468" s="56"/>
      <c r="E468" s="56"/>
      <c r="F468" s="56"/>
      <c r="G468" s="56"/>
      <c r="H468" s="56"/>
      <c r="I468" s="56"/>
      <c r="J468" s="56"/>
      <c r="K468" s="56"/>
      <c r="L468" s="56"/>
      <c r="M468" s="56"/>
    </row>
    <row r="469" spans="2:13" ht="15">
      <c r="B469" s="7"/>
      <c r="C469" s="56"/>
      <c r="D469" s="56"/>
      <c r="E469" s="56"/>
      <c r="F469" s="56"/>
      <c r="G469" s="56"/>
      <c r="H469" s="56"/>
      <c r="I469" s="56"/>
      <c r="J469" s="56"/>
      <c r="K469" s="56"/>
      <c r="L469" s="56"/>
      <c r="M469" s="56"/>
    </row>
    <row r="470" spans="2:13" ht="15">
      <c r="B470" s="7"/>
      <c r="C470" s="56"/>
      <c r="D470" s="56"/>
      <c r="E470" s="56"/>
      <c r="F470" s="56"/>
      <c r="G470" s="56"/>
      <c r="H470" s="56"/>
      <c r="I470" s="56"/>
      <c r="J470" s="56"/>
      <c r="K470" s="56"/>
      <c r="L470" s="56"/>
      <c r="M470" s="56"/>
    </row>
    <row r="471" spans="2:13" ht="15">
      <c r="B471" s="7"/>
      <c r="C471" s="56"/>
      <c r="D471" s="56"/>
      <c r="E471" s="56"/>
      <c r="F471" s="56"/>
      <c r="G471" s="56"/>
      <c r="H471" s="56"/>
      <c r="I471" s="56"/>
      <c r="J471" s="56"/>
      <c r="K471" s="56"/>
      <c r="L471" s="56"/>
      <c r="M471" s="56"/>
    </row>
    <row r="472" spans="2:13" ht="15">
      <c r="B472" s="7"/>
      <c r="C472" s="56"/>
      <c r="D472" s="56"/>
      <c r="E472" s="56"/>
      <c r="F472" s="56"/>
      <c r="G472" s="56"/>
      <c r="H472" s="56"/>
      <c r="I472" s="56"/>
      <c r="J472" s="56"/>
      <c r="K472" s="56"/>
      <c r="L472" s="56"/>
      <c r="M472" s="56"/>
    </row>
    <row r="473" spans="2:13" ht="15">
      <c r="B473" s="7"/>
      <c r="C473" s="56"/>
      <c r="D473" s="56"/>
      <c r="E473" s="56"/>
      <c r="F473" s="56"/>
      <c r="G473" s="56"/>
      <c r="H473" s="56"/>
      <c r="I473" s="56"/>
      <c r="J473" s="56"/>
      <c r="K473" s="56"/>
      <c r="L473" s="56"/>
      <c r="M473" s="56"/>
    </row>
    <row r="474" spans="2:13" ht="15">
      <c r="B474" s="7"/>
      <c r="C474" s="56"/>
      <c r="D474" s="56"/>
      <c r="E474" s="56"/>
      <c r="F474" s="56"/>
      <c r="G474" s="56"/>
      <c r="H474" s="56"/>
      <c r="I474" s="56"/>
      <c r="J474" s="56"/>
      <c r="K474" s="56"/>
      <c r="L474" s="56"/>
      <c r="M474" s="56"/>
    </row>
    <row r="475" spans="2:13" ht="15">
      <c r="B475" s="7"/>
      <c r="C475" s="56"/>
      <c r="D475" s="56"/>
      <c r="E475" s="56"/>
      <c r="F475" s="56"/>
      <c r="G475" s="56"/>
      <c r="H475" s="56"/>
      <c r="I475" s="56"/>
      <c r="J475" s="56"/>
      <c r="K475" s="56"/>
      <c r="L475" s="56"/>
      <c r="M475" s="56"/>
    </row>
    <row r="476" spans="2:13" ht="15">
      <c r="B476" s="7"/>
      <c r="C476" s="56"/>
      <c r="D476" s="56"/>
      <c r="E476" s="56"/>
      <c r="F476" s="56"/>
      <c r="G476" s="56"/>
      <c r="H476" s="56"/>
      <c r="I476" s="56"/>
      <c r="J476" s="56"/>
      <c r="K476" s="56"/>
      <c r="L476" s="56"/>
      <c r="M476" s="56"/>
    </row>
    <row r="477" spans="2:13" ht="15">
      <c r="B477" s="7"/>
      <c r="C477" s="56"/>
      <c r="D477" s="56"/>
      <c r="E477" s="56"/>
      <c r="F477" s="56"/>
      <c r="G477" s="56"/>
      <c r="H477" s="56"/>
      <c r="I477" s="56"/>
      <c r="J477" s="56"/>
      <c r="K477" s="56"/>
      <c r="L477" s="56"/>
      <c r="M477" s="56"/>
    </row>
    <row r="478" spans="2:13" ht="15">
      <c r="B478" s="7"/>
      <c r="C478" s="56"/>
      <c r="D478" s="56"/>
      <c r="E478" s="56"/>
      <c r="F478" s="56"/>
      <c r="G478" s="56"/>
      <c r="H478" s="56"/>
      <c r="I478" s="56"/>
      <c r="J478" s="56"/>
      <c r="K478" s="56"/>
      <c r="L478" s="56"/>
      <c r="M478" s="56"/>
    </row>
    <row r="479" spans="2:13" ht="15">
      <c r="B479" s="7"/>
      <c r="C479" s="56"/>
      <c r="D479" s="56"/>
      <c r="E479" s="56"/>
      <c r="F479" s="56"/>
      <c r="G479" s="56"/>
      <c r="H479" s="56"/>
      <c r="I479" s="56"/>
      <c r="J479" s="56"/>
      <c r="K479" s="56"/>
      <c r="L479" s="56"/>
      <c r="M479" s="56"/>
    </row>
    <row r="480" spans="2:13" ht="15">
      <c r="B480" s="7"/>
      <c r="C480" s="56"/>
      <c r="D480" s="56"/>
      <c r="E480" s="56"/>
      <c r="F480" s="56"/>
      <c r="G480" s="56"/>
      <c r="H480" s="56"/>
      <c r="I480" s="56"/>
      <c r="J480" s="56"/>
      <c r="K480" s="56"/>
      <c r="L480" s="56"/>
      <c r="M480" s="56"/>
    </row>
    <row r="481" spans="2:13" ht="15">
      <c r="B481" s="7"/>
      <c r="C481" s="56"/>
      <c r="D481" s="56"/>
      <c r="E481" s="56"/>
      <c r="F481" s="56"/>
      <c r="G481" s="56"/>
      <c r="H481" s="56"/>
      <c r="I481" s="56"/>
      <c r="J481" s="56"/>
      <c r="K481" s="56"/>
      <c r="L481" s="56"/>
      <c r="M481" s="56"/>
    </row>
    <row r="482" spans="2:13" ht="15">
      <c r="B482" s="7"/>
      <c r="C482" s="56"/>
      <c r="D482" s="56"/>
      <c r="E482" s="56"/>
      <c r="F482" s="56"/>
      <c r="G482" s="56"/>
      <c r="H482" s="56"/>
      <c r="I482" s="56"/>
      <c r="J482" s="56"/>
      <c r="K482" s="56"/>
      <c r="L482" s="56"/>
      <c r="M482" s="56"/>
    </row>
    <row r="483" spans="2:13" ht="15">
      <c r="B483" s="7"/>
      <c r="C483" s="56"/>
      <c r="D483" s="56"/>
      <c r="E483" s="56"/>
      <c r="F483" s="56"/>
      <c r="G483" s="56"/>
      <c r="H483" s="56"/>
      <c r="I483" s="56"/>
      <c r="J483" s="56"/>
      <c r="K483" s="56"/>
      <c r="L483" s="56"/>
      <c r="M483" s="56"/>
    </row>
    <row r="484" spans="2:13" ht="15">
      <c r="B484" s="7"/>
      <c r="C484" s="56"/>
      <c r="D484" s="56"/>
      <c r="E484" s="56"/>
      <c r="F484" s="56"/>
      <c r="G484" s="56"/>
      <c r="H484" s="56"/>
      <c r="I484" s="56"/>
      <c r="J484" s="56"/>
      <c r="K484" s="56"/>
      <c r="L484" s="56"/>
      <c r="M484" s="56"/>
    </row>
    <row r="485" spans="2:13" ht="15">
      <c r="B485" s="7"/>
      <c r="C485" s="56"/>
      <c r="D485" s="56"/>
      <c r="E485" s="56"/>
      <c r="F485" s="56"/>
      <c r="G485" s="56"/>
      <c r="H485" s="56"/>
      <c r="I485" s="56"/>
      <c r="J485" s="56"/>
      <c r="K485" s="56"/>
      <c r="L485" s="56"/>
      <c r="M485" s="56"/>
    </row>
    <row r="486" spans="2:13" ht="15">
      <c r="B486" s="7"/>
      <c r="C486" s="56"/>
      <c r="D486" s="56"/>
      <c r="E486" s="56"/>
      <c r="F486" s="56"/>
      <c r="G486" s="56"/>
      <c r="H486" s="56"/>
      <c r="I486" s="56"/>
      <c r="J486" s="56"/>
      <c r="K486" s="56"/>
      <c r="L486" s="56"/>
      <c r="M486" s="56"/>
    </row>
    <row r="487" spans="2:13" ht="15">
      <c r="B487" s="7"/>
      <c r="C487" s="56"/>
      <c r="D487" s="56"/>
      <c r="E487" s="56"/>
      <c r="F487" s="56"/>
      <c r="G487" s="56"/>
      <c r="H487" s="56"/>
      <c r="I487" s="56"/>
      <c r="J487" s="56"/>
      <c r="K487" s="56"/>
      <c r="L487" s="56"/>
      <c r="M487" s="56"/>
    </row>
    <row r="488" spans="2:13" ht="15">
      <c r="B488" s="7"/>
      <c r="C488" s="56"/>
      <c r="D488" s="56"/>
      <c r="E488" s="56"/>
      <c r="F488" s="56"/>
      <c r="G488" s="56"/>
      <c r="H488" s="56"/>
      <c r="I488" s="56"/>
      <c r="J488" s="56"/>
      <c r="K488" s="56"/>
      <c r="L488" s="56"/>
      <c r="M488" s="56"/>
    </row>
    <row r="489" spans="2:13" ht="15">
      <c r="B489" s="7"/>
      <c r="C489" s="56"/>
      <c r="D489" s="56"/>
      <c r="E489" s="56"/>
      <c r="F489" s="56"/>
      <c r="G489" s="56"/>
      <c r="H489" s="56"/>
      <c r="I489" s="56"/>
      <c r="J489" s="56"/>
      <c r="K489" s="56"/>
      <c r="L489" s="56"/>
      <c r="M489" s="56"/>
    </row>
    <row r="490" spans="2:13" ht="15">
      <c r="B490" s="7"/>
      <c r="C490" s="56"/>
      <c r="D490" s="56"/>
      <c r="E490" s="56"/>
      <c r="F490" s="56"/>
      <c r="G490" s="56"/>
      <c r="H490" s="56"/>
      <c r="I490" s="56"/>
      <c r="J490" s="56"/>
      <c r="K490" s="56"/>
      <c r="L490" s="56"/>
      <c r="M490" s="56"/>
    </row>
    <row r="491" spans="2:13" ht="15">
      <c r="B491" s="7"/>
      <c r="C491" s="56"/>
      <c r="D491" s="56"/>
      <c r="E491" s="56"/>
      <c r="F491" s="56"/>
      <c r="G491" s="56"/>
      <c r="H491" s="56"/>
      <c r="I491" s="56"/>
      <c r="J491" s="56"/>
      <c r="K491" s="56"/>
      <c r="L491" s="56"/>
      <c r="M491" s="56"/>
    </row>
    <row r="492" spans="2:13" ht="15">
      <c r="B492" s="7"/>
      <c r="C492" s="56"/>
      <c r="D492" s="56"/>
      <c r="E492" s="56"/>
      <c r="F492" s="56"/>
      <c r="G492" s="56"/>
      <c r="H492" s="56"/>
      <c r="I492" s="56"/>
      <c r="J492" s="56"/>
      <c r="K492" s="56"/>
      <c r="L492" s="56"/>
      <c r="M492" s="56"/>
    </row>
    <row r="493" spans="2:13" ht="15">
      <c r="B493" s="7"/>
      <c r="C493" s="56"/>
      <c r="D493" s="56"/>
      <c r="E493" s="56"/>
      <c r="F493" s="56"/>
      <c r="G493" s="56"/>
      <c r="H493" s="56"/>
      <c r="I493" s="56"/>
      <c r="J493" s="56"/>
      <c r="K493" s="56"/>
      <c r="L493" s="56"/>
      <c r="M493" s="56"/>
    </row>
    <row r="494" spans="2:13" ht="15">
      <c r="B494" s="7"/>
      <c r="C494" s="56"/>
      <c r="D494" s="56"/>
      <c r="E494" s="56"/>
      <c r="F494" s="56"/>
      <c r="G494" s="56"/>
      <c r="H494" s="56"/>
      <c r="I494" s="56"/>
      <c r="J494" s="56"/>
      <c r="K494" s="56"/>
      <c r="L494" s="56"/>
      <c r="M494" s="56"/>
    </row>
    <row r="495" spans="2:13" ht="15">
      <c r="B495" s="7"/>
      <c r="C495" s="56"/>
      <c r="D495" s="56"/>
      <c r="E495" s="56"/>
      <c r="F495" s="56"/>
      <c r="G495" s="56"/>
      <c r="H495" s="56"/>
      <c r="I495" s="56"/>
      <c r="J495" s="56"/>
      <c r="K495" s="56"/>
      <c r="L495" s="56"/>
      <c r="M495" s="56"/>
    </row>
    <row r="496" spans="2:13" ht="15">
      <c r="B496" s="7"/>
      <c r="C496" s="56"/>
      <c r="D496" s="56"/>
      <c r="E496" s="56"/>
      <c r="F496" s="56"/>
      <c r="G496" s="56"/>
      <c r="H496" s="56"/>
      <c r="I496" s="56"/>
      <c r="J496" s="56"/>
      <c r="K496" s="56"/>
      <c r="L496" s="56"/>
      <c r="M496" s="56"/>
    </row>
    <row r="497" spans="2:13" ht="15">
      <c r="B497" s="7"/>
      <c r="C497" s="56"/>
      <c r="D497" s="56"/>
      <c r="E497" s="56"/>
      <c r="F497" s="56"/>
      <c r="G497" s="56"/>
      <c r="H497" s="56"/>
      <c r="I497" s="56"/>
      <c r="J497" s="56"/>
      <c r="K497" s="56"/>
      <c r="L497" s="56"/>
      <c r="M497" s="56"/>
    </row>
    <row r="498" spans="2:13" ht="15">
      <c r="B498" s="7"/>
      <c r="C498" s="56"/>
      <c r="D498" s="56"/>
      <c r="E498" s="56"/>
      <c r="F498" s="56"/>
      <c r="G498" s="56"/>
      <c r="H498" s="56"/>
      <c r="I498" s="56"/>
      <c r="J498" s="56"/>
      <c r="K498" s="56"/>
      <c r="L498" s="56"/>
      <c r="M498" s="56"/>
    </row>
    <row r="499" spans="2:13" ht="15">
      <c r="B499" s="7"/>
      <c r="C499" s="56"/>
      <c r="D499" s="56"/>
      <c r="E499" s="56"/>
      <c r="F499" s="56"/>
      <c r="G499" s="56"/>
      <c r="H499" s="56"/>
      <c r="I499" s="56"/>
      <c r="J499" s="56"/>
      <c r="K499" s="56"/>
      <c r="L499" s="56"/>
      <c r="M499" s="56"/>
    </row>
    <row r="500" spans="2:13" ht="15">
      <c r="B500" s="7"/>
      <c r="C500" s="56"/>
      <c r="D500" s="56"/>
      <c r="E500" s="56"/>
      <c r="F500" s="56"/>
      <c r="G500" s="56"/>
      <c r="H500" s="56"/>
      <c r="I500" s="56"/>
      <c r="J500" s="56"/>
      <c r="K500" s="56"/>
      <c r="L500" s="56"/>
      <c r="M500" s="56"/>
    </row>
    <row r="501" spans="2:13" ht="15">
      <c r="B501" s="7"/>
      <c r="C501" s="56"/>
      <c r="D501" s="56"/>
      <c r="E501" s="56"/>
      <c r="F501" s="56"/>
      <c r="G501" s="56"/>
      <c r="H501" s="56"/>
      <c r="I501" s="56"/>
      <c r="J501" s="56"/>
      <c r="K501" s="56"/>
      <c r="L501" s="56"/>
      <c r="M501" s="56"/>
    </row>
    <row r="502" spans="2:13" ht="15">
      <c r="B502" s="7"/>
      <c r="C502" s="56"/>
      <c r="D502" s="56"/>
      <c r="E502" s="56"/>
      <c r="F502" s="56"/>
      <c r="G502" s="56"/>
      <c r="H502" s="56"/>
      <c r="I502" s="56"/>
      <c r="J502" s="56"/>
      <c r="K502" s="56"/>
      <c r="L502" s="56"/>
      <c r="M502" s="56"/>
    </row>
    <row r="503" spans="2:13" ht="15">
      <c r="B503" s="7"/>
      <c r="C503" s="56"/>
      <c r="D503" s="56"/>
      <c r="E503" s="56"/>
      <c r="F503" s="56"/>
      <c r="G503" s="56"/>
      <c r="H503" s="56"/>
      <c r="I503" s="56"/>
      <c r="J503" s="56"/>
      <c r="K503" s="56"/>
      <c r="L503" s="56"/>
      <c r="M503" s="56"/>
    </row>
    <row r="504" spans="2:13" ht="15">
      <c r="B504" s="7"/>
      <c r="C504" s="56"/>
      <c r="D504" s="56"/>
      <c r="E504" s="56"/>
      <c r="F504" s="56"/>
      <c r="G504" s="56"/>
      <c r="H504" s="56"/>
      <c r="I504" s="56"/>
      <c r="J504" s="56"/>
      <c r="K504" s="56"/>
      <c r="L504" s="56"/>
      <c r="M504" s="56"/>
    </row>
    <row r="505" spans="2:13" ht="15">
      <c r="B505" s="7"/>
      <c r="C505" s="56"/>
      <c r="D505" s="56"/>
      <c r="E505" s="56"/>
      <c r="F505" s="56"/>
      <c r="G505" s="56"/>
      <c r="H505" s="56"/>
      <c r="I505" s="56"/>
      <c r="J505" s="56"/>
      <c r="K505" s="56"/>
      <c r="L505" s="56"/>
      <c r="M505" s="56"/>
    </row>
    <row r="506" spans="2:13" ht="15">
      <c r="B506" s="7"/>
      <c r="C506" s="56"/>
      <c r="D506" s="56"/>
      <c r="E506" s="56"/>
      <c r="F506" s="56"/>
      <c r="G506" s="56"/>
      <c r="H506" s="56"/>
      <c r="I506" s="56"/>
      <c r="J506" s="56"/>
      <c r="K506" s="56"/>
      <c r="L506" s="56"/>
      <c r="M506" s="56"/>
    </row>
    <row r="507" spans="2:13" ht="15">
      <c r="B507" s="7"/>
      <c r="C507" s="56"/>
      <c r="D507" s="56"/>
      <c r="E507" s="56"/>
      <c r="F507" s="56"/>
      <c r="G507" s="56"/>
      <c r="H507" s="56"/>
      <c r="I507" s="56"/>
      <c r="J507" s="56"/>
      <c r="K507" s="56"/>
      <c r="L507" s="56"/>
      <c r="M507" s="56"/>
    </row>
    <row r="508" spans="2:13" ht="15">
      <c r="B508" s="7"/>
      <c r="C508" s="56"/>
      <c r="D508" s="56"/>
      <c r="E508" s="56"/>
      <c r="F508" s="56"/>
      <c r="G508" s="56"/>
      <c r="H508" s="56"/>
      <c r="I508" s="56"/>
      <c r="J508" s="56"/>
      <c r="K508" s="56"/>
      <c r="L508" s="56"/>
      <c r="M508" s="56"/>
    </row>
    <row r="509" spans="2:13" ht="15">
      <c r="B509" s="7"/>
      <c r="C509" s="56"/>
      <c r="D509" s="56"/>
      <c r="E509" s="56"/>
      <c r="F509" s="56"/>
      <c r="G509" s="56"/>
      <c r="H509" s="56"/>
      <c r="I509" s="56"/>
      <c r="J509" s="56"/>
      <c r="K509" s="56"/>
      <c r="L509" s="56"/>
      <c r="M509" s="56"/>
    </row>
    <row r="510" spans="2:13" ht="15">
      <c r="B510" s="7"/>
      <c r="C510" s="56"/>
      <c r="D510" s="56"/>
      <c r="E510" s="56"/>
      <c r="F510" s="56"/>
      <c r="G510" s="56"/>
      <c r="H510" s="56"/>
      <c r="I510" s="56"/>
      <c r="J510" s="56"/>
      <c r="K510" s="56"/>
      <c r="L510" s="56"/>
      <c r="M510" s="56"/>
    </row>
    <row r="511" spans="2:13" ht="15">
      <c r="B511" s="7"/>
      <c r="C511" s="56"/>
      <c r="D511" s="56"/>
      <c r="E511" s="56"/>
      <c r="F511" s="56"/>
      <c r="G511" s="56"/>
      <c r="H511" s="56"/>
      <c r="I511" s="56"/>
      <c r="J511" s="56"/>
      <c r="K511" s="56"/>
      <c r="L511" s="56"/>
      <c r="M511" s="56"/>
    </row>
    <row r="512" spans="2:13" ht="15">
      <c r="B512" s="7"/>
      <c r="C512" s="56"/>
      <c r="D512" s="56"/>
      <c r="E512" s="56"/>
      <c r="F512" s="56"/>
      <c r="G512" s="56"/>
      <c r="H512" s="56"/>
      <c r="I512" s="56"/>
      <c r="J512" s="56"/>
      <c r="K512" s="56"/>
      <c r="L512" s="56"/>
      <c r="M512" s="56"/>
    </row>
    <row r="513" spans="2:13" ht="15">
      <c r="B513" s="7"/>
      <c r="C513" s="56"/>
      <c r="D513" s="56"/>
      <c r="E513" s="56"/>
      <c r="F513" s="56"/>
      <c r="G513" s="56"/>
      <c r="H513" s="56"/>
      <c r="I513" s="56"/>
      <c r="J513" s="56"/>
      <c r="K513" s="56"/>
      <c r="L513" s="56"/>
      <c r="M513" s="56"/>
    </row>
    <row r="514" spans="2:13" ht="15">
      <c r="B514" s="7"/>
      <c r="C514" s="56"/>
      <c r="D514" s="56"/>
      <c r="E514" s="56"/>
      <c r="F514" s="56"/>
      <c r="G514" s="56"/>
      <c r="H514" s="56"/>
      <c r="I514" s="56"/>
      <c r="J514" s="56"/>
      <c r="K514" s="56"/>
      <c r="L514" s="56"/>
      <c r="M514" s="56"/>
    </row>
    <row r="515" spans="2:13" ht="15">
      <c r="B515" s="7"/>
      <c r="C515" s="56"/>
      <c r="D515" s="56"/>
      <c r="E515" s="56"/>
      <c r="F515" s="56"/>
      <c r="G515" s="56"/>
      <c r="H515" s="56"/>
      <c r="I515" s="56"/>
      <c r="J515" s="56"/>
      <c r="K515" s="56"/>
      <c r="L515" s="56"/>
      <c r="M515" s="56"/>
    </row>
    <row r="516" spans="2:13" ht="15">
      <c r="B516" s="7"/>
      <c r="C516" s="56"/>
      <c r="D516" s="56"/>
      <c r="E516" s="56"/>
      <c r="F516" s="56"/>
      <c r="G516" s="56"/>
      <c r="H516" s="56"/>
      <c r="I516" s="56"/>
      <c r="J516" s="56"/>
      <c r="K516" s="56"/>
      <c r="L516" s="56"/>
      <c r="M516" s="56"/>
    </row>
    <row r="517" spans="2:13" ht="15">
      <c r="B517" s="7"/>
      <c r="C517" s="56"/>
      <c r="D517" s="56"/>
      <c r="E517" s="56"/>
      <c r="F517" s="56"/>
      <c r="G517" s="56"/>
      <c r="H517" s="56"/>
      <c r="I517" s="56"/>
      <c r="J517" s="56"/>
      <c r="K517" s="56"/>
      <c r="L517" s="56"/>
      <c r="M517" s="56"/>
    </row>
    <row r="518" spans="2:13" ht="15">
      <c r="B518" s="7"/>
      <c r="C518" s="56"/>
      <c r="D518" s="56"/>
      <c r="E518" s="56"/>
      <c r="F518" s="56"/>
      <c r="G518" s="56"/>
      <c r="H518" s="56"/>
      <c r="I518" s="56"/>
      <c r="J518" s="56"/>
      <c r="K518" s="56"/>
      <c r="L518" s="56"/>
      <c r="M518" s="56"/>
    </row>
    <row r="519" spans="2:13" ht="15">
      <c r="B519" s="7"/>
      <c r="C519" s="56"/>
      <c r="D519" s="56"/>
      <c r="E519" s="56"/>
      <c r="F519" s="56"/>
      <c r="G519" s="56"/>
      <c r="H519" s="56"/>
      <c r="I519" s="56"/>
      <c r="J519" s="56"/>
      <c r="K519" s="56"/>
      <c r="L519" s="56"/>
      <c r="M519" s="56"/>
    </row>
    <row r="520" spans="2:13" ht="15">
      <c r="B520" s="7"/>
      <c r="C520" s="56"/>
      <c r="D520" s="56"/>
      <c r="E520" s="56"/>
      <c r="F520" s="56"/>
      <c r="G520" s="56"/>
      <c r="H520" s="56"/>
      <c r="I520" s="56"/>
      <c r="J520" s="56"/>
      <c r="K520" s="56"/>
      <c r="L520" s="56"/>
      <c r="M520" s="56"/>
    </row>
    <row r="521" spans="2:13" ht="15">
      <c r="B521" s="7"/>
      <c r="C521" s="56"/>
      <c r="D521" s="56"/>
      <c r="E521" s="56"/>
      <c r="F521" s="56"/>
      <c r="G521" s="56"/>
      <c r="H521" s="56"/>
      <c r="I521" s="56"/>
      <c r="J521" s="56"/>
      <c r="K521" s="56"/>
      <c r="L521" s="56"/>
      <c r="M521" s="56"/>
    </row>
    <row r="522" spans="2:13" ht="15">
      <c r="B522" s="7"/>
      <c r="C522" s="56"/>
      <c r="D522" s="56"/>
      <c r="E522" s="56"/>
      <c r="F522" s="56"/>
      <c r="G522" s="56"/>
      <c r="H522" s="56"/>
      <c r="I522" s="56"/>
      <c r="J522" s="56"/>
      <c r="K522" s="56"/>
      <c r="L522" s="56"/>
      <c r="M522" s="56"/>
    </row>
    <row r="523" spans="2:13" ht="15">
      <c r="B523" s="7"/>
      <c r="C523" s="56"/>
      <c r="D523" s="56"/>
      <c r="E523" s="56"/>
      <c r="F523" s="56"/>
      <c r="G523" s="56"/>
      <c r="H523" s="56"/>
      <c r="I523" s="56"/>
      <c r="J523" s="56"/>
      <c r="K523" s="56"/>
      <c r="L523" s="56"/>
      <c r="M523" s="56"/>
    </row>
    <row r="524" spans="2:13" ht="15">
      <c r="B524" s="7"/>
      <c r="C524" s="56"/>
      <c r="D524" s="56"/>
      <c r="E524" s="56"/>
      <c r="F524" s="56"/>
      <c r="G524" s="56"/>
      <c r="H524" s="56"/>
      <c r="I524" s="56"/>
      <c r="J524" s="56"/>
      <c r="K524" s="56"/>
      <c r="L524" s="56"/>
      <c r="M524" s="56"/>
    </row>
    <row r="525" spans="2:13" ht="15">
      <c r="B525" s="7"/>
      <c r="C525" s="56"/>
      <c r="D525" s="56"/>
      <c r="E525" s="56"/>
      <c r="F525" s="56"/>
      <c r="G525" s="56"/>
      <c r="H525" s="56"/>
      <c r="I525" s="56"/>
      <c r="J525" s="56"/>
      <c r="K525" s="56"/>
      <c r="L525" s="56"/>
      <c r="M525" s="56"/>
    </row>
    <row r="526" spans="2:13" ht="15">
      <c r="B526" s="7"/>
      <c r="C526" s="56"/>
      <c r="D526" s="56"/>
      <c r="E526" s="56"/>
      <c r="F526" s="56"/>
      <c r="G526" s="56"/>
      <c r="H526" s="56"/>
      <c r="I526" s="56"/>
      <c r="J526" s="56"/>
      <c r="K526" s="56"/>
      <c r="L526" s="56"/>
      <c r="M526" s="56"/>
    </row>
    <row r="527" spans="2:13" ht="15">
      <c r="B527" s="7"/>
      <c r="C527" s="56"/>
      <c r="D527" s="56"/>
      <c r="E527" s="56"/>
      <c r="F527" s="56"/>
      <c r="G527" s="56"/>
      <c r="H527" s="56"/>
      <c r="I527" s="56"/>
      <c r="J527" s="56"/>
      <c r="K527" s="56"/>
      <c r="L527" s="56"/>
      <c r="M527" s="56"/>
    </row>
    <row r="528" spans="2:13" ht="15">
      <c r="B528" s="7"/>
      <c r="C528" s="56"/>
      <c r="D528" s="56"/>
      <c r="E528" s="56"/>
      <c r="F528" s="56"/>
      <c r="G528" s="56"/>
      <c r="H528" s="56"/>
      <c r="I528" s="56"/>
      <c r="J528" s="56"/>
      <c r="K528" s="56"/>
      <c r="L528" s="56"/>
      <c r="M528" s="56"/>
    </row>
    <row r="529" spans="2:13" ht="15">
      <c r="B529" s="7"/>
      <c r="C529" s="56"/>
      <c r="D529" s="56"/>
      <c r="E529" s="56"/>
      <c r="F529" s="56"/>
      <c r="G529" s="56"/>
      <c r="H529" s="56"/>
      <c r="I529" s="56"/>
      <c r="J529" s="56"/>
      <c r="K529" s="56"/>
      <c r="L529" s="56"/>
      <c r="M529" s="56"/>
    </row>
    <row r="530" spans="2:13" ht="15">
      <c r="B530" s="7"/>
      <c r="C530" s="56"/>
      <c r="D530" s="56"/>
      <c r="E530" s="56"/>
      <c r="F530" s="56"/>
      <c r="G530" s="56"/>
      <c r="H530" s="56"/>
      <c r="I530" s="56"/>
      <c r="J530" s="56"/>
      <c r="K530" s="56"/>
      <c r="L530" s="56"/>
      <c r="M530" s="56"/>
    </row>
    <row r="531" spans="2:13" ht="15">
      <c r="B531" s="7"/>
      <c r="C531" s="56"/>
      <c r="D531" s="56"/>
      <c r="E531" s="56"/>
      <c r="F531" s="56"/>
      <c r="G531" s="56"/>
      <c r="H531" s="56"/>
      <c r="I531" s="56"/>
      <c r="J531" s="56"/>
      <c r="K531" s="56"/>
      <c r="L531" s="56"/>
      <c r="M531" s="56"/>
    </row>
    <row r="532" spans="2:13" ht="15">
      <c r="B532" s="7"/>
      <c r="C532" s="56"/>
      <c r="D532" s="56"/>
      <c r="E532" s="56"/>
      <c r="F532" s="56"/>
      <c r="G532" s="56"/>
      <c r="H532" s="56"/>
      <c r="I532" s="56"/>
      <c r="J532" s="56"/>
      <c r="K532" s="56"/>
      <c r="L532" s="56"/>
      <c r="M532" s="56"/>
    </row>
    <row r="533" spans="2:13" ht="15">
      <c r="B533" s="7"/>
      <c r="C533" s="56"/>
      <c r="D533" s="56"/>
      <c r="E533" s="56"/>
      <c r="F533" s="56"/>
      <c r="G533" s="56"/>
      <c r="H533" s="56"/>
      <c r="I533" s="56"/>
      <c r="J533" s="56"/>
      <c r="K533" s="56"/>
      <c r="L533" s="56"/>
      <c r="M533" s="56"/>
    </row>
    <row r="534" spans="2:13" ht="15">
      <c r="B534" s="7"/>
      <c r="C534" s="56"/>
      <c r="D534" s="56"/>
      <c r="E534" s="56"/>
      <c r="F534" s="56"/>
      <c r="G534" s="56"/>
      <c r="H534" s="56"/>
      <c r="I534" s="56"/>
      <c r="J534" s="56"/>
      <c r="K534" s="56"/>
      <c r="L534" s="56"/>
      <c r="M534" s="56"/>
    </row>
    <row r="535" spans="2:13" ht="15">
      <c r="B535" s="7"/>
      <c r="C535" s="56"/>
      <c r="D535" s="56"/>
      <c r="E535" s="56"/>
      <c r="F535" s="56"/>
      <c r="G535" s="56"/>
      <c r="H535" s="56"/>
      <c r="I535" s="56"/>
      <c r="J535" s="56"/>
      <c r="K535" s="56"/>
      <c r="L535" s="56"/>
      <c r="M535" s="56"/>
    </row>
    <row r="536" spans="2:13" ht="15">
      <c r="B536" s="7"/>
      <c r="C536" s="56"/>
      <c r="D536" s="56"/>
      <c r="E536" s="56"/>
      <c r="F536" s="56"/>
      <c r="G536" s="56"/>
      <c r="H536" s="56"/>
      <c r="I536" s="56"/>
      <c r="J536" s="56"/>
      <c r="K536" s="56"/>
      <c r="L536" s="56"/>
      <c r="M536" s="56"/>
    </row>
    <row r="537" spans="2:13" ht="15">
      <c r="B537" s="7"/>
      <c r="C537" s="56"/>
      <c r="D537" s="56"/>
      <c r="E537" s="56"/>
      <c r="F537" s="56"/>
      <c r="G537" s="56"/>
      <c r="H537" s="56"/>
      <c r="I537" s="56"/>
      <c r="J537" s="56"/>
      <c r="K537" s="56"/>
      <c r="L537" s="56"/>
      <c r="M537" s="56"/>
    </row>
    <row r="538" spans="2:13" ht="15">
      <c r="B538" s="7"/>
      <c r="C538" s="56"/>
      <c r="D538" s="56"/>
      <c r="E538" s="56"/>
      <c r="F538" s="56"/>
      <c r="G538" s="56"/>
      <c r="H538" s="56"/>
      <c r="I538" s="56"/>
      <c r="J538" s="56"/>
      <c r="K538" s="56"/>
      <c r="L538" s="56"/>
      <c r="M538" s="56"/>
    </row>
    <row r="539" spans="2:13" ht="15">
      <c r="B539" s="7"/>
      <c r="C539" s="56"/>
      <c r="D539" s="56"/>
      <c r="E539" s="56"/>
      <c r="F539" s="56"/>
      <c r="G539" s="56"/>
      <c r="H539" s="56"/>
      <c r="I539" s="56"/>
      <c r="J539" s="56"/>
      <c r="K539" s="56"/>
      <c r="L539" s="56"/>
      <c r="M539" s="56"/>
    </row>
    <row r="540" spans="2:13" ht="15">
      <c r="B540" s="7"/>
      <c r="C540" s="56"/>
      <c r="D540" s="56"/>
      <c r="E540" s="56"/>
      <c r="F540" s="56"/>
      <c r="G540" s="56"/>
      <c r="H540" s="56"/>
      <c r="I540" s="56"/>
      <c r="J540" s="56"/>
      <c r="K540" s="56"/>
      <c r="L540" s="56"/>
      <c r="M540" s="56"/>
    </row>
    <row r="541" spans="2:13" ht="15">
      <c r="B541" s="7"/>
      <c r="C541" s="56"/>
      <c r="D541" s="56"/>
      <c r="E541" s="56"/>
      <c r="F541" s="56"/>
      <c r="G541" s="56"/>
      <c r="H541" s="56"/>
      <c r="I541" s="56"/>
      <c r="J541" s="56"/>
      <c r="K541" s="56"/>
      <c r="L541" s="56"/>
      <c r="M541" s="56"/>
    </row>
    <row r="542" spans="2:13" ht="15">
      <c r="B542" s="7"/>
      <c r="C542" s="56"/>
      <c r="D542" s="56"/>
      <c r="E542" s="56"/>
      <c r="F542" s="56"/>
      <c r="G542" s="56"/>
      <c r="H542" s="56"/>
      <c r="I542" s="56"/>
      <c r="J542" s="56"/>
      <c r="K542" s="56"/>
      <c r="L542" s="56"/>
      <c r="M542" s="56"/>
    </row>
    <row r="543" spans="2:13" ht="15">
      <c r="B543" s="7"/>
      <c r="C543" s="56"/>
      <c r="D543" s="56"/>
      <c r="E543" s="56"/>
      <c r="F543" s="56"/>
      <c r="G543" s="56"/>
      <c r="H543" s="56"/>
      <c r="I543" s="56"/>
      <c r="J543" s="56"/>
      <c r="K543" s="56"/>
      <c r="L543" s="56"/>
      <c r="M543" s="56"/>
    </row>
    <row r="544" spans="2:13" ht="15">
      <c r="B544" s="7"/>
      <c r="C544" s="56"/>
      <c r="D544" s="56"/>
      <c r="E544" s="56"/>
      <c r="F544" s="56"/>
      <c r="G544" s="56"/>
      <c r="H544" s="56"/>
      <c r="I544" s="56"/>
      <c r="J544" s="56"/>
      <c r="K544" s="56"/>
      <c r="L544" s="56"/>
      <c r="M544" s="56"/>
    </row>
    <row r="545" spans="2:13" ht="15">
      <c r="B545" s="7"/>
      <c r="C545" s="56"/>
      <c r="D545" s="56"/>
      <c r="E545" s="56"/>
      <c r="F545" s="56"/>
      <c r="G545" s="56"/>
      <c r="H545" s="56"/>
      <c r="I545" s="56"/>
      <c r="J545" s="56"/>
      <c r="K545" s="56"/>
      <c r="L545" s="56"/>
      <c r="M545" s="56"/>
    </row>
    <row r="546" spans="2:13" ht="15">
      <c r="B546" s="7"/>
      <c r="C546" s="56"/>
      <c r="D546" s="56"/>
      <c r="E546" s="56"/>
      <c r="F546" s="56"/>
      <c r="G546" s="56"/>
      <c r="H546" s="56"/>
      <c r="I546" s="56"/>
      <c r="J546" s="56"/>
      <c r="K546" s="56"/>
      <c r="L546" s="56"/>
      <c r="M546" s="56"/>
    </row>
    <row r="547" spans="2:13" ht="15">
      <c r="B547" s="7"/>
      <c r="C547" s="56"/>
      <c r="D547" s="56"/>
      <c r="E547" s="56"/>
      <c r="F547" s="56"/>
      <c r="G547" s="56"/>
      <c r="H547" s="56"/>
      <c r="I547" s="56"/>
      <c r="J547" s="56"/>
      <c r="K547" s="56"/>
      <c r="L547" s="56"/>
      <c r="M547" s="56"/>
    </row>
    <row r="548" spans="2:13" ht="15">
      <c r="B548" s="7"/>
      <c r="C548" s="56"/>
      <c r="D548" s="56"/>
      <c r="E548" s="56"/>
      <c r="F548" s="56"/>
      <c r="G548" s="56"/>
      <c r="H548" s="56"/>
      <c r="I548" s="56"/>
      <c r="J548" s="56"/>
      <c r="K548" s="56"/>
      <c r="L548" s="56"/>
      <c r="M548" s="56"/>
    </row>
    <row r="549" spans="2:13" ht="15">
      <c r="B549" s="7"/>
      <c r="C549" s="56"/>
      <c r="D549" s="56"/>
      <c r="E549" s="56"/>
      <c r="F549" s="56"/>
      <c r="G549" s="56"/>
      <c r="H549" s="56"/>
      <c r="I549" s="56"/>
      <c r="J549" s="56"/>
      <c r="K549" s="56"/>
      <c r="L549" s="56"/>
      <c r="M549" s="56"/>
    </row>
    <row r="550" spans="2:13" ht="15">
      <c r="B550" s="7"/>
      <c r="C550" s="56"/>
      <c r="D550" s="56"/>
      <c r="E550" s="56"/>
      <c r="F550" s="56"/>
      <c r="G550" s="56"/>
      <c r="H550" s="56"/>
      <c r="I550" s="56"/>
      <c r="J550" s="56"/>
      <c r="K550" s="56"/>
      <c r="L550" s="56"/>
      <c r="M550" s="56"/>
    </row>
    <row r="551" spans="2:13" ht="15">
      <c r="B551" s="7"/>
      <c r="C551" s="56"/>
      <c r="D551" s="56"/>
      <c r="E551" s="56"/>
      <c r="F551" s="56"/>
      <c r="G551" s="56"/>
      <c r="H551" s="56"/>
      <c r="I551" s="56"/>
      <c r="J551" s="56"/>
      <c r="K551" s="56"/>
      <c r="L551" s="56"/>
      <c r="M551" s="56"/>
    </row>
    <row r="552" spans="2:13" ht="15">
      <c r="B552" s="7"/>
      <c r="C552" s="56"/>
      <c r="D552" s="56"/>
      <c r="E552" s="56"/>
      <c r="F552" s="56"/>
      <c r="G552" s="56"/>
      <c r="H552" s="56"/>
      <c r="I552" s="56"/>
      <c r="J552" s="56"/>
      <c r="K552" s="56"/>
      <c r="L552" s="56"/>
      <c r="M552" s="56"/>
    </row>
    <row r="553" spans="2:13" ht="15">
      <c r="B553" s="7"/>
      <c r="C553" s="56"/>
      <c r="D553" s="56"/>
      <c r="E553" s="56"/>
      <c r="F553" s="56"/>
      <c r="G553" s="56"/>
      <c r="H553" s="56"/>
      <c r="I553" s="56"/>
      <c r="J553" s="56"/>
      <c r="K553" s="56"/>
      <c r="L553" s="56"/>
      <c r="M553" s="56"/>
    </row>
    <row r="554" spans="2:13" ht="15">
      <c r="B554" s="7"/>
      <c r="C554" s="56"/>
      <c r="D554" s="56"/>
      <c r="E554" s="56"/>
      <c r="F554" s="56"/>
      <c r="G554" s="56"/>
      <c r="H554" s="56"/>
      <c r="I554" s="56"/>
      <c r="J554" s="56"/>
      <c r="K554" s="56"/>
      <c r="L554" s="56"/>
      <c r="M554" s="56"/>
    </row>
    <row r="555" spans="2:13" ht="15">
      <c r="B555" s="7"/>
      <c r="C555" s="56"/>
      <c r="D555" s="56"/>
      <c r="E555" s="56"/>
      <c r="F555" s="56"/>
      <c r="G555" s="56"/>
      <c r="H555" s="56"/>
      <c r="I555" s="56"/>
      <c r="J555" s="56"/>
      <c r="K555" s="56"/>
      <c r="L555" s="56"/>
      <c r="M555" s="56"/>
    </row>
    <row r="556" spans="2:13" ht="15">
      <c r="B556" s="7"/>
      <c r="C556" s="56"/>
      <c r="D556" s="56"/>
      <c r="E556" s="56"/>
      <c r="F556" s="56"/>
      <c r="G556" s="56"/>
      <c r="H556" s="56"/>
      <c r="I556" s="56"/>
      <c r="J556" s="56"/>
      <c r="K556" s="56"/>
      <c r="L556" s="56"/>
      <c r="M556" s="56"/>
    </row>
    <row r="557" spans="2:13" ht="15">
      <c r="B557" s="7"/>
      <c r="C557" s="56"/>
      <c r="D557" s="56"/>
      <c r="E557" s="56"/>
      <c r="F557" s="56"/>
      <c r="G557" s="56"/>
      <c r="H557" s="56"/>
      <c r="I557" s="56"/>
      <c r="J557" s="56"/>
      <c r="K557" s="56"/>
      <c r="L557" s="56"/>
      <c r="M557" s="56"/>
    </row>
    <row r="558" spans="2:13" ht="15">
      <c r="B558" s="7"/>
      <c r="C558" s="56"/>
      <c r="D558" s="56"/>
      <c r="E558" s="56"/>
      <c r="F558" s="56"/>
      <c r="G558" s="56"/>
      <c r="H558" s="56"/>
      <c r="I558" s="56"/>
      <c r="J558" s="56"/>
      <c r="K558" s="56"/>
      <c r="L558" s="56"/>
      <c r="M558" s="56"/>
    </row>
    <row r="559" spans="2:13" ht="15">
      <c r="B559" s="7"/>
      <c r="C559" s="56"/>
      <c r="D559" s="56"/>
      <c r="E559" s="56"/>
      <c r="F559" s="56"/>
      <c r="G559" s="56"/>
      <c r="H559" s="56"/>
      <c r="I559" s="56"/>
      <c r="J559" s="56"/>
      <c r="K559" s="56"/>
      <c r="L559" s="56"/>
      <c r="M559" s="56"/>
    </row>
    <row r="560" spans="2:13" ht="15">
      <c r="B560" s="7"/>
      <c r="C560" s="56"/>
      <c r="D560" s="56"/>
      <c r="E560" s="56"/>
      <c r="F560" s="56"/>
      <c r="G560" s="56"/>
      <c r="H560" s="56"/>
      <c r="I560" s="56"/>
      <c r="J560" s="56"/>
      <c r="K560" s="56"/>
      <c r="L560" s="56"/>
      <c r="M560" s="56"/>
    </row>
    <row r="561" spans="2:13" ht="15">
      <c r="B561" s="7"/>
      <c r="C561" s="56"/>
      <c r="D561" s="56"/>
      <c r="E561" s="56"/>
      <c r="F561" s="56"/>
      <c r="G561" s="56"/>
      <c r="H561" s="56"/>
      <c r="I561" s="56"/>
      <c r="J561" s="56"/>
      <c r="K561" s="56"/>
      <c r="L561" s="56"/>
      <c r="M561" s="56"/>
    </row>
    <row r="562" spans="2:13" ht="15">
      <c r="B562" s="7"/>
      <c r="C562" s="56"/>
      <c r="D562" s="56"/>
      <c r="E562" s="56"/>
      <c r="F562" s="56"/>
      <c r="G562" s="56"/>
      <c r="H562" s="56"/>
      <c r="I562" s="56"/>
      <c r="J562" s="56"/>
      <c r="K562" s="56"/>
      <c r="L562" s="56"/>
      <c r="M562" s="56"/>
    </row>
    <row r="563" spans="2:13" ht="15">
      <c r="B563" s="7"/>
      <c r="C563" s="56"/>
      <c r="D563" s="56"/>
      <c r="E563" s="56"/>
      <c r="F563" s="56"/>
      <c r="G563" s="56"/>
      <c r="H563" s="56"/>
      <c r="I563" s="56"/>
      <c r="J563" s="56"/>
      <c r="K563" s="56"/>
      <c r="L563" s="56"/>
      <c r="M563" s="56"/>
    </row>
    <row r="564" spans="2:13" ht="15">
      <c r="B564" s="7"/>
      <c r="C564" s="56"/>
      <c r="D564" s="56"/>
      <c r="E564" s="56"/>
      <c r="F564" s="56"/>
      <c r="G564" s="56"/>
      <c r="H564" s="56"/>
      <c r="I564" s="56"/>
      <c r="J564" s="56"/>
      <c r="K564" s="56"/>
      <c r="L564" s="56"/>
      <c r="M564" s="56"/>
    </row>
    <row r="565" spans="2:13" ht="15">
      <c r="B565" s="7"/>
      <c r="C565" s="56"/>
      <c r="D565" s="56"/>
      <c r="E565" s="56"/>
      <c r="F565" s="56"/>
      <c r="G565" s="56"/>
      <c r="H565" s="56"/>
      <c r="I565" s="56"/>
      <c r="J565" s="56"/>
      <c r="K565" s="56"/>
      <c r="L565" s="56"/>
      <c r="M565" s="56"/>
    </row>
    <row r="566" spans="2:13" ht="15">
      <c r="B566" s="7"/>
      <c r="C566" s="56"/>
      <c r="D566" s="56"/>
      <c r="E566" s="56"/>
      <c r="F566" s="56"/>
      <c r="G566" s="56"/>
      <c r="H566" s="56"/>
      <c r="I566" s="56"/>
      <c r="J566" s="56"/>
      <c r="K566" s="56"/>
      <c r="L566" s="56"/>
      <c r="M566" s="56"/>
    </row>
    <row r="567" spans="2:13" ht="15">
      <c r="B567" s="7"/>
      <c r="C567" s="56"/>
      <c r="D567" s="56"/>
      <c r="E567" s="56"/>
      <c r="F567" s="56"/>
      <c r="G567" s="56"/>
      <c r="H567" s="56"/>
      <c r="I567" s="56"/>
      <c r="J567" s="56"/>
      <c r="K567" s="56"/>
      <c r="L567" s="56"/>
      <c r="M567" s="56"/>
    </row>
    <row r="568" spans="2:13" ht="15">
      <c r="B568" s="7"/>
      <c r="C568" s="56"/>
      <c r="D568" s="56"/>
      <c r="E568" s="56"/>
      <c r="F568" s="56"/>
      <c r="G568" s="56"/>
      <c r="H568" s="56"/>
      <c r="I568" s="56"/>
      <c r="J568" s="56"/>
      <c r="K568" s="56"/>
      <c r="L568" s="56"/>
      <c r="M568" s="56"/>
    </row>
    <row r="569" spans="2:13" ht="15">
      <c r="B569" s="7"/>
      <c r="C569" s="56"/>
      <c r="D569" s="56"/>
      <c r="E569" s="56"/>
      <c r="F569" s="56"/>
      <c r="G569" s="56"/>
      <c r="H569" s="56"/>
      <c r="I569" s="56"/>
      <c r="J569" s="56"/>
      <c r="K569" s="56"/>
      <c r="L569" s="56"/>
      <c r="M569" s="56"/>
    </row>
    <row r="570" spans="2:13" ht="15">
      <c r="B570" s="7"/>
      <c r="C570" s="56"/>
      <c r="D570" s="56"/>
      <c r="E570" s="56"/>
      <c r="F570" s="56"/>
      <c r="G570" s="56"/>
      <c r="H570" s="56"/>
      <c r="I570" s="56"/>
      <c r="J570" s="56"/>
      <c r="K570" s="56"/>
      <c r="L570" s="56"/>
      <c r="M570" s="56"/>
    </row>
    <row r="571" spans="2:13" ht="15">
      <c r="B571" s="7"/>
      <c r="C571" s="56"/>
      <c r="D571" s="56"/>
      <c r="E571" s="56"/>
      <c r="F571" s="56"/>
      <c r="G571" s="56"/>
      <c r="H571" s="56"/>
      <c r="I571" s="56"/>
      <c r="J571" s="56"/>
      <c r="K571" s="56"/>
      <c r="L571" s="56"/>
      <c r="M571" s="56"/>
    </row>
    <row r="572" spans="2:13" ht="15">
      <c r="B572" s="7"/>
      <c r="C572" s="56"/>
      <c r="D572" s="56"/>
      <c r="E572" s="56"/>
      <c r="F572" s="56"/>
      <c r="G572" s="56"/>
      <c r="H572" s="56"/>
      <c r="I572" s="56"/>
      <c r="J572" s="56"/>
      <c r="K572" s="56"/>
      <c r="L572" s="56"/>
      <c r="M572" s="56"/>
    </row>
    <row r="573" spans="2:13" ht="15">
      <c r="B573" s="7"/>
      <c r="C573" s="56"/>
      <c r="D573" s="56"/>
      <c r="E573" s="56"/>
      <c r="F573" s="56"/>
      <c r="G573" s="56"/>
      <c r="H573" s="56"/>
      <c r="I573" s="56"/>
      <c r="J573" s="56"/>
      <c r="K573" s="56"/>
      <c r="L573" s="56"/>
      <c r="M573" s="56"/>
    </row>
    <row r="574" spans="2:13" ht="15">
      <c r="B574" s="7"/>
      <c r="C574" s="56"/>
      <c r="D574" s="56"/>
      <c r="E574" s="56"/>
      <c r="F574" s="56"/>
      <c r="G574" s="56"/>
      <c r="H574" s="56"/>
      <c r="I574" s="56"/>
      <c r="J574" s="56"/>
      <c r="K574" s="56"/>
      <c r="L574" s="56"/>
      <c r="M574" s="56"/>
    </row>
    <row r="575" spans="2:13" ht="15">
      <c r="B575" s="7"/>
      <c r="C575" s="56"/>
      <c r="D575" s="56"/>
      <c r="E575" s="56"/>
      <c r="F575" s="56"/>
      <c r="G575" s="56"/>
      <c r="H575" s="56"/>
      <c r="I575" s="56"/>
      <c r="J575" s="56"/>
      <c r="K575" s="56"/>
      <c r="L575" s="56"/>
      <c r="M575" s="56"/>
    </row>
    <row r="576" spans="2:13" ht="15">
      <c r="B576" s="7"/>
      <c r="C576" s="56"/>
      <c r="D576" s="56"/>
      <c r="E576" s="56"/>
      <c r="F576" s="56"/>
      <c r="G576" s="56"/>
      <c r="H576" s="56"/>
      <c r="I576" s="56"/>
      <c r="J576" s="56"/>
      <c r="K576" s="56"/>
      <c r="L576" s="56"/>
      <c r="M576" s="56"/>
    </row>
    <row r="577" spans="2:13" ht="15">
      <c r="B577" s="7"/>
      <c r="C577" s="56"/>
      <c r="D577" s="56"/>
      <c r="E577" s="56"/>
      <c r="F577" s="56"/>
      <c r="G577" s="56"/>
      <c r="H577" s="56"/>
      <c r="I577" s="56"/>
      <c r="J577" s="56"/>
      <c r="K577" s="56"/>
      <c r="L577" s="56"/>
      <c r="M577" s="56"/>
    </row>
    <row r="578" spans="2:13" ht="15">
      <c r="B578" s="7"/>
      <c r="C578" s="56"/>
      <c r="D578" s="56"/>
      <c r="E578" s="56"/>
      <c r="F578" s="56"/>
      <c r="G578" s="56"/>
      <c r="H578" s="56"/>
      <c r="I578" s="56"/>
      <c r="J578" s="56"/>
      <c r="K578" s="56"/>
      <c r="L578" s="56"/>
      <c r="M578" s="56"/>
    </row>
    <row r="579" spans="2:13" ht="15">
      <c r="B579" s="7"/>
      <c r="C579" s="56"/>
      <c r="D579" s="56"/>
      <c r="E579" s="56"/>
      <c r="F579" s="56"/>
      <c r="G579" s="56"/>
      <c r="H579" s="56"/>
      <c r="I579" s="56"/>
      <c r="J579" s="56"/>
      <c r="K579" s="56"/>
      <c r="L579" s="56"/>
      <c r="M579" s="56"/>
    </row>
    <row r="580" spans="2:13" ht="15">
      <c r="B580" s="7"/>
      <c r="C580" s="56"/>
      <c r="D580" s="56"/>
      <c r="E580" s="56"/>
      <c r="F580" s="56"/>
      <c r="G580" s="56"/>
      <c r="H580" s="56"/>
      <c r="I580" s="56"/>
      <c r="J580" s="56"/>
      <c r="K580" s="56"/>
      <c r="L580" s="56"/>
      <c r="M580" s="56"/>
    </row>
    <row r="581" spans="2:13" ht="15">
      <c r="B581" s="7"/>
      <c r="C581" s="56"/>
      <c r="D581" s="56"/>
      <c r="E581" s="56"/>
      <c r="F581" s="56"/>
      <c r="G581" s="56"/>
      <c r="H581" s="56"/>
      <c r="I581" s="56"/>
      <c r="J581" s="56"/>
      <c r="K581" s="56"/>
      <c r="L581" s="56"/>
      <c r="M581" s="56"/>
    </row>
    <row r="582" spans="2:13" ht="15">
      <c r="B582" s="7"/>
      <c r="C582" s="56"/>
      <c r="D582" s="56"/>
      <c r="E582" s="56"/>
      <c r="F582" s="56"/>
      <c r="G582" s="56"/>
      <c r="H582" s="56"/>
      <c r="I582" s="56"/>
      <c r="J582" s="56"/>
      <c r="K582" s="56"/>
      <c r="L582" s="56"/>
      <c r="M582" s="56"/>
    </row>
    <row r="583" spans="2:13" ht="15">
      <c r="B583" s="7"/>
      <c r="C583" s="56"/>
      <c r="D583" s="56"/>
      <c r="E583" s="56"/>
      <c r="F583" s="56"/>
      <c r="G583" s="56"/>
      <c r="H583" s="56"/>
      <c r="I583" s="56"/>
      <c r="J583" s="56"/>
      <c r="K583" s="56"/>
      <c r="L583" s="56"/>
      <c r="M583" s="56"/>
    </row>
    <row r="584" spans="2:13" ht="15">
      <c r="B584" s="7"/>
      <c r="C584" s="56"/>
      <c r="D584" s="56"/>
      <c r="E584" s="56"/>
      <c r="F584" s="56"/>
      <c r="G584" s="56"/>
      <c r="H584" s="56"/>
      <c r="I584" s="56"/>
      <c r="J584" s="56"/>
      <c r="K584" s="56"/>
      <c r="L584" s="56"/>
      <c r="M584" s="56"/>
    </row>
    <row r="585" spans="2:13" ht="15">
      <c r="B585" s="7"/>
      <c r="C585" s="56"/>
      <c r="D585" s="56"/>
      <c r="E585" s="56"/>
      <c r="F585" s="56"/>
      <c r="G585" s="56"/>
      <c r="H585" s="56"/>
      <c r="I585" s="56"/>
      <c r="J585" s="56"/>
      <c r="K585" s="56"/>
      <c r="L585" s="56"/>
      <c r="M585" s="56"/>
    </row>
    <row r="586" spans="2:13" ht="15">
      <c r="B586" s="7"/>
      <c r="C586" s="56"/>
      <c r="D586" s="56"/>
      <c r="E586" s="56"/>
      <c r="F586" s="56"/>
      <c r="G586" s="56"/>
      <c r="H586" s="56"/>
      <c r="I586" s="56"/>
      <c r="J586" s="56"/>
      <c r="K586" s="56"/>
      <c r="L586" s="56"/>
      <c r="M586" s="56"/>
    </row>
    <row r="587" spans="2:13" ht="15">
      <c r="B587" s="7"/>
      <c r="C587" s="56"/>
      <c r="D587" s="56"/>
      <c r="E587" s="56"/>
      <c r="F587" s="56"/>
      <c r="G587" s="56"/>
      <c r="H587" s="56"/>
      <c r="I587" s="56"/>
      <c r="J587" s="56"/>
      <c r="K587" s="56"/>
      <c r="L587" s="56"/>
      <c r="M587" s="56"/>
    </row>
    <row r="588" spans="2:13" ht="15">
      <c r="B588" s="7"/>
      <c r="C588" s="56"/>
      <c r="D588" s="56"/>
      <c r="E588" s="56"/>
      <c r="F588" s="56"/>
      <c r="G588" s="56"/>
      <c r="H588" s="56"/>
      <c r="I588" s="56"/>
      <c r="J588" s="56"/>
      <c r="K588" s="56"/>
      <c r="L588" s="56"/>
      <c r="M588" s="56"/>
    </row>
    <row r="589" spans="2:13" ht="15">
      <c r="B589" s="7"/>
      <c r="C589" s="56"/>
      <c r="D589" s="56"/>
      <c r="E589" s="56"/>
      <c r="F589" s="56"/>
      <c r="G589" s="56"/>
      <c r="H589" s="56"/>
      <c r="I589" s="56"/>
      <c r="J589" s="56"/>
      <c r="K589" s="56"/>
      <c r="L589" s="56"/>
      <c r="M589" s="56"/>
    </row>
    <row r="590" spans="2:13" ht="15">
      <c r="B590" s="7"/>
      <c r="C590" s="56"/>
      <c r="D590" s="56"/>
      <c r="E590" s="56"/>
      <c r="F590" s="56"/>
      <c r="G590" s="56"/>
      <c r="H590" s="56"/>
      <c r="I590" s="56"/>
      <c r="J590" s="56"/>
      <c r="K590" s="56"/>
      <c r="L590" s="56"/>
      <c r="M590" s="56"/>
    </row>
    <row r="591" spans="2:13" ht="15">
      <c r="B591" s="7"/>
      <c r="C591" s="56"/>
      <c r="D591" s="56"/>
      <c r="E591" s="56"/>
      <c r="F591" s="56"/>
      <c r="G591" s="56"/>
      <c r="H591" s="56"/>
      <c r="I591" s="56"/>
      <c r="J591" s="56"/>
      <c r="K591" s="56"/>
      <c r="L591" s="56"/>
      <c r="M591" s="56"/>
    </row>
    <row r="592" spans="2:13" ht="15">
      <c r="B592" s="7"/>
      <c r="C592" s="56"/>
      <c r="D592" s="56"/>
      <c r="E592" s="56"/>
      <c r="F592" s="56"/>
      <c r="G592" s="56"/>
      <c r="H592" s="56"/>
      <c r="I592" s="56"/>
      <c r="J592" s="56"/>
      <c r="K592" s="56"/>
      <c r="L592" s="56"/>
      <c r="M592" s="56"/>
    </row>
    <row r="593" spans="2:13" ht="15">
      <c r="B593" s="7"/>
      <c r="C593" s="56"/>
      <c r="D593" s="56"/>
      <c r="E593" s="56"/>
      <c r="F593" s="56"/>
      <c r="G593" s="56"/>
      <c r="H593" s="56"/>
      <c r="I593" s="56"/>
      <c r="J593" s="56"/>
      <c r="K593" s="56"/>
      <c r="L593" s="56"/>
      <c r="M593" s="56"/>
    </row>
    <row r="594" spans="2:13" ht="15">
      <c r="B594" s="7"/>
      <c r="C594" s="56"/>
      <c r="D594" s="56"/>
      <c r="E594" s="56"/>
      <c r="F594" s="56"/>
      <c r="G594" s="56"/>
      <c r="H594" s="56"/>
      <c r="I594" s="56"/>
      <c r="J594" s="56"/>
      <c r="K594" s="56"/>
      <c r="L594" s="56"/>
      <c r="M594" s="56"/>
    </row>
    <row r="595" spans="2:13" ht="15">
      <c r="B595" s="7"/>
      <c r="C595" s="56"/>
      <c r="D595" s="56"/>
      <c r="E595" s="56"/>
      <c r="F595" s="56"/>
      <c r="G595" s="56"/>
      <c r="H595" s="56"/>
      <c r="I595" s="56"/>
      <c r="J595" s="56"/>
      <c r="K595" s="56"/>
      <c r="L595" s="56"/>
      <c r="M595" s="56"/>
    </row>
    <row r="596" spans="2:13" ht="15">
      <c r="B596" s="7"/>
      <c r="C596" s="56"/>
      <c r="D596" s="56"/>
      <c r="E596" s="56"/>
      <c r="F596" s="56"/>
      <c r="G596" s="56"/>
      <c r="H596" s="56"/>
      <c r="I596" s="56"/>
      <c r="J596" s="56"/>
      <c r="K596" s="56"/>
      <c r="L596" s="56"/>
      <c r="M596" s="56"/>
    </row>
    <row r="597" spans="2:13" ht="15">
      <c r="B597" s="7"/>
      <c r="C597" s="56"/>
      <c r="D597" s="56"/>
      <c r="E597" s="56"/>
      <c r="F597" s="56"/>
      <c r="G597" s="56"/>
      <c r="H597" s="56"/>
      <c r="I597" s="56"/>
      <c r="J597" s="56"/>
      <c r="K597" s="56"/>
      <c r="L597" s="56"/>
      <c r="M597" s="56"/>
    </row>
    <row r="598" spans="2:13" ht="15">
      <c r="B598" s="7"/>
      <c r="C598" s="56"/>
      <c r="D598" s="56"/>
      <c r="E598" s="56"/>
      <c r="F598" s="56"/>
      <c r="G598" s="56"/>
      <c r="H598" s="56"/>
      <c r="I598" s="56"/>
      <c r="J598" s="56"/>
      <c r="K598" s="56"/>
      <c r="L598" s="56"/>
      <c r="M598" s="56"/>
    </row>
    <row r="599" spans="2:13" ht="15">
      <c r="B599" s="7"/>
      <c r="C599" s="56"/>
      <c r="D599" s="56"/>
      <c r="E599" s="56"/>
      <c r="F599" s="56"/>
      <c r="G599" s="56"/>
      <c r="H599" s="56"/>
      <c r="I599" s="56"/>
      <c r="J599" s="56"/>
      <c r="K599" s="56"/>
      <c r="L599" s="56"/>
      <c r="M599" s="56"/>
    </row>
    <row r="600" spans="2:13" ht="15">
      <c r="B600" s="7"/>
      <c r="C600" s="56"/>
      <c r="D600" s="56"/>
      <c r="E600" s="56"/>
      <c r="F600" s="56"/>
      <c r="G600" s="56"/>
      <c r="H600" s="56"/>
      <c r="I600" s="56"/>
      <c r="J600" s="56"/>
      <c r="K600" s="56"/>
      <c r="L600" s="56"/>
      <c r="M600" s="56"/>
    </row>
    <row r="601" spans="2:13" ht="15">
      <c r="B601" s="7"/>
      <c r="C601" s="56"/>
      <c r="D601" s="56"/>
      <c r="E601" s="56"/>
      <c r="F601" s="56"/>
      <c r="G601" s="56"/>
      <c r="H601" s="56"/>
      <c r="I601" s="56"/>
      <c r="J601" s="56"/>
      <c r="K601" s="56"/>
      <c r="L601" s="56"/>
      <c r="M601" s="56"/>
    </row>
    <row r="602" spans="2:13" ht="15">
      <c r="B602" s="7"/>
      <c r="C602" s="56"/>
      <c r="D602" s="56"/>
      <c r="E602" s="56"/>
      <c r="F602" s="56"/>
      <c r="G602" s="56"/>
      <c r="H602" s="56"/>
      <c r="I602" s="56"/>
      <c r="J602" s="56"/>
      <c r="K602" s="56"/>
      <c r="L602" s="56"/>
      <c r="M602" s="56"/>
    </row>
    <row r="603" spans="2:13" ht="15">
      <c r="B603" s="7"/>
      <c r="C603" s="56"/>
      <c r="D603" s="56"/>
      <c r="E603" s="56"/>
      <c r="F603" s="56"/>
      <c r="G603" s="56"/>
      <c r="H603" s="56"/>
      <c r="I603" s="56"/>
      <c r="J603" s="56"/>
      <c r="K603" s="56"/>
      <c r="L603" s="56"/>
      <c r="M603" s="56"/>
    </row>
    <row r="604" spans="2:13" ht="15">
      <c r="B604" s="7"/>
      <c r="C604" s="56"/>
      <c r="D604" s="56"/>
      <c r="E604" s="56"/>
      <c r="F604" s="56"/>
      <c r="G604" s="56"/>
      <c r="H604" s="56"/>
      <c r="I604" s="56"/>
      <c r="J604" s="56"/>
      <c r="K604" s="56"/>
      <c r="L604" s="56"/>
      <c r="M604" s="56"/>
    </row>
    <row r="605" spans="2:13" ht="15">
      <c r="B605" s="7"/>
      <c r="C605" s="56"/>
      <c r="D605" s="56"/>
      <c r="E605" s="56"/>
      <c r="F605" s="56"/>
      <c r="G605" s="56"/>
      <c r="H605" s="56"/>
      <c r="I605" s="56"/>
      <c r="J605" s="56"/>
      <c r="K605" s="56"/>
      <c r="L605" s="56"/>
      <c r="M605" s="56"/>
    </row>
    <row r="606" spans="2:13" ht="15">
      <c r="B606" s="7"/>
      <c r="C606" s="56"/>
      <c r="D606" s="56"/>
      <c r="E606" s="56"/>
      <c r="F606" s="56"/>
      <c r="G606" s="56"/>
      <c r="H606" s="56"/>
      <c r="I606" s="56"/>
      <c r="J606" s="56"/>
      <c r="K606" s="56"/>
      <c r="L606" s="56"/>
      <c r="M606" s="56"/>
    </row>
    <row r="607" spans="2:13" ht="15">
      <c r="B607" s="7"/>
      <c r="C607" s="56"/>
      <c r="D607" s="56"/>
      <c r="E607" s="56"/>
      <c r="F607" s="56"/>
      <c r="G607" s="56"/>
      <c r="H607" s="56"/>
      <c r="I607" s="56"/>
      <c r="J607" s="56"/>
      <c r="K607" s="56"/>
      <c r="L607" s="56"/>
      <c r="M607" s="56"/>
    </row>
    <row r="608" spans="2:13" ht="15">
      <c r="B608" s="7"/>
      <c r="C608" s="56"/>
      <c r="D608" s="56"/>
      <c r="E608" s="56"/>
      <c r="F608" s="56"/>
      <c r="G608" s="56"/>
      <c r="H608" s="56"/>
      <c r="I608" s="56"/>
      <c r="J608" s="56"/>
      <c r="K608" s="56"/>
      <c r="L608" s="56"/>
      <c r="M608" s="56"/>
    </row>
    <row r="609" spans="2:13" ht="15">
      <c r="B609" s="7"/>
      <c r="C609" s="56"/>
      <c r="D609" s="56"/>
      <c r="E609" s="56"/>
      <c r="F609" s="56"/>
      <c r="G609" s="56"/>
      <c r="H609" s="56"/>
      <c r="I609" s="56"/>
      <c r="J609" s="56"/>
      <c r="K609" s="56"/>
      <c r="L609" s="56"/>
      <c r="M609" s="56"/>
    </row>
    <row r="610" spans="2:13" ht="15">
      <c r="B610" s="7"/>
      <c r="C610" s="56"/>
      <c r="D610" s="56"/>
      <c r="E610" s="56"/>
      <c r="F610" s="56"/>
      <c r="G610" s="56"/>
      <c r="H610" s="56"/>
      <c r="I610" s="56"/>
      <c r="J610" s="56"/>
      <c r="K610" s="56"/>
      <c r="L610" s="56"/>
      <c r="M610" s="56"/>
    </row>
    <row r="611" spans="2:13" ht="15">
      <c r="B611" s="7"/>
      <c r="C611" s="56"/>
      <c r="D611" s="56"/>
      <c r="E611" s="56"/>
      <c r="F611" s="56"/>
      <c r="G611" s="56"/>
      <c r="H611" s="56"/>
      <c r="I611" s="56"/>
      <c r="J611" s="56"/>
      <c r="K611" s="56"/>
      <c r="L611" s="56"/>
      <c r="M611" s="56"/>
    </row>
    <row r="612" spans="2:13" ht="15">
      <c r="B612" s="7"/>
      <c r="C612" s="56"/>
      <c r="D612" s="56"/>
      <c r="E612" s="56"/>
      <c r="F612" s="56"/>
      <c r="G612" s="56"/>
      <c r="H612" s="56"/>
      <c r="I612" s="56"/>
      <c r="J612" s="56"/>
      <c r="K612" s="56"/>
      <c r="L612" s="56"/>
      <c r="M612" s="56"/>
    </row>
    <row r="613" spans="2:13" ht="15">
      <c r="B613" s="7"/>
      <c r="C613" s="56"/>
      <c r="D613" s="56"/>
      <c r="E613" s="56"/>
      <c r="F613" s="56"/>
      <c r="G613" s="56"/>
      <c r="H613" s="56"/>
      <c r="I613" s="56"/>
      <c r="J613" s="56"/>
      <c r="K613" s="56"/>
      <c r="L613" s="56"/>
      <c r="M613" s="56"/>
    </row>
    <row r="614" spans="2:13" ht="15">
      <c r="B614" s="7"/>
      <c r="C614" s="56"/>
      <c r="D614" s="56"/>
      <c r="E614" s="56"/>
      <c r="F614" s="56"/>
      <c r="G614" s="56"/>
      <c r="H614" s="56"/>
      <c r="I614" s="56"/>
      <c r="J614" s="56"/>
      <c r="K614" s="56"/>
      <c r="L614" s="56"/>
      <c r="M614" s="56"/>
    </row>
    <row r="615" spans="2:13" ht="15">
      <c r="B615" s="7"/>
      <c r="C615" s="56"/>
      <c r="D615" s="56"/>
      <c r="E615" s="56"/>
      <c r="F615" s="56"/>
      <c r="G615" s="56"/>
      <c r="H615" s="56"/>
      <c r="I615" s="56"/>
      <c r="J615" s="56"/>
      <c r="K615" s="56"/>
      <c r="L615" s="56"/>
      <c r="M615" s="56"/>
    </row>
    <row r="616" spans="2:13" ht="15">
      <c r="B616" s="7"/>
      <c r="C616" s="56"/>
      <c r="D616" s="56"/>
      <c r="E616" s="56"/>
      <c r="F616" s="56"/>
      <c r="G616" s="56"/>
      <c r="H616" s="56"/>
      <c r="I616" s="56"/>
      <c r="J616" s="56"/>
      <c r="K616" s="56"/>
      <c r="L616" s="56"/>
      <c r="M616" s="56"/>
    </row>
    <row r="617" spans="2:13" ht="15">
      <c r="B617" s="7"/>
      <c r="C617" s="56"/>
      <c r="D617" s="56"/>
      <c r="E617" s="56"/>
      <c r="F617" s="56"/>
      <c r="G617" s="56"/>
      <c r="H617" s="56"/>
      <c r="I617" s="56"/>
      <c r="J617" s="56"/>
      <c r="K617" s="56"/>
      <c r="L617" s="56"/>
      <c r="M617" s="56"/>
    </row>
    <row r="618" spans="2:13" ht="15">
      <c r="B618" s="7"/>
      <c r="C618" s="56"/>
      <c r="D618" s="56"/>
      <c r="E618" s="56"/>
      <c r="F618" s="56"/>
      <c r="G618" s="56"/>
      <c r="H618" s="56"/>
      <c r="I618" s="56"/>
      <c r="J618" s="56"/>
      <c r="K618" s="56"/>
      <c r="L618" s="56"/>
      <c r="M618" s="56"/>
    </row>
    <row r="619" spans="2:13" ht="15">
      <c r="B619" s="7"/>
      <c r="C619" s="56"/>
      <c r="D619" s="56"/>
      <c r="E619" s="56"/>
      <c r="F619" s="56"/>
      <c r="G619" s="56"/>
      <c r="H619" s="56"/>
      <c r="I619" s="56"/>
      <c r="J619" s="56"/>
      <c r="K619" s="56"/>
      <c r="L619" s="56"/>
      <c r="M619" s="56"/>
    </row>
    <row r="620" spans="2:13" ht="15">
      <c r="B620" s="7"/>
      <c r="C620" s="56"/>
      <c r="D620" s="56"/>
      <c r="E620" s="56"/>
      <c r="F620" s="56"/>
      <c r="G620" s="56"/>
      <c r="H620" s="56"/>
      <c r="I620" s="56"/>
      <c r="J620" s="56"/>
      <c r="K620" s="56"/>
      <c r="L620" s="56"/>
      <c r="M620" s="56"/>
    </row>
    <row r="621" spans="2:13" ht="15">
      <c r="B621" s="7"/>
      <c r="C621" s="56"/>
      <c r="D621" s="56"/>
      <c r="E621" s="56"/>
      <c r="F621" s="56"/>
      <c r="G621" s="56"/>
      <c r="H621" s="56"/>
      <c r="I621" s="56"/>
      <c r="J621" s="56"/>
      <c r="K621" s="56"/>
      <c r="L621" s="56"/>
      <c r="M621" s="56"/>
    </row>
    <row r="622" spans="2:13" ht="15">
      <c r="B622" s="7"/>
      <c r="C622" s="56"/>
      <c r="D622" s="56"/>
      <c r="E622" s="56"/>
      <c r="F622" s="56"/>
      <c r="G622" s="56"/>
      <c r="H622" s="56"/>
      <c r="I622" s="56"/>
      <c r="J622" s="56"/>
      <c r="K622" s="56"/>
      <c r="L622" s="56"/>
      <c r="M622" s="56"/>
    </row>
    <row r="623" spans="2:13" ht="15">
      <c r="B623" s="7"/>
      <c r="C623" s="56"/>
      <c r="D623" s="56"/>
      <c r="E623" s="56"/>
      <c r="F623" s="56"/>
      <c r="G623" s="56"/>
      <c r="H623" s="56"/>
      <c r="I623" s="56"/>
      <c r="J623" s="56"/>
      <c r="K623" s="56"/>
      <c r="L623" s="56"/>
      <c r="M623" s="56"/>
    </row>
    <row r="624" spans="2:13" ht="15">
      <c r="B624" s="7"/>
      <c r="C624" s="56"/>
      <c r="D624" s="56"/>
      <c r="E624" s="56"/>
      <c r="F624" s="56"/>
      <c r="G624" s="56"/>
      <c r="H624" s="56"/>
      <c r="I624" s="56"/>
      <c r="J624" s="56"/>
      <c r="K624" s="56"/>
      <c r="L624" s="56"/>
      <c r="M624" s="56"/>
    </row>
    <row r="625" spans="2:13" ht="15">
      <c r="B625" s="7"/>
      <c r="C625" s="56"/>
      <c r="D625" s="56"/>
      <c r="E625" s="56"/>
      <c r="F625" s="56"/>
      <c r="G625" s="56"/>
      <c r="H625" s="56"/>
      <c r="I625" s="56"/>
      <c r="J625" s="56"/>
      <c r="K625" s="56"/>
      <c r="L625" s="56"/>
      <c r="M625" s="56"/>
    </row>
    <row r="626" spans="2:13" ht="15">
      <c r="B626" s="7"/>
      <c r="C626" s="56"/>
      <c r="D626" s="56"/>
      <c r="E626" s="56"/>
      <c r="F626" s="56"/>
      <c r="G626" s="56"/>
      <c r="H626" s="56"/>
      <c r="I626" s="56"/>
      <c r="J626" s="56"/>
      <c r="K626" s="56"/>
      <c r="L626" s="56"/>
      <c r="M626" s="56"/>
    </row>
    <row r="627" spans="2:13" ht="15">
      <c r="B627" s="7"/>
      <c r="C627" s="56"/>
      <c r="D627" s="56"/>
      <c r="E627" s="56"/>
      <c r="F627" s="56"/>
      <c r="G627" s="56"/>
      <c r="H627" s="56"/>
      <c r="I627" s="56"/>
      <c r="J627" s="56"/>
      <c r="K627" s="56"/>
      <c r="L627" s="56"/>
      <c r="M627" s="56"/>
    </row>
    <row r="628" spans="2:13" ht="15">
      <c r="B628" s="7"/>
      <c r="C628" s="56"/>
      <c r="D628" s="56"/>
      <c r="E628" s="56"/>
      <c r="F628" s="56"/>
      <c r="G628" s="56"/>
      <c r="H628" s="56"/>
      <c r="I628" s="56"/>
      <c r="J628" s="56"/>
      <c r="K628" s="56"/>
      <c r="L628" s="56"/>
      <c r="M628" s="56"/>
    </row>
    <row r="629" spans="2:13" ht="15">
      <c r="B629" s="7"/>
      <c r="C629" s="56"/>
      <c r="D629" s="56"/>
      <c r="E629" s="56"/>
      <c r="F629" s="56"/>
      <c r="G629" s="56"/>
      <c r="H629" s="56"/>
      <c r="I629" s="56"/>
      <c r="J629" s="56"/>
      <c r="K629" s="56"/>
      <c r="L629" s="56"/>
      <c r="M629" s="56"/>
    </row>
    <row r="630" spans="2:13" ht="15">
      <c r="B630" s="7"/>
      <c r="C630" s="56"/>
      <c r="D630" s="56"/>
      <c r="E630" s="56"/>
      <c r="F630" s="56"/>
      <c r="G630" s="56"/>
      <c r="H630" s="56"/>
      <c r="I630" s="56"/>
      <c r="J630" s="56"/>
      <c r="K630" s="56"/>
      <c r="L630" s="56"/>
      <c r="M630" s="56"/>
    </row>
    <row r="631" spans="2:13" ht="15">
      <c r="B631" s="7"/>
      <c r="C631" s="56"/>
      <c r="D631" s="56"/>
      <c r="E631" s="56"/>
      <c r="F631" s="56"/>
      <c r="G631" s="56"/>
      <c r="H631" s="56"/>
      <c r="I631" s="56"/>
      <c r="J631" s="56"/>
      <c r="K631" s="56"/>
      <c r="L631" s="56"/>
      <c r="M631" s="56"/>
    </row>
    <row r="632" spans="2:13" ht="15">
      <c r="B632" s="7"/>
      <c r="C632" s="56"/>
      <c r="D632" s="56"/>
      <c r="E632" s="56"/>
      <c r="F632" s="56"/>
      <c r="G632" s="56"/>
      <c r="H632" s="56"/>
      <c r="I632" s="56"/>
      <c r="J632" s="56"/>
      <c r="K632" s="56"/>
      <c r="L632" s="56"/>
      <c r="M632" s="56"/>
    </row>
    <row r="633" spans="2:13" ht="15">
      <c r="B633" s="7"/>
      <c r="C633" s="56"/>
      <c r="D633" s="56"/>
      <c r="E633" s="56"/>
      <c r="F633" s="56"/>
      <c r="G633" s="56"/>
      <c r="H633" s="56"/>
      <c r="I633" s="56"/>
      <c r="J633" s="56"/>
      <c r="K633" s="56"/>
      <c r="L633" s="56"/>
      <c r="M633" s="56"/>
    </row>
    <row r="634" spans="2:13" ht="15">
      <c r="B634" s="7"/>
      <c r="C634" s="56"/>
      <c r="D634" s="56"/>
      <c r="E634" s="56"/>
      <c r="F634" s="56"/>
      <c r="G634" s="56"/>
      <c r="H634" s="56"/>
      <c r="I634" s="56"/>
      <c r="J634" s="56"/>
      <c r="K634" s="56"/>
      <c r="L634" s="56"/>
      <c r="M634" s="56"/>
    </row>
    <row r="635" spans="2:13" ht="15">
      <c r="B635" s="7"/>
      <c r="C635" s="56"/>
      <c r="D635" s="56"/>
      <c r="E635" s="56"/>
      <c r="F635" s="56"/>
      <c r="G635" s="56"/>
      <c r="H635" s="56"/>
      <c r="I635" s="56"/>
      <c r="J635" s="56"/>
      <c r="K635" s="56"/>
      <c r="L635" s="56"/>
      <c r="M635" s="56"/>
    </row>
    <row r="636" spans="2:13" ht="15">
      <c r="B636" s="7"/>
      <c r="C636" s="56"/>
      <c r="D636" s="56"/>
      <c r="E636" s="56"/>
      <c r="F636" s="56"/>
      <c r="G636" s="56"/>
      <c r="H636" s="56"/>
      <c r="I636" s="56"/>
      <c r="J636" s="56"/>
      <c r="K636" s="56"/>
      <c r="L636" s="56"/>
      <c r="M636" s="56"/>
    </row>
    <row r="637" spans="2:13" ht="15">
      <c r="B637" s="7"/>
      <c r="C637" s="56"/>
      <c r="D637" s="56"/>
      <c r="E637" s="56"/>
      <c r="F637" s="56"/>
      <c r="G637" s="56"/>
      <c r="H637" s="56"/>
      <c r="I637" s="56"/>
      <c r="J637" s="56"/>
      <c r="K637" s="56"/>
      <c r="L637" s="56"/>
      <c r="M637" s="56"/>
    </row>
    <row r="638" spans="2:13" ht="15">
      <c r="B638" s="7"/>
      <c r="C638" s="56"/>
      <c r="D638" s="56"/>
      <c r="E638" s="56"/>
      <c r="F638" s="56"/>
      <c r="G638" s="56"/>
      <c r="H638" s="56"/>
      <c r="I638" s="56"/>
      <c r="J638" s="56"/>
      <c r="K638" s="56"/>
      <c r="L638" s="56"/>
      <c r="M638" s="56"/>
    </row>
    <row r="639" spans="2:13" ht="15">
      <c r="B639" s="7"/>
      <c r="C639" s="56"/>
      <c r="D639" s="56"/>
      <c r="E639" s="56"/>
      <c r="F639" s="56"/>
      <c r="G639" s="56"/>
      <c r="H639" s="56"/>
      <c r="I639" s="56"/>
      <c r="J639" s="56"/>
      <c r="K639" s="56"/>
      <c r="L639" s="56"/>
      <c r="M639" s="56"/>
    </row>
    <row r="640" spans="2:13" ht="15">
      <c r="B640" s="7"/>
      <c r="C640" s="56"/>
      <c r="D640" s="56"/>
      <c r="E640" s="56"/>
      <c r="F640" s="56"/>
      <c r="G640" s="56"/>
      <c r="H640" s="56"/>
      <c r="I640" s="56"/>
      <c r="J640" s="56"/>
      <c r="K640" s="56"/>
      <c r="L640" s="56"/>
      <c r="M640" s="56"/>
    </row>
    <row r="641" spans="2:13" ht="15">
      <c r="B641" s="7"/>
      <c r="C641" s="56"/>
      <c r="D641" s="56"/>
      <c r="E641" s="56"/>
      <c r="F641" s="56"/>
      <c r="G641" s="56"/>
      <c r="H641" s="56"/>
      <c r="I641" s="56"/>
      <c r="J641" s="56"/>
      <c r="K641" s="56"/>
      <c r="L641" s="56"/>
      <c r="M641" s="56"/>
    </row>
    <row r="642" spans="2:13" ht="15">
      <c r="B642" s="7"/>
      <c r="C642" s="56"/>
      <c r="D642" s="56"/>
      <c r="E642" s="56"/>
      <c r="F642" s="56"/>
      <c r="G642" s="56"/>
      <c r="H642" s="56"/>
      <c r="I642" s="56"/>
      <c r="J642" s="56"/>
      <c r="K642" s="56"/>
      <c r="L642" s="56"/>
      <c r="M642" s="56"/>
    </row>
    <row r="643" spans="2:13" ht="15">
      <c r="B643" s="7"/>
      <c r="C643" s="56"/>
      <c r="D643" s="56"/>
      <c r="E643" s="56"/>
      <c r="F643" s="56"/>
      <c r="G643" s="56"/>
      <c r="H643" s="56"/>
      <c r="I643" s="56"/>
      <c r="J643" s="56"/>
      <c r="K643" s="56"/>
      <c r="L643" s="56"/>
      <c r="M643" s="56"/>
    </row>
    <row r="644" spans="2:13" ht="15">
      <c r="B644" s="7"/>
      <c r="C644" s="56"/>
      <c r="D644" s="56"/>
      <c r="E644" s="56"/>
      <c r="F644" s="56"/>
      <c r="G644" s="56"/>
      <c r="H644" s="56"/>
      <c r="I644" s="56"/>
      <c r="J644" s="56"/>
      <c r="K644" s="56"/>
      <c r="L644" s="56"/>
      <c r="M644" s="56"/>
    </row>
    <row r="645" spans="2:13" ht="15">
      <c r="B645" s="7"/>
      <c r="C645" s="56"/>
      <c r="D645" s="56"/>
      <c r="E645" s="56"/>
      <c r="F645" s="56"/>
      <c r="G645" s="56"/>
      <c r="H645" s="56"/>
      <c r="I645" s="56"/>
      <c r="J645" s="56"/>
      <c r="K645" s="56"/>
      <c r="L645" s="56"/>
      <c r="M645" s="56"/>
    </row>
    <row r="646" spans="2:13" ht="15">
      <c r="B646" s="7"/>
      <c r="C646" s="56"/>
      <c r="D646" s="56"/>
      <c r="E646" s="56"/>
      <c r="F646" s="56"/>
      <c r="G646" s="56"/>
      <c r="H646" s="56"/>
      <c r="I646" s="56"/>
      <c r="J646" s="56"/>
      <c r="K646" s="56"/>
      <c r="L646" s="56"/>
      <c r="M646" s="56"/>
    </row>
    <row r="647" spans="2:13" ht="15">
      <c r="B647" s="7"/>
      <c r="C647" s="56"/>
      <c r="D647" s="56"/>
      <c r="E647" s="56"/>
      <c r="F647" s="56"/>
      <c r="G647" s="56"/>
      <c r="H647" s="56"/>
      <c r="I647" s="56"/>
      <c r="J647" s="56"/>
      <c r="K647" s="56"/>
      <c r="L647" s="56"/>
      <c r="M647" s="56"/>
    </row>
    <row r="648" spans="2:13" ht="15">
      <c r="B648" s="7"/>
      <c r="C648" s="56"/>
      <c r="D648" s="56"/>
      <c r="E648" s="56"/>
      <c r="F648" s="56"/>
      <c r="G648" s="56"/>
      <c r="H648" s="56"/>
      <c r="I648" s="56"/>
      <c r="J648" s="56"/>
      <c r="K648" s="56"/>
      <c r="L648" s="56"/>
      <c r="M648" s="56"/>
    </row>
    <row r="649" spans="2:13" ht="15">
      <c r="B649" s="7"/>
      <c r="C649" s="56"/>
      <c r="D649" s="56"/>
      <c r="E649" s="56"/>
      <c r="F649" s="56"/>
      <c r="G649" s="56"/>
      <c r="H649" s="56"/>
      <c r="I649" s="56"/>
      <c r="J649" s="56"/>
      <c r="K649" s="56"/>
      <c r="L649" s="56"/>
      <c r="M649" s="56"/>
    </row>
    <row r="650" spans="2:13" ht="15">
      <c r="B650" s="7"/>
      <c r="C650" s="56"/>
      <c r="D650" s="56"/>
      <c r="E650" s="56"/>
      <c r="F650" s="56"/>
      <c r="G650" s="56"/>
      <c r="H650" s="56"/>
      <c r="I650" s="56"/>
      <c r="J650" s="56"/>
      <c r="K650" s="56"/>
      <c r="L650" s="56"/>
      <c r="M650" s="56"/>
    </row>
    <row r="651" spans="2:13" ht="15">
      <c r="B651" s="7"/>
      <c r="C651" s="56"/>
      <c r="D651" s="56"/>
      <c r="E651" s="56"/>
      <c r="F651" s="56"/>
      <c r="G651" s="56"/>
      <c r="H651" s="56"/>
      <c r="I651" s="56"/>
      <c r="J651" s="56"/>
      <c r="K651" s="56"/>
      <c r="L651" s="56"/>
      <c r="M651" s="56"/>
    </row>
    <row r="652" spans="2:13" ht="15">
      <c r="B652" s="7"/>
      <c r="C652" s="56"/>
      <c r="D652" s="56"/>
      <c r="E652" s="56"/>
      <c r="F652" s="56"/>
      <c r="G652" s="56"/>
      <c r="H652" s="56"/>
      <c r="I652" s="56"/>
      <c r="J652" s="56"/>
      <c r="K652" s="56"/>
      <c r="L652" s="56"/>
      <c r="M652" s="56"/>
    </row>
    <row r="653" spans="2:13" ht="15">
      <c r="B653" s="7"/>
      <c r="C653" s="56"/>
      <c r="D653" s="56"/>
      <c r="E653" s="56"/>
      <c r="F653" s="56"/>
      <c r="G653" s="56"/>
      <c r="H653" s="56"/>
      <c r="I653" s="56"/>
      <c r="J653" s="56"/>
      <c r="K653" s="56"/>
      <c r="L653" s="56"/>
      <c r="M653" s="56"/>
    </row>
    <row r="654" spans="2:13" ht="15">
      <c r="B654" s="7"/>
      <c r="C654" s="56"/>
      <c r="D654" s="56"/>
      <c r="E654" s="56"/>
      <c r="F654" s="56"/>
      <c r="G654" s="56"/>
      <c r="H654" s="56"/>
      <c r="I654" s="56"/>
      <c r="J654" s="56"/>
      <c r="K654" s="56"/>
      <c r="L654" s="56"/>
      <c r="M654" s="56"/>
    </row>
    <row r="655" spans="2:13" ht="15">
      <c r="B655" s="7"/>
      <c r="C655" s="56"/>
      <c r="D655" s="56"/>
      <c r="E655" s="56"/>
      <c r="F655" s="56"/>
      <c r="G655" s="56"/>
      <c r="H655" s="56"/>
      <c r="I655" s="56"/>
      <c r="J655" s="56"/>
      <c r="K655" s="56"/>
      <c r="L655" s="56"/>
      <c r="M655" s="56"/>
    </row>
    <row r="656" spans="2:13" ht="15">
      <c r="B656" s="7"/>
      <c r="C656" s="56"/>
      <c r="D656" s="56"/>
      <c r="E656" s="56"/>
      <c r="F656" s="56"/>
      <c r="G656" s="56"/>
      <c r="H656" s="56"/>
      <c r="I656" s="56"/>
      <c r="J656" s="56"/>
      <c r="K656" s="56"/>
      <c r="L656" s="56"/>
      <c r="M656" s="56"/>
    </row>
    <row r="657" spans="2:13" ht="15">
      <c r="B657" s="7"/>
      <c r="C657" s="56"/>
      <c r="D657" s="56"/>
      <c r="E657" s="56"/>
      <c r="F657" s="56"/>
      <c r="G657" s="56"/>
      <c r="H657" s="56"/>
      <c r="I657" s="56"/>
      <c r="J657" s="56"/>
      <c r="K657" s="56"/>
      <c r="L657" s="56"/>
      <c r="M657" s="56"/>
    </row>
    <row r="658" spans="2:13" ht="15">
      <c r="B658" s="7"/>
      <c r="C658" s="56"/>
      <c r="D658" s="56"/>
      <c r="E658" s="56"/>
      <c r="F658" s="56"/>
      <c r="G658" s="56"/>
      <c r="H658" s="56"/>
      <c r="I658" s="56"/>
      <c r="J658" s="56"/>
      <c r="K658" s="56"/>
      <c r="L658" s="56"/>
      <c r="M658" s="56"/>
    </row>
    <row r="659" spans="2:13" ht="15">
      <c r="B659" s="7"/>
      <c r="C659" s="56"/>
      <c r="D659" s="56"/>
      <c r="E659" s="56"/>
      <c r="F659" s="56"/>
      <c r="G659" s="56"/>
      <c r="H659" s="56"/>
      <c r="I659" s="56"/>
      <c r="J659" s="56"/>
      <c r="K659" s="56"/>
      <c r="L659" s="56"/>
      <c r="M659" s="56"/>
    </row>
    <row r="660" spans="2:13" ht="15">
      <c r="B660" s="7"/>
      <c r="C660" s="56"/>
      <c r="D660" s="56"/>
      <c r="E660" s="56"/>
      <c r="F660" s="56"/>
      <c r="G660" s="56"/>
      <c r="H660" s="56"/>
      <c r="I660" s="56"/>
      <c r="J660" s="56"/>
      <c r="K660" s="56"/>
      <c r="L660" s="56"/>
      <c r="M660" s="56"/>
    </row>
    <row r="661" spans="2:13" ht="15">
      <c r="B661" s="7"/>
      <c r="C661" s="56"/>
      <c r="D661" s="56"/>
      <c r="E661" s="56"/>
      <c r="F661" s="56"/>
      <c r="G661" s="56"/>
      <c r="H661" s="56"/>
      <c r="I661" s="56"/>
      <c r="J661" s="56"/>
      <c r="K661" s="56"/>
      <c r="L661" s="56"/>
      <c r="M661" s="56"/>
    </row>
    <row r="662" spans="2:13" ht="15">
      <c r="B662" s="7"/>
      <c r="C662" s="56"/>
      <c r="D662" s="56"/>
      <c r="E662" s="56"/>
      <c r="F662" s="56"/>
      <c r="G662" s="56"/>
      <c r="H662" s="56"/>
      <c r="I662" s="56"/>
      <c r="J662" s="56"/>
      <c r="K662" s="56"/>
      <c r="L662" s="56"/>
      <c r="M662" s="56"/>
    </row>
    <row r="663" spans="2:13" ht="15">
      <c r="B663" s="7"/>
      <c r="C663" s="56"/>
      <c r="D663" s="56"/>
      <c r="E663" s="56"/>
      <c r="F663" s="56"/>
      <c r="G663" s="56"/>
      <c r="H663" s="56"/>
      <c r="I663" s="56"/>
      <c r="J663" s="56"/>
      <c r="K663" s="56"/>
      <c r="L663" s="56"/>
      <c r="M663" s="56"/>
    </row>
    <row r="664" spans="2:13" ht="15">
      <c r="B664" s="7"/>
      <c r="C664" s="56"/>
      <c r="D664" s="56"/>
      <c r="E664" s="56"/>
      <c r="F664" s="56"/>
      <c r="G664" s="56"/>
      <c r="H664" s="56"/>
      <c r="I664" s="56"/>
      <c r="J664" s="56"/>
      <c r="K664" s="56"/>
      <c r="L664" s="56"/>
      <c r="M664" s="56"/>
    </row>
    <row r="665" spans="2:13" ht="15">
      <c r="B665" s="7"/>
      <c r="C665" s="56"/>
      <c r="D665" s="56"/>
      <c r="E665" s="56"/>
      <c r="F665" s="56"/>
      <c r="G665" s="56"/>
      <c r="H665" s="56"/>
      <c r="I665" s="56"/>
      <c r="J665" s="56"/>
      <c r="K665" s="56"/>
      <c r="L665" s="56"/>
      <c r="M665" s="56"/>
    </row>
    <row r="666" spans="2:13" ht="15">
      <c r="B666" s="7"/>
      <c r="C666" s="56"/>
      <c r="D666" s="56"/>
      <c r="E666" s="56"/>
      <c r="F666" s="56"/>
      <c r="G666" s="56"/>
      <c r="H666" s="56"/>
      <c r="I666" s="56"/>
      <c r="J666" s="56"/>
      <c r="K666" s="56"/>
      <c r="L666" s="56"/>
      <c r="M666" s="56"/>
    </row>
    <row r="667" spans="2:13" ht="15">
      <c r="B667" s="7"/>
      <c r="C667" s="56"/>
      <c r="D667" s="56"/>
      <c r="E667" s="56"/>
      <c r="F667" s="56"/>
      <c r="G667" s="56"/>
      <c r="H667" s="56"/>
      <c r="I667" s="56"/>
      <c r="J667" s="56"/>
      <c r="K667" s="56"/>
      <c r="L667" s="56"/>
      <c r="M667" s="56"/>
    </row>
    <row r="668" spans="2:13" ht="15">
      <c r="B668" s="7"/>
      <c r="C668" s="56"/>
      <c r="D668" s="56"/>
      <c r="E668" s="56"/>
      <c r="F668" s="56"/>
      <c r="G668" s="56"/>
      <c r="H668" s="56"/>
      <c r="I668" s="56"/>
      <c r="J668" s="56"/>
      <c r="K668" s="56"/>
      <c r="L668" s="56"/>
      <c r="M668" s="56"/>
    </row>
    <row r="669" spans="2:13" ht="15">
      <c r="B669" s="7"/>
      <c r="C669" s="56"/>
      <c r="D669" s="56"/>
      <c r="E669" s="56"/>
      <c r="F669" s="56"/>
      <c r="G669" s="56"/>
      <c r="H669" s="56"/>
      <c r="I669" s="56"/>
      <c r="J669" s="56"/>
      <c r="K669" s="56"/>
      <c r="L669" s="56"/>
      <c r="M669" s="56"/>
    </row>
    <row r="670" spans="2:13" ht="15">
      <c r="B670" s="7"/>
      <c r="C670" s="56"/>
      <c r="D670" s="56"/>
      <c r="E670" s="56"/>
      <c r="F670" s="56"/>
      <c r="G670" s="56"/>
      <c r="H670" s="56"/>
      <c r="I670" s="56"/>
      <c r="J670" s="56"/>
      <c r="K670" s="56"/>
      <c r="L670" s="56"/>
      <c r="M670" s="56"/>
    </row>
    <row r="671" spans="2:13" ht="15">
      <c r="B671" s="7"/>
      <c r="C671" s="56"/>
      <c r="D671" s="56"/>
      <c r="E671" s="56"/>
      <c r="F671" s="56"/>
      <c r="G671" s="56"/>
      <c r="H671" s="56"/>
      <c r="I671" s="56"/>
      <c r="J671" s="56"/>
      <c r="K671" s="56"/>
      <c r="L671" s="56"/>
      <c r="M671" s="56"/>
    </row>
    <row r="672" spans="2:13" ht="15">
      <c r="B672" s="7"/>
      <c r="C672" s="56"/>
      <c r="D672" s="56"/>
      <c r="E672" s="56"/>
      <c r="F672" s="56"/>
      <c r="G672" s="56"/>
      <c r="H672" s="56"/>
      <c r="I672" s="56"/>
      <c r="J672" s="56"/>
      <c r="K672" s="56"/>
      <c r="L672" s="56"/>
      <c r="M672" s="56"/>
    </row>
    <row r="673" spans="2:13" ht="15">
      <c r="B673" s="7"/>
      <c r="C673" s="56"/>
      <c r="D673" s="56"/>
      <c r="E673" s="56"/>
      <c r="F673" s="56"/>
      <c r="G673" s="56"/>
      <c r="H673" s="56"/>
      <c r="I673" s="56"/>
      <c r="J673" s="56"/>
      <c r="K673" s="56"/>
      <c r="L673" s="56"/>
      <c r="M673" s="56"/>
    </row>
    <row r="674" spans="2:13" ht="15">
      <c r="B674" s="7"/>
      <c r="C674" s="56"/>
      <c r="D674" s="56"/>
      <c r="E674" s="56"/>
      <c r="F674" s="56"/>
      <c r="G674" s="56"/>
      <c r="H674" s="56"/>
      <c r="I674" s="56"/>
      <c r="J674" s="56"/>
      <c r="K674" s="56"/>
      <c r="L674" s="56"/>
      <c r="M674" s="56"/>
    </row>
    <row r="675" spans="2:13" ht="15">
      <c r="B675" s="7"/>
      <c r="C675" s="56"/>
      <c r="D675" s="56"/>
      <c r="E675" s="56"/>
      <c r="F675" s="56"/>
      <c r="G675" s="56"/>
      <c r="H675" s="56"/>
      <c r="I675" s="56"/>
      <c r="J675" s="56"/>
      <c r="K675" s="56"/>
      <c r="L675" s="56"/>
      <c r="M675" s="56"/>
    </row>
    <row r="676" spans="2:13" ht="15">
      <c r="B676" s="7"/>
      <c r="C676" s="56"/>
      <c r="D676" s="56"/>
      <c r="E676" s="56"/>
      <c r="F676" s="56"/>
      <c r="G676" s="56"/>
      <c r="H676" s="56"/>
      <c r="I676" s="56"/>
      <c r="J676" s="56"/>
      <c r="K676" s="56"/>
      <c r="L676" s="56"/>
      <c r="M676" s="56"/>
    </row>
    <row r="677" spans="2:13" ht="15">
      <c r="B677" s="7"/>
      <c r="C677" s="56"/>
      <c r="D677" s="56"/>
      <c r="E677" s="56"/>
      <c r="F677" s="56"/>
      <c r="G677" s="56"/>
      <c r="H677" s="56"/>
      <c r="I677" s="56"/>
      <c r="J677" s="56"/>
      <c r="K677" s="56"/>
      <c r="L677" s="56"/>
      <c r="M677" s="56"/>
    </row>
    <row r="678" spans="2:13" ht="15">
      <c r="B678" s="7"/>
      <c r="C678" s="56"/>
      <c r="D678" s="56"/>
      <c r="E678" s="56"/>
      <c r="F678" s="56"/>
      <c r="G678" s="56"/>
      <c r="H678" s="56"/>
      <c r="I678" s="56"/>
      <c r="J678" s="56"/>
      <c r="K678" s="56"/>
      <c r="L678" s="56"/>
      <c r="M678" s="56"/>
    </row>
    <row r="679" spans="2:13" ht="15">
      <c r="B679" s="7"/>
      <c r="C679" s="56"/>
      <c r="D679" s="56"/>
      <c r="E679" s="56"/>
      <c r="F679" s="56"/>
      <c r="G679" s="56"/>
      <c r="H679" s="56"/>
      <c r="I679" s="56"/>
      <c r="J679" s="56"/>
      <c r="K679" s="56"/>
      <c r="L679" s="56"/>
      <c r="M679" s="56"/>
    </row>
    <row r="680" spans="2:13" ht="15">
      <c r="B680" s="7"/>
      <c r="C680" s="56"/>
      <c r="D680" s="56"/>
      <c r="E680" s="56"/>
      <c r="F680" s="56"/>
      <c r="G680" s="56"/>
      <c r="H680" s="56"/>
      <c r="I680" s="56"/>
      <c r="J680" s="56"/>
      <c r="K680" s="56"/>
      <c r="L680" s="56"/>
      <c r="M680" s="56"/>
    </row>
    <row r="681" spans="2:13" ht="15">
      <c r="B681" s="7"/>
      <c r="C681" s="56"/>
      <c r="D681" s="56"/>
      <c r="E681" s="56"/>
      <c r="F681" s="56"/>
      <c r="G681" s="56"/>
      <c r="H681" s="56"/>
      <c r="I681" s="56"/>
      <c r="J681" s="56"/>
      <c r="K681" s="56"/>
      <c r="L681" s="56"/>
      <c r="M681" s="56"/>
    </row>
    <row r="682" spans="2:13" ht="15">
      <c r="B682" s="7"/>
      <c r="C682" s="56"/>
      <c r="D682" s="56"/>
      <c r="E682" s="56"/>
      <c r="F682" s="56"/>
      <c r="G682" s="56"/>
      <c r="H682" s="56"/>
      <c r="I682" s="56"/>
      <c r="J682" s="56"/>
      <c r="K682" s="56"/>
      <c r="L682" s="56"/>
      <c r="M682" s="56"/>
    </row>
    <row r="683" spans="2:13" ht="15">
      <c r="B683" s="7"/>
      <c r="C683" s="56"/>
      <c r="D683" s="56"/>
      <c r="E683" s="56"/>
      <c r="F683" s="56"/>
      <c r="G683" s="56"/>
      <c r="H683" s="56"/>
      <c r="I683" s="56"/>
      <c r="J683" s="56"/>
      <c r="K683" s="56"/>
      <c r="L683" s="56"/>
      <c r="M683" s="56"/>
    </row>
    <row r="684" spans="2:13" ht="15">
      <c r="B684" s="7"/>
      <c r="C684" s="56"/>
      <c r="D684" s="56"/>
      <c r="E684" s="56"/>
      <c r="F684" s="56"/>
      <c r="G684" s="56"/>
      <c r="H684" s="56"/>
      <c r="I684" s="56"/>
      <c r="J684" s="56"/>
      <c r="K684" s="56"/>
      <c r="L684" s="56"/>
      <c r="M684" s="56"/>
    </row>
    <row r="685" spans="2:13" ht="15">
      <c r="B685" s="7"/>
      <c r="C685" s="56"/>
      <c r="D685" s="56"/>
      <c r="E685" s="56"/>
      <c r="F685" s="56"/>
      <c r="G685" s="56"/>
      <c r="H685" s="56"/>
      <c r="I685" s="56"/>
      <c r="J685" s="56"/>
      <c r="K685" s="56"/>
      <c r="L685" s="56"/>
      <c r="M685" s="56"/>
    </row>
    <row r="686" spans="2:13" ht="15">
      <c r="B686" s="7"/>
      <c r="C686" s="56"/>
      <c r="D686" s="56"/>
      <c r="E686" s="56"/>
      <c r="F686" s="56"/>
      <c r="G686" s="56"/>
      <c r="H686" s="56"/>
      <c r="I686" s="56"/>
      <c r="J686" s="56"/>
      <c r="K686" s="56"/>
      <c r="L686" s="56"/>
      <c r="M686" s="56"/>
    </row>
    <row r="687" spans="2:13" ht="15">
      <c r="B687" s="7"/>
      <c r="C687" s="56"/>
      <c r="D687" s="56"/>
      <c r="E687" s="56"/>
      <c r="F687" s="56"/>
      <c r="G687" s="56"/>
      <c r="H687" s="56"/>
      <c r="I687" s="56"/>
      <c r="J687" s="56"/>
      <c r="K687" s="56"/>
      <c r="L687" s="56"/>
      <c r="M687" s="56"/>
    </row>
    <row r="688" spans="2:13" ht="15">
      <c r="B688" s="7"/>
      <c r="C688" s="56"/>
      <c r="D688" s="56"/>
      <c r="E688" s="56"/>
      <c r="F688" s="56"/>
      <c r="G688" s="56"/>
      <c r="H688" s="56"/>
      <c r="I688" s="56"/>
      <c r="J688" s="56"/>
      <c r="K688" s="56"/>
      <c r="L688" s="56"/>
      <c r="M688" s="56"/>
    </row>
    <row r="689" spans="2:13" ht="15">
      <c r="B689" s="7"/>
      <c r="C689" s="56"/>
      <c r="D689" s="56"/>
      <c r="E689" s="56"/>
      <c r="F689" s="56"/>
      <c r="G689" s="56"/>
      <c r="H689" s="56"/>
      <c r="I689" s="56"/>
      <c r="J689" s="56"/>
      <c r="K689" s="56"/>
      <c r="L689" s="56"/>
      <c r="M689" s="56"/>
    </row>
    <row r="690" spans="2:13" ht="15">
      <c r="B690" s="7"/>
      <c r="C690" s="56"/>
      <c r="D690" s="56"/>
      <c r="E690" s="56"/>
      <c r="F690" s="56"/>
      <c r="G690" s="56"/>
      <c r="H690" s="56"/>
      <c r="I690" s="56"/>
      <c r="J690" s="56"/>
      <c r="K690" s="56"/>
      <c r="L690" s="56"/>
      <c r="M690" s="56"/>
    </row>
    <row r="691" spans="2:13" ht="15">
      <c r="B691" s="7"/>
      <c r="C691" s="56"/>
      <c r="D691" s="56"/>
      <c r="E691" s="56"/>
      <c r="F691" s="56"/>
      <c r="G691" s="56"/>
      <c r="H691" s="56"/>
      <c r="I691" s="56"/>
      <c r="J691" s="56"/>
      <c r="K691" s="56"/>
      <c r="L691" s="56"/>
      <c r="M691" s="56"/>
    </row>
    <row r="692" spans="2:13" ht="15">
      <c r="B692" s="7"/>
      <c r="C692" s="56"/>
      <c r="D692" s="56"/>
      <c r="E692" s="56"/>
      <c r="F692" s="56"/>
      <c r="G692" s="56"/>
      <c r="H692" s="56"/>
      <c r="I692" s="56"/>
      <c r="J692" s="56"/>
      <c r="K692" s="56"/>
      <c r="L692" s="56"/>
      <c r="M692" s="56"/>
    </row>
    <row r="693" spans="2:13" ht="15">
      <c r="B693" s="7"/>
      <c r="C693" s="56"/>
      <c r="D693" s="56"/>
      <c r="E693" s="56"/>
      <c r="F693" s="56"/>
      <c r="G693" s="56"/>
      <c r="H693" s="56"/>
      <c r="I693" s="56"/>
      <c r="J693" s="56"/>
      <c r="K693" s="56"/>
      <c r="L693" s="56"/>
      <c r="M693" s="56"/>
    </row>
    <row r="694" spans="2:13" ht="15">
      <c r="B694" s="7"/>
      <c r="C694" s="56"/>
      <c r="D694" s="56"/>
      <c r="E694" s="56"/>
      <c r="F694" s="56"/>
      <c r="G694" s="56"/>
      <c r="H694" s="56"/>
      <c r="I694" s="56"/>
      <c r="J694" s="56"/>
      <c r="K694" s="56"/>
      <c r="L694" s="56"/>
      <c r="M694" s="56"/>
    </row>
    <row r="695" spans="2:13" ht="15">
      <c r="B695" s="7"/>
      <c r="C695" s="56"/>
      <c r="D695" s="56"/>
      <c r="E695" s="56"/>
      <c r="F695" s="56"/>
      <c r="G695" s="56"/>
      <c r="H695" s="56"/>
      <c r="I695" s="56"/>
      <c r="J695" s="56"/>
      <c r="K695" s="56"/>
      <c r="L695" s="56"/>
      <c r="M695" s="56"/>
    </row>
    <row r="696" spans="2:13" ht="15">
      <c r="B696" s="7"/>
      <c r="C696" s="56"/>
      <c r="D696" s="56"/>
      <c r="E696" s="56"/>
      <c r="F696" s="56"/>
      <c r="G696" s="56"/>
      <c r="H696" s="56"/>
      <c r="I696" s="56"/>
      <c r="J696" s="56"/>
      <c r="K696" s="56"/>
      <c r="L696" s="56"/>
      <c r="M696" s="56"/>
    </row>
    <row r="697" spans="2:13" ht="15">
      <c r="B697" s="7"/>
      <c r="C697" s="56"/>
      <c r="D697" s="56"/>
      <c r="E697" s="56"/>
      <c r="F697" s="56"/>
      <c r="G697" s="56"/>
      <c r="H697" s="56"/>
      <c r="I697" s="56"/>
      <c r="J697" s="56"/>
      <c r="K697" s="56"/>
      <c r="L697" s="56"/>
      <c r="M697" s="56"/>
    </row>
    <row r="698" spans="2:13" ht="15">
      <c r="B698" s="7"/>
      <c r="C698" s="56"/>
      <c r="D698" s="56"/>
      <c r="E698" s="56"/>
      <c r="F698" s="56"/>
      <c r="G698" s="56"/>
      <c r="H698" s="56"/>
      <c r="I698" s="56"/>
      <c r="J698" s="56"/>
      <c r="K698" s="56"/>
      <c r="L698" s="56"/>
      <c r="M698" s="56"/>
    </row>
    <row r="699" spans="2:13" ht="15">
      <c r="B699" s="7"/>
      <c r="C699" s="56"/>
      <c r="D699" s="56"/>
      <c r="E699" s="56"/>
      <c r="F699" s="56"/>
      <c r="G699" s="56"/>
      <c r="H699" s="56"/>
      <c r="I699" s="56"/>
      <c r="J699" s="56"/>
      <c r="K699" s="56"/>
      <c r="L699" s="56"/>
      <c r="M699" s="56"/>
    </row>
    <row r="700" spans="2:13" ht="15">
      <c r="B700" s="7"/>
      <c r="C700" s="56"/>
      <c r="D700" s="56"/>
      <c r="E700" s="56"/>
      <c r="F700" s="56"/>
      <c r="G700" s="56"/>
      <c r="H700" s="56"/>
      <c r="I700" s="56"/>
      <c r="J700" s="56"/>
      <c r="K700" s="56"/>
      <c r="L700" s="56"/>
      <c r="M700" s="56"/>
    </row>
    <row r="701" spans="2:13" ht="15">
      <c r="B701" s="7"/>
      <c r="C701" s="56"/>
      <c r="D701" s="56"/>
      <c r="E701" s="56"/>
      <c r="F701" s="56"/>
      <c r="G701" s="56"/>
      <c r="H701" s="56"/>
      <c r="I701" s="56"/>
      <c r="J701" s="56"/>
      <c r="K701" s="56"/>
      <c r="L701" s="56"/>
      <c r="M701" s="56"/>
    </row>
    <row r="702" spans="2:13" ht="15">
      <c r="B702" s="7"/>
      <c r="C702" s="56"/>
      <c r="D702" s="56"/>
      <c r="E702" s="56"/>
      <c r="F702" s="56"/>
      <c r="G702" s="56"/>
      <c r="H702" s="56"/>
      <c r="I702" s="56"/>
      <c r="J702" s="56"/>
      <c r="K702" s="56"/>
      <c r="L702" s="56"/>
      <c r="M702" s="56"/>
    </row>
    <row r="703" spans="2:13" ht="15">
      <c r="B703" s="7"/>
      <c r="C703" s="56"/>
      <c r="D703" s="56"/>
      <c r="E703" s="56"/>
      <c r="F703" s="56"/>
      <c r="G703" s="56"/>
      <c r="H703" s="56"/>
      <c r="I703" s="56"/>
      <c r="J703" s="56"/>
      <c r="K703" s="56"/>
      <c r="L703" s="56"/>
      <c r="M703" s="56"/>
    </row>
    <row r="704" spans="2:13" ht="15">
      <c r="B704" s="7"/>
      <c r="C704" s="56"/>
      <c r="D704" s="56"/>
      <c r="E704" s="56"/>
      <c r="F704" s="56"/>
      <c r="G704" s="56"/>
      <c r="H704" s="56"/>
      <c r="I704" s="56"/>
      <c r="J704" s="56"/>
      <c r="K704" s="56"/>
      <c r="L704" s="56"/>
      <c r="M704" s="56"/>
    </row>
    <row r="705" spans="2:13" ht="15">
      <c r="B705" s="7"/>
      <c r="C705" s="56"/>
      <c r="D705" s="56"/>
      <c r="E705" s="56"/>
      <c r="F705" s="56"/>
      <c r="G705" s="56"/>
      <c r="H705" s="56"/>
      <c r="I705" s="56"/>
      <c r="J705" s="56"/>
      <c r="K705" s="56"/>
      <c r="L705" s="56"/>
      <c r="M705" s="56"/>
    </row>
    <row r="706" spans="2:13" ht="15">
      <c r="B706" s="7"/>
      <c r="C706" s="56"/>
      <c r="D706" s="56"/>
      <c r="E706" s="56"/>
      <c r="F706" s="56"/>
      <c r="G706" s="56"/>
      <c r="H706" s="56"/>
      <c r="I706" s="56"/>
      <c r="J706" s="56"/>
      <c r="K706" s="56"/>
      <c r="L706" s="56"/>
      <c r="M706" s="56"/>
    </row>
    <row r="707" spans="2:13" ht="15">
      <c r="B707" s="7"/>
      <c r="C707" s="56"/>
      <c r="D707" s="56"/>
      <c r="E707" s="56"/>
      <c r="F707" s="56"/>
      <c r="G707" s="56"/>
      <c r="H707" s="56"/>
      <c r="I707" s="56"/>
      <c r="J707" s="56"/>
      <c r="K707" s="56"/>
      <c r="L707" s="56"/>
      <c r="M707" s="56"/>
    </row>
    <row r="708" spans="2:13" ht="15">
      <c r="B708" s="7"/>
      <c r="C708" s="56"/>
      <c r="D708" s="56"/>
      <c r="E708" s="56"/>
      <c r="F708" s="56"/>
      <c r="G708" s="56"/>
      <c r="H708" s="56"/>
      <c r="I708" s="56"/>
      <c r="J708" s="56"/>
      <c r="K708" s="56"/>
      <c r="L708" s="56"/>
      <c r="M708" s="56"/>
    </row>
    <row r="709" spans="2:13" ht="15">
      <c r="B709" s="7"/>
      <c r="C709" s="56"/>
      <c r="D709" s="56"/>
      <c r="E709" s="56"/>
      <c r="F709" s="56"/>
      <c r="G709" s="56"/>
      <c r="H709" s="56"/>
      <c r="I709" s="56"/>
      <c r="J709" s="56"/>
      <c r="K709" s="56"/>
      <c r="L709" s="56"/>
      <c r="M709" s="56"/>
    </row>
    <row r="710" spans="2:13" ht="15">
      <c r="B710" s="7"/>
      <c r="C710" s="56"/>
      <c r="D710" s="56"/>
      <c r="E710" s="56"/>
      <c r="F710" s="56"/>
      <c r="G710" s="56"/>
      <c r="H710" s="56"/>
      <c r="I710" s="56"/>
      <c r="J710" s="56"/>
      <c r="K710" s="56"/>
      <c r="L710" s="56"/>
      <c r="M710" s="56"/>
    </row>
    <row r="711" spans="2:13" ht="15">
      <c r="B711" s="7"/>
      <c r="C711" s="56"/>
      <c r="D711" s="56"/>
      <c r="E711" s="56"/>
      <c r="F711" s="56"/>
      <c r="G711" s="56"/>
      <c r="H711" s="56"/>
      <c r="I711" s="56"/>
      <c r="J711" s="56"/>
      <c r="K711" s="56"/>
      <c r="L711" s="56"/>
      <c r="M711" s="56"/>
    </row>
    <row r="712" spans="2:13" ht="15">
      <c r="B712" s="7"/>
      <c r="C712" s="56"/>
      <c r="D712" s="56"/>
      <c r="E712" s="56"/>
      <c r="F712" s="56"/>
      <c r="G712" s="56"/>
      <c r="H712" s="56"/>
      <c r="I712" s="56"/>
      <c r="J712" s="56"/>
      <c r="K712" s="56"/>
      <c r="L712" s="56"/>
      <c r="M712" s="56"/>
    </row>
    <row r="713" spans="2:13" ht="15">
      <c r="B713" s="7"/>
      <c r="C713" s="56"/>
      <c r="D713" s="56"/>
      <c r="E713" s="56"/>
      <c r="F713" s="56"/>
      <c r="G713" s="56"/>
      <c r="H713" s="56"/>
      <c r="I713" s="56"/>
      <c r="J713" s="56"/>
      <c r="K713" s="56"/>
      <c r="L713" s="56"/>
      <c r="M713" s="56"/>
    </row>
    <row r="714" spans="2:13" ht="15">
      <c r="B714" s="7"/>
      <c r="C714" s="56"/>
      <c r="D714" s="56"/>
      <c r="E714" s="56"/>
      <c r="F714" s="56"/>
      <c r="G714" s="56"/>
      <c r="H714" s="56"/>
      <c r="I714" s="56"/>
      <c r="J714" s="56"/>
      <c r="K714" s="56"/>
      <c r="L714" s="56"/>
      <c r="M714" s="56"/>
    </row>
    <row r="715" spans="2:13" ht="15">
      <c r="B715" s="7"/>
      <c r="C715" s="56"/>
      <c r="D715" s="56"/>
      <c r="E715" s="56"/>
      <c r="F715" s="56"/>
      <c r="G715" s="56"/>
      <c r="H715" s="56"/>
      <c r="I715" s="56"/>
      <c r="J715" s="56"/>
      <c r="K715" s="56"/>
      <c r="L715" s="56"/>
      <c r="M715" s="56"/>
    </row>
    <row r="716" spans="2:13" ht="15">
      <c r="B716" s="7"/>
      <c r="C716" s="56"/>
      <c r="D716" s="56"/>
      <c r="E716" s="56"/>
      <c r="F716" s="56"/>
      <c r="G716" s="56"/>
      <c r="H716" s="56"/>
      <c r="I716" s="56"/>
      <c r="J716" s="56"/>
      <c r="K716" s="56"/>
      <c r="L716" s="56"/>
      <c r="M716" s="56"/>
    </row>
    <row r="717" spans="2:13" ht="15">
      <c r="B717" s="7"/>
      <c r="C717" s="56"/>
      <c r="D717" s="56"/>
      <c r="E717" s="56"/>
      <c r="F717" s="56"/>
      <c r="G717" s="56"/>
      <c r="H717" s="56"/>
      <c r="I717" s="56"/>
      <c r="J717" s="56"/>
      <c r="K717" s="56"/>
      <c r="L717" s="56"/>
      <c r="M717" s="56"/>
    </row>
    <row r="718" spans="2:13" ht="15">
      <c r="B718" s="7"/>
      <c r="C718" s="56"/>
      <c r="D718" s="56"/>
      <c r="E718" s="56"/>
      <c r="F718" s="56"/>
      <c r="G718" s="56"/>
      <c r="H718" s="56"/>
      <c r="I718" s="56"/>
      <c r="J718" s="56"/>
      <c r="K718" s="56"/>
      <c r="L718" s="56"/>
      <c r="M718" s="56"/>
    </row>
    <row r="719" spans="2:13" ht="15">
      <c r="B719" s="7"/>
      <c r="C719" s="56"/>
      <c r="D719" s="56"/>
      <c r="E719" s="56"/>
      <c r="F719" s="56"/>
      <c r="G719" s="56"/>
      <c r="H719" s="56"/>
      <c r="I719" s="56"/>
      <c r="J719" s="56"/>
      <c r="K719" s="56"/>
      <c r="L719" s="56"/>
      <c r="M719" s="56"/>
    </row>
    <row r="720" spans="2:13" ht="15">
      <c r="B720" s="7"/>
      <c r="C720" s="56"/>
      <c r="D720" s="56"/>
      <c r="E720" s="56"/>
      <c r="F720" s="56"/>
      <c r="G720" s="56"/>
      <c r="H720" s="56"/>
      <c r="I720" s="56"/>
      <c r="J720" s="56"/>
      <c r="K720" s="56"/>
      <c r="L720" s="56"/>
      <c r="M720" s="56"/>
    </row>
    <row r="721" spans="2:13" ht="15">
      <c r="B721" s="7"/>
      <c r="C721" s="56"/>
      <c r="D721" s="56"/>
      <c r="E721" s="56"/>
      <c r="F721" s="56"/>
      <c r="G721" s="56"/>
      <c r="H721" s="56"/>
      <c r="I721" s="56"/>
      <c r="J721" s="56"/>
      <c r="K721" s="56"/>
      <c r="L721" s="56"/>
      <c r="M721" s="56"/>
    </row>
    <row r="722" spans="2:13" ht="15">
      <c r="B722" s="7"/>
      <c r="C722" s="56"/>
      <c r="D722" s="56"/>
      <c r="E722" s="56"/>
      <c r="F722" s="56"/>
      <c r="G722" s="56"/>
      <c r="H722" s="56"/>
      <c r="I722" s="56"/>
      <c r="J722" s="56"/>
      <c r="K722" s="56"/>
      <c r="L722" s="56"/>
      <c r="M722" s="56"/>
    </row>
    <row r="723" spans="2:13" ht="15">
      <c r="B723" s="7"/>
      <c r="C723" s="56"/>
      <c r="D723" s="56"/>
      <c r="E723" s="56"/>
      <c r="F723" s="56"/>
      <c r="G723" s="56"/>
      <c r="H723" s="56"/>
      <c r="I723" s="56"/>
      <c r="J723" s="56"/>
      <c r="K723" s="56"/>
      <c r="L723" s="56"/>
      <c r="M723" s="56"/>
    </row>
    <row r="724" spans="2:13" ht="15">
      <c r="B724" s="7"/>
      <c r="C724" s="56"/>
      <c r="D724" s="56"/>
      <c r="E724" s="56"/>
      <c r="F724" s="56"/>
      <c r="G724" s="56"/>
      <c r="H724" s="56"/>
      <c r="I724" s="56"/>
      <c r="J724" s="56"/>
      <c r="K724" s="56"/>
      <c r="L724" s="56"/>
      <c r="M724" s="56"/>
    </row>
    <row r="725" spans="2:13" ht="15">
      <c r="B725" s="7"/>
      <c r="C725" s="56"/>
      <c r="D725" s="56"/>
      <c r="E725" s="56"/>
      <c r="F725" s="56"/>
      <c r="G725" s="56"/>
      <c r="H725" s="56"/>
      <c r="I725" s="56"/>
      <c r="J725" s="56"/>
      <c r="K725" s="56"/>
      <c r="L725" s="56"/>
      <c r="M725" s="56"/>
    </row>
    <row r="726" spans="2:13" ht="15">
      <c r="B726" s="7"/>
      <c r="C726" s="56"/>
      <c r="D726" s="56"/>
      <c r="E726" s="56"/>
      <c r="F726" s="56"/>
      <c r="G726" s="56"/>
      <c r="H726" s="56"/>
      <c r="I726" s="56"/>
      <c r="J726" s="56"/>
      <c r="K726" s="56"/>
      <c r="L726" s="56"/>
      <c r="M726" s="56"/>
    </row>
    <row r="727" spans="2:13" ht="15">
      <c r="B727" s="7"/>
      <c r="C727" s="56"/>
      <c r="D727" s="56"/>
      <c r="E727" s="56"/>
      <c r="F727" s="56"/>
      <c r="G727" s="56"/>
      <c r="H727" s="56"/>
      <c r="I727" s="56"/>
      <c r="J727" s="56"/>
      <c r="K727" s="56"/>
      <c r="L727" s="56"/>
      <c r="M727" s="56"/>
    </row>
    <row r="728" spans="2:13" ht="15">
      <c r="B728" s="7"/>
      <c r="C728" s="56"/>
      <c r="D728" s="56"/>
      <c r="E728" s="56"/>
      <c r="F728" s="56"/>
      <c r="G728" s="56"/>
      <c r="H728" s="56"/>
      <c r="I728" s="56"/>
      <c r="J728" s="56"/>
      <c r="K728" s="56"/>
      <c r="L728" s="56"/>
      <c r="M728" s="56"/>
    </row>
    <row r="729" spans="2:13" ht="15">
      <c r="B729" s="7"/>
      <c r="C729" s="56"/>
      <c r="D729" s="56"/>
      <c r="E729" s="56"/>
      <c r="F729" s="56"/>
      <c r="G729" s="56"/>
      <c r="H729" s="56"/>
      <c r="I729" s="56"/>
      <c r="J729" s="56"/>
      <c r="K729" s="56"/>
      <c r="L729" s="56"/>
      <c r="M729" s="56"/>
    </row>
    <row r="730" spans="2:13" ht="15">
      <c r="B730" s="7"/>
      <c r="C730" s="56"/>
      <c r="D730" s="56"/>
      <c r="E730" s="56"/>
      <c r="F730" s="56"/>
      <c r="G730" s="56"/>
      <c r="H730" s="56"/>
      <c r="I730" s="56"/>
      <c r="J730" s="56"/>
      <c r="K730" s="56"/>
      <c r="L730" s="56"/>
      <c r="M730" s="56"/>
    </row>
    <row r="731" spans="2:13" ht="15">
      <c r="B731" s="7"/>
      <c r="C731" s="56"/>
      <c r="D731" s="56"/>
      <c r="E731" s="56"/>
      <c r="F731" s="56"/>
      <c r="G731" s="56"/>
      <c r="H731" s="56"/>
      <c r="I731" s="56"/>
      <c r="J731" s="56"/>
      <c r="K731" s="56"/>
      <c r="L731" s="56"/>
      <c r="M731" s="56"/>
    </row>
    <row r="732" spans="2:13" ht="15">
      <c r="B732" s="7"/>
      <c r="C732" s="56"/>
      <c r="D732" s="56"/>
      <c r="E732" s="56"/>
      <c r="F732" s="56"/>
      <c r="G732" s="56"/>
      <c r="H732" s="56"/>
      <c r="I732" s="56"/>
      <c r="J732" s="56"/>
      <c r="K732" s="56"/>
      <c r="L732" s="56"/>
      <c r="M732" s="56"/>
    </row>
    <row r="733" spans="2:13" ht="15">
      <c r="B733" s="7"/>
      <c r="C733" s="56"/>
      <c r="D733" s="56"/>
      <c r="E733" s="56"/>
      <c r="F733" s="56"/>
      <c r="G733" s="56"/>
      <c r="H733" s="56"/>
      <c r="I733" s="56"/>
      <c r="J733" s="56"/>
      <c r="K733" s="56"/>
      <c r="L733" s="56"/>
      <c r="M733" s="56"/>
    </row>
    <row r="734" spans="2:13" ht="15">
      <c r="B734" s="7"/>
      <c r="C734" s="56"/>
      <c r="D734" s="56"/>
      <c r="E734" s="56"/>
      <c r="F734" s="56"/>
      <c r="G734" s="56"/>
      <c r="H734" s="56"/>
      <c r="I734" s="56"/>
      <c r="J734" s="56"/>
      <c r="K734" s="56"/>
      <c r="L734" s="56"/>
      <c r="M734" s="56"/>
    </row>
    <row r="735" spans="2:13" ht="15">
      <c r="B735" s="7"/>
      <c r="C735" s="56"/>
      <c r="D735" s="56"/>
      <c r="E735" s="56"/>
      <c r="F735" s="56"/>
      <c r="G735" s="56"/>
      <c r="H735" s="56"/>
      <c r="I735" s="56"/>
      <c r="J735" s="56"/>
      <c r="K735" s="56"/>
      <c r="L735" s="56"/>
      <c r="M735" s="56"/>
    </row>
    <row r="736" spans="2:13" ht="15">
      <c r="B736" s="7"/>
      <c r="C736" s="56"/>
      <c r="D736" s="56"/>
      <c r="E736" s="56"/>
      <c r="F736" s="56"/>
      <c r="G736" s="56"/>
      <c r="H736" s="56"/>
      <c r="I736" s="56"/>
      <c r="J736" s="56"/>
      <c r="K736" s="56"/>
      <c r="L736" s="56"/>
      <c r="M736" s="56"/>
    </row>
    <row r="737" spans="2:13" ht="15">
      <c r="B737" s="7"/>
      <c r="C737" s="56"/>
      <c r="D737" s="56"/>
      <c r="E737" s="56"/>
      <c r="F737" s="56"/>
      <c r="G737" s="56"/>
      <c r="H737" s="56"/>
      <c r="I737" s="56"/>
      <c r="J737" s="56"/>
      <c r="K737" s="56"/>
      <c r="L737" s="56"/>
      <c r="M737" s="56"/>
    </row>
    <row r="738" spans="2:13" ht="15">
      <c r="B738" s="7"/>
      <c r="C738" s="56"/>
      <c r="D738" s="56"/>
      <c r="E738" s="56"/>
      <c r="F738" s="56"/>
      <c r="G738" s="56"/>
      <c r="H738" s="56"/>
      <c r="I738" s="56"/>
      <c r="J738" s="56"/>
      <c r="K738" s="56"/>
      <c r="L738" s="56"/>
      <c r="M738" s="56"/>
    </row>
    <row r="739" spans="2:13" ht="15">
      <c r="B739" s="7"/>
      <c r="C739" s="56"/>
      <c r="D739" s="56"/>
      <c r="E739" s="56"/>
      <c r="F739" s="56"/>
      <c r="G739" s="56"/>
      <c r="H739" s="56"/>
      <c r="I739" s="56"/>
      <c r="J739" s="56"/>
      <c r="K739" s="56"/>
      <c r="L739" s="56"/>
      <c r="M739" s="56"/>
    </row>
    <row r="740" spans="2:13" ht="15">
      <c r="B740" s="7"/>
      <c r="C740" s="56"/>
      <c r="D740" s="56"/>
      <c r="E740" s="56"/>
      <c r="F740" s="56"/>
      <c r="G740" s="56"/>
      <c r="H740" s="56"/>
      <c r="I740" s="56"/>
      <c r="J740" s="56"/>
      <c r="K740" s="56"/>
      <c r="L740" s="56"/>
      <c r="M740" s="56"/>
    </row>
    <row r="741" spans="2:13" ht="15">
      <c r="B741" s="7"/>
      <c r="C741" s="56"/>
      <c r="D741" s="56"/>
      <c r="E741" s="56"/>
      <c r="F741" s="56"/>
      <c r="G741" s="56"/>
      <c r="H741" s="56"/>
      <c r="I741" s="56"/>
      <c r="J741" s="56"/>
      <c r="K741" s="56"/>
      <c r="L741" s="56"/>
      <c r="M741" s="56"/>
    </row>
    <row r="742" spans="2:13" ht="15">
      <c r="B742" s="7"/>
      <c r="C742" s="56"/>
      <c r="D742" s="56"/>
      <c r="E742" s="56"/>
      <c r="F742" s="56"/>
      <c r="G742" s="56"/>
      <c r="H742" s="56"/>
      <c r="I742" s="56"/>
      <c r="J742" s="56"/>
      <c r="K742" s="56"/>
      <c r="L742" s="56"/>
      <c r="M742" s="56"/>
    </row>
    <row r="743" spans="2:13" ht="15">
      <c r="B743" s="7"/>
      <c r="C743" s="56"/>
      <c r="D743" s="56"/>
      <c r="E743" s="56"/>
      <c r="F743" s="56"/>
      <c r="G743" s="56"/>
      <c r="H743" s="56"/>
      <c r="I743" s="56"/>
      <c r="J743" s="56"/>
      <c r="K743" s="56"/>
      <c r="L743" s="56"/>
      <c r="M743" s="56"/>
    </row>
    <row r="744" spans="2:13" ht="15">
      <c r="B744" s="7"/>
      <c r="C744" s="56"/>
      <c r="D744" s="56"/>
      <c r="E744" s="56"/>
      <c r="F744" s="56"/>
      <c r="G744" s="56"/>
      <c r="H744" s="56"/>
      <c r="I744" s="56"/>
      <c r="J744" s="56"/>
      <c r="K744" s="56"/>
      <c r="L744" s="56"/>
      <c r="M744" s="56"/>
    </row>
    <row r="745" spans="2:13" ht="15">
      <c r="B745" s="7"/>
      <c r="C745" s="56"/>
      <c r="D745" s="56"/>
      <c r="E745" s="56"/>
      <c r="F745" s="56"/>
      <c r="G745" s="56"/>
      <c r="H745" s="56"/>
      <c r="I745" s="56"/>
      <c r="J745" s="56"/>
      <c r="K745" s="56"/>
      <c r="L745" s="56"/>
      <c r="M745" s="56"/>
    </row>
    <row r="746" spans="2:13" ht="15">
      <c r="B746" s="7"/>
      <c r="C746" s="56"/>
      <c r="D746" s="56"/>
      <c r="E746" s="56"/>
      <c r="F746" s="56"/>
      <c r="G746" s="56"/>
      <c r="H746" s="56"/>
      <c r="I746" s="56"/>
      <c r="J746" s="56"/>
      <c r="K746" s="56"/>
      <c r="L746" s="56"/>
      <c r="M746" s="56"/>
    </row>
    <row r="747" spans="2:13" ht="15">
      <c r="B747" s="7"/>
      <c r="C747" s="56"/>
      <c r="D747" s="56"/>
      <c r="E747" s="56"/>
      <c r="F747" s="56"/>
      <c r="G747" s="56"/>
      <c r="H747" s="56"/>
      <c r="I747" s="56"/>
      <c r="J747" s="56"/>
      <c r="K747" s="56"/>
      <c r="L747" s="56"/>
      <c r="M747" s="56"/>
    </row>
    <row r="748" spans="2:13" ht="15">
      <c r="B748" s="7"/>
      <c r="C748" s="56"/>
      <c r="D748" s="56"/>
      <c r="E748" s="56"/>
      <c r="F748" s="56"/>
      <c r="G748" s="56"/>
      <c r="H748" s="56"/>
      <c r="I748" s="56"/>
      <c r="J748" s="56"/>
      <c r="K748" s="56"/>
      <c r="L748" s="56"/>
      <c r="M748" s="56"/>
    </row>
    <row r="749" spans="2:13" ht="15">
      <c r="B749" s="7"/>
      <c r="C749" s="56"/>
      <c r="D749" s="56"/>
      <c r="E749" s="56"/>
      <c r="F749" s="56"/>
      <c r="G749" s="56"/>
      <c r="H749" s="56"/>
      <c r="I749" s="56"/>
      <c r="J749" s="56"/>
      <c r="K749" s="56"/>
      <c r="L749" s="56"/>
      <c r="M749" s="56"/>
    </row>
    <row r="750" spans="2:13" ht="15">
      <c r="B750" s="7"/>
      <c r="C750" s="56"/>
      <c r="D750" s="56"/>
      <c r="E750" s="56"/>
      <c r="F750" s="56"/>
      <c r="G750" s="56"/>
      <c r="H750" s="56"/>
      <c r="I750" s="56"/>
      <c r="J750" s="56"/>
      <c r="K750" s="56"/>
      <c r="L750" s="56"/>
      <c r="M750" s="56"/>
    </row>
    <row r="751" spans="2:13" ht="15">
      <c r="B751" s="7"/>
      <c r="C751" s="56"/>
      <c r="D751" s="56"/>
      <c r="E751" s="56"/>
      <c r="F751" s="56"/>
      <c r="G751" s="56"/>
      <c r="H751" s="56"/>
      <c r="I751" s="56"/>
      <c r="J751" s="56"/>
      <c r="K751" s="56"/>
      <c r="L751" s="56"/>
      <c r="M751" s="56"/>
    </row>
    <row r="752" spans="2:13" ht="15">
      <c r="B752" s="7"/>
      <c r="C752" s="56"/>
      <c r="D752" s="56"/>
      <c r="E752" s="56"/>
      <c r="F752" s="56"/>
      <c r="G752" s="56"/>
      <c r="H752" s="56"/>
      <c r="I752" s="56"/>
      <c r="J752" s="56"/>
      <c r="K752" s="56"/>
      <c r="L752" s="56"/>
      <c r="M752" s="56"/>
    </row>
    <row r="753" spans="2:13" ht="15">
      <c r="B753" s="7"/>
      <c r="C753" s="56"/>
      <c r="D753" s="56"/>
      <c r="E753" s="56"/>
      <c r="F753" s="56"/>
      <c r="G753" s="56"/>
      <c r="H753" s="56"/>
      <c r="I753" s="56"/>
      <c r="J753" s="56"/>
      <c r="K753" s="56"/>
      <c r="L753" s="56"/>
      <c r="M753" s="56"/>
    </row>
    <row r="754" spans="2:13" ht="15">
      <c r="B754" s="7"/>
      <c r="C754" s="56"/>
      <c r="D754" s="56"/>
      <c r="E754" s="56"/>
      <c r="F754" s="56"/>
      <c r="G754" s="56"/>
      <c r="H754" s="56"/>
      <c r="I754" s="56"/>
      <c r="J754" s="56"/>
      <c r="K754" s="56"/>
      <c r="L754" s="56"/>
      <c r="M754" s="56"/>
    </row>
    <row r="755" spans="2:13" ht="15">
      <c r="B755" s="7"/>
      <c r="C755" s="56"/>
      <c r="D755" s="56"/>
      <c r="E755" s="56"/>
      <c r="F755" s="56"/>
      <c r="G755" s="56"/>
      <c r="H755" s="56"/>
      <c r="I755" s="56"/>
      <c r="J755" s="56"/>
      <c r="K755" s="56"/>
      <c r="L755" s="56"/>
      <c r="M755" s="56"/>
    </row>
    <row r="756" spans="2:13" ht="15">
      <c r="B756" s="7"/>
      <c r="C756" s="56"/>
      <c r="D756" s="56"/>
      <c r="E756" s="56"/>
      <c r="F756" s="56"/>
      <c r="G756" s="56"/>
      <c r="H756" s="56"/>
      <c r="I756" s="56"/>
      <c r="J756" s="56"/>
      <c r="K756" s="56"/>
      <c r="L756" s="56"/>
      <c r="M756" s="56"/>
    </row>
    <row r="757" spans="2:13" ht="15">
      <c r="B757" s="7"/>
      <c r="C757" s="56"/>
      <c r="D757" s="56"/>
      <c r="E757" s="56"/>
      <c r="F757" s="56"/>
      <c r="G757" s="56"/>
      <c r="H757" s="56"/>
      <c r="I757" s="56"/>
      <c r="J757" s="56"/>
      <c r="K757" s="56"/>
      <c r="L757" s="56"/>
      <c r="M757" s="56"/>
    </row>
    <row r="758" spans="2:13" ht="15">
      <c r="B758" s="7"/>
      <c r="C758" s="56"/>
      <c r="D758" s="56"/>
      <c r="E758" s="56"/>
      <c r="F758" s="56"/>
      <c r="G758" s="56"/>
      <c r="H758" s="56"/>
      <c r="I758" s="56"/>
      <c r="J758" s="56"/>
      <c r="K758" s="56"/>
      <c r="L758" s="56"/>
      <c r="M758" s="56"/>
    </row>
    <row r="759" spans="2:13" ht="15">
      <c r="B759" s="7"/>
      <c r="C759" s="56"/>
      <c r="D759" s="56"/>
      <c r="E759" s="56"/>
      <c r="F759" s="56"/>
      <c r="G759" s="56"/>
      <c r="H759" s="56"/>
      <c r="I759" s="56"/>
      <c r="J759" s="56"/>
      <c r="K759" s="56"/>
      <c r="L759" s="56"/>
      <c r="M759" s="56"/>
    </row>
    <row r="760" spans="2:13" ht="15">
      <c r="B760" s="7"/>
      <c r="C760" s="56"/>
      <c r="D760" s="56"/>
      <c r="E760" s="56"/>
      <c r="F760" s="56"/>
      <c r="G760" s="56"/>
      <c r="H760" s="56"/>
      <c r="I760" s="56"/>
      <c r="J760" s="56"/>
      <c r="K760" s="56"/>
      <c r="L760" s="56"/>
      <c r="M760" s="56"/>
    </row>
    <row r="761" spans="2:13" ht="15">
      <c r="B761" s="7"/>
      <c r="C761" s="56"/>
      <c r="D761" s="56"/>
      <c r="E761" s="56"/>
      <c r="F761" s="56"/>
      <c r="G761" s="56"/>
      <c r="H761" s="56"/>
      <c r="I761" s="56"/>
      <c r="J761" s="56"/>
      <c r="K761" s="56"/>
      <c r="L761" s="56"/>
      <c r="M761" s="56"/>
    </row>
    <row r="762" spans="2:13" ht="15">
      <c r="B762" s="7"/>
      <c r="C762" s="56"/>
      <c r="D762" s="56"/>
      <c r="E762" s="56"/>
      <c r="F762" s="56"/>
      <c r="G762" s="56"/>
      <c r="H762" s="56"/>
      <c r="I762" s="56"/>
      <c r="J762" s="56"/>
      <c r="K762" s="56"/>
      <c r="L762" s="56"/>
      <c r="M762" s="56"/>
    </row>
    <row r="763" spans="2:13" ht="15">
      <c r="B763" s="7"/>
      <c r="C763" s="56"/>
      <c r="D763" s="56"/>
      <c r="E763" s="56"/>
      <c r="F763" s="56"/>
      <c r="G763" s="56"/>
      <c r="H763" s="56"/>
      <c r="I763" s="56"/>
      <c r="J763" s="56"/>
      <c r="K763" s="56"/>
      <c r="L763" s="56"/>
      <c r="M763" s="56"/>
    </row>
    <row r="764" spans="2:13" ht="15">
      <c r="B764" s="7"/>
      <c r="C764" s="56"/>
      <c r="D764" s="56"/>
      <c r="E764" s="56"/>
      <c r="F764" s="56"/>
      <c r="G764" s="56"/>
      <c r="H764" s="56"/>
      <c r="I764" s="56"/>
      <c r="J764" s="56"/>
      <c r="K764" s="56"/>
      <c r="L764" s="56"/>
      <c r="M764" s="56"/>
    </row>
    <row r="765" spans="2:13" ht="15">
      <c r="B765" s="7"/>
      <c r="C765" s="56"/>
      <c r="D765" s="56"/>
      <c r="E765" s="56"/>
      <c r="F765" s="56"/>
      <c r="G765" s="56"/>
      <c r="H765" s="56"/>
      <c r="I765" s="56"/>
      <c r="J765" s="56"/>
      <c r="K765" s="56"/>
      <c r="L765" s="56"/>
      <c r="M765" s="56"/>
    </row>
    <row r="766" spans="2:13" ht="15">
      <c r="B766" s="7"/>
      <c r="C766" s="56"/>
      <c r="D766" s="56"/>
      <c r="E766" s="56"/>
      <c r="F766" s="56"/>
      <c r="G766" s="56"/>
      <c r="H766" s="56"/>
      <c r="I766" s="56"/>
      <c r="J766" s="56"/>
      <c r="K766" s="56"/>
      <c r="L766" s="56"/>
      <c r="M766" s="56"/>
    </row>
    <row r="767" spans="2:13" ht="15">
      <c r="B767" s="7"/>
      <c r="C767" s="56"/>
      <c r="D767" s="56"/>
      <c r="E767" s="56"/>
      <c r="F767" s="56"/>
      <c r="G767" s="56"/>
      <c r="H767" s="56"/>
      <c r="I767" s="56"/>
      <c r="J767" s="56"/>
      <c r="K767" s="56"/>
      <c r="L767" s="56"/>
      <c r="M767" s="56"/>
    </row>
    <row r="768" spans="2:13" ht="15">
      <c r="B768" s="7"/>
      <c r="C768" s="56"/>
      <c r="D768" s="56"/>
      <c r="E768" s="56"/>
      <c r="F768" s="56"/>
      <c r="G768" s="56"/>
      <c r="H768" s="56"/>
      <c r="I768" s="56"/>
      <c r="J768" s="56"/>
      <c r="K768" s="56"/>
      <c r="L768" s="56"/>
      <c r="M768" s="56"/>
    </row>
    <row r="769" spans="2:13" ht="15">
      <c r="B769" s="7"/>
      <c r="C769" s="56"/>
      <c r="D769" s="56"/>
      <c r="E769" s="56"/>
      <c r="F769" s="56"/>
      <c r="G769" s="56"/>
      <c r="H769" s="56"/>
      <c r="I769" s="56"/>
      <c r="J769" s="56"/>
      <c r="K769" s="56"/>
      <c r="L769" s="56"/>
      <c r="M769" s="56"/>
    </row>
    <row r="770" spans="2:13" ht="15">
      <c r="B770" s="7"/>
      <c r="C770" s="56"/>
      <c r="D770" s="56"/>
      <c r="E770" s="56"/>
      <c r="F770" s="56"/>
      <c r="G770" s="56"/>
      <c r="H770" s="56"/>
      <c r="I770" s="56"/>
      <c r="J770" s="56"/>
      <c r="K770" s="56"/>
      <c r="L770" s="56"/>
      <c r="M770" s="56"/>
    </row>
    <row r="771" spans="2:13" ht="15">
      <c r="B771" s="7"/>
      <c r="C771" s="56"/>
      <c r="D771" s="56"/>
      <c r="E771" s="56"/>
      <c r="F771" s="56"/>
      <c r="G771" s="56"/>
      <c r="H771" s="56"/>
      <c r="I771" s="56"/>
      <c r="J771" s="56"/>
      <c r="K771" s="56"/>
      <c r="L771" s="56"/>
      <c r="M771" s="56"/>
    </row>
    <row r="772" spans="2:13" ht="15">
      <c r="B772" s="7"/>
      <c r="C772" s="56"/>
      <c r="D772" s="56"/>
      <c r="E772" s="56"/>
      <c r="F772" s="56"/>
      <c r="G772" s="56"/>
      <c r="H772" s="56"/>
      <c r="I772" s="56"/>
      <c r="J772" s="56"/>
      <c r="K772" s="56"/>
      <c r="L772" s="56"/>
      <c r="M772" s="56"/>
    </row>
    <row r="773" spans="2:13" ht="15">
      <c r="B773" s="7"/>
      <c r="C773" s="56"/>
      <c r="D773" s="56"/>
      <c r="E773" s="56"/>
      <c r="F773" s="56"/>
      <c r="G773" s="56"/>
      <c r="H773" s="56"/>
      <c r="I773" s="56"/>
      <c r="J773" s="56"/>
      <c r="K773" s="56"/>
      <c r="L773" s="56"/>
      <c r="M773" s="56"/>
    </row>
    <row r="774" spans="2:13" ht="15">
      <c r="B774" s="7"/>
      <c r="C774" s="56"/>
      <c r="D774" s="56"/>
      <c r="E774" s="56"/>
      <c r="F774" s="56"/>
      <c r="G774" s="56"/>
      <c r="H774" s="56"/>
      <c r="I774" s="56"/>
      <c r="J774" s="56"/>
      <c r="K774" s="56"/>
      <c r="L774" s="56"/>
      <c r="M774" s="56"/>
    </row>
    <row r="775" spans="2:13" ht="15">
      <c r="B775" s="7"/>
      <c r="C775" s="56"/>
      <c r="D775" s="56"/>
      <c r="E775" s="56"/>
      <c r="F775" s="56"/>
      <c r="G775" s="56"/>
      <c r="H775" s="56"/>
      <c r="I775" s="56"/>
      <c r="J775" s="56"/>
      <c r="K775" s="56"/>
      <c r="L775" s="56"/>
      <c r="M775" s="56"/>
    </row>
    <row r="776" spans="2:13" ht="15">
      <c r="B776" s="7"/>
      <c r="C776" s="56"/>
      <c r="D776" s="56"/>
      <c r="E776" s="56"/>
      <c r="F776" s="56"/>
      <c r="G776" s="56"/>
      <c r="H776" s="56"/>
      <c r="I776" s="56"/>
      <c r="J776" s="56"/>
      <c r="K776" s="56"/>
      <c r="L776" s="56"/>
      <c r="M776" s="56"/>
    </row>
    <row r="777" spans="2:13" ht="15">
      <c r="B777" s="7"/>
      <c r="C777" s="56"/>
      <c r="D777" s="56"/>
      <c r="E777" s="56"/>
      <c r="F777" s="56"/>
      <c r="G777" s="56"/>
      <c r="H777" s="56"/>
      <c r="I777" s="56"/>
      <c r="J777" s="56"/>
      <c r="K777" s="56"/>
      <c r="L777" s="56"/>
      <c r="M777" s="56"/>
    </row>
    <row r="778" spans="2:13" ht="15">
      <c r="B778" s="7"/>
      <c r="C778" s="56"/>
      <c r="D778" s="56"/>
      <c r="E778" s="56"/>
      <c r="F778" s="56"/>
      <c r="G778" s="56"/>
      <c r="H778" s="56"/>
      <c r="I778" s="56"/>
      <c r="J778" s="56"/>
      <c r="K778" s="56"/>
      <c r="L778" s="56"/>
      <c r="M778" s="56"/>
    </row>
    <row r="779" spans="2:13" ht="15">
      <c r="B779" s="7"/>
      <c r="C779" s="56"/>
      <c r="D779" s="56"/>
      <c r="E779" s="56"/>
      <c r="F779" s="56"/>
      <c r="G779" s="56"/>
      <c r="H779" s="56"/>
      <c r="I779" s="56"/>
      <c r="J779" s="56"/>
      <c r="K779" s="56"/>
      <c r="L779" s="56"/>
      <c r="M779" s="56"/>
    </row>
    <row r="780" spans="2:13" ht="15">
      <c r="B780" s="7"/>
      <c r="C780" s="56"/>
      <c r="D780" s="56"/>
      <c r="E780" s="56"/>
      <c r="F780" s="56"/>
      <c r="G780" s="56"/>
      <c r="H780" s="56"/>
      <c r="I780" s="56"/>
      <c r="J780" s="56"/>
      <c r="K780" s="56"/>
      <c r="L780" s="56"/>
      <c r="M780" s="56"/>
    </row>
    <row r="781" spans="2:13" ht="15">
      <c r="B781" s="7"/>
      <c r="C781" s="56"/>
      <c r="D781" s="56"/>
      <c r="E781" s="56"/>
      <c r="F781" s="56"/>
      <c r="G781" s="56"/>
      <c r="H781" s="56"/>
      <c r="I781" s="56"/>
      <c r="J781" s="56"/>
      <c r="K781" s="56"/>
      <c r="L781" s="56"/>
      <c r="M781" s="56"/>
    </row>
    <row r="782" spans="2:13" ht="15">
      <c r="B782" s="7"/>
      <c r="C782" s="56"/>
      <c r="D782" s="56"/>
      <c r="E782" s="56"/>
      <c r="F782" s="56"/>
      <c r="G782" s="56"/>
      <c r="H782" s="56"/>
      <c r="I782" s="56"/>
      <c r="J782" s="56"/>
      <c r="K782" s="56"/>
      <c r="L782" s="56"/>
      <c r="M782" s="56"/>
    </row>
    <row r="783" spans="2:13" ht="15">
      <c r="B783" s="7"/>
      <c r="C783" s="56"/>
      <c r="D783" s="56"/>
      <c r="E783" s="56"/>
      <c r="F783" s="56"/>
      <c r="G783" s="56"/>
      <c r="H783" s="56"/>
      <c r="I783" s="56"/>
      <c r="J783" s="56"/>
      <c r="K783" s="56"/>
      <c r="L783" s="56"/>
      <c r="M783" s="56"/>
    </row>
    <row r="784" spans="2:13" ht="15">
      <c r="B784" s="7"/>
      <c r="C784" s="56"/>
      <c r="D784" s="56"/>
      <c r="E784" s="56"/>
      <c r="F784" s="56"/>
      <c r="G784" s="56"/>
      <c r="H784" s="56"/>
      <c r="I784" s="56"/>
      <c r="J784" s="56"/>
      <c r="K784" s="56"/>
      <c r="L784" s="56"/>
      <c r="M784" s="56"/>
    </row>
    <row r="785" spans="2:13" ht="15">
      <c r="B785" s="7"/>
      <c r="C785" s="56"/>
      <c r="D785" s="56"/>
      <c r="E785" s="56"/>
      <c r="F785" s="56"/>
      <c r="G785" s="56"/>
      <c r="H785" s="56"/>
      <c r="I785" s="56"/>
      <c r="J785" s="56"/>
      <c r="K785" s="56"/>
      <c r="L785" s="56"/>
      <c r="M785" s="56"/>
    </row>
    <row r="786" spans="2:13" ht="15">
      <c r="B786" s="7"/>
      <c r="C786" s="56"/>
      <c r="D786" s="56"/>
      <c r="E786" s="56"/>
      <c r="F786" s="56"/>
      <c r="G786" s="56"/>
      <c r="H786" s="56"/>
      <c r="I786" s="56"/>
      <c r="J786" s="56"/>
      <c r="K786" s="56"/>
      <c r="L786" s="56"/>
      <c r="M786" s="56"/>
    </row>
    <row r="787" spans="2:13" ht="15">
      <c r="B787" s="7"/>
      <c r="C787" s="56"/>
      <c r="D787" s="56"/>
      <c r="E787" s="56"/>
      <c r="F787" s="56"/>
      <c r="G787" s="56"/>
      <c r="H787" s="56"/>
      <c r="I787" s="56"/>
      <c r="J787" s="56"/>
      <c r="K787" s="56"/>
      <c r="L787" s="56"/>
      <c r="M787" s="56"/>
    </row>
    <row r="788" spans="2:13" ht="15">
      <c r="B788" s="7"/>
      <c r="C788" s="56"/>
      <c r="D788" s="56"/>
      <c r="E788" s="56"/>
      <c r="F788" s="56"/>
      <c r="G788" s="56"/>
      <c r="H788" s="56"/>
      <c r="I788" s="56"/>
      <c r="J788" s="56"/>
      <c r="K788" s="56"/>
      <c r="L788" s="56"/>
      <c r="M788" s="56"/>
    </row>
    <row r="789" spans="2:13" ht="15">
      <c r="B789" s="7"/>
      <c r="C789" s="56"/>
      <c r="D789" s="56"/>
      <c r="E789" s="56"/>
      <c r="F789" s="56"/>
      <c r="G789" s="56"/>
      <c r="H789" s="56"/>
      <c r="I789" s="56"/>
      <c r="J789" s="56"/>
      <c r="K789" s="56"/>
      <c r="L789" s="56"/>
      <c r="M789" s="56"/>
    </row>
    <row r="790" spans="2:13" ht="15">
      <c r="B790" s="7"/>
      <c r="C790" s="56"/>
      <c r="D790" s="56"/>
      <c r="E790" s="56"/>
      <c r="F790" s="56"/>
      <c r="G790" s="56"/>
      <c r="H790" s="56"/>
      <c r="I790" s="56"/>
      <c r="J790" s="56"/>
      <c r="K790" s="56"/>
      <c r="L790" s="56"/>
      <c r="M790" s="56"/>
    </row>
    <row r="791" spans="2:13" ht="15">
      <c r="B791" s="7"/>
      <c r="C791" s="56"/>
      <c r="D791" s="56"/>
      <c r="E791" s="56"/>
      <c r="F791" s="56"/>
      <c r="G791" s="56"/>
      <c r="H791" s="56"/>
      <c r="I791" s="56"/>
      <c r="J791" s="56"/>
      <c r="K791" s="56"/>
      <c r="L791" s="56"/>
      <c r="M791" s="56"/>
    </row>
    <row r="792" spans="2:13" ht="15">
      <c r="B792" s="7"/>
      <c r="C792" s="56"/>
      <c r="D792" s="56"/>
      <c r="E792" s="56"/>
      <c r="F792" s="56"/>
      <c r="G792" s="56"/>
      <c r="H792" s="56"/>
      <c r="I792" s="56"/>
      <c r="J792" s="56"/>
      <c r="K792" s="56"/>
      <c r="L792" s="56"/>
      <c r="M792" s="56"/>
    </row>
    <row r="793" spans="2:13" ht="15">
      <c r="B793" s="7"/>
      <c r="C793" s="56"/>
      <c r="D793" s="56"/>
      <c r="E793" s="56"/>
      <c r="F793" s="56"/>
      <c r="G793" s="56"/>
      <c r="H793" s="56"/>
      <c r="I793" s="56"/>
      <c r="J793" s="56"/>
      <c r="K793" s="56"/>
      <c r="L793" s="56"/>
      <c r="M793" s="56"/>
    </row>
    <row r="794" spans="2:13" ht="15">
      <c r="B794" s="7"/>
      <c r="C794" s="56"/>
      <c r="D794" s="56"/>
      <c r="E794" s="56"/>
      <c r="F794" s="56"/>
      <c r="G794" s="56"/>
      <c r="H794" s="56"/>
      <c r="I794" s="56"/>
      <c r="J794" s="56"/>
      <c r="K794" s="56"/>
      <c r="L794" s="56"/>
      <c r="M794" s="56"/>
    </row>
    <row r="795" spans="2:13" ht="15">
      <c r="B795" s="7"/>
      <c r="C795" s="56"/>
      <c r="D795" s="56"/>
      <c r="E795" s="56"/>
      <c r="F795" s="56"/>
      <c r="G795" s="56"/>
      <c r="H795" s="56"/>
      <c r="I795" s="56"/>
      <c r="J795" s="56"/>
      <c r="K795" s="56"/>
      <c r="L795" s="56"/>
      <c r="M795" s="56"/>
    </row>
    <row r="796" spans="2:13" ht="15">
      <c r="B796" s="7"/>
      <c r="C796" s="56"/>
      <c r="D796" s="56"/>
      <c r="E796" s="56"/>
      <c r="F796" s="56"/>
      <c r="G796" s="56"/>
      <c r="H796" s="56"/>
      <c r="I796" s="56"/>
      <c r="J796" s="56"/>
      <c r="K796" s="56"/>
      <c r="L796" s="56"/>
      <c r="M796" s="56"/>
    </row>
    <row r="797" spans="2:13" ht="15">
      <c r="B797" s="7"/>
      <c r="C797" s="56"/>
      <c r="D797" s="56"/>
      <c r="E797" s="56"/>
      <c r="F797" s="56"/>
      <c r="G797" s="56"/>
      <c r="H797" s="56"/>
      <c r="I797" s="56"/>
      <c r="J797" s="56"/>
      <c r="K797" s="56"/>
      <c r="L797" s="56"/>
      <c r="M797" s="56"/>
    </row>
    <row r="798" spans="2:13" ht="15">
      <c r="B798" s="7"/>
      <c r="C798" s="56"/>
      <c r="D798" s="56"/>
      <c r="E798" s="56"/>
      <c r="F798" s="56"/>
      <c r="G798" s="56"/>
      <c r="H798" s="56"/>
      <c r="I798" s="56"/>
      <c r="J798" s="56"/>
      <c r="K798" s="56"/>
      <c r="L798" s="56"/>
      <c r="M798" s="56"/>
    </row>
    <row r="799" spans="2:13" ht="15">
      <c r="B799" s="7"/>
      <c r="C799" s="56"/>
      <c r="D799" s="56"/>
      <c r="E799" s="56"/>
      <c r="F799" s="56"/>
      <c r="G799" s="56"/>
      <c r="H799" s="56"/>
      <c r="I799" s="56"/>
      <c r="J799" s="56"/>
      <c r="K799" s="56"/>
      <c r="L799" s="56"/>
      <c r="M799" s="56"/>
    </row>
    <row r="800" spans="2:13" ht="15">
      <c r="B800" s="7"/>
      <c r="C800" s="56"/>
      <c r="D800" s="56"/>
      <c r="E800" s="56"/>
      <c r="F800" s="56"/>
      <c r="G800" s="56"/>
      <c r="H800" s="56"/>
      <c r="I800" s="56"/>
      <c r="J800" s="56"/>
      <c r="K800" s="56"/>
      <c r="L800" s="56"/>
      <c r="M800" s="56"/>
    </row>
    <row r="801" spans="2:13" ht="15">
      <c r="B801" s="7"/>
      <c r="C801" s="56"/>
      <c r="D801" s="56"/>
      <c r="E801" s="56"/>
      <c r="F801" s="56"/>
      <c r="G801" s="56"/>
      <c r="H801" s="56"/>
      <c r="I801" s="56"/>
      <c r="J801" s="56"/>
      <c r="K801" s="56"/>
      <c r="L801" s="56"/>
      <c r="M801" s="56"/>
    </row>
    <row r="802" spans="2:13" ht="15">
      <c r="B802" s="7"/>
      <c r="C802" s="56"/>
      <c r="D802" s="56"/>
      <c r="E802" s="56"/>
      <c r="F802" s="56"/>
      <c r="G802" s="56"/>
      <c r="H802" s="56"/>
      <c r="I802" s="56"/>
      <c r="J802" s="56"/>
      <c r="K802" s="56"/>
      <c r="L802" s="56"/>
      <c r="M802" s="56"/>
    </row>
    <row r="803" spans="2:13" ht="15">
      <c r="B803" s="7"/>
      <c r="C803" s="56"/>
      <c r="D803" s="56"/>
      <c r="E803" s="56"/>
      <c r="F803" s="56"/>
      <c r="G803" s="56"/>
      <c r="H803" s="56"/>
      <c r="I803" s="56"/>
      <c r="J803" s="56"/>
      <c r="K803" s="56"/>
      <c r="L803" s="56"/>
      <c r="M803" s="56"/>
    </row>
    <row r="804" spans="2:13" ht="15">
      <c r="B804" s="7"/>
      <c r="C804" s="56"/>
      <c r="D804" s="56"/>
      <c r="E804" s="56"/>
      <c r="F804" s="56"/>
      <c r="G804" s="56"/>
      <c r="H804" s="56"/>
      <c r="I804" s="56"/>
      <c r="J804" s="56"/>
      <c r="K804" s="56"/>
      <c r="L804" s="56"/>
      <c r="M804" s="56"/>
    </row>
    <row r="805" spans="2:13" ht="15">
      <c r="B805" s="7"/>
      <c r="C805" s="56"/>
      <c r="D805" s="56"/>
      <c r="E805" s="56"/>
      <c r="F805" s="56"/>
      <c r="G805" s="56"/>
      <c r="H805" s="56"/>
      <c r="I805" s="56"/>
      <c r="J805" s="56"/>
      <c r="K805" s="56"/>
      <c r="L805" s="56"/>
      <c r="M805" s="56"/>
    </row>
    <row r="806" spans="2:13" ht="15">
      <c r="B806" s="7"/>
      <c r="C806" s="56"/>
      <c r="D806" s="56"/>
      <c r="E806" s="56"/>
      <c r="F806" s="56"/>
      <c r="G806" s="56"/>
      <c r="H806" s="56"/>
      <c r="I806" s="56"/>
      <c r="J806" s="56"/>
      <c r="K806" s="56"/>
      <c r="L806" s="56"/>
      <c r="M806" s="56"/>
    </row>
    <row r="807" spans="2:13" ht="15">
      <c r="B807" s="7"/>
      <c r="C807" s="56"/>
      <c r="D807" s="56"/>
      <c r="E807" s="56"/>
      <c r="F807" s="56"/>
      <c r="G807" s="56"/>
      <c r="H807" s="56"/>
      <c r="I807" s="56"/>
      <c r="J807" s="56"/>
      <c r="K807" s="56"/>
      <c r="L807" s="56"/>
      <c r="M807" s="56"/>
    </row>
    <row r="808" spans="2:13" ht="15">
      <c r="B808" s="7"/>
      <c r="C808" s="56"/>
      <c r="D808" s="56"/>
      <c r="E808" s="56"/>
      <c r="F808" s="56"/>
      <c r="G808" s="56"/>
      <c r="H808" s="56"/>
      <c r="I808" s="56"/>
      <c r="J808" s="56"/>
      <c r="K808" s="56"/>
      <c r="L808" s="56"/>
      <c r="M808" s="56"/>
    </row>
    <row r="809" spans="2:13" ht="15">
      <c r="B809" s="7"/>
      <c r="C809" s="56"/>
      <c r="D809" s="56"/>
      <c r="E809" s="56"/>
      <c r="F809" s="56"/>
      <c r="G809" s="56"/>
      <c r="H809" s="56"/>
      <c r="I809" s="56"/>
      <c r="J809" s="56"/>
      <c r="K809" s="56"/>
      <c r="L809" s="56"/>
      <c r="M809" s="56"/>
    </row>
    <row r="810" spans="2:13" ht="15">
      <c r="B810" s="7"/>
      <c r="C810" s="56"/>
      <c r="D810" s="56"/>
      <c r="E810" s="56"/>
      <c r="F810" s="56"/>
      <c r="G810" s="56"/>
      <c r="H810" s="56"/>
      <c r="I810" s="56"/>
      <c r="J810" s="56"/>
      <c r="K810" s="56"/>
      <c r="L810" s="56"/>
      <c r="M810" s="56"/>
    </row>
    <row r="811" spans="2:13" ht="15">
      <c r="B811" s="7"/>
      <c r="C811" s="56"/>
      <c r="D811" s="56"/>
      <c r="E811" s="56"/>
      <c r="F811" s="56"/>
      <c r="G811" s="56"/>
      <c r="H811" s="56"/>
      <c r="I811" s="56"/>
      <c r="J811" s="56"/>
      <c r="K811" s="56"/>
      <c r="L811" s="56"/>
      <c r="M811" s="56"/>
    </row>
    <row r="812" spans="2:13" ht="15">
      <c r="B812" s="7"/>
      <c r="C812" s="56"/>
      <c r="D812" s="56"/>
      <c r="E812" s="56"/>
      <c r="F812" s="56"/>
      <c r="G812" s="56"/>
      <c r="H812" s="56"/>
      <c r="I812" s="56"/>
      <c r="J812" s="56"/>
      <c r="K812" s="56"/>
      <c r="L812" s="56"/>
      <c r="M812" s="56"/>
    </row>
    <row r="813" spans="2:13" ht="15">
      <c r="B813" s="7"/>
      <c r="C813" s="56"/>
      <c r="D813" s="56"/>
      <c r="E813" s="56"/>
      <c r="F813" s="56"/>
      <c r="G813" s="56"/>
      <c r="H813" s="56"/>
      <c r="I813" s="56"/>
      <c r="J813" s="56"/>
      <c r="K813" s="56"/>
      <c r="L813" s="56"/>
      <c r="M813" s="56"/>
    </row>
    <row r="814" spans="2:13" ht="15">
      <c r="B814" s="7"/>
      <c r="C814" s="56"/>
      <c r="D814" s="56"/>
      <c r="E814" s="56"/>
      <c r="F814" s="56"/>
      <c r="G814" s="56"/>
      <c r="H814" s="56"/>
      <c r="I814" s="56"/>
      <c r="J814" s="56"/>
      <c r="K814" s="56"/>
      <c r="L814" s="56"/>
      <c r="M814" s="56"/>
    </row>
    <row r="815" spans="2:13" ht="15">
      <c r="B815" s="7"/>
      <c r="C815" s="56"/>
      <c r="D815" s="56"/>
      <c r="E815" s="56"/>
      <c r="F815" s="56"/>
      <c r="G815" s="56"/>
      <c r="H815" s="56"/>
      <c r="I815" s="56"/>
      <c r="J815" s="56"/>
      <c r="K815" s="56"/>
      <c r="L815" s="56"/>
      <c r="M815" s="56"/>
    </row>
    <row r="816" spans="2:13" ht="15">
      <c r="B816" s="7"/>
      <c r="C816" s="56"/>
      <c r="D816" s="56"/>
      <c r="E816" s="56"/>
      <c r="F816" s="56"/>
      <c r="G816" s="56"/>
      <c r="H816" s="56"/>
      <c r="I816" s="56"/>
      <c r="J816" s="56"/>
      <c r="K816" s="56"/>
      <c r="L816" s="56"/>
      <c r="M816" s="56"/>
    </row>
    <row r="817" spans="2:13" ht="15">
      <c r="B817" s="7"/>
      <c r="C817" s="56"/>
      <c r="D817" s="56"/>
      <c r="E817" s="56"/>
      <c r="F817" s="56"/>
      <c r="G817" s="56"/>
      <c r="H817" s="56"/>
      <c r="I817" s="56"/>
      <c r="J817" s="56"/>
      <c r="K817" s="56"/>
      <c r="L817" s="56"/>
      <c r="M817" s="56"/>
    </row>
    <row r="818" spans="2:13" ht="15">
      <c r="B818" s="7"/>
      <c r="C818" s="56"/>
      <c r="D818" s="56"/>
      <c r="E818" s="56"/>
      <c r="F818" s="56"/>
      <c r="G818" s="56"/>
      <c r="H818" s="56"/>
      <c r="I818" s="56"/>
      <c r="J818" s="56"/>
      <c r="K818" s="56"/>
      <c r="L818" s="56"/>
      <c r="M818" s="56"/>
    </row>
    <row r="819" spans="2:13" ht="15">
      <c r="B819" s="7"/>
      <c r="C819" s="56"/>
      <c r="D819" s="56"/>
      <c r="E819" s="56"/>
      <c r="F819" s="56"/>
      <c r="G819" s="56"/>
      <c r="H819" s="56"/>
      <c r="I819" s="56"/>
      <c r="J819" s="56"/>
      <c r="K819" s="56"/>
      <c r="L819" s="56"/>
      <c r="M819" s="56"/>
    </row>
    <row r="820" spans="2:13" ht="15">
      <c r="B820" s="7"/>
      <c r="C820" s="56"/>
      <c r="D820" s="56"/>
      <c r="E820" s="56"/>
      <c r="F820" s="56"/>
      <c r="G820" s="56"/>
      <c r="H820" s="56"/>
      <c r="I820" s="56"/>
      <c r="J820" s="56"/>
      <c r="K820" s="56"/>
      <c r="L820" s="56"/>
      <c r="M820" s="56"/>
    </row>
    <row r="821" spans="2:13" ht="15">
      <c r="B821" s="7"/>
      <c r="C821" s="56"/>
      <c r="D821" s="56"/>
      <c r="E821" s="56"/>
      <c r="F821" s="56"/>
      <c r="G821" s="56"/>
      <c r="H821" s="56"/>
      <c r="I821" s="56"/>
      <c r="J821" s="56"/>
      <c r="K821" s="56"/>
      <c r="L821" s="56"/>
      <c r="M821" s="56"/>
    </row>
    <row r="822" spans="2:13" ht="15">
      <c r="B822" s="7"/>
      <c r="C822" s="56"/>
      <c r="D822" s="56"/>
      <c r="E822" s="56"/>
      <c r="F822" s="56"/>
      <c r="G822" s="56"/>
      <c r="H822" s="56"/>
      <c r="I822" s="56"/>
      <c r="J822" s="56"/>
      <c r="K822" s="56"/>
      <c r="L822" s="56"/>
      <c r="M822" s="56"/>
    </row>
    <row r="823" spans="2:13" ht="15">
      <c r="B823" s="7"/>
      <c r="C823" s="56"/>
      <c r="D823" s="56"/>
      <c r="E823" s="56"/>
      <c r="F823" s="56"/>
      <c r="G823" s="56"/>
      <c r="H823" s="56"/>
      <c r="I823" s="56"/>
      <c r="J823" s="56"/>
      <c r="K823" s="56"/>
      <c r="L823" s="56"/>
      <c r="M823" s="56"/>
    </row>
    <row r="824" spans="2:13" ht="15">
      <c r="B824" s="7"/>
      <c r="C824" s="56"/>
      <c r="D824" s="56"/>
      <c r="E824" s="56"/>
      <c r="F824" s="56"/>
      <c r="G824" s="56"/>
      <c r="H824" s="56"/>
      <c r="I824" s="56"/>
      <c r="J824" s="56"/>
      <c r="K824" s="56"/>
      <c r="L824" s="56"/>
      <c r="M824" s="56"/>
    </row>
    <row r="825" spans="2:13" ht="15">
      <c r="B825" s="7"/>
      <c r="C825" s="56"/>
      <c r="D825" s="56"/>
      <c r="E825" s="56"/>
      <c r="F825" s="56"/>
      <c r="G825" s="56"/>
      <c r="H825" s="56"/>
      <c r="I825" s="56"/>
      <c r="J825" s="56"/>
      <c r="K825" s="56"/>
      <c r="L825" s="56"/>
      <c r="M825" s="56"/>
    </row>
    <row r="826" spans="2:13" ht="15">
      <c r="B826" s="7"/>
      <c r="C826" s="56"/>
      <c r="D826" s="56"/>
      <c r="E826" s="56"/>
      <c r="F826" s="56"/>
      <c r="G826" s="56"/>
      <c r="H826" s="56"/>
      <c r="I826" s="56"/>
      <c r="J826" s="56"/>
      <c r="K826" s="56"/>
      <c r="L826" s="56"/>
      <c r="M826" s="56"/>
    </row>
    <row r="827" spans="2:13" ht="15">
      <c r="B827" s="7"/>
      <c r="C827" s="56"/>
      <c r="D827" s="56"/>
      <c r="E827" s="56"/>
      <c r="F827" s="56"/>
      <c r="G827" s="56"/>
      <c r="H827" s="56"/>
      <c r="I827" s="56"/>
      <c r="J827" s="56"/>
      <c r="K827" s="56"/>
      <c r="L827" s="56"/>
      <c r="M827" s="56"/>
    </row>
    <row r="828" spans="2:13" ht="15">
      <c r="B828" s="7"/>
      <c r="C828" s="56"/>
      <c r="D828" s="56"/>
      <c r="E828" s="56"/>
      <c r="F828" s="56"/>
      <c r="G828" s="56"/>
      <c r="H828" s="56"/>
      <c r="I828" s="56"/>
      <c r="J828" s="56"/>
      <c r="K828" s="56"/>
      <c r="L828" s="56"/>
      <c r="M828" s="56"/>
    </row>
    <row r="829" spans="2:13" ht="15">
      <c r="B829" s="7"/>
      <c r="C829" s="56"/>
      <c r="D829" s="56"/>
      <c r="E829" s="56"/>
      <c r="F829" s="56"/>
      <c r="G829" s="56"/>
      <c r="H829" s="56"/>
      <c r="I829" s="56"/>
      <c r="J829" s="56"/>
      <c r="K829" s="56"/>
      <c r="L829" s="56"/>
      <c r="M829" s="56"/>
    </row>
    <row r="830" spans="2:13" ht="15">
      <c r="B830" s="7"/>
      <c r="C830" s="56"/>
      <c r="D830" s="56"/>
      <c r="E830" s="56"/>
      <c r="F830" s="56"/>
      <c r="G830" s="56"/>
      <c r="H830" s="56"/>
      <c r="I830" s="56"/>
      <c r="J830" s="56"/>
      <c r="K830" s="56"/>
      <c r="L830" s="56"/>
      <c r="M830" s="56"/>
    </row>
    <row r="831" spans="2:13" ht="15">
      <c r="B831" s="7"/>
      <c r="C831" s="56"/>
      <c r="D831" s="56"/>
      <c r="E831" s="56"/>
      <c r="F831" s="56"/>
      <c r="G831" s="56"/>
      <c r="H831" s="56"/>
      <c r="I831" s="56"/>
      <c r="J831" s="56"/>
      <c r="K831" s="56"/>
      <c r="L831" s="56"/>
      <c r="M831" s="56"/>
    </row>
    <row r="832" spans="2:13" ht="15">
      <c r="B832" s="7"/>
      <c r="C832" s="56"/>
      <c r="D832" s="56"/>
      <c r="E832" s="56"/>
      <c r="F832" s="56"/>
      <c r="G832" s="56"/>
      <c r="H832" s="56"/>
      <c r="I832" s="56"/>
      <c r="J832" s="56"/>
      <c r="K832" s="56"/>
      <c r="L832" s="56"/>
      <c r="M832" s="56"/>
    </row>
    <row r="833" spans="2:13" ht="15">
      <c r="B833" s="7"/>
      <c r="C833" s="56"/>
      <c r="D833" s="56"/>
      <c r="E833" s="56"/>
      <c r="F833" s="56"/>
      <c r="G833" s="56"/>
      <c r="H833" s="56"/>
      <c r="I833" s="56"/>
      <c r="J833" s="56"/>
      <c r="K833" s="56"/>
      <c r="L833" s="56"/>
      <c r="M833" s="56"/>
    </row>
    <row r="834" spans="2:13" ht="15">
      <c r="B834" s="7"/>
      <c r="C834" s="56"/>
      <c r="D834" s="56"/>
      <c r="E834" s="56"/>
      <c r="F834" s="56"/>
      <c r="G834" s="56"/>
      <c r="H834" s="56"/>
      <c r="I834" s="56"/>
      <c r="J834" s="56"/>
      <c r="K834" s="56"/>
      <c r="L834" s="56"/>
      <c r="M834" s="56"/>
    </row>
    <row r="835" spans="2:13" ht="15">
      <c r="B835" s="7"/>
      <c r="C835" s="56"/>
      <c r="D835" s="56"/>
      <c r="E835" s="56"/>
      <c r="F835" s="56"/>
      <c r="G835" s="56"/>
      <c r="H835" s="56"/>
      <c r="I835" s="56"/>
      <c r="J835" s="56"/>
      <c r="K835" s="56"/>
      <c r="L835" s="56"/>
      <c r="M835" s="56"/>
    </row>
    <row r="836" spans="2:13" ht="15">
      <c r="B836" s="7"/>
      <c r="C836" s="56"/>
      <c r="D836" s="56"/>
      <c r="E836" s="56"/>
      <c r="F836" s="56"/>
      <c r="G836" s="56"/>
      <c r="H836" s="56"/>
      <c r="I836" s="56"/>
      <c r="J836" s="56"/>
      <c r="K836" s="56"/>
      <c r="L836" s="56"/>
      <c r="M836" s="56"/>
    </row>
    <row r="837" spans="2:13" ht="15">
      <c r="B837" s="7"/>
      <c r="C837" s="56"/>
      <c r="D837" s="56"/>
      <c r="E837" s="56"/>
      <c r="F837" s="56"/>
      <c r="G837" s="56"/>
      <c r="H837" s="56"/>
      <c r="I837" s="56"/>
      <c r="J837" s="56"/>
      <c r="K837" s="56"/>
      <c r="L837" s="56"/>
      <c r="M837" s="56"/>
    </row>
    <row r="838" spans="2:13" ht="15">
      <c r="B838" s="7"/>
      <c r="C838" s="56"/>
      <c r="D838" s="56"/>
      <c r="E838" s="56"/>
      <c r="F838" s="56"/>
      <c r="G838" s="56"/>
      <c r="H838" s="56"/>
      <c r="I838" s="56"/>
      <c r="J838" s="56"/>
      <c r="K838" s="56"/>
      <c r="L838" s="56"/>
      <c r="M838" s="56"/>
    </row>
    <row r="839" spans="2:13" ht="15">
      <c r="B839" s="7"/>
      <c r="C839" s="56"/>
      <c r="D839" s="56"/>
      <c r="E839" s="56"/>
      <c r="F839" s="56"/>
      <c r="G839" s="56"/>
      <c r="H839" s="56"/>
      <c r="I839" s="56"/>
      <c r="J839" s="56"/>
      <c r="K839" s="56"/>
      <c r="L839" s="56"/>
      <c r="M839" s="56"/>
    </row>
    <row r="840" spans="2:13" ht="15">
      <c r="B840" s="7"/>
      <c r="C840" s="56"/>
      <c r="D840" s="56"/>
      <c r="E840" s="56"/>
      <c r="F840" s="56"/>
      <c r="G840" s="56"/>
      <c r="H840" s="56"/>
      <c r="I840" s="56"/>
      <c r="J840" s="56"/>
      <c r="K840" s="56"/>
      <c r="L840" s="56"/>
      <c r="M840" s="56"/>
    </row>
    <row r="841" spans="2:13" ht="15">
      <c r="B841" s="7"/>
      <c r="C841" s="56"/>
      <c r="D841" s="56"/>
      <c r="E841" s="56"/>
      <c r="F841" s="56"/>
      <c r="G841" s="56"/>
      <c r="H841" s="56"/>
      <c r="I841" s="56"/>
      <c r="J841" s="56"/>
      <c r="K841" s="56"/>
      <c r="L841" s="56"/>
      <c r="M841" s="56"/>
    </row>
    <row r="842" spans="2:13" ht="15">
      <c r="B842" s="7"/>
      <c r="C842" s="56"/>
      <c r="D842" s="56"/>
      <c r="E842" s="56"/>
      <c r="F842" s="56"/>
      <c r="G842" s="56"/>
      <c r="H842" s="56"/>
      <c r="I842" s="56"/>
      <c r="J842" s="56"/>
      <c r="K842" s="56"/>
      <c r="L842" s="56"/>
      <c r="M842" s="56"/>
    </row>
    <row r="843" spans="2:13" ht="15">
      <c r="B843" s="7"/>
      <c r="C843" s="56"/>
      <c r="D843" s="56"/>
      <c r="E843" s="56"/>
      <c r="F843" s="56"/>
      <c r="G843" s="56"/>
      <c r="H843" s="56"/>
      <c r="I843" s="56"/>
      <c r="J843" s="56"/>
      <c r="K843" s="56"/>
      <c r="L843" s="56"/>
      <c r="M843" s="56"/>
    </row>
    <row r="844" spans="2:13" ht="15">
      <c r="B844" s="7"/>
      <c r="C844" s="56"/>
      <c r="D844" s="56"/>
      <c r="E844" s="56"/>
      <c r="F844" s="56"/>
      <c r="G844" s="56"/>
      <c r="H844" s="56"/>
      <c r="I844" s="56"/>
      <c r="J844" s="56"/>
      <c r="K844" s="56"/>
      <c r="L844" s="56"/>
      <c r="M844" s="56"/>
    </row>
    <row r="845" spans="2:13" ht="15">
      <c r="B845" s="7"/>
      <c r="C845" s="56"/>
      <c r="D845" s="56"/>
      <c r="E845" s="56"/>
      <c r="F845" s="56"/>
      <c r="G845" s="56"/>
      <c r="H845" s="56"/>
      <c r="I845" s="56"/>
      <c r="J845" s="56"/>
      <c r="K845" s="56"/>
      <c r="L845" s="56"/>
      <c r="M845" s="56"/>
    </row>
    <row r="846" spans="2:13" ht="15">
      <c r="B846" s="7"/>
      <c r="C846" s="56"/>
      <c r="D846" s="56"/>
      <c r="E846" s="56"/>
      <c r="F846" s="56"/>
      <c r="G846" s="56"/>
      <c r="H846" s="56"/>
      <c r="I846" s="56"/>
      <c r="J846" s="56"/>
      <c r="K846" s="56"/>
      <c r="L846" s="56"/>
      <c r="M846" s="56"/>
    </row>
    <row r="847" spans="2:13" ht="15">
      <c r="B847" s="7"/>
      <c r="C847" s="56"/>
      <c r="D847" s="56"/>
      <c r="E847" s="56"/>
      <c r="F847" s="56"/>
      <c r="G847" s="56"/>
      <c r="H847" s="56"/>
      <c r="I847" s="56"/>
      <c r="J847" s="56"/>
      <c r="K847" s="56"/>
      <c r="L847" s="56"/>
      <c r="M847" s="56"/>
    </row>
    <row r="848" spans="2:13" ht="15">
      <c r="B848" s="7"/>
      <c r="C848" s="56"/>
      <c r="D848" s="56"/>
      <c r="E848" s="56"/>
      <c r="F848" s="56"/>
      <c r="G848" s="56"/>
      <c r="H848" s="56"/>
      <c r="I848" s="56"/>
      <c r="J848" s="56"/>
      <c r="K848" s="56"/>
      <c r="L848" s="56"/>
      <c r="M848" s="56"/>
    </row>
    <row r="849" spans="2:13" ht="15">
      <c r="B849" s="7"/>
      <c r="C849" s="56"/>
      <c r="D849" s="56"/>
      <c r="E849" s="56"/>
      <c r="F849" s="56"/>
      <c r="G849" s="56"/>
      <c r="H849" s="56"/>
      <c r="I849" s="56"/>
      <c r="J849" s="56"/>
      <c r="K849" s="56"/>
      <c r="L849" s="56"/>
      <c r="M849" s="56"/>
    </row>
    <row r="850" spans="2:13" ht="15">
      <c r="B850" s="7"/>
      <c r="C850" s="56"/>
      <c r="D850" s="56"/>
      <c r="E850" s="56"/>
      <c r="F850" s="56"/>
      <c r="G850" s="56"/>
      <c r="H850" s="56"/>
      <c r="I850" s="56"/>
      <c r="J850" s="56"/>
      <c r="K850" s="56"/>
      <c r="L850" s="56"/>
      <c r="M850" s="56"/>
    </row>
    <row r="851" spans="2:13" ht="15">
      <c r="B851" s="7"/>
      <c r="C851" s="56"/>
      <c r="D851" s="56"/>
      <c r="E851" s="56"/>
      <c r="F851" s="56"/>
      <c r="G851" s="56"/>
      <c r="H851" s="56"/>
      <c r="I851" s="56"/>
      <c r="J851" s="56"/>
      <c r="K851" s="56"/>
      <c r="L851" s="56"/>
      <c r="M851" s="56"/>
    </row>
    <row r="852" spans="2:13" ht="15">
      <c r="B852" s="7"/>
      <c r="C852" s="56"/>
      <c r="D852" s="56"/>
      <c r="E852" s="56"/>
      <c r="F852" s="56"/>
      <c r="G852" s="56"/>
      <c r="H852" s="56"/>
      <c r="I852" s="56"/>
      <c r="J852" s="56"/>
      <c r="K852" s="56"/>
      <c r="L852" s="56"/>
      <c r="M852" s="56"/>
    </row>
    <row r="853" spans="2:13" ht="15">
      <c r="B853" s="7"/>
      <c r="C853" s="56"/>
      <c r="D853" s="56"/>
      <c r="E853" s="56"/>
      <c r="F853" s="56"/>
      <c r="G853" s="56"/>
      <c r="H853" s="56"/>
      <c r="I853" s="56"/>
      <c r="J853" s="56"/>
      <c r="K853" s="56"/>
      <c r="L853" s="56"/>
      <c r="M853" s="56"/>
    </row>
    <row r="854" spans="2:13" ht="15">
      <c r="B854" s="7"/>
      <c r="C854" s="56"/>
      <c r="D854" s="56"/>
      <c r="E854" s="56"/>
      <c r="F854" s="56"/>
      <c r="G854" s="56"/>
      <c r="H854" s="56"/>
      <c r="I854" s="56"/>
      <c r="J854" s="56"/>
      <c r="K854" s="56"/>
      <c r="L854" s="56"/>
      <c r="M854" s="56"/>
    </row>
    <row r="855" spans="2:13" ht="15">
      <c r="B855" s="7"/>
      <c r="C855" s="56"/>
      <c r="D855" s="56"/>
      <c r="E855" s="56"/>
      <c r="F855" s="56"/>
      <c r="G855" s="56"/>
      <c r="H855" s="56"/>
      <c r="I855" s="56"/>
      <c r="J855" s="56"/>
      <c r="K855" s="56"/>
      <c r="L855" s="56"/>
      <c r="M855" s="56"/>
    </row>
    <row r="856" spans="2:13" ht="15">
      <c r="B856" s="7"/>
      <c r="C856" s="56"/>
      <c r="D856" s="56"/>
      <c r="E856" s="56"/>
      <c r="F856" s="56"/>
      <c r="G856" s="56"/>
      <c r="H856" s="56"/>
      <c r="I856" s="56"/>
      <c r="J856" s="56"/>
      <c r="K856" s="56"/>
      <c r="L856" s="56"/>
      <c r="M856" s="56"/>
    </row>
    <row r="857" spans="2:13" ht="15">
      <c r="B857" s="7"/>
      <c r="C857" s="56"/>
      <c r="D857" s="56"/>
      <c r="E857" s="56"/>
      <c r="F857" s="56"/>
      <c r="G857" s="56"/>
      <c r="H857" s="56"/>
      <c r="I857" s="56"/>
      <c r="J857" s="56"/>
      <c r="K857" s="56"/>
      <c r="L857" s="56"/>
      <c r="M857" s="56"/>
    </row>
    <row r="858" spans="2:13" ht="15">
      <c r="B858" s="7"/>
      <c r="C858" s="56"/>
      <c r="D858" s="56"/>
      <c r="E858" s="56"/>
      <c r="F858" s="56"/>
      <c r="G858" s="56"/>
      <c r="H858" s="56"/>
      <c r="I858" s="56"/>
      <c r="J858" s="56"/>
      <c r="K858" s="56"/>
      <c r="L858" s="56"/>
      <c r="M858" s="56"/>
    </row>
    <row r="859" spans="2:13" ht="15">
      <c r="B859" s="7"/>
      <c r="C859" s="56"/>
      <c r="D859" s="56"/>
      <c r="E859" s="56"/>
      <c r="F859" s="56"/>
      <c r="G859" s="56"/>
      <c r="H859" s="56"/>
      <c r="I859" s="56"/>
      <c r="J859" s="56"/>
      <c r="K859" s="56"/>
      <c r="L859" s="56"/>
      <c r="M859" s="56"/>
    </row>
    <row r="860" spans="2:13" ht="15">
      <c r="B860" s="7"/>
      <c r="C860" s="56"/>
      <c r="D860" s="56"/>
      <c r="E860" s="56"/>
      <c r="F860" s="56"/>
      <c r="G860" s="56"/>
      <c r="H860" s="56"/>
      <c r="I860" s="56"/>
      <c r="J860" s="56"/>
      <c r="K860" s="56"/>
      <c r="L860" s="56"/>
      <c r="M860" s="56"/>
    </row>
    <row r="861" spans="2:13" ht="15">
      <c r="B861" s="7"/>
      <c r="C861" s="56"/>
      <c r="D861" s="56"/>
      <c r="E861" s="56"/>
      <c r="F861" s="56"/>
      <c r="G861" s="56"/>
      <c r="H861" s="56"/>
      <c r="I861" s="56"/>
      <c r="J861" s="56"/>
      <c r="K861" s="56"/>
      <c r="L861" s="56"/>
      <c r="M861" s="56"/>
    </row>
    <row r="862" spans="2:13" ht="15">
      <c r="B862" s="7"/>
      <c r="C862" s="56"/>
      <c r="D862" s="56"/>
      <c r="E862" s="56"/>
      <c r="F862" s="56"/>
      <c r="G862" s="56"/>
      <c r="H862" s="56"/>
      <c r="I862" s="56"/>
      <c r="J862" s="56"/>
      <c r="K862" s="56"/>
      <c r="L862" s="56"/>
      <c r="M862" s="56"/>
    </row>
    <row r="863" spans="2:13" ht="15">
      <c r="B863" s="7"/>
      <c r="C863" s="56"/>
      <c r="D863" s="56"/>
      <c r="E863" s="56"/>
      <c r="F863" s="56"/>
      <c r="G863" s="56"/>
      <c r="H863" s="56"/>
      <c r="I863" s="56"/>
      <c r="J863" s="56"/>
      <c r="K863" s="56"/>
      <c r="L863" s="56"/>
      <c r="M863" s="56"/>
    </row>
    <row r="864" spans="2:13" ht="15">
      <c r="B864" s="7"/>
      <c r="C864" s="56"/>
      <c r="D864" s="56"/>
      <c r="E864" s="56"/>
      <c r="F864" s="56"/>
      <c r="G864" s="56"/>
      <c r="H864" s="56"/>
      <c r="I864" s="56"/>
      <c r="J864" s="56"/>
      <c r="K864" s="56"/>
      <c r="L864" s="56"/>
      <c r="M864" s="56"/>
    </row>
    <row r="865" spans="2:13" ht="15">
      <c r="B865" s="7"/>
      <c r="C865" s="56"/>
      <c r="D865" s="56"/>
      <c r="E865" s="56"/>
      <c r="F865" s="56"/>
      <c r="G865" s="56"/>
      <c r="H865" s="56"/>
      <c r="I865" s="56"/>
      <c r="J865" s="56"/>
      <c r="K865" s="56"/>
      <c r="L865" s="56"/>
      <c r="M865" s="56"/>
    </row>
    <row r="866" spans="2:13" ht="15">
      <c r="B866" s="7"/>
      <c r="C866" s="56"/>
      <c r="D866" s="56"/>
      <c r="E866" s="56"/>
      <c r="F866" s="56"/>
      <c r="G866" s="56"/>
      <c r="H866" s="56"/>
      <c r="I866" s="56"/>
      <c r="J866" s="56"/>
      <c r="K866" s="56"/>
      <c r="L866" s="56"/>
      <c r="M866" s="56"/>
    </row>
    <row r="867" spans="2:13" ht="15">
      <c r="B867" s="7"/>
      <c r="C867" s="56"/>
      <c r="D867" s="56"/>
      <c r="E867" s="56"/>
      <c r="F867" s="56"/>
      <c r="G867" s="56"/>
      <c r="H867" s="56"/>
      <c r="I867" s="56"/>
      <c r="J867" s="56"/>
      <c r="K867" s="56"/>
      <c r="L867" s="56"/>
      <c r="M867" s="56"/>
    </row>
    <row r="868" spans="2:13" ht="15">
      <c r="B868" s="7"/>
      <c r="C868" s="56"/>
      <c r="D868" s="56"/>
      <c r="E868" s="56"/>
      <c r="F868" s="56"/>
      <c r="G868" s="56"/>
      <c r="H868" s="56"/>
      <c r="I868" s="56"/>
      <c r="J868" s="56"/>
      <c r="K868" s="56"/>
      <c r="L868" s="56"/>
      <c r="M868" s="56"/>
    </row>
    <row r="869" spans="2:13" ht="15">
      <c r="B869" s="7"/>
      <c r="C869" s="56"/>
      <c r="D869" s="56"/>
      <c r="E869" s="56"/>
      <c r="F869" s="56"/>
      <c r="G869" s="56"/>
      <c r="H869" s="56"/>
      <c r="I869" s="56"/>
      <c r="J869" s="56"/>
      <c r="K869" s="56"/>
      <c r="L869" s="56"/>
      <c r="M869" s="56"/>
    </row>
    <row r="870" spans="2:13" ht="15">
      <c r="B870" s="7"/>
      <c r="C870" s="56"/>
      <c r="D870" s="56"/>
      <c r="E870" s="56"/>
      <c r="F870" s="56"/>
      <c r="G870" s="56"/>
      <c r="H870" s="56"/>
      <c r="I870" s="56"/>
      <c r="J870" s="56"/>
      <c r="K870" s="56"/>
      <c r="L870" s="56"/>
      <c r="M870" s="56"/>
    </row>
    <row r="871" spans="2:13" ht="15">
      <c r="B871" s="7"/>
      <c r="C871" s="56"/>
      <c r="D871" s="56"/>
      <c r="E871" s="56"/>
      <c r="F871" s="56"/>
      <c r="G871" s="56"/>
      <c r="H871" s="56"/>
      <c r="I871" s="56"/>
      <c r="J871" s="56"/>
      <c r="K871" s="56"/>
      <c r="L871" s="56"/>
      <c r="M871" s="56"/>
    </row>
    <row r="872" spans="2:13" ht="15">
      <c r="B872" s="7"/>
      <c r="C872" s="56"/>
      <c r="D872" s="56"/>
      <c r="E872" s="56"/>
      <c r="F872" s="56"/>
      <c r="G872" s="56"/>
      <c r="H872" s="56"/>
      <c r="I872" s="56"/>
      <c r="J872" s="56"/>
      <c r="K872" s="56"/>
      <c r="L872" s="56"/>
      <c r="M872" s="56"/>
    </row>
    <row r="873" spans="2:13" ht="15">
      <c r="B873" s="7"/>
      <c r="C873" s="56"/>
      <c r="D873" s="56"/>
      <c r="E873" s="56"/>
      <c r="F873" s="56"/>
      <c r="G873" s="56"/>
      <c r="H873" s="56"/>
      <c r="I873" s="56"/>
      <c r="J873" s="56"/>
      <c r="K873" s="56"/>
      <c r="L873" s="56"/>
      <c r="M873" s="56"/>
    </row>
    <row r="874" spans="2:13" ht="15">
      <c r="B874" s="7"/>
      <c r="C874" s="56"/>
      <c r="D874" s="56"/>
      <c r="E874" s="56"/>
      <c r="F874" s="56"/>
      <c r="G874" s="56"/>
      <c r="H874" s="56"/>
      <c r="I874" s="56"/>
      <c r="J874" s="56"/>
      <c r="K874" s="56"/>
      <c r="L874" s="56"/>
      <c r="M874" s="56"/>
    </row>
    <row r="875" spans="2:13" ht="15">
      <c r="B875" s="7"/>
      <c r="C875" s="56"/>
      <c r="D875" s="56"/>
      <c r="E875" s="56"/>
      <c r="F875" s="56"/>
      <c r="G875" s="56"/>
      <c r="H875" s="56"/>
      <c r="I875" s="56"/>
      <c r="J875" s="56"/>
      <c r="K875" s="56"/>
      <c r="L875" s="56"/>
      <c r="M875" s="56"/>
    </row>
    <row r="876" spans="2:13" ht="15">
      <c r="B876" s="7"/>
      <c r="C876" s="56"/>
      <c r="D876" s="56"/>
      <c r="E876" s="56"/>
      <c r="F876" s="56"/>
      <c r="G876" s="56"/>
      <c r="H876" s="56"/>
      <c r="I876" s="56"/>
      <c r="J876" s="56"/>
      <c r="K876" s="56"/>
      <c r="L876" s="56"/>
      <c r="M876" s="56"/>
    </row>
    <row r="877" spans="2:13" ht="15">
      <c r="B877" s="7"/>
      <c r="C877" s="56"/>
      <c r="D877" s="56"/>
      <c r="E877" s="56"/>
      <c r="F877" s="56"/>
      <c r="G877" s="56"/>
      <c r="H877" s="56"/>
      <c r="I877" s="56"/>
      <c r="J877" s="56"/>
      <c r="K877" s="56"/>
      <c r="L877" s="56"/>
      <c r="M877" s="56"/>
    </row>
    <row r="878" spans="2:13" ht="15">
      <c r="B878" s="7"/>
      <c r="C878" s="56"/>
      <c r="D878" s="56"/>
      <c r="E878" s="56"/>
      <c r="F878" s="56"/>
      <c r="G878" s="56"/>
      <c r="H878" s="56"/>
      <c r="I878" s="56"/>
      <c r="J878" s="56"/>
      <c r="K878" s="56"/>
      <c r="L878" s="56"/>
      <c r="M878" s="56"/>
    </row>
    <row r="879" spans="2:13" ht="15">
      <c r="B879" s="7"/>
      <c r="C879" s="56"/>
      <c r="D879" s="56"/>
      <c r="E879" s="56"/>
      <c r="F879" s="56"/>
      <c r="G879" s="56"/>
      <c r="H879" s="56"/>
      <c r="I879" s="56"/>
      <c r="J879" s="56"/>
      <c r="K879" s="56"/>
      <c r="L879" s="56"/>
      <c r="M879" s="56"/>
    </row>
    <row r="880" spans="2:13" ht="15">
      <c r="B880" s="7"/>
      <c r="C880" s="56"/>
      <c r="D880" s="56"/>
      <c r="E880" s="56"/>
      <c r="F880" s="56"/>
      <c r="G880" s="56"/>
      <c r="H880" s="56"/>
      <c r="I880" s="56"/>
      <c r="J880" s="56"/>
      <c r="K880" s="56"/>
      <c r="L880" s="56"/>
      <c r="M880" s="56"/>
    </row>
    <row r="881" spans="2:13" ht="15">
      <c r="B881" s="7"/>
      <c r="C881" s="56"/>
      <c r="D881" s="56"/>
      <c r="E881" s="56"/>
      <c r="F881" s="56"/>
      <c r="G881" s="56"/>
      <c r="H881" s="56"/>
      <c r="I881" s="56"/>
      <c r="J881" s="56"/>
      <c r="K881" s="56"/>
      <c r="L881" s="56"/>
      <c r="M881" s="56"/>
    </row>
    <row r="882" spans="2:13" ht="15">
      <c r="B882" s="7"/>
      <c r="C882" s="56"/>
      <c r="D882" s="56"/>
      <c r="E882" s="56"/>
      <c r="F882" s="56"/>
      <c r="G882" s="56"/>
      <c r="H882" s="56"/>
      <c r="I882" s="56"/>
      <c r="J882" s="56"/>
      <c r="K882" s="56"/>
      <c r="L882" s="56"/>
      <c r="M882" s="56"/>
    </row>
    <row r="883" spans="2:13" ht="15">
      <c r="B883" s="7"/>
      <c r="C883" s="56"/>
      <c r="D883" s="56"/>
      <c r="E883" s="56"/>
      <c r="F883" s="56"/>
      <c r="G883" s="56"/>
      <c r="H883" s="56"/>
      <c r="I883" s="56"/>
      <c r="J883" s="56"/>
      <c r="K883" s="56"/>
      <c r="L883" s="56"/>
      <c r="M883" s="56"/>
    </row>
    <row r="884" spans="2:13" ht="15">
      <c r="B884" s="7"/>
      <c r="C884" s="56"/>
      <c r="D884" s="56"/>
      <c r="E884" s="56"/>
      <c r="F884" s="56"/>
      <c r="G884" s="56"/>
      <c r="H884" s="56"/>
      <c r="I884" s="56"/>
      <c r="J884" s="56"/>
      <c r="K884" s="56"/>
      <c r="L884" s="56"/>
      <c r="M884" s="56"/>
    </row>
    <row r="885" spans="2:13" ht="15">
      <c r="B885" s="7"/>
      <c r="C885" s="56"/>
      <c r="D885" s="56"/>
      <c r="E885" s="56"/>
      <c r="F885" s="56"/>
      <c r="G885" s="56"/>
      <c r="H885" s="56"/>
      <c r="I885" s="56"/>
      <c r="J885" s="56"/>
      <c r="K885" s="56"/>
      <c r="L885" s="56"/>
      <c r="M885" s="56"/>
    </row>
    <row r="886" spans="2:13" ht="15">
      <c r="B886" s="7"/>
      <c r="C886" s="56"/>
      <c r="D886" s="56"/>
      <c r="E886" s="56"/>
      <c r="F886" s="56"/>
      <c r="G886" s="56"/>
      <c r="H886" s="56"/>
      <c r="I886" s="56"/>
      <c r="J886" s="56"/>
      <c r="K886" s="56"/>
      <c r="L886" s="56"/>
      <c r="M886" s="56"/>
    </row>
    <row r="887" spans="2:13" ht="15">
      <c r="B887" s="7"/>
      <c r="C887" s="56"/>
      <c r="D887" s="56"/>
      <c r="E887" s="56"/>
      <c r="F887" s="56"/>
      <c r="G887" s="56"/>
      <c r="H887" s="56"/>
      <c r="I887" s="56"/>
      <c r="J887" s="56"/>
      <c r="K887" s="56"/>
      <c r="L887" s="56"/>
      <c r="M887" s="56"/>
    </row>
    <row r="888" spans="2:13" ht="15">
      <c r="B888" s="7"/>
      <c r="C888" s="56"/>
      <c r="D888" s="56"/>
      <c r="E888" s="56"/>
      <c r="F888" s="56"/>
      <c r="G888" s="56"/>
      <c r="H888" s="56"/>
      <c r="I888" s="56"/>
      <c r="J888" s="56"/>
      <c r="K888" s="56"/>
      <c r="L888" s="56"/>
      <c r="M888" s="56"/>
    </row>
    <row r="889" spans="2:13" ht="15">
      <c r="B889" s="7"/>
      <c r="C889" s="56"/>
      <c r="D889" s="56"/>
      <c r="E889" s="56"/>
      <c r="F889" s="56"/>
      <c r="G889" s="56"/>
      <c r="H889" s="56"/>
      <c r="I889" s="56"/>
      <c r="J889" s="56"/>
      <c r="K889" s="56"/>
      <c r="L889" s="56"/>
      <c r="M889" s="56"/>
    </row>
    <row r="890" spans="2:13" ht="15">
      <c r="B890" s="7"/>
      <c r="C890" s="56"/>
      <c r="D890" s="56"/>
      <c r="E890" s="56"/>
      <c r="F890" s="56"/>
      <c r="G890" s="56"/>
      <c r="H890" s="56"/>
      <c r="I890" s="56"/>
      <c r="J890" s="56"/>
      <c r="K890" s="56"/>
      <c r="L890" s="56"/>
      <c r="M890" s="56"/>
    </row>
    <row r="891" spans="2:13" ht="15">
      <c r="B891" s="7"/>
      <c r="C891" s="56"/>
      <c r="D891" s="56"/>
      <c r="E891" s="56"/>
      <c r="F891" s="56"/>
      <c r="G891" s="56"/>
      <c r="H891" s="56"/>
      <c r="I891" s="56"/>
      <c r="J891" s="56"/>
      <c r="K891" s="56"/>
      <c r="L891" s="56"/>
      <c r="M891" s="56"/>
    </row>
    <row r="892" spans="2:13" ht="15">
      <c r="B892" s="7"/>
      <c r="C892" s="56"/>
      <c r="D892" s="56"/>
      <c r="E892" s="56"/>
      <c r="F892" s="56"/>
      <c r="G892" s="56"/>
      <c r="H892" s="56"/>
      <c r="I892" s="56"/>
      <c r="J892" s="56"/>
      <c r="K892" s="56"/>
      <c r="L892" s="56"/>
      <c r="M892" s="56"/>
    </row>
    <row r="893" spans="2:13" ht="15">
      <c r="B893" s="7"/>
      <c r="C893" s="56"/>
      <c r="D893" s="56"/>
      <c r="E893" s="56"/>
      <c r="F893" s="56"/>
      <c r="G893" s="56"/>
      <c r="H893" s="56"/>
      <c r="I893" s="56"/>
      <c r="J893" s="56"/>
      <c r="K893" s="56"/>
      <c r="L893" s="56"/>
      <c r="M893" s="56"/>
    </row>
    <row r="894" spans="2:13" ht="15">
      <c r="B894" s="7"/>
      <c r="C894" s="56"/>
      <c r="D894" s="56"/>
      <c r="E894" s="56"/>
      <c r="F894" s="56"/>
      <c r="G894" s="56"/>
      <c r="H894" s="56"/>
      <c r="I894" s="56"/>
      <c r="J894" s="56"/>
      <c r="K894" s="56"/>
      <c r="L894" s="56"/>
      <c r="M894" s="56"/>
    </row>
    <row r="895" spans="2:13" ht="15">
      <c r="B895" s="7"/>
      <c r="C895" s="56"/>
      <c r="D895" s="56"/>
      <c r="E895" s="56"/>
      <c r="F895" s="56"/>
      <c r="G895" s="56"/>
      <c r="H895" s="56"/>
      <c r="I895" s="56"/>
      <c r="J895" s="56"/>
      <c r="K895" s="56"/>
      <c r="L895" s="56"/>
      <c r="M895" s="56"/>
    </row>
    <row r="896" spans="2:13" ht="15">
      <c r="B896" s="7"/>
      <c r="C896" s="56"/>
      <c r="D896" s="56"/>
      <c r="E896" s="56"/>
      <c r="F896" s="56"/>
      <c r="G896" s="56"/>
      <c r="H896" s="56"/>
      <c r="I896" s="56"/>
      <c r="J896" s="56"/>
      <c r="K896" s="56"/>
      <c r="L896" s="56"/>
      <c r="M896" s="56"/>
    </row>
    <row r="897" spans="2:13" ht="15">
      <c r="B897" s="7"/>
      <c r="C897" s="56"/>
      <c r="D897" s="56"/>
      <c r="E897" s="56"/>
      <c r="F897" s="56"/>
      <c r="G897" s="56"/>
      <c r="H897" s="56"/>
      <c r="I897" s="56"/>
      <c r="J897" s="56"/>
      <c r="K897" s="56"/>
      <c r="L897" s="56"/>
      <c r="M897" s="56"/>
    </row>
    <row r="898" spans="2:13" ht="15">
      <c r="B898" s="7"/>
      <c r="C898" s="56"/>
      <c r="D898" s="56"/>
      <c r="E898" s="56"/>
      <c r="F898" s="56"/>
      <c r="G898" s="56"/>
      <c r="H898" s="56"/>
      <c r="I898" s="56"/>
      <c r="J898" s="56"/>
      <c r="K898" s="56"/>
      <c r="L898" s="56"/>
      <c r="M898" s="56"/>
    </row>
    <row r="899" spans="2:13" ht="15">
      <c r="B899" s="7"/>
      <c r="C899" s="56"/>
      <c r="D899" s="56"/>
      <c r="E899" s="56"/>
      <c r="F899" s="56"/>
      <c r="G899" s="56"/>
      <c r="H899" s="56"/>
      <c r="I899" s="56"/>
      <c r="J899" s="56"/>
      <c r="K899" s="56"/>
      <c r="L899" s="56"/>
      <c r="M899" s="56"/>
    </row>
    <row r="900" spans="2:13" ht="15">
      <c r="B900" s="7"/>
      <c r="C900" s="56"/>
      <c r="D900" s="56"/>
      <c r="E900" s="56"/>
      <c r="F900" s="56"/>
      <c r="G900" s="56"/>
      <c r="H900" s="56"/>
      <c r="I900" s="56"/>
      <c r="J900" s="56"/>
      <c r="K900" s="56"/>
      <c r="L900" s="56"/>
      <c r="M900" s="56"/>
    </row>
    <row r="901" spans="2:13" ht="15">
      <c r="B901" s="7"/>
      <c r="C901" s="56"/>
      <c r="D901" s="56"/>
      <c r="E901" s="56"/>
      <c r="F901" s="56"/>
      <c r="G901" s="56"/>
      <c r="H901" s="56"/>
      <c r="I901" s="56"/>
      <c r="J901" s="56"/>
      <c r="K901" s="56"/>
      <c r="L901" s="56"/>
      <c r="M901" s="56"/>
    </row>
    <row r="902" spans="2:13" ht="15">
      <c r="B902" s="7"/>
      <c r="C902" s="56"/>
      <c r="D902" s="56"/>
      <c r="E902" s="56"/>
      <c r="F902" s="56"/>
      <c r="G902" s="56"/>
      <c r="H902" s="56"/>
      <c r="I902" s="56"/>
      <c r="J902" s="56"/>
      <c r="K902" s="56"/>
      <c r="L902" s="56"/>
      <c r="M902" s="56"/>
    </row>
    <row r="903" spans="2:13" ht="15">
      <c r="B903" s="7"/>
      <c r="C903" s="56"/>
      <c r="D903" s="56"/>
      <c r="E903" s="56"/>
      <c r="F903" s="56"/>
      <c r="G903" s="56"/>
      <c r="H903" s="56"/>
      <c r="I903" s="56"/>
      <c r="J903" s="56"/>
      <c r="K903" s="56"/>
      <c r="L903" s="56"/>
      <c r="M903" s="56"/>
    </row>
    <row r="904" spans="2:13" ht="15">
      <c r="B904" s="7"/>
      <c r="C904" s="56"/>
      <c r="D904" s="56"/>
      <c r="E904" s="56"/>
      <c r="F904" s="56"/>
      <c r="G904" s="56"/>
      <c r="H904" s="56"/>
      <c r="I904" s="56"/>
      <c r="J904" s="56"/>
      <c r="K904" s="56"/>
      <c r="L904" s="56"/>
      <c r="M904" s="56"/>
    </row>
    <row r="905" spans="2:13" ht="15">
      <c r="B905" s="7"/>
      <c r="C905" s="56"/>
      <c r="D905" s="56"/>
      <c r="E905" s="56"/>
      <c r="F905" s="56"/>
      <c r="G905" s="56"/>
      <c r="H905" s="56"/>
      <c r="I905" s="56"/>
      <c r="J905" s="56"/>
      <c r="K905" s="56"/>
      <c r="L905" s="56"/>
      <c r="M905" s="56"/>
    </row>
    <row r="906" spans="2:13" ht="15">
      <c r="B906" s="7"/>
      <c r="C906" s="56"/>
      <c r="D906" s="56"/>
      <c r="E906" s="56"/>
      <c r="F906" s="56"/>
      <c r="G906" s="56"/>
      <c r="H906" s="56"/>
      <c r="I906" s="56"/>
      <c r="J906" s="56"/>
      <c r="K906" s="56"/>
      <c r="L906" s="56"/>
      <c r="M906" s="56"/>
    </row>
    <row r="907" spans="2:13" ht="15">
      <c r="B907" s="7"/>
      <c r="C907" s="56"/>
      <c r="D907" s="56"/>
      <c r="E907" s="56"/>
      <c r="F907" s="56"/>
      <c r="G907" s="56"/>
      <c r="H907" s="56"/>
      <c r="I907" s="56"/>
      <c r="J907" s="56"/>
      <c r="K907" s="56"/>
      <c r="L907" s="56"/>
      <c r="M907" s="56"/>
    </row>
    <row r="908" spans="2:13" ht="15">
      <c r="B908" s="7"/>
      <c r="C908" s="56"/>
      <c r="D908" s="56"/>
      <c r="E908" s="56"/>
      <c r="F908" s="56"/>
      <c r="G908" s="56"/>
      <c r="H908" s="56"/>
      <c r="I908" s="56"/>
      <c r="J908" s="56"/>
      <c r="K908" s="56"/>
      <c r="L908" s="56"/>
      <c r="M908" s="56"/>
    </row>
    <row r="909" spans="2:13" ht="15">
      <c r="B909" s="7"/>
      <c r="C909" s="56"/>
      <c r="D909" s="56"/>
      <c r="E909" s="56"/>
      <c r="F909" s="56"/>
      <c r="G909" s="56"/>
      <c r="H909" s="56"/>
      <c r="I909" s="56"/>
      <c r="J909" s="56"/>
      <c r="K909" s="56"/>
      <c r="L909" s="56"/>
      <c r="M909" s="56"/>
    </row>
    <row r="910" spans="2:13" ht="15">
      <c r="B910" s="7"/>
      <c r="C910" s="56"/>
      <c r="D910" s="56"/>
      <c r="E910" s="56"/>
      <c r="F910" s="56"/>
      <c r="G910" s="56"/>
      <c r="H910" s="56"/>
      <c r="I910" s="56"/>
      <c r="J910" s="56"/>
      <c r="K910" s="56"/>
      <c r="L910" s="56"/>
      <c r="M910" s="56"/>
    </row>
    <row r="911" spans="2:13" ht="15">
      <c r="B911" s="7"/>
      <c r="C911" s="56"/>
      <c r="D911" s="56"/>
      <c r="E911" s="56"/>
      <c r="F911" s="56"/>
      <c r="G911" s="56"/>
      <c r="H911" s="56"/>
      <c r="I911" s="56"/>
      <c r="J911" s="56"/>
      <c r="K911" s="56"/>
      <c r="L911" s="56"/>
      <c r="M911" s="56"/>
    </row>
    <row r="912" spans="2:13" ht="15">
      <c r="B912" s="7"/>
      <c r="C912" s="56"/>
      <c r="D912" s="56"/>
      <c r="E912" s="56"/>
      <c r="F912" s="56"/>
      <c r="G912" s="56"/>
      <c r="H912" s="56"/>
      <c r="I912" s="56"/>
      <c r="J912" s="56"/>
      <c r="K912" s="56"/>
      <c r="L912" s="56"/>
      <c r="M912" s="56"/>
    </row>
    <row r="913" spans="2:13" ht="15">
      <c r="B913" s="7"/>
      <c r="C913" s="56"/>
      <c r="D913" s="56"/>
      <c r="E913" s="56"/>
      <c r="F913" s="56"/>
      <c r="G913" s="56"/>
      <c r="H913" s="56"/>
      <c r="I913" s="56"/>
      <c r="J913" s="56"/>
      <c r="K913" s="56"/>
      <c r="L913" s="56"/>
      <c r="M913" s="56"/>
    </row>
    <row r="914" spans="2:13" ht="15">
      <c r="B914" s="7"/>
      <c r="C914" s="56"/>
      <c r="D914" s="56"/>
      <c r="E914" s="56"/>
      <c r="F914" s="56"/>
      <c r="G914" s="56"/>
      <c r="H914" s="56"/>
      <c r="I914" s="56"/>
      <c r="J914" s="56"/>
      <c r="K914" s="56"/>
      <c r="L914" s="56"/>
      <c r="M914" s="56"/>
    </row>
    <row r="915" spans="2:13" ht="15">
      <c r="B915" s="7"/>
      <c r="C915" s="56"/>
      <c r="D915" s="56"/>
      <c r="E915" s="56"/>
      <c r="F915" s="56"/>
      <c r="G915" s="56"/>
      <c r="H915" s="56"/>
      <c r="I915" s="56"/>
      <c r="J915" s="56"/>
      <c r="K915" s="56"/>
      <c r="L915" s="56"/>
      <c r="M915" s="56"/>
    </row>
    <row r="916" spans="2:13" ht="15">
      <c r="B916" s="7"/>
      <c r="C916" s="56"/>
      <c r="D916" s="56"/>
      <c r="E916" s="56"/>
      <c r="F916" s="56"/>
      <c r="G916" s="56"/>
      <c r="H916" s="56"/>
      <c r="I916" s="56"/>
      <c r="J916" s="56"/>
      <c r="K916" s="56"/>
      <c r="L916" s="56"/>
      <c r="M916" s="56"/>
    </row>
    <row r="917" spans="2:13" ht="15">
      <c r="B917" s="7"/>
      <c r="C917" s="56"/>
      <c r="D917" s="56"/>
      <c r="E917" s="56"/>
      <c r="F917" s="56"/>
      <c r="G917" s="56"/>
      <c r="H917" s="56"/>
      <c r="I917" s="56"/>
      <c r="J917" s="56"/>
      <c r="K917" s="56"/>
      <c r="L917" s="56"/>
      <c r="M917" s="56"/>
    </row>
    <row r="918" spans="2:13" ht="15">
      <c r="B918" s="7"/>
      <c r="C918" s="56"/>
      <c r="D918" s="56"/>
      <c r="E918" s="56"/>
      <c r="F918" s="56"/>
      <c r="G918" s="56"/>
      <c r="H918" s="56"/>
      <c r="I918" s="56"/>
      <c r="J918" s="56"/>
      <c r="K918" s="56"/>
      <c r="L918" s="56"/>
      <c r="M918" s="56"/>
    </row>
    <row r="919" spans="2:13" ht="15">
      <c r="B919" s="7"/>
      <c r="C919" s="56"/>
      <c r="D919" s="56"/>
      <c r="E919" s="56"/>
      <c r="F919" s="56"/>
      <c r="G919" s="56"/>
      <c r="H919" s="56"/>
      <c r="I919" s="56"/>
      <c r="J919" s="56"/>
      <c r="K919" s="56"/>
      <c r="L919" s="56"/>
      <c r="M919" s="56"/>
    </row>
    <row r="920" spans="2:13" ht="15">
      <c r="B920" s="7"/>
      <c r="C920" s="56"/>
      <c r="D920" s="56"/>
      <c r="E920" s="56"/>
      <c r="F920" s="56"/>
      <c r="G920" s="56"/>
      <c r="H920" s="56"/>
      <c r="I920" s="56"/>
      <c r="J920" s="56"/>
      <c r="K920" s="56"/>
      <c r="L920" s="56"/>
      <c r="M920" s="56"/>
    </row>
    <row r="921" spans="2:13" ht="15">
      <c r="B921" s="7"/>
      <c r="C921" s="56"/>
      <c r="D921" s="56"/>
      <c r="E921" s="56"/>
      <c r="F921" s="56"/>
      <c r="G921" s="56"/>
      <c r="H921" s="56"/>
      <c r="I921" s="56"/>
      <c r="J921" s="56"/>
      <c r="K921" s="56"/>
      <c r="L921" s="56"/>
      <c r="M921" s="56"/>
    </row>
    <row r="922" spans="2:13" ht="15">
      <c r="B922" s="7"/>
      <c r="C922" s="56"/>
      <c r="D922" s="56"/>
      <c r="E922" s="56"/>
      <c r="F922" s="56"/>
      <c r="G922" s="56"/>
      <c r="H922" s="56"/>
      <c r="I922" s="56"/>
      <c r="J922" s="56"/>
      <c r="K922" s="56"/>
      <c r="L922" s="56"/>
      <c r="M922" s="56"/>
    </row>
    <row r="923" spans="2:13" ht="15">
      <c r="B923" s="7"/>
      <c r="C923" s="56"/>
      <c r="D923" s="56"/>
      <c r="E923" s="56"/>
      <c r="F923" s="56"/>
      <c r="G923" s="56"/>
      <c r="H923" s="56"/>
      <c r="I923" s="56"/>
      <c r="J923" s="56"/>
      <c r="K923" s="56"/>
      <c r="L923" s="56"/>
      <c r="M923" s="56"/>
    </row>
    <row r="924" spans="2:13" ht="15">
      <c r="B924" s="7"/>
      <c r="C924" s="56"/>
      <c r="D924" s="56"/>
      <c r="E924" s="56"/>
      <c r="F924" s="56"/>
      <c r="G924" s="56"/>
      <c r="H924" s="56"/>
      <c r="I924" s="56"/>
      <c r="J924" s="56"/>
      <c r="K924" s="56"/>
      <c r="L924" s="56"/>
      <c r="M924" s="56"/>
    </row>
    <row r="925" spans="2:13" ht="15">
      <c r="B925" s="7"/>
      <c r="C925" s="56"/>
      <c r="D925" s="56"/>
      <c r="E925" s="56"/>
      <c r="F925" s="56"/>
      <c r="G925" s="56"/>
      <c r="H925" s="56"/>
      <c r="I925" s="56"/>
      <c r="J925" s="56"/>
      <c r="K925" s="56"/>
      <c r="L925" s="56"/>
      <c r="M925" s="56"/>
    </row>
    <row r="926" spans="2:13" ht="15">
      <c r="B926" s="7"/>
      <c r="C926" s="56"/>
      <c r="D926" s="56"/>
      <c r="E926" s="56"/>
      <c r="F926" s="56"/>
      <c r="G926" s="56"/>
      <c r="H926" s="56"/>
      <c r="I926" s="56"/>
      <c r="J926" s="56"/>
      <c r="K926" s="56"/>
      <c r="L926" s="56"/>
      <c r="M926" s="56"/>
    </row>
    <row r="927" spans="2:13" ht="15">
      <c r="B927" s="7"/>
      <c r="C927" s="56"/>
      <c r="D927" s="56"/>
      <c r="E927" s="56"/>
      <c r="F927" s="56"/>
      <c r="G927" s="56"/>
      <c r="H927" s="56"/>
      <c r="I927" s="56"/>
      <c r="J927" s="56"/>
      <c r="K927" s="56"/>
      <c r="L927" s="56"/>
      <c r="M927" s="56"/>
    </row>
    <row r="928" spans="2:13" ht="15">
      <c r="B928" s="7"/>
      <c r="C928" s="56"/>
      <c r="D928" s="56"/>
      <c r="E928" s="56"/>
      <c r="F928" s="56"/>
      <c r="G928" s="56"/>
      <c r="H928" s="56"/>
      <c r="I928" s="56"/>
      <c r="J928" s="56"/>
      <c r="K928" s="56"/>
      <c r="L928" s="56"/>
      <c r="M928" s="56"/>
    </row>
    <row r="929" spans="2:13" ht="15">
      <c r="B929" s="7"/>
      <c r="C929" s="56"/>
      <c r="D929" s="56"/>
      <c r="E929" s="56"/>
      <c r="F929" s="56"/>
      <c r="G929" s="56"/>
      <c r="H929" s="56"/>
      <c r="I929" s="56"/>
      <c r="J929" s="56"/>
      <c r="K929" s="56"/>
      <c r="L929" s="56"/>
      <c r="M929" s="56"/>
    </row>
    <row r="930" spans="2:13" ht="15">
      <c r="B930" s="7"/>
      <c r="C930" s="56"/>
      <c r="D930" s="56"/>
      <c r="E930" s="56"/>
      <c r="F930" s="56"/>
      <c r="G930" s="56"/>
      <c r="H930" s="56"/>
      <c r="I930" s="56"/>
      <c r="J930" s="56"/>
      <c r="K930" s="56"/>
      <c r="L930" s="56"/>
      <c r="M930" s="56"/>
    </row>
    <row r="931" spans="2:13" ht="15">
      <c r="B931" s="7"/>
      <c r="C931" s="56"/>
      <c r="D931" s="56"/>
      <c r="E931" s="56"/>
      <c r="F931" s="56"/>
      <c r="G931" s="56"/>
      <c r="H931" s="56"/>
      <c r="I931" s="56"/>
      <c r="J931" s="56"/>
      <c r="K931" s="56"/>
      <c r="L931" s="56"/>
      <c r="M931" s="56"/>
    </row>
    <row r="932" spans="2:13" ht="15">
      <c r="B932" s="7"/>
      <c r="C932" s="56"/>
      <c r="D932" s="56"/>
      <c r="E932" s="56"/>
      <c r="F932" s="56"/>
      <c r="G932" s="56"/>
      <c r="H932" s="56"/>
      <c r="I932" s="56"/>
      <c r="J932" s="56"/>
      <c r="K932" s="56"/>
      <c r="L932" s="56"/>
      <c r="M932" s="56"/>
    </row>
    <row r="933" spans="2:13" ht="15">
      <c r="B933" s="7"/>
      <c r="C933" s="56"/>
      <c r="D933" s="56"/>
      <c r="E933" s="56"/>
      <c r="F933" s="56"/>
      <c r="G933" s="56"/>
      <c r="H933" s="56"/>
      <c r="I933" s="56"/>
      <c r="J933" s="56"/>
      <c r="K933" s="56"/>
      <c r="L933" s="56"/>
      <c r="M933" s="56"/>
    </row>
    <row r="934" spans="2:13" ht="15">
      <c r="B934" s="7"/>
      <c r="C934" s="56"/>
      <c r="D934" s="56"/>
      <c r="E934" s="56"/>
      <c r="F934" s="56"/>
      <c r="G934" s="56"/>
      <c r="H934" s="56"/>
      <c r="I934" s="56"/>
      <c r="J934" s="56"/>
      <c r="K934" s="56"/>
      <c r="L934" s="56"/>
      <c r="M934" s="56"/>
    </row>
    <row r="935" spans="2:13" ht="15">
      <c r="B935" s="7"/>
      <c r="C935" s="56"/>
      <c r="D935" s="56"/>
      <c r="E935" s="56"/>
      <c r="F935" s="56"/>
      <c r="G935" s="56"/>
      <c r="H935" s="56"/>
      <c r="I935" s="56"/>
      <c r="J935" s="56"/>
      <c r="K935" s="56"/>
      <c r="L935" s="56"/>
      <c r="M935" s="56"/>
    </row>
    <row r="936" spans="2:13" ht="15">
      <c r="B936" s="7"/>
      <c r="C936" s="56"/>
      <c r="D936" s="56"/>
      <c r="E936" s="56"/>
      <c r="F936" s="56"/>
      <c r="G936" s="56"/>
      <c r="H936" s="56"/>
      <c r="I936" s="56"/>
      <c r="J936" s="56"/>
      <c r="K936" s="56"/>
      <c r="L936" s="56"/>
      <c r="M936" s="56"/>
    </row>
    <row r="937" spans="2:13" ht="15">
      <c r="B937" s="7"/>
      <c r="C937" s="56"/>
      <c r="D937" s="56"/>
      <c r="E937" s="56"/>
      <c r="F937" s="56"/>
      <c r="G937" s="56"/>
      <c r="H937" s="56"/>
      <c r="I937" s="56"/>
      <c r="J937" s="56"/>
      <c r="K937" s="56"/>
      <c r="L937" s="56"/>
      <c r="M937" s="56"/>
    </row>
    <row r="938" spans="2:13" ht="15">
      <c r="B938" s="7"/>
      <c r="C938" s="56"/>
      <c r="D938" s="56"/>
      <c r="E938" s="56"/>
      <c r="F938" s="56"/>
      <c r="G938" s="56"/>
      <c r="H938" s="56"/>
      <c r="I938" s="56"/>
      <c r="J938" s="56"/>
      <c r="K938" s="56"/>
      <c r="L938" s="56"/>
      <c r="M938" s="56"/>
    </row>
    <row r="939" spans="2:13" ht="15">
      <c r="B939" s="7"/>
      <c r="C939" s="56"/>
      <c r="D939" s="56"/>
      <c r="E939" s="56"/>
      <c r="F939" s="56"/>
      <c r="G939" s="56"/>
      <c r="H939" s="56"/>
      <c r="I939" s="56"/>
      <c r="J939" s="56"/>
      <c r="K939" s="56"/>
      <c r="L939" s="56"/>
      <c r="M939" s="56"/>
    </row>
    <row r="940" spans="2:13" ht="15">
      <c r="B940" s="7"/>
      <c r="C940" s="56"/>
      <c r="D940" s="56"/>
      <c r="E940" s="56"/>
      <c r="F940" s="56"/>
      <c r="G940" s="56"/>
      <c r="H940" s="56"/>
      <c r="I940" s="56"/>
      <c r="J940" s="56"/>
      <c r="K940" s="56"/>
      <c r="L940" s="56"/>
      <c r="M940" s="56"/>
    </row>
    <row r="941" spans="2:13" ht="15">
      <c r="B941" s="7"/>
      <c r="C941" s="56"/>
      <c r="D941" s="56"/>
      <c r="E941" s="56"/>
      <c r="F941" s="56"/>
      <c r="G941" s="56"/>
      <c r="H941" s="56"/>
      <c r="I941" s="56"/>
      <c r="J941" s="56"/>
      <c r="K941" s="56"/>
      <c r="L941" s="56"/>
      <c r="M941" s="56"/>
    </row>
    <row r="942" spans="2:13" ht="15">
      <c r="B942" s="7"/>
      <c r="C942" s="56"/>
      <c r="D942" s="56"/>
      <c r="E942" s="56"/>
      <c r="F942" s="56"/>
      <c r="G942" s="56"/>
      <c r="H942" s="56"/>
      <c r="I942" s="56"/>
      <c r="J942" s="56"/>
      <c r="K942" s="56"/>
      <c r="L942" s="56"/>
      <c r="M942" s="56"/>
    </row>
    <row r="943" spans="2:13" ht="15">
      <c r="B943" s="7"/>
      <c r="C943" s="56"/>
      <c r="D943" s="56"/>
      <c r="E943" s="56"/>
      <c r="F943" s="56"/>
      <c r="G943" s="56"/>
      <c r="H943" s="56"/>
      <c r="I943" s="56"/>
      <c r="J943" s="56"/>
      <c r="K943" s="56"/>
      <c r="L943" s="56"/>
      <c r="M943" s="56"/>
    </row>
    <row r="944" spans="2:13" ht="15">
      <c r="B944" s="7"/>
      <c r="C944" s="56"/>
      <c r="D944" s="56"/>
      <c r="E944" s="56"/>
      <c r="F944" s="56"/>
      <c r="G944" s="56"/>
      <c r="H944" s="56"/>
      <c r="I944" s="56"/>
      <c r="J944" s="56"/>
      <c r="K944" s="56"/>
      <c r="L944" s="56"/>
      <c r="M944" s="56"/>
    </row>
    <row r="945" spans="2:13" ht="15">
      <c r="B945" s="7"/>
      <c r="C945" s="56"/>
      <c r="D945" s="56"/>
      <c r="E945" s="56"/>
      <c r="F945" s="56"/>
      <c r="G945" s="56"/>
      <c r="H945" s="56"/>
      <c r="I945" s="56"/>
      <c r="J945" s="56"/>
      <c r="K945" s="56"/>
      <c r="L945" s="56"/>
      <c r="M945" s="56"/>
    </row>
    <row r="946" spans="2:13" ht="15">
      <c r="B946" s="7"/>
      <c r="C946" s="56"/>
      <c r="D946" s="56"/>
      <c r="E946" s="56"/>
      <c r="F946" s="56"/>
      <c r="G946" s="56"/>
      <c r="H946" s="56"/>
      <c r="I946" s="56"/>
      <c r="J946" s="56"/>
      <c r="K946" s="56"/>
      <c r="L946" s="56"/>
      <c r="M946" s="56"/>
    </row>
    <row r="947" spans="2:13" ht="15">
      <c r="B947" s="7"/>
      <c r="C947" s="56"/>
      <c r="D947" s="56"/>
      <c r="E947" s="56"/>
      <c r="F947" s="56"/>
      <c r="G947" s="56"/>
      <c r="H947" s="56"/>
      <c r="I947" s="56"/>
      <c r="J947" s="56"/>
      <c r="K947" s="56"/>
      <c r="L947" s="56"/>
      <c r="M947" s="56"/>
    </row>
    <row r="948" spans="2:13" ht="15">
      <c r="B948" s="7"/>
      <c r="C948" s="56"/>
      <c r="D948" s="56"/>
      <c r="E948" s="56"/>
      <c r="F948" s="56"/>
      <c r="G948" s="56"/>
      <c r="H948" s="56"/>
      <c r="I948" s="56"/>
      <c r="J948" s="56"/>
      <c r="K948" s="56"/>
      <c r="L948" s="56"/>
      <c r="M948" s="56"/>
    </row>
    <row r="949" spans="2:13" ht="15">
      <c r="B949" s="7"/>
      <c r="C949" s="56"/>
      <c r="D949" s="56"/>
      <c r="E949" s="56"/>
      <c r="F949" s="56"/>
      <c r="G949" s="56"/>
      <c r="H949" s="56"/>
      <c r="I949" s="56"/>
      <c r="J949" s="56"/>
      <c r="K949" s="56"/>
      <c r="L949" s="56"/>
      <c r="M949" s="56"/>
    </row>
    <row r="950" spans="2:13" ht="15">
      <c r="B950" s="7"/>
      <c r="C950" s="56"/>
      <c r="D950" s="56"/>
      <c r="E950" s="56"/>
      <c r="F950" s="56"/>
      <c r="G950" s="56"/>
      <c r="H950" s="56"/>
      <c r="I950" s="56"/>
      <c r="J950" s="56"/>
      <c r="K950" s="56"/>
      <c r="L950" s="56"/>
      <c r="M950" s="56"/>
    </row>
    <row r="951" spans="2:13" ht="15">
      <c r="B951" s="7"/>
      <c r="C951" s="56"/>
      <c r="D951" s="56"/>
      <c r="E951" s="56"/>
      <c r="F951" s="56"/>
      <c r="G951" s="56"/>
      <c r="H951" s="56"/>
      <c r="I951" s="56"/>
      <c r="J951" s="56"/>
      <c r="K951" s="56"/>
      <c r="L951" s="56"/>
      <c r="M951" s="56"/>
    </row>
    <row r="952" spans="2:13" ht="15">
      <c r="B952" s="7"/>
      <c r="C952" s="56"/>
      <c r="D952" s="56"/>
      <c r="E952" s="56"/>
      <c r="F952" s="56"/>
      <c r="G952" s="56"/>
      <c r="H952" s="56"/>
      <c r="I952" s="56"/>
      <c r="J952" s="56"/>
      <c r="K952" s="56"/>
      <c r="L952" s="56"/>
      <c r="M952" s="56"/>
    </row>
    <row r="953" spans="2:13" ht="15">
      <c r="B953" s="7"/>
      <c r="C953" s="56"/>
      <c r="D953" s="56"/>
      <c r="E953" s="56"/>
      <c r="F953" s="56"/>
      <c r="G953" s="56"/>
      <c r="H953" s="56"/>
      <c r="I953" s="56"/>
      <c r="J953" s="56"/>
      <c r="K953" s="56"/>
      <c r="L953" s="56"/>
      <c r="M953" s="56"/>
    </row>
    <row r="954" spans="2:13" ht="15">
      <c r="B954" s="7"/>
      <c r="C954" s="56"/>
      <c r="D954" s="56"/>
      <c r="E954" s="56"/>
      <c r="F954" s="56"/>
      <c r="G954" s="56"/>
      <c r="H954" s="56"/>
      <c r="I954" s="56"/>
      <c r="J954" s="56"/>
      <c r="K954" s="56"/>
      <c r="L954" s="56"/>
      <c r="M954" s="56"/>
    </row>
    <row r="955" spans="2:13" ht="15">
      <c r="B955" s="7"/>
      <c r="C955" s="56"/>
      <c r="D955" s="56"/>
      <c r="E955" s="56"/>
      <c r="F955" s="56"/>
      <c r="G955" s="56"/>
      <c r="H955" s="56"/>
      <c r="I955" s="56"/>
      <c r="J955" s="56"/>
      <c r="K955" s="56"/>
      <c r="L955" s="56"/>
      <c r="M955" s="56"/>
    </row>
    <row r="956" spans="2:13" ht="15">
      <c r="B956" s="7"/>
      <c r="C956" s="56"/>
      <c r="D956" s="56"/>
      <c r="E956" s="56"/>
      <c r="F956" s="56"/>
      <c r="G956" s="56"/>
      <c r="H956" s="56"/>
      <c r="I956" s="56"/>
      <c r="J956" s="56"/>
      <c r="K956" s="56"/>
      <c r="L956" s="56"/>
      <c r="M956" s="56"/>
    </row>
    <row r="957" spans="2:13" ht="15">
      <c r="B957" s="7"/>
      <c r="C957" s="56"/>
      <c r="D957" s="56"/>
      <c r="E957" s="56"/>
      <c r="F957" s="56"/>
      <c r="G957" s="56"/>
      <c r="H957" s="56"/>
      <c r="I957" s="56"/>
      <c r="J957" s="56"/>
      <c r="K957" s="56"/>
      <c r="L957" s="56"/>
      <c r="M957" s="56"/>
    </row>
    <row r="958" spans="2:13" ht="15">
      <c r="B958" s="7"/>
      <c r="C958" s="56"/>
      <c r="D958" s="56"/>
      <c r="E958" s="56"/>
      <c r="F958" s="56"/>
      <c r="G958" s="56"/>
      <c r="H958" s="56"/>
      <c r="I958" s="56"/>
      <c r="J958" s="56"/>
      <c r="K958" s="56"/>
      <c r="L958" s="56"/>
      <c r="M958" s="56"/>
    </row>
    <row r="959" spans="2:13" ht="15">
      <c r="B959" s="7"/>
      <c r="C959" s="56"/>
      <c r="D959" s="56"/>
      <c r="E959" s="56"/>
      <c r="F959" s="56"/>
      <c r="G959" s="56"/>
      <c r="H959" s="56"/>
      <c r="I959" s="56"/>
      <c r="J959" s="56"/>
      <c r="K959" s="56"/>
      <c r="L959" s="56"/>
      <c r="M959" s="56"/>
    </row>
    <row r="960" spans="2:13" ht="15">
      <c r="B960" s="7"/>
      <c r="C960" s="56"/>
      <c r="D960" s="56"/>
      <c r="E960" s="56"/>
      <c r="F960" s="56"/>
      <c r="G960" s="56"/>
      <c r="H960" s="56"/>
      <c r="I960" s="56"/>
      <c r="J960" s="56"/>
      <c r="K960" s="56"/>
      <c r="L960" s="56"/>
      <c r="M960" s="56"/>
    </row>
    <row r="961" spans="2:13" ht="15">
      <c r="B961" s="7"/>
      <c r="C961" s="56"/>
      <c r="D961" s="56"/>
      <c r="E961" s="56"/>
      <c r="F961" s="56"/>
      <c r="G961" s="56"/>
      <c r="H961" s="56"/>
      <c r="I961" s="56"/>
      <c r="J961" s="56"/>
      <c r="K961" s="56"/>
      <c r="L961" s="56"/>
      <c r="M961" s="56"/>
    </row>
    <row r="962" spans="2:13" ht="15">
      <c r="B962" s="7"/>
      <c r="C962" s="56"/>
      <c r="D962" s="56"/>
      <c r="E962" s="56"/>
      <c r="F962" s="56"/>
      <c r="G962" s="56"/>
      <c r="H962" s="56"/>
      <c r="I962" s="56"/>
      <c r="J962" s="56"/>
      <c r="K962" s="56"/>
      <c r="L962" s="56"/>
      <c r="M962" s="56"/>
    </row>
    <row r="963" spans="2:13" ht="15">
      <c r="B963" s="7"/>
      <c r="C963" s="56"/>
      <c r="D963" s="56"/>
      <c r="E963" s="56"/>
      <c r="F963" s="56"/>
      <c r="G963" s="56"/>
      <c r="H963" s="56"/>
      <c r="I963" s="56"/>
      <c r="J963" s="56"/>
      <c r="K963" s="56"/>
      <c r="L963" s="56"/>
      <c r="M963" s="56"/>
    </row>
    <row r="964" spans="2:13" ht="15">
      <c r="B964" s="7"/>
      <c r="C964" s="56"/>
      <c r="D964" s="56"/>
      <c r="E964" s="56"/>
      <c r="F964" s="56"/>
      <c r="G964" s="56"/>
      <c r="H964" s="56"/>
      <c r="I964" s="56"/>
      <c r="J964" s="56"/>
      <c r="K964" s="56"/>
      <c r="L964" s="56"/>
      <c r="M964" s="56"/>
    </row>
    <row r="965" spans="2:13" ht="15">
      <c r="B965" s="7"/>
      <c r="C965" s="56"/>
      <c r="D965" s="56"/>
      <c r="E965" s="56"/>
      <c r="F965" s="56"/>
      <c r="G965" s="56"/>
      <c r="H965" s="56"/>
      <c r="I965" s="56"/>
      <c r="J965" s="56"/>
      <c r="K965" s="56"/>
      <c r="L965" s="56"/>
      <c r="M965" s="56"/>
    </row>
    <row r="966" spans="2:13" ht="15">
      <c r="B966" s="7"/>
      <c r="C966" s="56"/>
      <c r="D966" s="56"/>
      <c r="E966" s="56"/>
      <c r="F966" s="56"/>
      <c r="G966" s="56"/>
      <c r="H966" s="56"/>
      <c r="I966" s="56"/>
      <c r="J966" s="56"/>
      <c r="K966" s="56"/>
      <c r="L966" s="56"/>
      <c r="M966" s="56"/>
    </row>
    <row r="967" spans="2:13" ht="15">
      <c r="B967" s="7"/>
      <c r="C967" s="56"/>
      <c r="D967" s="56"/>
      <c r="E967" s="56"/>
      <c r="F967" s="56"/>
      <c r="G967" s="56"/>
      <c r="H967" s="56"/>
      <c r="I967" s="56"/>
      <c r="J967" s="56"/>
      <c r="K967" s="56"/>
      <c r="L967" s="56"/>
      <c r="M967" s="56"/>
    </row>
    <row r="968" spans="2:13" ht="15">
      <c r="B968" s="7"/>
      <c r="C968" s="56"/>
      <c r="D968" s="56"/>
      <c r="E968" s="56"/>
      <c r="F968" s="56"/>
      <c r="G968" s="56"/>
      <c r="H968" s="56"/>
      <c r="I968" s="56"/>
      <c r="J968" s="56"/>
      <c r="K968" s="56"/>
      <c r="L968" s="56"/>
      <c r="M968" s="56"/>
    </row>
    <row r="969" spans="2:13" ht="15">
      <c r="B969" s="7"/>
      <c r="C969" s="56"/>
      <c r="D969" s="56"/>
      <c r="E969" s="56"/>
      <c r="F969" s="56"/>
      <c r="G969" s="56"/>
      <c r="H969" s="56"/>
      <c r="I969" s="56"/>
      <c r="J969" s="56"/>
      <c r="K969" s="56"/>
      <c r="L969" s="56"/>
      <c r="M969" s="56"/>
    </row>
    <row r="970" spans="2:13" ht="15">
      <c r="B970" s="7"/>
      <c r="C970" s="56"/>
      <c r="D970" s="56"/>
      <c r="E970" s="56"/>
      <c r="F970" s="56"/>
      <c r="G970" s="56"/>
      <c r="H970" s="56"/>
      <c r="I970" s="56"/>
      <c r="J970" s="56"/>
      <c r="K970" s="56"/>
      <c r="L970" s="56"/>
      <c r="M970" s="56"/>
    </row>
    <row r="971" spans="2:13" ht="15">
      <c r="B971" s="7"/>
      <c r="C971" s="56"/>
      <c r="D971" s="56"/>
      <c r="E971" s="56"/>
      <c r="F971" s="56"/>
      <c r="G971" s="56"/>
      <c r="H971" s="56"/>
      <c r="I971" s="56"/>
      <c r="J971" s="56"/>
      <c r="K971" s="56"/>
      <c r="L971" s="56"/>
      <c r="M971" s="56"/>
    </row>
    <row r="972" spans="2:13" ht="15">
      <c r="B972" s="7"/>
      <c r="C972" s="56"/>
      <c r="D972" s="56"/>
      <c r="E972" s="56"/>
      <c r="F972" s="56"/>
      <c r="G972" s="56"/>
      <c r="H972" s="56"/>
      <c r="I972" s="56"/>
      <c r="J972" s="56"/>
      <c r="K972" s="56"/>
      <c r="L972" s="56"/>
      <c r="M972" s="56"/>
    </row>
    <row r="973" spans="2:13" ht="15">
      <c r="B973" s="7"/>
      <c r="C973" s="56"/>
      <c r="D973" s="56"/>
      <c r="E973" s="56"/>
      <c r="F973" s="56"/>
      <c r="G973" s="56"/>
      <c r="H973" s="56"/>
      <c r="I973" s="56"/>
      <c r="J973" s="56"/>
      <c r="K973" s="56"/>
      <c r="L973" s="56"/>
      <c r="M973" s="56"/>
    </row>
    <row r="974" spans="2:13" ht="15">
      <c r="B974" s="7"/>
      <c r="C974" s="56"/>
      <c r="D974" s="56"/>
      <c r="E974" s="56"/>
      <c r="F974" s="56"/>
      <c r="G974" s="56"/>
      <c r="H974" s="56"/>
      <c r="I974" s="56"/>
      <c r="J974" s="56"/>
      <c r="K974" s="56"/>
      <c r="L974" s="56"/>
      <c r="M974" s="56"/>
    </row>
    <row r="975" spans="2:13" ht="15">
      <c r="B975" s="7"/>
      <c r="C975" s="56"/>
      <c r="D975" s="56"/>
      <c r="E975" s="56"/>
      <c r="F975" s="56"/>
      <c r="G975" s="56"/>
      <c r="H975" s="56"/>
      <c r="I975" s="56"/>
      <c r="J975" s="56"/>
      <c r="K975" s="56"/>
      <c r="L975" s="56"/>
      <c r="M975" s="56"/>
    </row>
    <row r="976" spans="2:13" ht="15">
      <c r="B976" s="7"/>
      <c r="C976" s="56"/>
      <c r="D976" s="56"/>
      <c r="E976" s="56"/>
      <c r="F976" s="56"/>
      <c r="G976" s="56"/>
      <c r="H976" s="56"/>
      <c r="I976" s="56"/>
      <c r="J976" s="56"/>
      <c r="K976" s="56"/>
      <c r="L976" s="56"/>
      <c r="M976" s="56"/>
    </row>
    <row r="977" spans="2:13" ht="15">
      <c r="B977" s="7"/>
      <c r="C977" s="56"/>
      <c r="D977" s="56"/>
      <c r="E977" s="56"/>
      <c r="F977" s="56"/>
      <c r="G977" s="56"/>
      <c r="H977" s="56"/>
      <c r="I977" s="56"/>
      <c r="J977" s="56"/>
      <c r="K977" s="56"/>
      <c r="L977" s="56"/>
      <c r="M977" s="56"/>
    </row>
    <row r="978" spans="2:13" ht="15">
      <c r="B978" s="7"/>
      <c r="C978" s="56"/>
      <c r="D978" s="56"/>
      <c r="E978" s="56"/>
      <c r="F978" s="56"/>
      <c r="G978" s="56"/>
      <c r="H978" s="56"/>
      <c r="I978" s="56"/>
      <c r="J978" s="56"/>
      <c r="K978" s="56"/>
      <c r="L978" s="56"/>
      <c r="M978" s="56"/>
    </row>
    <row r="979" spans="2:13" ht="15">
      <c r="B979" s="7"/>
      <c r="C979" s="56"/>
      <c r="D979" s="56"/>
      <c r="E979" s="56"/>
      <c r="F979" s="56"/>
      <c r="G979" s="56"/>
      <c r="H979" s="56"/>
      <c r="I979" s="56"/>
      <c r="J979" s="56"/>
      <c r="K979" s="56"/>
      <c r="L979" s="56"/>
      <c r="M979" s="56"/>
    </row>
    <row r="980" spans="2:13" ht="15">
      <c r="B980" s="7"/>
      <c r="C980" s="56"/>
      <c r="D980" s="56"/>
      <c r="E980" s="56"/>
      <c r="F980" s="56"/>
      <c r="G980" s="56"/>
      <c r="H980" s="56"/>
      <c r="I980" s="56"/>
      <c r="J980" s="56"/>
      <c r="K980" s="56"/>
      <c r="L980" s="56"/>
      <c r="M980" s="56"/>
    </row>
    <row r="981" spans="2:13" ht="15">
      <c r="B981" s="7"/>
      <c r="C981" s="56"/>
      <c r="D981" s="56"/>
      <c r="E981" s="56"/>
      <c r="F981" s="56"/>
      <c r="G981" s="56"/>
      <c r="H981" s="56"/>
      <c r="I981" s="56"/>
      <c r="J981" s="56"/>
      <c r="K981" s="56"/>
      <c r="L981" s="56"/>
      <c r="M981" s="56"/>
    </row>
    <row r="982" spans="2:13" ht="15">
      <c r="B982" s="7"/>
      <c r="C982" s="56"/>
      <c r="D982" s="56"/>
      <c r="E982" s="56"/>
      <c r="F982" s="56"/>
      <c r="G982" s="56"/>
      <c r="H982" s="56"/>
      <c r="I982" s="56"/>
      <c r="J982" s="56"/>
      <c r="K982" s="56"/>
      <c r="L982" s="56"/>
      <c r="M982" s="56"/>
    </row>
    <row r="983" spans="2:13" ht="15">
      <c r="B983" s="7"/>
      <c r="C983" s="56"/>
      <c r="D983" s="56"/>
      <c r="E983" s="56"/>
      <c r="F983" s="56"/>
      <c r="G983" s="56"/>
      <c r="H983" s="56"/>
      <c r="I983" s="56"/>
      <c r="J983" s="56"/>
      <c r="K983" s="56"/>
      <c r="L983" s="56"/>
      <c r="M983" s="56"/>
    </row>
    <row r="984" spans="2:13" ht="15">
      <c r="B984" s="7"/>
      <c r="C984" s="56"/>
      <c r="D984" s="56"/>
      <c r="E984" s="56"/>
      <c r="F984" s="56"/>
      <c r="G984" s="56"/>
      <c r="H984" s="56"/>
      <c r="I984" s="56"/>
      <c r="J984" s="56"/>
      <c r="K984" s="56"/>
      <c r="L984" s="56"/>
      <c r="M984" s="56"/>
    </row>
    <row r="985" spans="2:13" ht="15">
      <c r="B985" s="7"/>
      <c r="C985" s="56"/>
      <c r="D985" s="56"/>
      <c r="E985" s="56"/>
      <c r="F985" s="56"/>
      <c r="G985" s="56"/>
      <c r="H985" s="56"/>
      <c r="I985" s="56"/>
      <c r="J985" s="56"/>
      <c r="K985" s="56"/>
      <c r="L985" s="56"/>
      <c r="M985" s="56"/>
    </row>
    <row r="986" spans="2:13" ht="15">
      <c r="B986" s="7"/>
      <c r="C986" s="56"/>
      <c r="D986" s="56"/>
      <c r="E986" s="56"/>
      <c r="F986" s="56"/>
      <c r="G986" s="56"/>
      <c r="H986" s="56"/>
      <c r="I986" s="56"/>
      <c r="J986" s="56"/>
      <c r="K986" s="56"/>
      <c r="L986" s="56"/>
      <c r="M986" s="56"/>
    </row>
    <row r="987" spans="2:13" ht="15">
      <c r="B987" s="7"/>
      <c r="C987" s="56"/>
      <c r="D987" s="56"/>
      <c r="E987" s="56"/>
      <c r="F987" s="56"/>
      <c r="G987" s="56"/>
      <c r="H987" s="56"/>
      <c r="I987" s="56"/>
      <c r="J987" s="56"/>
      <c r="K987" s="56"/>
      <c r="L987" s="56"/>
      <c r="M987" s="56"/>
    </row>
    <row r="988" spans="2:13" ht="15">
      <c r="B988" s="7"/>
      <c r="C988" s="56"/>
      <c r="D988" s="56"/>
      <c r="E988" s="56"/>
      <c r="F988" s="56"/>
      <c r="G988" s="56"/>
      <c r="H988" s="56"/>
      <c r="I988" s="56"/>
      <c r="J988" s="56"/>
      <c r="K988" s="56"/>
      <c r="L988" s="56"/>
      <c r="M988" s="56"/>
    </row>
    <row r="989" spans="2:13" ht="15">
      <c r="B989" s="7"/>
      <c r="C989" s="56"/>
      <c r="D989" s="56"/>
      <c r="E989" s="56"/>
      <c r="F989" s="56"/>
      <c r="G989" s="56"/>
      <c r="H989" s="56"/>
      <c r="I989" s="56"/>
      <c r="J989" s="56"/>
      <c r="K989" s="56"/>
      <c r="L989" s="56"/>
      <c r="M989" s="56"/>
    </row>
    <row r="990" spans="2:13" ht="15">
      <c r="B990" s="7"/>
      <c r="C990" s="56"/>
      <c r="D990" s="56"/>
      <c r="E990" s="56"/>
      <c r="F990" s="56"/>
      <c r="G990" s="56"/>
      <c r="H990" s="56"/>
      <c r="I990" s="56"/>
      <c r="J990" s="56"/>
      <c r="K990" s="56"/>
      <c r="L990" s="56"/>
      <c r="M990" s="56"/>
    </row>
    <row r="991" spans="2:13" ht="15">
      <c r="B991" s="7"/>
      <c r="C991" s="56"/>
      <c r="D991" s="56"/>
      <c r="E991" s="56"/>
      <c r="F991" s="56"/>
      <c r="G991" s="56"/>
      <c r="H991" s="56"/>
      <c r="I991" s="56"/>
      <c r="J991" s="56"/>
      <c r="K991" s="56"/>
      <c r="L991" s="56"/>
      <c r="M991" s="56"/>
    </row>
    <row r="992" spans="2:13" ht="15">
      <c r="B992" s="7"/>
      <c r="C992" s="56"/>
      <c r="D992" s="56"/>
      <c r="E992" s="56"/>
      <c r="F992" s="56"/>
      <c r="G992" s="56"/>
      <c r="H992" s="56"/>
      <c r="I992" s="56"/>
      <c r="J992" s="56"/>
      <c r="K992" s="56"/>
      <c r="L992" s="56"/>
      <c r="M992" s="56"/>
    </row>
    <row r="993" spans="2:13" ht="15">
      <c r="B993" s="7"/>
      <c r="C993" s="56"/>
      <c r="D993" s="56"/>
      <c r="E993" s="56"/>
      <c r="F993" s="56"/>
      <c r="G993" s="56"/>
      <c r="H993" s="56"/>
      <c r="I993" s="56"/>
      <c r="J993" s="56"/>
      <c r="K993" s="56"/>
      <c r="L993" s="56"/>
      <c r="M993" s="56"/>
    </row>
    <row r="994" spans="2:13" ht="15">
      <c r="B994" s="7"/>
      <c r="C994" s="56"/>
      <c r="D994" s="56"/>
      <c r="E994" s="56"/>
      <c r="F994" s="56"/>
      <c r="G994" s="56"/>
      <c r="H994" s="56"/>
      <c r="I994" s="56"/>
      <c r="J994" s="56"/>
      <c r="K994" s="56"/>
      <c r="L994" s="56"/>
      <c r="M994" s="56"/>
    </row>
    <row r="995" spans="2:13" ht="15">
      <c r="B995" s="7"/>
      <c r="C995" s="56"/>
      <c r="D995" s="56"/>
      <c r="E995" s="56"/>
      <c r="F995" s="56"/>
      <c r="G995" s="56"/>
      <c r="H995" s="56"/>
      <c r="I995" s="56"/>
      <c r="J995" s="56"/>
      <c r="K995" s="56"/>
      <c r="L995" s="56"/>
      <c r="M995" s="56"/>
    </row>
    <row r="996" spans="2:13" ht="15">
      <c r="B996" s="7"/>
      <c r="C996" s="56"/>
      <c r="D996" s="56"/>
      <c r="E996" s="56"/>
      <c r="F996" s="56"/>
      <c r="G996" s="56"/>
      <c r="H996" s="56"/>
      <c r="I996" s="56"/>
      <c r="J996" s="56"/>
      <c r="K996" s="56"/>
      <c r="L996" s="56"/>
      <c r="M996" s="56"/>
    </row>
    <row r="997" spans="2:13" ht="15">
      <c r="B997" s="7"/>
      <c r="C997" s="56"/>
      <c r="D997" s="56"/>
      <c r="E997" s="56"/>
      <c r="F997" s="56"/>
      <c r="G997" s="56"/>
      <c r="H997" s="56"/>
      <c r="I997" s="56"/>
      <c r="J997" s="56"/>
      <c r="K997" s="56"/>
      <c r="L997" s="56"/>
      <c r="M997" s="56"/>
    </row>
    <row r="998" spans="2:13" ht="15">
      <c r="B998" s="7"/>
      <c r="C998" s="56"/>
      <c r="D998" s="56"/>
      <c r="E998" s="56"/>
      <c r="F998" s="56"/>
      <c r="G998" s="56"/>
      <c r="H998" s="56"/>
      <c r="I998" s="56"/>
      <c r="J998" s="56"/>
      <c r="K998" s="56"/>
      <c r="L998" s="56"/>
      <c r="M998" s="56"/>
    </row>
    <row r="999" spans="2:13" ht="15">
      <c r="B999" s="7"/>
      <c r="C999" s="56"/>
      <c r="D999" s="56"/>
      <c r="E999" s="56"/>
      <c r="F999" s="56"/>
      <c r="G999" s="56"/>
      <c r="H999" s="56"/>
      <c r="I999" s="56"/>
      <c r="J999" s="56"/>
      <c r="K999" s="56"/>
      <c r="L999" s="56"/>
      <c r="M999" s="56"/>
    </row>
    <row r="1000" spans="2:13" ht="15">
      <c r="B1000" s="7"/>
      <c r="C1000" s="56"/>
      <c r="D1000" s="56"/>
      <c r="E1000" s="56"/>
      <c r="F1000" s="56"/>
      <c r="G1000" s="56"/>
      <c r="H1000" s="56"/>
      <c r="I1000" s="56"/>
      <c r="J1000" s="56"/>
      <c r="K1000" s="56"/>
      <c r="L1000" s="56"/>
      <c r="M1000" s="56"/>
    </row>
    <row r="1001" spans="2:13" ht="15">
      <c r="B1001" s="7"/>
      <c r="C1001" s="56"/>
      <c r="D1001" s="56"/>
      <c r="E1001" s="56"/>
      <c r="F1001" s="56"/>
      <c r="G1001" s="56"/>
      <c r="H1001" s="56"/>
      <c r="I1001" s="56"/>
      <c r="J1001" s="56"/>
      <c r="K1001" s="56"/>
      <c r="L1001" s="56"/>
      <c r="M1001" s="56"/>
    </row>
    <row r="1002" spans="2:13" ht="15">
      <c r="B1002" s="7"/>
      <c r="C1002" s="56"/>
      <c r="D1002" s="56"/>
      <c r="E1002" s="56"/>
      <c r="F1002" s="56"/>
      <c r="G1002" s="56"/>
      <c r="H1002" s="56"/>
      <c r="I1002" s="56"/>
      <c r="J1002" s="56"/>
      <c r="K1002" s="56"/>
      <c r="L1002" s="56"/>
      <c r="M1002" s="56"/>
    </row>
    <row r="1003" spans="2:13" ht="15">
      <c r="B1003" s="7"/>
      <c r="C1003" s="56"/>
      <c r="D1003" s="56"/>
      <c r="E1003" s="56"/>
      <c r="F1003" s="56"/>
      <c r="G1003" s="56"/>
      <c r="H1003" s="56"/>
      <c r="I1003" s="56"/>
      <c r="J1003" s="56"/>
      <c r="K1003" s="56"/>
      <c r="L1003" s="56"/>
      <c r="M1003" s="56"/>
    </row>
    <row r="1004" spans="2:13" ht="15">
      <c r="B1004" s="7"/>
      <c r="C1004" s="56"/>
      <c r="D1004" s="56"/>
      <c r="E1004" s="56"/>
      <c r="F1004" s="56"/>
      <c r="G1004" s="56"/>
      <c r="H1004" s="56"/>
      <c r="I1004" s="56"/>
      <c r="J1004" s="56"/>
      <c r="K1004" s="56"/>
      <c r="L1004" s="56"/>
      <c r="M1004" s="56"/>
    </row>
    <row r="1005" spans="2:13" ht="15">
      <c r="B1005" s="7"/>
      <c r="C1005" s="56"/>
      <c r="D1005" s="56"/>
      <c r="E1005" s="56"/>
      <c r="F1005" s="56"/>
      <c r="G1005" s="56"/>
      <c r="H1005" s="56"/>
      <c r="I1005" s="56"/>
      <c r="J1005" s="56"/>
      <c r="K1005" s="56"/>
      <c r="L1005" s="56"/>
      <c r="M1005" s="56"/>
    </row>
    <row r="1006" spans="2:13" ht="15">
      <c r="B1006" s="7"/>
      <c r="C1006" s="56"/>
      <c r="D1006" s="56"/>
      <c r="E1006" s="56"/>
      <c r="F1006" s="56"/>
      <c r="G1006" s="56"/>
      <c r="H1006" s="56"/>
      <c r="I1006" s="56"/>
      <c r="J1006" s="56"/>
      <c r="K1006" s="56"/>
      <c r="L1006" s="56"/>
      <c r="M1006" s="56"/>
    </row>
    <row r="1007" spans="2:13" ht="15">
      <c r="B1007" s="7"/>
      <c r="C1007" s="56"/>
      <c r="D1007" s="56"/>
      <c r="E1007" s="56"/>
      <c r="F1007" s="56"/>
      <c r="G1007" s="56"/>
      <c r="H1007" s="56"/>
      <c r="I1007" s="56"/>
      <c r="J1007" s="56"/>
      <c r="K1007" s="56"/>
      <c r="L1007" s="56"/>
      <c r="M1007" s="56"/>
    </row>
    <row r="1008" spans="2:13" ht="15">
      <c r="B1008" s="7"/>
      <c r="C1008" s="56"/>
      <c r="D1008" s="56"/>
      <c r="E1008" s="56"/>
      <c r="F1008" s="56"/>
      <c r="G1008" s="56"/>
      <c r="H1008" s="56"/>
      <c r="I1008" s="56"/>
      <c r="J1008" s="56"/>
      <c r="K1008" s="56"/>
      <c r="L1008" s="56"/>
      <c r="M1008" s="56"/>
    </row>
    <row r="1009" spans="2:13" ht="15">
      <c r="B1009" s="7"/>
      <c r="C1009" s="56"/>
      <c r="D1009" s="56"/>
      <c r="E1009" s="56"/>
      <c r="F1009" s="56"/>
      <c r="G1009" s="56"/>
      <c r="H1009" s="56"/>
      <c r="I1009" s="56"/>
      <c r="J1009" s="56"/>
      <c r="K1009" s="56"/>
      <c r="L1009" s="56"/>
      <c r="M1009" s="56"/>
    </row>
    <row r="1010" spans="2:13" ht="15">
      <c r="B1010" s="7"/>
      <c r="C1010" s="56"/>
      <c r="D1010" s="56"/>
      <c r="E1010" s="56"/>
      <c r="F1010" s="56"/>
      <c r="G1010" s="56"/>
      <c r="H1010" s="56"/>
      <c r="I1010" s="56"/>
      <c r="J1010" s="56"/>
      <c r="K1010" s="56"/>
      <c r="L1010" s="56"/>
      <c r="M1010" s="56"/>
    </row>
    <row r="1011" spans="2:13" ht="15">
      <c r="B1011" s="7"/>
      <c r="C1011" s="56"/>
      <c r="D1011" s="56"/>
      <c r="E1011" s="56"/>
      <c r="F1011" s="56"/>
      <c r="G1011" s="56"/>
      <c r="H1011" s="56"/>
      <c r="I1011" s="56"/>
      <c r="J1011" s="56"/>
      <c r="K1011" s="56"/>
      <c r="L1011" s="56"/>
      <c r="M1011" s="56"/>
    </row>
    <row r="1012" spans="2:13" ht="15">
      <c r="B1012" s="7"/>
      <c r="C1012" s="56"/>
      <c r="D1012" s="56"/>
      <c r="E1012" s="56"/>
      <c r="F1012" s="56"/>
      <c r="G1012" s="56"/>
      <c r="H1012" s="56"/>
      <c r="I1012" s="56"/>
      <c r="J1012" s="56"/>
      <c r="K1012" s="56"/>
      <c r="L1012" s="56"/>
      <c r="M1012" s="56"/>
    </row>
    <row r="1013" spans="2:13" ht="15">
      <c r="B1013" s="7"/>
      <c r="C1013" s="56"/>
      <c r="D1013" s="56"/>
      <c r="E1013" s="56"/>
      <c r="F1013" s="56"/>
      <c r="G1013" s="56"/>
      <c r="H1013" s="56"/>
      <c r="I1013" s="56"/>
      <c r="J1013" s="56"/>
      <c r="K1013" s="56"/>
      <c r="L1013" s="56"/>
      <c r="M1013" s="56"/>
    </row>
    <row r="1014" spans="2:13" ht="15">
      <c r="B1014" s="7"/>
      <c r="C1014" s="56"/>
      <c r="D1014" s="56"/>
      <c r="E1014" s="56"/>
      <c r="F1014" s="56"/>
      <c r="G1014" s="56"/>
      <c r="H1014" s="56"/>
      <c r="I1014" s="56"/>
      <c r="J1014" s="56"/>
      <c r="K1014" s="56"/>
      <c r="L1014" s="56"/>
      <c r="M1014" s="56"/>
    </row>
    <row r="1015" spans="2:13" ht="15">
      <c r="B1015" s="7"/>
      <c r="C1015" s="56"/>
      <c r="D1015" s="56"/>
      <c r="E1015" s="56"/>
      <c r="F1015" s="56"/>
      <c r="G1015" s="56"/>
      <c r="H1015" s="56"/>
      <c r="I1015" s="56"/>
      <c r="J1015" s="56"/>
      <c r="K1015" s="56"/>
      <c r="L1015" s="56"/>
      <c r="M1015" s="56"/>
    </row>
    <row r="1016" spans="2:13" ht="15">
      <c r="B1016" s="7"/>
      <c r="C1016" s="56"/>
      <c r="D1016" s="56"/>
      <c r="E1016" s="56"/>
      <c r="F1016" s="56"/>
      <c r="G1016" s="56"/>
      <c r="H1016" s="56"/>
      <c r="I1016" s="56"/>
      <c r="J1016" s="56"/>
      <c r="K1016" s="56"/>
      <c r="L1016" s="56"/>
      <c r="M1016" s="56"/>
    </row>
    <row r="1017" spans="2:13" ht="15">
      <c r="B1017" s="7"/>
      <c r="C1017" s="56"/>
      <c r="D1017" s="56"/>
      <c r="E1017" s="56"/>
      <c r="F1017" s="56"/>
      <c r="G1017" s="56"/>
      <c r="H1017" s="56"/>
      <c r="I1017" s="56"/>
      <c r="J1017" s="56"/>
      <c r="K1017" s="56"/>
      <c r="L1017" s="56"/>
      <c r="M1017" s="56"/>
    </row>
    <row r="1018" spans="2:13" ht="15">
      <c r="B1018" s="7"/>
      <c r="C1018" s="56"/>
      <c r="D1018" s="56"/>
      <c r="E1018" s="56"/>
      <c r="F1018" s="56"/>
      <c r="G1018" s="56"/>
      <c r="H1018" s="56"/>
      <c r="I1018" s="56"/>
      <c r="J1018" s="56"/>
      <c r="K1018" s="56"/>
      <c r="L1018" s="56"/>
      <c r="M1018" s="56"/>
    </row>
    <row r="1019" spans="2:13" ht="15">
      <c r="B1019" s="7"/>
      <c r="C1019" s="56"/>
      <c r="D1019" s="56"/>
      <c r="E1019" s="56"/>
      <c r="F1019" s="56"/>
      <c r="G1019" s="56"/>
      <c r="H1019" s="56"/>
      <c r="I1019" s="56"/>
      <c r="J1019" s="56"/>
      <c r="K1019" s="56"/>
      <c r="L1019" s="56"/>
      <c r="M1019" s="56"/>
    </row>
    <row r="1020" spans="2:13" ht="15">
      <c r="B1020" s="7"/>
      <c r="C1020" s="56"/>
      <c r="D1020" s="56"/>
      <c r="E1020" s="56"/>
      <c r="F1020" s="56"/>
      <c r="G1020" s="56"/>
      <c r="H1020" s="56"/>
      <c r="I1020" s="56"/>
      <c r="J1020" s="56"/>
      <c r="K1020" s="56"/>
      <c r="L1020" s="56"/>
      <c r="M1020" s="56"/>
    </row>
    <row r="1021" spans="2:13" ht="15">
      <c r="B1021" s="7"/>
      <c r="C1021" s="56"/>
      <c r="D1021" s="56"/>
      <c r="E1021" s="56"/>
      <c r="F1021" s="56"/>
      <c r="G1021" s="56"/>
      <c r="H1021" s="56"/>
      <c r="I1021" s="56"/>
      <c r="J1021" s="56"/>
      <c r="K1021" s="56"/>
      <c r="L1021" s="56"/>
      <c r="M1021" s="56"/>
    </row>
    <row r="1022" spans="2:13" ht="15">
      <c r="B1022" s="7"/>
      <c r="C1022" s="56"/>
      <c r="D1022" s="56"/>
      <c r="E1022" s="56"/>
      <c r="F1022" s="56"/>
      <c r="G1022" s="56"/>
      <c r="H1022" s="56"/>
      <c r="I1022" s="56"/>
      <c r="J1022" s="56"/>
      <c r="K1022" s="56"/>
      <c r="L1022" s="56"/>
      <c r="M1022" s="56"/>
    </row>
    <row r="1023" spans="2:13" ht="15">
      <c r="B1023" s="7"/>
      <c r="C1023" s="56"/>
      <c r="D1023" s="56"/>
      <c r="E1023" s="56"/>
      <c r="F1023" s="56"/>
      <c r="G1023" s="56"/>
      <c r="H1023" s="56"/>
      <c r="I1023" s="56"/>
      <c r="J1023" s="56"/>
      <c r="K1023" s="56"/>
      <c r="L1023" s="56"/>
      <c r="M1023" s="56"/>
    </row>
    <row r="1024" spans="2:13" ht="15">
      <c r="B1024" s="7"/>
      <c r="C1024" s="56"/>
      <c r="D1024" s="56"/>
      <c r="E1024" s="56"/>
      <c r="F1024" s="56"/>
      <c r="G1024" s="56"/>
      <c r="H1024" s="56"/>
      <c r="I1024" s="56"/>
      <c r="J1024" s="56"/>
      <c r="K1024" s="56"/>
      <c r="L1024" s="56"/>
      <c r="M1024" s="56"/>
    </row>
    <row r="1025" spans="2:13" ht="15">
      <c r="B1025" s="7"/>
      <c r="C1025" s="56"/>
      <c r="D1025" s="56"/>
      <c r="E1025" s="56"/>
      <c r="F1025" s="56"/>
      <c r="G1025" s="56"/>
      <c r="H1025" s="56"/>
      <c r="I1025" s="56"/>
      <c r="J1025" s="56"/>
      <c r="K1025" s="56"/>
      <c r="L1025" s="56"/>
      <c r="M1025" s="56"/>
    </row>
    <row r="1026" spans="2:13" ht="15">
      <c r="B1026" s="7"/>
      <c r="C1026" s="56"/>
      <c r="D1026" s="56"/>
      <c r="E1026" s="56"/>
      <c r="F1026" s="56"/>
      <c r="G1026" s="56"/>
      <c r="H1026" s="56"/>
      <c r="I1026" s="56"/>
      <c r="J1026" s="56"/>
      <c r="K1026" s="56"/>
      <c r="L1026" s="56"/>
      <c r="M1026" s="56"/>
    </row>
    <row r="1027" spans="2:13" ht="15">
      <c r="B1027" s="7"/>
      <c r="C1027" s="56"/>
      <c r="D1027" s="56"/>
      <c r="E1027" s="56"/>
      <c r="F1027" s="56"/>
      <c r="G1027" s="56"/>
      <c r="H1027" s="56"/>
      <c r="I1027" s="56"/>
      <c r="J1027" s="56"/>
      <c r="K1027" s="56"/>
      <c r="L1027" s="56"/>
      <c r="M1027" s="56"/>
    </row>
    <row r="1028" spans="2:13" ht="15">
      <c r="B1028" s="7"/>
      <c r="C1028" s="56"/>
      <c r="D1028" s="56"/>
      <c r="E1028" s="56"/>
      <c r="F1028" s="56"/>
      <c r="G1028" s="56"/>
      <c r="H1028" s="56"/>
      <c r="I1028" s="56"/>
      <c r="J1028" s="56"/>
      <c r="K1028" s="56"/>
      <c r="L1028" s="56"/>
      <c r="M1028" s="56"/>
    </row>
    <row r="1029" spans="2:13" ht="15">
      <c r="B1029" s="7"/>
      <c r="C1029" s="56"/>
      <c r="D1029" s="56"/>
      <c r="E1029" s="56"/>
      <c r="F1029" s="56"/>
      <c r="G1029" s="56"/>
      <c r="H1029" s="56"/>
      <c r="I1029" s="56"/>
      <c r="J1029" s="56"/>
      <c r="K1029" s="56"/>
      <c r="L1029" s="56"/>
      <c r="M1029" s="56"/>
    </row>
    <row r="1030" spans="2:13" ht="15">
      <c r="B1030" s="7"/>
      <c r="C1030" s="56"/>
      <c r="D1030" s="56"/>
      <c r="E1030" s="56"/>
      <c r="F1030" s="56"/>
      <c r="G1030" s="56"/>
      <c r="H1030" s="56"/>
      <c r="I1030" s="56"/>
      <c r="J1030" s="56"/>
      <c r="K1030" s="56"/>
      <c r="L1030" s="56"/>
      <c r="M1030" s="56"/>
    </row>
    <row r="1031" spans="2:13" ht="15">
      <c r="B1031" s="7"/>
      <c r="C1031" s="56"/>
      <c r="D1031" s="56"/>
      <c r="E1031" s="56"/>
      <c r="F1031" s="56"/>
      <c r="G1031" s="56"/>
      <c r="H1031" s="56"/>
      <c r="I1031" s="56"/>
      <c r="J1031" s="56"/>
      <c r="K1031" s="56"/>
      <c r="L1031" s="56"/>
      <c r="M1031" s="56"/>
    </row>
    <row r="1032" spans="2:13" ht="15">
      <c r="B1032" s="7"/>
      <c r="C1032" s="56"/>
      <c r="D1032" s="56"/>
      <c r="E1032" s="56"/>
      <c r="F1032" s="56"/>
      <c r="G1032" s="56"/>
      <c r="H1032" s="56"/>
      <c r="I1032" s="56"/>
      <c r="J1032" s="56"/>
      <c r="K1032" s="56"/>
      <c r="L1032" s="56"/>
      <c r="M1032" s="56"/>
    </row>
    <row r="1033" spans="2:13" ht="15">
      <c r="B1033" s="7"/>
      <c r="C1033" s="56"/>
      <c r="D1033" s="56"/>
      <c r="E1033" s="56"/>
      <c r="F1033" s="56"/>
      <c r="G1033" s="56"/>
      <c r="H1033" s="56"/>
      <c r="I1033" s="56"/>
      <c r="J1033" s="56"/>
      <c r="K1033" s="56"/>
      <c r="L1033" s="56"/>
      <c r="M1033" s="56"/>
    </row>
    <row r="1034" spans="2:13" ht="15">
      <c r="B1034" s="7"/>
      <c r="C1034" s="56"/>
      <c r="D1034" s="56"/>
      <c r="E1034" s="56"/>
      <c r="F1034" s="56"/>
      <c r="G1034" s="56"/>
      <c r="H1034" s="56"/>
      <c r="I1034" s="56"/>
      <c r="J1034" s="56"/>
      <c r="K1034" s="56"/>
      <c r="L1034" s="56"/>
      <c r="M1034" s="56"/>
    </row>
    <row r="1035" spans="2:13" ht="15">
      <c r="B1035" s="7"/>
      <c r="C1035" s="56"/>
      <c r="D1035" s="56"/>
      <c r="E1035" s="56"/>
      <c r="F1035" s="56"/>
      <c r="G1035" s="56"/>
      <c r="H1035" s="56"/>
      <c r="I1035" s="56"/>
      <c r="J1035" s="56"/>
      <c r="K1035" s="56"/>
      <c r="L1035" s="56"/>
      <c r="M1035" s="56"/>
    </row>
    <row r="1036" spans="2:13" ht="15">
      <c r="B1036" s="7"/>
      <c r="C1036" s="56"/>
      <c r="D1036" s="56"/>
      <c r="E1036" s="56"/>
      <c r="F1036" s="56"/>
      <c r="G1036" s="56"/>
      <c r="H1036" s="56"/>
      <c r="I1036" s="56"/>
      <c r="J1036" s="56"/>
      <c r="K1036" s="56"/>
      <c r="L1036" s="56"/>
      <c r="M1036" s="56"/>
    </row>
    <row r="1037" spans="2:13" ht="15">
      <c r="B1037" s="7"/>
      <c r="C1037" s="56"/>
      <c r="D1037" s="56"/>
      <c r="E1037" s="56"/>
      <c r="F1037" s="56"/>
      <c r="G1037" s="56"/>
      <c r="H1037" s="56"/>
      <c r="I1037" s="56"/>
      <c r="J1037" s="56"/>
      <c r="K1037" s="56"/>
      <c r="L1037" s="56"/>
      <c r="M1037" s="56"/>
    </row>
    <row r="1038" spans="2:13" ht="15">
      <c r="B1038" s="7"/>
      <c r="C1038" s="56"/>
      <c r="D1038" s="56"/>
      <c r="E1038" s="56"/>
      <c r="F1038" s="56"/>
      <c r="G1038" s="56"/>
      <c r="H1038" s="56"/>
      <c r="I1038" s="56"/>
      <c r="J1038" s="56"/>
      <c r="K1038" s="56"/>
      <c r="L1038" s="56"/>
      <c r="M1038" s="56"/>
    </row>
    <row r="1039" spans="2:13" ht="15">
      <c r="B1039" s="7"/>
      <c r="C1039" s="56"/>
      <c r="D1039" s="56"/>
      <c r="E1039" s="56"/>
      <c r="F1039" s="56"/>
      <c r="G1039" s="56"/>
      <c r="H1039" s="56"/>
      <c r="I1039" s="56"/>
      <c r="J1039" s="56"/>
      <c r="K1039" s="56"/>
      <c r="L1039" s="56"/>
      <c r="M1039" s="56"/>
    </row>
    <row r="1040" spans="2:13" ht="15">
      <c r="B1040" s="7"/>
      <c r="C1040" s="56"/>
      <c r="D1040" s="56"/>
      <c r="E1040" s="56"/>
      <c r="F1040" s="56"/>
      <c r="G1040" s="56"/>
      <c r="H1040" s="56"/>
      <c r="I1040" s="56"/>
      <c r="J1040" s="56"/>
      <c r="K1040" s="56"/>
      <c r="L1040" s="56"/>
      <c r="M1040" s="56"/>
    </row>
    <row r="1041" spans="2:13" ht="15">
      <c r="B1041" s="7"/>
      <c r="C1041" s="56"/>
      <c r="D1041" s="56"/>
      <c r="E1041" s="56"/>
      <c r="F1041" s="56"/>
      <c r="G1041" s="56"/>
      <c r="H1041" s="56"/>
      <c r="I1041" s="56"/>
      <c r="J1041" s="56"/>
      <c r="K1041" s="56"/>
      <c r="L1041" s="56"/>
      <c r="M1041" s="56"/>
    </row>
    <row r="1042" spans="2:13" ht="15">
      <c r="B1042" s="7"/>
      <c r="C1042" s="56"/>
      <c r="D1042" s="56"/>
      <c r="E1042" s="56"/>
      <c r="F1042" s="56"/>
      <c r="G1042" s="56"/>
      <c r="H1042" s="56"/>
      <c r="I1042" s="56"/>
      <c r="J1042" s="56"/>
      <c r="K1042" s="56"/>
      <c r="L1042" s="56"/>
      <c r="M1042" s="56"/>
    </row>
    <row r="1043" spans="2:13" ht="15">
      <c r="B1043" s="7"/>
      <c r="C1043" s="56"/>
      <c r="D1043" s="56"/>
      <c r="E1043" s="56"/>
      <c r="F1043" s="56"/>
      <c r="G1043" s="56"/>
      <c r="H1043" s="56"/>
      <c r="I1043" s="56"/>
      <c r="J1043" s="56"/>
      <c r="K1043" s="56"/>
      <c r="L1043" s="56"/>
      <c r="M1043" s="56"/>
    </row>
    <row r="1044" spans="2:13" ht="15">
      <c r="B1044" s="7"/>
      <c r="C1044" s="56"/>
      <c r="D1044" s="56"/>
      <c r="E1044" s="56"/>
      <c r="F1044" s="56"/>
      <c r="G1044" s="56"/>
      <c r="H1044" s="56"/>
      <c r="I1044" s="56"/>
      <c r="J1044" s="56"/>
      <c r="K1044" s="56"/>
      <c r="L1044" s="56"/>
      <c r="M1044" s="56"/>
    </row>
    <row r="1045" spans="2:13" ht="15">
      <c r="B1045" s="7"/>
      <c r="C1045" s="56"/>
      <c r="D1045" s="56"/>
      <c r="E1045" s="56"/>
      <c r="F1045" s="56"/>
      <c r="G1045" s="56"/>
      <c r="H1045" s="56"/>
      <c r="I1045" s="56"/>
      <c r="J1045" s="56"/>
      <c r="K1045" s="56"/>
      <c r="L1045" s="56"/>
      <c r="M1045" s="56"/>
    </row>
    <row r="1046" spans="2:13" ht="15">
      <c r="B1046" s="7"/>
      <c r="C1046" s="56"/>
      <c r="D1046" s="56"/>
      <c r="E1046" s="56"/>
      <c r="F1046" s="56"/>
      <c r="G1046" s="56"/>
      <c r="H1046" s="56"/>
      <c r="I1046" s="56"/>
      <c r="J1046" s="56"/>
      <c r="K1046" s="56"/>
      <c r="L1046" s="56"/>
      <c r="M1046" s="56"/>
    </row>
    <row r="1047" spans="2:13" ht="15">
      <c r="B1047" s="7"/>
      <c r="C1047" s="56"/>
      <c r="D1047" s="56"/>
      <c r="E1047" s="56"/>
      <c r="F1047" s="56"/>
      <c r="G1047" s="56"/>
      <c r="H1047" s="56"/>
      <c r="I1047" s="56"/>
      <c r="J1047" s="56"/>
      <c r="K1047" s="56"/>
      <c r="L1047" s="56"/>
      <c r="M1047" s="56"/>
    </row>
    <row r="1048" spans="2:13" ht="15">
      <c r="B1048" s="7"/>
      <c r="C1048" s="56"/>
      <c r="D1048" s="56"/>
      <c r="E1048" s="56"/>
      <c r="F1048" s="56"/>
      <c r="G1048" s="56"/>
      <c r="H1048" s="56"/>
      <c r="I1048" s="56"/>
      <c r="J1048" s="56"/>
      <c r="K1048" s="56"/>
      <c r="L1048" s="56"/>
      <c r="M1048" s="56"/>
    </row>
    <row r="1049" spans="2:13" ht="15">
      <c r="B1049" s="7"/>
      <c r="C1049" s="56"/>
      <c r="D1049" s="56"/>
      <c r="E1049" s="56"/>
      <c r="F1049" s="56"/>
      <c r="G1049" s="56"/>
      <c r="H1049" s="56"/>
      <c r="I1049" s="56"/>
      <c r="J1049" s="56"/>
      <c r="K1049" s="56"/>
      <c r="L1049" s="56"/>
      <c r="M1049" s="56"/>
    </row>
    <row r="1050" spans="2:13" ht="15">
      <c r="B1050" s="7"/>
      <c r="C1050" s="56"/>
      <c r="D1050" s="56"/>
      <c r="E1050" s="56"/>
      <c r="F1050" s="56"/>
      <c r="G1050" s="56"/>
      <c r="H1050" s="56"/>
      <c r="I1050" s="56"/>
      <c r="J1050" s="56"/>
      <c r="K1050" s="56"/>
      <c r="L1050" s="56"/>
      <c r="M1050" s="56"/>
    </row>
    <row r="1051" spans="2:13" ht="15">
      <c r="B1051" s="7"/>
      <c r="C1051" s="56"/>
      <c r="D1051" s="56"/>
      <c r="E1051" s="56"/>
      <c r="F1051" s="56"/>
      <c r="G1051" s="56"/>
      <c r="H1051" s="56"/>
      <c r="I1051" s="56"/>
      <c r="J1051" s="56"/>
      <c r="K1051" s="56"/>
      <c r="L1051" s="56"/>
      <c r="M1051" s="56"/>
    </row>
    <row r="1052" spans="2:13" ht="15">
      <c r="B1052" s="7"/>
      <c r="C1052" s="56"/>
      <c r="D1052" s="56"/>
      <c r="E1052" s="56"/>
      <c r="F1052" s="56"/>
      <c r="G1052" s="56"/>
      <c r="H1052" s="56"/>
      <c r="I1052" s="56"/>
      <c r="J1052" s="56"/>
      <c r="K1052" s="56"/>
      <c r="L1052" s="56"/>
      <c r="M1052" s="56"/>
    </row>
    <row r="1053" spans="2:13" ht="15">
      <c r="B1053" s="7"/>
      <c r="C1053" s="56"/>
      <c r="D1053" s="56"/>
      <c r="E1053" s="56"/>
      <c r="F1053" s="56"/>
      <c r="G1053" s="56"/>
      <c r="H1053" s="56"/>
      <c r="I1053" s="56"/>
      <c r="J1053" s="56"/>
      <c r="K1053" s="56"/>
      <c r="L1053" s="56"/>
      <c r="M1053" s="56"/>
    </row>
    <row r="1054" spans="2:13" ht="15">
      <c r="B1054" s="7"/>
      <c r="C1054" s="56"/>
      <c r="D1054" s="56"/>
      <c r="E1054" s="56"/>
      <c r="F1054" s="56"/>
      <c r="G1054" s="56"/>
      <c r="H1054" s="56"/>
      <c r="I1054" s="56"/>
      <c r="J1054" s="56"/>
      <c r="K1054" s="56"/>
      <c r="L1054" s="56"/>
      <c r="M1054" s="56"/>
    </row>
    <row r="1055" spans="2:13" ht="15">
      <c r="B1055" s="7"/>
      <c r="C1055" s="56"/>
      <c r="D1055" s="56"/>
      <c r="E1055" s="56"/>
      <c r="F1055" s="56"/>
      <c r="G1055" s="56"/>
      <c r="H1055" s="56"/>
      <c r="I1055" s="56"/>
      <c r="J1055" s="56"/>
      <c r="K1055" s="56"/>
      <c r="L1055" s="56"/>
      <c r="M1055" s="56"/>
    </row>
    <row r="1056" spans="2:13" ht="15">
      <c r="B1056" s="7"/>
      <c r="C1056" s="56"/>
      <c r="D1056" s="56"/>
      <c r="E1056" s="56"/>
      <c r="F1056" s="56"/>
      <c r="G1056" s="56"/>
      <c r="H1056" s="56"/>
      <c r="I1056" s="56"/>
      <c r="J1056" s="56"/>
      <c r="K1056" s="56"/>
      <c r="L1056" s="56"/>
      <c r="M1056" s="56"/>
    </row>
    <row r="1057" spans="2:13" ht="15">
      <c r="B1057" s="7"/>
      <c r="C1057" s="56"/>
      <c r="D1057" s="56"/>
      <c r="E1057" s="56"/>
      <c r="F1057" s="56"/>
      <c r="G1057" s="56"/>
      <c r="H1057" s="56"/>
      <c r="I1057" s="56"/>
      <c r="J1057" s="56"/>
      <c r="K1057" s="56"/>
      <c r="L1057" s="56"/>
      <c r="M1057" s="56"/>
    </row>
    <row r="1058" spans="2:13" ht="15">
      <c r="B1058" s="7"/>
      <c r="C1058" s="56"/>
      <c r="D1058" s="56"/>
      <c r="E1058" s="56"/>
      <c r="F1058" s="56"/>
      <c r="G1058" s="56"/>
      <c r="H1058" s="56"/>
      <c r="I1058" s="56"/>
      <c r="J1058" s="56"/>
      <c r="K1058" s="56"/>
      <c r="L1058" s="56"/>
      <c r="M1058" s="56"/>
    </row>
    <row r="1059" spans="2:13" ht="15">
      <c r="B1059" s="7"/>
      <c r="C1059" s="56"/>
      <c r="D1059" s="56"/>
      <c r="E1059" s="56"/>
      <c r="F1059" s="56"/>
      <c r="G1059" s="56"/>
      <c r="H1059" s="56"/>
      <c r="I1059" s="56"/>
      <c r="J1059" s="56"/>
      <c r="K1059" s="56"/>
      <c r="L1059" s="56"/>
      <c r="M1059" s="56"/>
    </row>
    <row r="1060" spans="2:13" ht="15">
      <c r="B1060" s="7"/>
      <c r="C1060" s="56"/>
      <c r="D1060" s="56"/>
      <c r="E1060" s="56"/>
      <c r="F1060" s="56"/>
      <c r="G1060" s="56"/>
      <c r="H1060" s="56"/>
      <c r="I1060" s="56"/>
      <c r="J1060" s="56"/>
      <c r="K1060" s="56"/>
      <c r="L1060" s="56"/>
      <c r="M1060" s="56"/>
    </row>
    <row r="1061" spans="2:13" ht="15">
      <c r="B1061" s="7"/>
      <c r="C1061" s="56"/>
      <c r="D1061" s="56"/>
      <c r="E1061" s="56"/>
      <c r="F1061" s="56"/>
      <c r="G1061" s="56"/>
      <c r="H1061" s="56"/>
      <c r="I1061" s="56"/>
      <c r="J1061" s="56"/>
      <c r="K1061" s="56"/>
      <c r="L1061" s="56"/>
      <c r="M1061" s="56"/>
    </row>
    <row r="1062" spans="2:13" ht="15">
      <c r="B1062" s="7"/>
      <c r="C1062" s="56"/>
      <c r="D1062" s="56"/>
      <c r="E1062" s="56"/>
      <c r="F1062" s="56"/>
      <c r="G1062" s="56"/>
      <c r="H1062" s="56"/>
      <c r="I1062" s="56"/>
      <c r="J1062" s="56"/>
      <c r="K1062" s="56"/>
      <c r="L1062" s="56"/>
      <c r="M1062" s="56"/>
    </row>
    <row r="1063" spans="2:13" ht="15">
      <c r="B1063" s="7"/>
      <c r="C1063" s="56"/>
      <c r="D1063" s="56"/>
      <c r="E1063" s="56"/>
      <c r="F1063" s="56"/>
      <c r="G1063" s="56"/>
      <c r="H1063" s="56"/>
      <c r="I1063" s="56"/>
      <c r="J1063" s="56"/>
      <c r="K1063" s="56"/>
      <c r="L1063" s="56"/>
      <c r="M1063" s="56"/>
    </row>
    <row r="1064" spans="2:13" ht="15">
      <c r="B1064" s="7"/>
      <c r="C1064" s="56"/>
      <c r="D1064" s="56"/>
      <c r="E1064" s="56"/>
      <c r="F1064" s="56"/>
      <c r="G1064" s="56"/>
      <c r="H1064" s="56"/>
      <c r="I1064" s="56"/>
      <c r="J1064" s="56"/>
      <c r="K1064" s="56"/>
      <c r="L1064" s="56"/>
      <c r="M1064" s="56"/>
    </row>
    <row r="1065" spans="2:13" ht="15">
      <c r="B1065" s="7"/>
      <c r="C1065" s="56"/>
      <c r="D1065" s="56"/>
      <c r="E1065" s="56"/>
      <c r="F1065" s="56"/>
      <c r="G1065" s="56"/>
      <c r="H1065" s="56"/>
      <c r="I1065" s="56"/>
      <c r="J1065" s="56"/>
      <c r="K1065" s="56"/>
      <c r="L1065" s="56"/>
      <c r="M1065" s="56"/>
    </row>
    <row r="1066" spans="2:13" ht="15">
      <c r="B1066" s="7"/>
      <c r="C1066" s="56"/>
      <c r="D1066" s="56"/>
      <c r="E1066" s="56"/>
      <c r="F1066" s="56"/>
      <c r="G1066" s="56"/>
      <c r="H1066" s="56"/>
      <c r="I1066" s="56"/>
      <c r="J1066" s="56"/>
      <c r="K1066" s="56"/>
      <c r="L1066" s="56"/>
      <c r="M1066" s="56"/>
    </row>
    <row r="1067" spans="2:13" ht="15">
      <c r="B1067" s="7"/>
      <c r="C1067" s="56"/>
      <c r="D1067" s="56"/>
      <c r="E1067" s="56"/>
      <c r="F1067" s="56"/>
      <c r="G1067" s="56"/>
      <c r="H1067" s="56"/>
      <c r="I1067" s="56"/>
      <c r="J1067" s="56"/>
      <c r="K1067" s="56"/>
      <c r="L1067" s="56"/>
      <c r="M1067" s="56"/>
    </row>
    <row r="1068" spans="2:13" ht="15">
      <c r="B1068" s="7"/>
      <c r="C1068" s="56"/>
      <c r="D1068" s="56"/>
      <c r="E1068" s="56"/>
      <c r="F1068" s="56"/>
      <c r="G1068" s="56"/>
      <c r="H1068" s="56"/>
      <c r="I1068" s="56"/>
      <c r="J1068" s="56"/>
      <c r="K1068" s="56"/>
      <c r="L1068" s="56"/>
      <c r="M1068" s="56"/>
    </row>
    <row r="1069" spans="2:13" ht="15">
      <c r="B1069" s="7"/>
      <c r="C1069" s="56"/>
      <c r="D1069" s="56"/>
      <c r="E1069" s="56"/>
      <c r="F1069" s="56"/>
      <c r="G1069" s="56"/>
      <c r="H1069" s="56"/>
      <c r="I1069" s="56"/>
      <c r="J1069" s="56"/>
      <c r="K1069" s="56"/>
      <c r="L1069" s="56"/>
      <c r="M1069" s="56"/>
    </row>
    <row r="1070" spans="2:13" ht="15">
      <c r="B1070" s="7"/>
      <c r="C1070" s="56"/>
      <c r="D1070" s="56"/>
      <c r="E1070" s="56"/>
      <c r="F1070" s="56"/>
      <c r="G1070" s="56"/>
      <c r="H1070" s="56"/>
      <c r="I1070" s="56"/>
      <c r="J1070" s="56"/>
      <c r="K1070" s="56"/>
      <c r="L1070" s="56"/>
      <c r="M1070" s="56"/>
    </row>
    <row r="1071" spans="2:13" ht="15">
      <c r="B1071" s="7"/>
      <c r="C1071" s="56"/>
      <c r="D1071" s="56"/>
      <c r="E1071" s="56"/>
      <c r="F1071" s="56"/>
      <c r="G1071" s="56"/>
      <c r="H1071" s="56"/>
      <c r="I1071" s="56"/>
      <c r="J1071" s="56"/>
      <c r="K1071" s="56"/>
      <c r="L1071" s="56"/>
      <c r="M1071" s="56"/>
    </row>
    <row r="1072" spans="2:13" ht="15">
      <c r="B1072" s="7"/>
      <c r="C1072" s="56"/>
      <c r="D1072" s="56"/>
      <c r="E1072" s="56"/>
      <c r="F1072" s="56"/>
      <c r="G1072" s="56"/>
      <c r="H1072" s="56"/>
      <c r="I1072" s="56"/>
      <c r="J1072" s="56"/>
      <c r="K1072" s="56"/>
      <c r="L1072" s="56"/>
      <c r="M1072" s="56"/>
    </row>
    <row r="1073" spans="2:13" ht="15">
      <c r="B1073" s="7"/>
      <c r="C1073" s="56"/>
      <c r="D1073" s="56"/>
      <c r="E1073" s="56"/>
      <c r="F1073" s="56"/>
      <c r="G1073" s="56"/>
      <c r="H1073" s="56"/>
      <c r="I1073" s="56"/>
      <c r="J1073" s="56"/>
      <c r="K1073" s="56"/>
      <c r="L1073" s="56"/>
      <c r="M1073" s="56"/>
    </row>
    <row r="1074" spans="2:13" ht="15">
      <c r="B1074" s="7"/>
      <c r="C1074" s="56"/>
      <c r="D1074" s="56"/>
      <c r="E1074" s="56"/>
      <c r="F1074" s="56"/>
      <c r="G1074" s="56"/>
      <c r="H1074" s="56"/>
      <c r="I1074" s="56"/>
      <c r="J1074" s="56"/>
      <c r="K1074" s="56"/>
      <c r="L1074" s="56"/>
      <c r="M1074" s="56"/>
    </row>
    <row r="1075" spans="2:13" ht="15">
      <c r="B1075" s="7"/>
      <c r="C1075" s="56"/>
      <c r="D1075" s="56"/>
      <c r="E1075" s="56"/>
      <c r="F1075" s="56"/>
      <c r="G1075" s="56"/>
      <c r="H1075" s="56"/>
      <c r="I1075" s="56"/>
      <c r="J1075" s="56"/>
      <c r="K1075" s="56"/>
      <c r="L1075" s="56"/>
      <c r="M1075" s="56"/>
    </row>
    <row r="1076" spans="2:13" ht="15">
      <c r="B1076" s="7"/>
      <c r="C1076" s="56"/>
      <c r="D1076" s="56"/>
      <c r="E1076" s="56"/>
      <c r="F1076" s="56"/>
      <c r="G1076" s="56"/>
      <c r="H1076" s="56"/>
      <c r="I1076" s="56"/>
      <c r="J1076" s="56"/>
      <c r="K1076" s="56"/>
      <c r="L1076" s="56"/>
      <c r="M1076" s="56"/>
    </row>
    <row r="1077" spans="2:13" ht="15">
      <c r="B1077" s="7"/>
      <c r="C1077" s="56"/>
      <c r="D1077" s="56"/>
      <c r="E1077" s="56"/>
      <c r="F1077" s="56"/>
      <c r="G1077" s="56"/>
      <c r="H1077" s="56"/>
      <c r="I1077" s="56"/>
      <c r="J1077" s="56"/>
      <c r="K1077" s="56"/>
      <c r="L1077" s="56"/>
      <c r="M1077" s="56"/>
    </row>
    <row r="1078" spans="2:13" ht="15">
      <c r="B1078" s="7"/>
      <c r="C1078" s="56"/>
      <c r="D1078" s="56"/>
      <c r="E1078" s="56"/>
      <c r="F1078" s="56"/>
      <c r="G1078" s="56"/>
      <c r="H1078" s="56"/>
      <c r="I1078" s="56"/>
      <c r="J1078" s="56"/>
      <c r="K1078" s="56"/>
      <c r="L1078" s="56"/>
      <c r="M1078" s="56"/>
    </row>
    <row r="1079" spans="2:13" ht="15">
      <c r="B1079" s="7"/>
      <c r="C1079" s="56"/>
      <c r="D1079" s="56"/>
      <c r="E1079" s="56"/>
      <c r="F1079" s="56"/>
      <c r="G1079" s="56"/>
      <c r="H1079" s="56"/>
      <c r="I1079" s="56"/>
      <c r="J1079" s="56"/>
      <c r="K1079" s="56"/>
      <c r="L1079" s="56"/>
      <c r="M1079" s="56"/>
    </row>
    <row r="1080" spans="2:13" ht="15">
      <c r="B1080" s="7"/>
      <c r="C1080" s="56"/>
      <c r="D1080" s="56"/>
      <c r="E1080" s="56"/>
      <c r="F1080" s="56"/>
      <c r="G1080" s="56"/>
      <c r="H1080" s="56"/>
      <c r="I1080" s="56"/>
      <c r="J1080" s="56"/>
      <c r="K1080" s="56"/>
      <c r="L1080" s="56"/>
      <c r="M1080" s="56"/>
    </row>
    <row r="1081" spans="2:13" ht="15">
      <c r="B1081" s="7"/>
      <c r="C1081" s="56"/>
      <c r="D1081" s="56"/>
      <c r="E1081" s="56"/>
      <c r="F1081" s="56"/>
      <c r="G1081" s="56"/>
      <c r="H1081" s="56"/>
      <c r="I1081" s="56"/>
      <c r="J1081" s="56"/>
      <c r="K1081" s="56"/>
      <c r="L1081" s="56"/>
      <c r="M1081" s="56"/>
    </row>
    <row r="1082" spans="2:13" ht="15">
      <c r="B1082" s="7"/>
      <c r="C1082" s="56"/>
      <c r="D1082" s="56"/>
      <c r="E1082" s="56"/>
      <c r="F1082" s="56"/>
      <c r="G1082" s="56"/>
      <c r="H1082" s="56"/>
      <c r="I1082" s="56"/>
      <c r="J1082" s="56"/>
      <c r="K1082" s="56"/>
      <c r="L1082" s="56"/>
      <c r="M1082" s="56"/>
    </row>
    <row r="1083" spans="2:13" ht="15">
      <c r="B1083" s="7"/>
      <c r="C1083" s="56"/>
      <c r="D1083" s="56"/>
      <c r="E1083" s="56"/>
      <c r="F1083" s="56"/>
      <c r="G1083" s="56"/>
      <c r="H1083" s="56"/>
      <c r="I1083" s="56"/>
      <c r="J1083" s="56"/>
      <c r="K1083" s="56"/>
      <c r="L1083" s="56"/>
      <c r="M1083" s="56"/>
    </row>
    <row r="1084" spans="2:13" ht="15">
      <c r="B1084" s="7"/>
      <c r="C1084" s="56"/>
      <c r="D1084" s="56"/>
      <c r="E1084" s="56"/>
      <c r="F1084" s="56"/>
      <c r="G1084" s="56"/>
      <c r="H1084" s="56"/>
      <c r="I1084" s="56"/>
      <c r="J1084" s="56"/>
      <c r="K1084" s="56"/>
      <c r="L1084" s="56"/>
      <c r="M1084" s="56"/>
    </row>
    <row r="1085" spans="2:13" ht="15">
      <c r="B1085" s="7"/>
      <c r="C1085" s="56"/>
      <c r="D1085" s="56"/>
      <c r="E1085" s="56"/>
      <c r="F1085" s="56"/>
      <c r="G1085" s="56"/>
      <c r="H1085" s="56"/>
      <c r="I1085" s="56"/>
      <c r="J1085" s="56"/>
      <c r="K1085" s="56"/>
      <c r="L1085" s="56"/>
      <c r="M1085" s="56"/>
    </row>
    <row r="1086" spans="2:13" ht="15">
      <c r="B1086" s="7"/>
      <c r="C1086" s="56"/>
      <c r="D1086" s="56"/>
      <c r="E1086" s="56"/>
      <c r="F1086" s="56"/>
      <c r="G1086" s="56"/>
      <c r="H1086" s="56"/>
      <c r="I1086" s="56"/>
      <c r="J1086" s="56"/>
      <c r="K1086" s="56"/>
      <c r="L1086" s="56"/>
      <c r="M1086" s="56"/>
    </row>
    <row r="1087" spans="2:13" ht="15">
      <c r="B1087" s="7"/>
      <c r="C1087" s="56"/>
      <c r="D1087" s="56"/>
      <c r="E1087" s="56"/>
      <c r="F1087" s="56"/>
      <c r="G1087" s="56"/>
      <c r="H1087" s="56"/>
      <c r="I1087" s="56"/>
      <c r="J1087" s="56"/>
      <c r="K1087" s="56"/>
      <c r="L1087" s="56"/>
      <c r="M1087" s="56"/>
    </row>
    <row r="1088" spans="2:13" ht="15">
      <c r="B1088" s="7"/>
      <c r="C1088" s="56"/>
      <c r="D1088" s="56"/>
      <c r="E1088" s="56"/>
      <c r="F1088" s="56"/>
      <c r="G1088" s="56"/>
      <c r="H1088" s="56"/>
      <c r="I1088" s="56"/>
      <c r="J1088" s="56"/>
      <c r="K1088" s="56"/>
      <c r="L1088" s="56"/>
      <c r="M1088" s="56"/>
    </row>
    <row r="1089" spans="2:13" ht="15">
      <c r="B1089" s="7"/>
      <c r="C1089" s="56"/>
      <c r="D1089" s="56"/>
      <c r="E1089" s="56"/>
      <c r="F1089" s="56"/>
      <c r="G1089" s="56"/>
      <c r="H1089" s="56"/>
      <c r="I1089" s="56"/>
      <c r="J1089" s="56"/>
      <c r="K1089" s="56"/>
      <c r="L1089" s="56"/>
      <c r="M1089" s="56"/>
    </row>
    <row r="1090" spans="2:13" ht="15">
      <c r="B1090" s="7"/>
      <c r="C1090" s="56"/>
      <c r="D1090" s="56"/>
      <c r="E1090" s="56"/>
      <c r="F1090" s="56"/>
      <c r="G1090" s="56"/>
      <c r="H1090" s="56"/>
      <c r="I1090" s="56"/>
      <c r="J1090" s="56"/>
      <c r="K1090" s="56"/>
      <c r="L1090" s="56"/>
      <c r="M1090" s="56"/>
    </row>
    <row r="1091" spans="2:13" ht="15">
      <c r="B1091" s="7"/>
      <c r="C1091" s="56"/>
      <c r="D1091" s="56"/>
      <c r="E1091" s="56"/>
      <c r="F1091" s="56"/>
      <c r="G1091" s="56"/>
      <c r="H1091" s="56"/>
      <c r="I1091" s="56"/>
      <c r="J1091" s="56"/>
      <c r="K1091" s="56"/>
      <c r="L1091" s="56"/>
      <c r="M1091" s="56"/>
    </row>
    <row r="1092" spans="2:13" ht="15">
      <c r="B1092" s="7"/>
      <c r="C1092" s="56"/>
      <c r="D1092" s="56"/>
      <c r="E1092" s="56"/>
      <c r="F1092" s="56"/>
      <c r="G1092" s="56"/>
      <c r="H1092" s="56"/>
      <c r="I1092" s="56"/>
      <c r="J1092" s="56"/>
      <c r="K1092" s="56"/>
      <c r="L1092" s="56"/>
      <c r="M1092" s="56"/>
    </row>
    <row r="1093" spans="2:13" ht="15">
      <c r="B1093" s="7"/>
      <c r="C1093" s="56"/>
      <c r="D1093" s="56"/>
      <c r="E1093" s="56"/>
      <c r="F1093" s="56"/>
      <c r="G1093" s="56"/>
      <c r="H1093" s="56"/>
      <c r="I1093" s="56"/>
      <c r="J1093" s="56"/>
      <c r="K1093" s="56"/>
      <c r="L1093" s="56"/>
      <c r="M1093" s="56"/>
    </row>
    <row r="1094" spans="2:13" ht="15">
      <c r="B1094" s="7"/>
      <c r="C1094" s="56"/>
      <c r="D1094" s="56"/>
      <c r="E1094" s="56"/>
      <c r="F1094" s="56"/>
      <c r="G1094" s="56"/>
      <c r="H1094" s="56"/>
      <c r="I1094" s="56"/>
      <c r="J1094" s="56"/>
      <c r="K1094" s="56"/>
      <c r="L1094" s="56"/>
      <c r="M1094" s="56"/>
    </row>
    <row r="1095" spans="2:13" ht="15">
      <c r="B1095" s="7"/>
      <c r="C1095" s="56"/>
      <c r="D1095" s="56"/>
      <c r="E1095" s="56"/>
      <c r="F1095" s="56"/>
      <c r="G1095" s="56"/>
      <c r="H1095" s="56"/>
      <c r="I1095" s="56"/>
      <c r="J1095" s="56"/>
      <c r="K1095" s="56"/>
      <c r="L1095" s="56"/>
      <c r="M1095" s="56"/>
    </row>
    <row r="1096" spans="2:13" ht="15">
      <c r="B1096" s="7"/>
      <c r="C1096" s="56"/>
      <c r="D1096" s="56"/>
      <c r="E1096" s="56"/>
      <c r="F1096" s="56"/>
      <c r="G1096" s="56"/>
      <c r="H1096" s="56"/>
      <c r="I1096" s="56"/>
      <c r="J1096" s="56"/>
      <c r="K1096" s="56"/>
      <c r="L1096" s="56"/>
      <c r="M1096" s="56"/>
    </row>
    <row r="1097" spans="2:13" ht="15">
      <c r="B1097" s="7"/>
      <c r="C1097" s="56"/>
      <c r="D1097" s="56"/>
      <c r="E1097" s="56"/>
      <c r="F1097" s="56"/>
      <c r="G1097" s="56"/>
      <c r="H1097" s="56"/>
      <c r="I1097" s="56"/>
      <c r="J1097" s="56"/>
      <c r="K1097" s="56"/>
      <c r="L1097" s="56"/>
      <c r="M1097" s="56"/>
    </row>
    <row r="1098" spans="2:13" ht="15">
      <c r="B1098" s="7"/>
      <c r="C1098" s="56"/>
      <c r="D1098" s="56"/>
      <c r="E1098" s="56"/>
      <c r="F1098" s="56"/>
      <c r="G1098" s="56"/>
      <c r="H1098" s="56"/>
      <c r="I1098" s="56"/>
      <c r="J1098" s="56"/>
      <c r="K1098" s="56"/>
      <c r="L1098" s="56"/>
      <c r="M1098" s="56"/>
    </row>
    <row r="1099" spans="2:13" ht="15">
      <c r="B1099" s="7"/>
      <c r="C1099" s="56"/>
      <c r="D1099" s="56"/>
      <c r="E1099" s="56"/>
      <c r="F1099" s="56"/>
      <c r="G1099" s="56"/>
      <c r="H1099" s="56"/>
      <c r="I1099" s="56"/>
      <c r="J1099" s="56"/>
      <c r="K1099" s="56"/>
      <c r="L1099" s="56"/>
      <c r="M1099" s="56"/>
    </row>
    <row r="1100" spans="2:13" ht="15">
      <c r="B1100" s="7"/>
      <c r="C1100" s="56"/>
      <c r="D1100" s="56"/>
      <c r="E1100" s="56"/>
      <c r="F1100" s="56"/>
      <c r="G1100" s="56"/>
      <c r="H1100" s="56"/>
      <c r="I1100" s="56"/>
      <c r="J1100" s="56"/>
      <c r="K1100" s="56"/>
      <c r="L1100" s="56"/>
      <c r="M1100" s="56"/>
    </row>
    <row r="1101" spans="2:13" ht="15">
      <c r="B1101" s="7"/>
      <c r="C1101" s="56"/>
      <c r="D1101" s="56"/>
      <c r="E1101" s="56"/>
      <c r="F1101" s="56"/>
      <c r="G1101" s="56"/>
      <c r="H1101" s="56"/>
      <c r="I1101" s="56"/>
      <c r="J1101" s="56"/>
      <c r="K1101" s="56"/>
      <c r="L1101" s="56"/>
      <c r="M1101" s="56"/>
    </row>
    <row r="1102" spans="2:13" ht="15">
      <c r="B1102" s="7"/>
      <c r="C1102" s="56"/>
      <c r="D1102" s="56"/>
      <c r="E1102" s="56"/>
      <c r="F1102" s="56"/>
      <c r="G1102" s="56"/>
      <c r="H1102" s="56"/>
      <c r="I1102" s="56"/>
      <c r="J1102" s="56"/>
      <c r="K1102" s="56"/>
      <c r="L1102" s="56"/>
      <c r="M1102" s="56"/>
    </row>
    <row r="1103" spans="2:13" ht="15">
      <c r="B1103" s="7"/>
      <c r="C1103" s="56"/>
      <c r="D1103" s="56"/>
      <c r="E1103" s="56"/>
      <c r="F1103" s="56"/>
      <c r="G1103" s="56"/>
      <c r="H1103" s="56"/>
      <c r="I1103" s="56"/>
      <c r="J1103" s="56"/>
      <c r="K1103" s="56"/>
      <c r="L1103" s="56"/>
      <c r="M1103" s="56"/>
    </row>
    <row r="1104" spans="2:13" ht="15">
      <c r="B1104" s="7"/>
      <c r="C1104" s="56"/>
      <c r="D1104" s="56"/>
      <c r="E1104" s="56"/>
      <c r="F1104" s="56"/>
      <c r="G1104" s="56"/>
      <c r="H1104" s="56"/>
      <c r="I1104" s="56"/>
      <c r="J1104" s="56"/>
      <c r="K1104" s="56"/>
      <c r="L1104" s="56"/>
      <c r="M1104" s="56"/>
    </row>
    <row r="1105" spans="2:13" ht="15">
      <c r="B1105" s="7"/>
      <c r="C1105" s="56"/>
      <c r="D1105" s="56"/>
      <c r="E1105" s="56"/>
      <c r="F1105" s="56"/>
      <c r="G1105" s="56"/>
      <c r="H1105" s="56"/>
      <c r="I1105" s="56"/>
      <c r="J1105" s="56"/>
      <c r="K1105" s="56"/>
      <c r="L1105" s="56"/>
      <c r="M1105" s="56"/>
    </row>
    <row r="1106" spans="2:13" ht="15">
      <c r="B1106" s="7"/>
      <c r="C1106" s="56"/>
      <c r="D1106" s="56"/>
      <c r="E1106" s="56"/>
      <c r="F1106" s="56"/>
      <c r="G1106" s="56"/>
      <c r="H1106" s="56"/>
      <c r="I1106" s="56"/>
      <c r="J1106" s="56"/>
      <c r="K1106" s="56"/>
      <c r="L1106" s="56"/>
      <c r="M1106" s="56"/>
    </row>
    <row r="1107" spans="2:13" ht="15">
      <c r="B1107" s="7"/>
      <c r="C1107" s="56"/>
      <c r="D1107" s="56"/>
      <c r="E1107" s="56"/>
      <c r="F1107" s="56"/>
      <c r="G1107" s="56"/>
      <c r="H1107" s="56"/>
      <c r="I1107" s="56"/>
      <c r="J1107" s="56"/>
      <c r="K1107" s="56"/>
      <c r="L1107" s="56"/>
      <c r="M1107" s="56"/>
    </row>
    <row r="1108" spans="2:13" ht="15">
      <c r="B1108" s="7"/>
      <c r="C1108" s="56"/>
      <c r="D1108" s="56"/>
      <c r="E1108" s="56"/>
      <c r="F1108" s="56"/>
      <c r="G1108" s="56"/>
      <c r="H1108" s="56"/>
      <c r="I1108" s="56"/>
      <c r="J1108" s="56"/>
      <c r="K1108" s="56"/>
      <c r="L1108" s="56"/>
      <c r="M1108" s="56"/>
    </row>
    <row r="1109" spans="2:13" ht="15">
      <c r="B1109" s="7"/>
      <c r="C1109" s="56"/>
      <c r="D1109" s="56"/>
      <c r="E1109" s="56"/>
      <c r="F1109" s="56"/>
      <c r="G1109" s="56"/>
      <c r="H1109" s="56"/>
      <c r="I1109" s="56"/>
      <c r="J1109" s="56"/>
      <c r="K1109" s="56"/>
      <c r="L1109" s="56"/>
      <c r="M1109" s="56"/>
    </row>
    <row r="1110" spans="2:13" ht="15">
      <c r="B1110" s="7"/>
      <c r="C1110" s="56"/>
      <c r="D1110" s="56"/>
      <c r="E1110" s="56"/>
      <c r="F1110" s="56"/>
      <c r="G1110" s="56"/>
      <c r="H1110" s="56"/>
      <c r="I1110" s="56"/>
      <c r="J1110" s="56"/>
      <c r="K1110" s="56"/>
      <c r="L1110" s="56"/>
      <c r="M1110" s="56"/>
    </row>
    <row r="1111" spans="2:13" ht="15">
      <c r="B1111" s="7"/>
      <c r="C1111" s="56"/>
      <c r="D1111" s="56"/>
      <c r="E1111" s="56"/>
      <c r="F1111" s="56"/>
      <c r="G1111" s="56"/>
      <c r="H1111" s="56"/>
      <c r="I1111" s="56"/>
      <c r="J1111" s="56"/>
      <c r="K1111" s="56"/>
      <c r="L1111" s="56"/>
      <c r="M1111" s="56"/>
    </row>
    <row r="1112" spans="2:13" ht="15">
      <c r="B1112" s="7"/>
      <c r="C1112" s="56"/>
      <c r="D1112" s="56"/>
      <c r="E1112" s="56"/>
      <c r="F1112" s="56"/>
      <c r="G1112" s="56"/>
      <c r="H1112" s="56"/>
      <c r="I1112" s="56"/>
      <c r="J1112" s="56"/>
      <c r="K1112" s="56"/>
      <c r="L1112" s="56"/>
      <c r="M1112" s="56"/>
    </row>
    <row r="1113" spans="2:13" ht="15">
      <c r="B1113" s="7"/>
      <c r="C1113" s="56"/>
      <c r="D1113" s="56"/>
      <c r="E1113" s="56"/>
      <c r="F1113" s="56"/>
      <c r="G1113" s="56"/>
      <c r="H1113" s="56"/>
      <c r="I1113" s="56"/>
      <c r="J1113" s="56"/>
      <c r="K1113" s="56"/>
      <c r="L1113" s="56"/>
      <c r="M1113" s="56"/>
    </row>
    <row r="1114" spans="2:13" ht="15">
      <c r="B1114" s="7"/>
      <c r="C1114" s="56"/>
      <c r="D1114" s="56"/>
      <c r="E1114" s="56"/>
      <c r="F1114" s="56"/>
      <c r="G1114" s="56"/>
      <c r="H1114" s="56"/>
      <c r="I1114" s="56"/>
      <c r="J1114" s="56"/>
      <c r="K1114" s="56"/>
      <c r="L1114" s="56"/>
      <c r="M1114" s="56"/>
    </row>
    <row r="1115" spans="2:13" ht="15">
      <c r="B1115" s="7"/>
      <c r="C1115" s="56"/>
      <c r="D1115" s="56"/>
      <c r="E1115" s="56"/>
      <c r="F1115" s="56"/>
      <c r="G1115" s="56"/>
      <c r="H1115" s="56"/>
      <c r="I1115" s="56"/>
      <c r="J1115" s="56"/>
      <c r="K1115" s="56"/>
      <c r="L1115" s="56"/>
      <c r="M1115" s="56"/>
    </row>
    <row r="1116" spans="2:13" ht="15">
      <c r="B1116" s="7"/>
      <c r="C1116" s="56"/>
      <c r="D1116" s="56"/>
      <c r="E1116" s="56"/>
      <c r="F1116" s="56"/>
      <c r="G1116" s="56"/>
      <c r="H1116" s="56"/>
      <c r="I1116" s="56"/>
      <c r="J1116" s="56"/>
      <c r="K1116" s="56"/>
      <c r="L1116" s="56"/>
      <c r="M1116" s="56"/>
    </row>
    <row r="1117" spans="2:13" ht="15">
      <c r="B1117" s="7"/>
      <c r="C1117" s="56"/>
      <c r="D1117" s="56"/>
      <c r="E1117" s="56"/>
      <c r="F1117" s="56"/>
      <c r="G1117" s="56"/>
      <c r="H1117" s="56"/>
      <c r="I1117" s="56"/>
      <c r="J1117" s="56"/>
      <c r="K1117" s="56"/>
      <c r="L1117" s="56"/>
      <c r="M1117" s="56"/>
    </row>
    <row r="1118" spans="2:13" ht="15">
      <c r="B1118" s="7"/>
      <c r="C1118" s="56"/>
      <c r="D1118" s="56"/>
      <c r="E1118" s="56"/>
      <c r="F1118" s="56"/>
      <c r="G1118" s="56"/>
      <c r="H1118" s="56"/>
      <c r="I1118" s="56"/>
      <c r="J1118" s="56"/>
      <c r="K1118" s="56"/>
      <c r="L1118" s="56"/>
      <c r="M1118" s="56"/>
    </row>
    <row r="1119" spans="2:13" ht="15">
      <c r="B1119" s="7"/>
      <c r="C1119" s="56"/>
      <c r="D1119" s="56"/>
      <c r="E1119" s="56"/>
      <c r="F1119" s="56"/>
      <c r="G1119" s="56"/>
      <c r="H1119" s="56"/>
      <c r="I1119" s="56"/>
      <c r="J1119" s="56"/>
      <c r="K1119" s="56"/>
      <c r="L1119" s="56"/>
      <c r="M1119" s="56"/>
    </row>
    <row r="1120" spans="2:13" ht="15">
      <c r="B1120" s="7"/>
      <c r="C1120" s="56"/>
      <c r="D1120" s="56"/>
      <c r="E1120" s="56"/>
      <c r="F1120" s="56"/>
      <c r="G1120" s="56"/>
      <c r="H1120" s="56"/>
      <c r="I1120" s="56"/>
      <c r="J1120" s="56"/>
      <c r="K1120" s="56"/>
      <c r="L1120" s="56"/>
      <c r="M1120" s="56"/>
    </row>
    <row r="1121" spans="2:13" ht="15">
      <c r="B1121" s="7"/>
      <c r="C1121" s="56"/>
      <c r="D1121" s="56"/>
      <c r="E1121" s="56"/>
      <c r="F1121" s="56"/>
      <c r="G1121" s="56"/>
      <c r="H1121" s="56"/>
      <c r="I1121" s="56"/>
      <c r="J1121" s="56"/>
      <c r="K1121" s="56"/>
      <c r="L1121" s="56"/>
      <c r="M1121" s="56"/>
    </row>
    <row r="1122" spans="2:13" ht="15">
      <c r="B1122" s="7"/>
      <c r="C1122" s="56"/>
      <c r="D1122" s="56"/>
      <c r="E1122" s="56"/>
      <c r="F1122" s="56"/>
      <c r="G1122" s="56"/>
      <c r="H1122" s="56"/>
      <c r="I1122" s="56"/>
      <c r="J1122" s="56"/>
      <c r="K1122" s="56"/>
      <c r="L1122" s="56"/>
      <c r="M1122" s="56"/>
    </row>
    <row r="1123" spans="2:13" ht="15">
      <c r="B1123" s="7"/>
      <c r="C1123" s="56"/>
      <c r="D1123" s="56"/>
      <c r="E1123" s="56"/>
      <c r="F1123" s="56"/>
      <c r="G1123" s="56"/>
      <c r="H1123" s="56"/>
      <c r="I1123" s="56"/>
      <c r="J1123" s="56"/>
      <c r="K1123" s="56"/>
      <c r="L1123" s="56"/>
      <c r="M1123" s="56"/>
    </row>
    <row r="1124" spans="2:13" ht="15">
      <c r="B1124" s="7"/>
      <c r="C1124" s="56"/>
      <c r="D1124" s="56"/>
      <c r="E1124" s="56"/>
      <c r="F1124" s="56"/>
      <c r="G1124" s="56"/>
      <c r="H1124" s="56"/>
      <c r="I1124" s="56"/>
      <c r="J1124" s="56"/>
      <c r="K1124" s="56"/>
      <c r="L1124" s="56"/>
      <c r="M1124" s="56"/>
    </row>
    <row r="1125" spans="2:13" ht="15">
      <c r="B1125" s="7"/>
      <c r="C1125" s="56"/>
      <c r="D1125" s="56"/>
      <c r="E1125" s="56"/>
      <c r="F1125" s="56"/>
      <c r="G1125" s="56"/>
      <c r="H1125" s="56"/>
      <c r="I1125" s="56"/>
      <c r="J1125" s="56"/>
      <c r="K1125" s="56"/>
      <c r="L1125" s="56"/>
      <c r="M1125" s="56"/>
    </row>
    <row r="1126" spans="2:13" ht="15">
      <c r="B1126" s="7"/>
      <c r="C1126" s="56"/>
      <c r="D1126" s="56"/>
      <c r="E1126" s="56"/>
      <c r="F1126" s="56"/>
      <c r="G1126" s="56"/>
      <c r="H1126" s="56"/>
      <c r="I1126" s="56"/>
      <c r="J1126" s="56"/>
      <c r="K1126" s="56"/>
      <c r="L1126" s="56"/>
      <c r="M1126" s="56"/>
    </row>
    <row r="1127" spans="2:13" ht="15">
      <c r="B1127" s="7"/>
      <c r="C1127" s="56"/>
      <c r="D1127" s="56"/>
      <c r="E1127" s="56"/>
      <c r="F1127" s="56"/>
      <c r="G1127" s="56"/>
      <c r="H1127" s="56"/>
      <c r="I1127" s="56"/>
      <c r="J1127" s="56"/>
      <c r="K1127" s="56"/>
      <c r="L1127" s="56"/>
      <c r="M1127" s="56"/>
    </row>
    <row r="1128" spans="2:13" ht="15">
      <c r="B1128" s="7"/>
      <c r="C1128" s="56"/>
      <c r="D1128" s="56"/>
      <c r="E1128" s="56"/>
      <c r="F1128" s="56"/>
      <c r="G1128" s="56"/>
      <c r="H1128" s="56"/>
      <c r="I1128" s="56"/>
      <c r="J1128" s="56"/>
      <c r="K1128" s="56"/>
      <c r="L1128" s="56"/>
      <c r="M1128" s="56"/>
    </row>
    <row r="1129" spans="2:13" ht="15">
      <c r="B1129" s="7"/>
      <c r="C1129" s="56"/>
      <c r="D1129" s="56"/>
      <c r="E1129" s="56"/>
      <c r="F1129" s="56"/>
      <c r="G1129" s="56"/>
      <c r="H1129" s="56"/>
      <c r="I1129" s="56"/>
      <c r="J1129" s="56"/>
      <c r="K1129" s="56"/>
      <c r="L1129" s="56"/>
      <c r="M1129" s="56"/>
    </row>
    <row r="1130" spans="2:13" ht="15">
      <c r="B1130" s="7"/>
      <c r="C1130" s="56"/>
      <c r="D1130" s="56"/>
      <c r="E1130" s="56"/>
      <c r="F1130" s="56"/>
      <c r="G1130" s="56"/>
      <c r="H1130" s="56"/>
      <c r="I1130" s="56"/>
      <c r="J1130" s="56"/>
      <c r="K1130" s="56"/>
      <c r="L1130" s="56"/>
      <c r="M1130" s="56"/>
    </row>
    <row r="1131" spans="2:13" ht="15">
      <c r="B1131" s="7"/>
      <c r="C1131" s="56"/>
      <c r="D1131" s="56"/>
      <c r="E1131" s="56"/>
      <c r="F1131" s="56"/>
      <c r="G1131" s="56"/>
      <c r="H1131" s="56"/>
      <c r="I1131" s="56"/>
      <c r="J1131" s="56"/>
      <c r="K1131" s="56"/>
      <c r="L1131" s="56"/>
      <c r="M1131" s="56"/>
    </row>
    <row r="1132" spans="2:13" ht="15">
      <c r="B1132" s="7"/>
      <c r="C1132" s="56"/>
      <c r="D1132" s="56"/>
      <c r="E1132" s="56"/>
      <c r="F1132" s="56"/>
      <c r="G1132" s="56"/>
      <c r="H1132" s="56"/>
      <c r="I1132" s="56"/>
      <c r="J1132" s="56"/>
      <c r="K1132" s="56"/>
      <c r="L1132" s="56"/>
      <c r="M1132" s="56"/>
    </row>
    <row r="1133" spans="2:13" ht="15">
      <c r="B1133" s="7"/>
      <c r="C1133" s="56"/>
      <c r="D1133" s="56"/>
      <c r="E1133" s="56"/>
      <c r="F1133" s="56"/>
      <c r="G1133" s="56"/>
      <c r="H1133" s="56"/>
      <c r="I1133" s="56"/>
      <c r="J1133" s="56"/>
      <c r="K1133" s="56"/>
      <c r="L1133" s="56"/>
      <c r="M1133" s="56"/>
    </row>
    <row r="1134" spans="2:13" ht="15">
      <c r="B1134" s="7"/>
      <c r="C1134" s="56"/>
      <c r="D1134" s="56"/>
      <c r="E1134" s="56"/>
      <c r="F1134" s="56"/>
      <c r="G1134" s="56"/>
      <c r="H1134" s="56"/>
      <c r="I1134" s="56"/>
      <c r="J1134" s="56"/>
      <c r="K1134" s="56"/>
      <c r="L1134" s="56"/>
      <c r="M1134" s="56"/>
    </row>
    <row r="1135" spans="2:13" ht="15">
      <c r="B1135" s="7"/>
      <c r="C1135" s="56"/>
      <c r="D1135" s="56"/>
      <c r="E1135" s="56"/>
      <c r="F1135" s="56"/>
      <c r="G1135" s="56"/>
      <c r="H1135" s="56"/>
      <c r="I1135" s="56"/>
      <c r="J1135" s="56"/>
      <c r="K1135" s="56"/>
      <c r="L1135" s="56"/>
      <c r="M1135" s="56"/>
    </row>
    <row r="1136" spans="2:13" ht="15">
      <c r="B1136" s="7"/>
      <c r="C1136" s="56"/>
      <c r="D1136" s="56"/>
      <c r="E1136" s="56"/>
      <c r="F1136" s="56"/>
      <c r="G1136" s="56"/>
      <c r="H1136" s="56"/>
      <c r="I1136" s="56"/>
      <c r="J1136" s="56"/>
      <c r="K1136" s="56"/>
      <c r="L1136" s="56"/>
      <c r="M1136" s="56"/>
    </row>
    <row r="1137" spans="2:13" ht="15">
      <c r="B1137" s="7"/>
      <c r="C1137" s="56"/>
      <c r="D1137" s="56"/>
      <c r="E1137" s="56"/>
      <c r="F1137" s="56"/>
      <c r="G1137" s="56"/>
      <c r="H1137" s="56"/>
      <c r="I1137" s="56"/>
      <c r="J1137" s="56"/>
      <c r="K1137" s="56"/>
      <c r="L1137" s="56"/>
      <c r="M1137" s="56"/>
    </row>
    <row r="1138" spans="2:13" ht="15">
      <c r="B1138" s="7"/>
      <c r="C1138" s="56"/>
      <c r="D1138" s="56"/>
      <c r="E1138" s="56"/>
      <c r="F1138" s="56"/>
      <c r="G1138" s="56"/>
      <c r="H1138" s="56"/>
      <c r="I1138" s="56"/>
      <c r="J1138" s="56"/>
      <c r="K1138" s="56"/>
      <c r="L1138" s="56"/>
      <c r="M1138" s="56"/>
    </row>
    <row r="1139" spans="2:13" ht="15">
      <c r="B1139" s="7"/>
      <c r="C1139" s="56"/>
      <c r="D1139" s="56"/>
      <c r="E1139" s="56"/>
      <c r="F1139" s="56"/>
      <c r="G1139" s="56"/>
      <c r="H1139" s="56"/>
      <c r="I1139" s="56"/>
      <c r="J1139" s="56"/>
      <c r="K1139" s="56"/>
      <c r="L1139" s="56"/>
      <c r="M1139" s="56"/>
    </row>
    <row r="1140" spans="2:13" ht="15">
      <c r="B1140" s="7"/>
      <c r="C1140" s="56"/>
      <c r="D1140" s="56"/>
      <c r="E1140" s="56"/>
      <c r="F1140" s="56"/>
      <c r="G1140" s="56"/>
      <c r="H1140" s="56"/>
      <c r="I1140" s="56"/>
      <c r="J1140" s="56"/>
      <c r="K1140" s="56"/>
      <c r="L1140" s="56"/>
      <c r="M1140" s="56"/>
    </row>
    <row r="1141" spans="2:13" ht="15">
      <c r="B1141" s="7"/>
      <c r="C1141" s="56"/>
      <c r="D1141" s="56"/>
      <c r="E1141" s="56"/>
      <c r="F1141" s="56"/>
      <c r="G1141" s="56"/>
      <c r="H1141" s="56"/>
      <c r="I1141" s="56"/>
      <c r="J1141" s="56"/>
      <c r="K1141" s="56"/>
      <c r="L1141" s="56"/>
      <c r="M1141" s="56"/>
    </row>
    <row r="1142" spans="2:13" ht="15">
      <c r="B1142" s="7"/>
      <c r="C1142" s="56"/>
      <c r="D1142" s="56"/>
      <c r="E1142" s="56"/>
      <c r="F1142" s="56"/>
      <c r="G1142" s="56"/>
      <c r="H1142" s="56"/>
      <c r="I1142" s="56"/>
      <c r="J1142" s="56"/>
      <c r="K1142" s="56"/>
      <c r="L1142" s="56"/>
      <c r="M1142" s="56"/>
    </row>
    <row r="1143" spans="2:13" ht="15">
      <c r="B1143" s="7"/>
      <c r="C1143" s="56"/>
      <c r="D1143" s="56"/>
      <c r="E1143" s="56"/>
      <c r="F1143" s="56"/>
      <c r="G1143" s="56"/>
      <c r="H1143" s="56"/>
      <c r="I1143" s="56"/>
      <c r="J1143" s="56"/>
      <c r="K1143" s="56"/>
      <c r="L1143" s="56"/>
      <c r="M1143" s="56"/>
    </row>
    <row r="1144" spans="2:13" ht="15">
      <c r="B1144" s="7"/>
      <c r="C1144" s="56"/>
      <c r="D1144" s="56"/>
      <c r="E1144" s="56"/>
      <c r="F1144" s="56"/>
      <c r="G1144" s="56"/>
      <c r="H1144" s="56"/>
      <c r="I1144" s="56"/>
      <c r="J1144" s="56"/>
      <c r="K1144" s="56"/>
      <c r="L1144" s="56"/>
      <c r="M1144" s="56"/>
    </row>
    <row r="1145" spans="2:13" ht="15">
      <c r="B1145" s="7"/>
      <c r="C1145" s="56"/>
      <c r="D1145" s="56"/>
      <c r="E1145" s="56"/>
      <c r="F1145" s="56"/>
      <c r="G1145" s="56"/>
      <c r="H1145" s="56"/>
      <c r="I1145" s="56"/>
      <c r="J1145" s="56"/>
      <c r="K1145" s="56"/>
      <c r="L1145" s="56"/>
      <c r="M1145" s="56"/>
    </row>
    <row r="1146" spans="2:13" ht="15">
      <c r="B1146" s="7"/>
      <c r="C1146" s="56"/>
      <c r="D1146" s="56"/>
      <c r="E1146" s="56"/>
      <c r="F1146" s="56"/>
      <c r="G1146" s="56"/>
      <c r="H1146" s="56"/>
      <c r="I1146" s="56"/>
      <c r="J1146" s="56"/>
      <c r="K1146" s="56"/>
      <c r="L1146" s="56"/>
      <c r="M1146" s="56"/>
    </row>
    <row r="1147" spans="2:13" ht="15">
      <c r="B1147" s="7"/>
      <c r="C1147" s="56"/>
      <c r="D1147" s="56"/>
      <c r="E1147" s="56"/>
      <c r="F1147" s="56"/>
      <c r="G1147" s="56"/>
      <c r="H1147" s="56"/>
      <c r="I1147" s="56"/>
      <c r="J1147" s="56"/>
      <c r="K1147" s="56"/>
      <c r="L1147" s="56"/>
      <c r="M1147" s="56"/>
    </row>
    <row r="1148" spans="2:13" ht="15">
      <c r="B1148" s="7"/>
      <c r="C1148" s="56"/>
      <c r="D1148" s="56"/>
      <c r="E1148" s="56"/>
      <c r="F1148" s="56"/>
      <c r="G1148" s="56"/>
      <c r="H1148" s="56"/>
      <c r="I1148" s="56"/>
      <c r="J1148" s="56"/>
      <c r="K1148" s="56"/>
      <c r="L1148" s="56"/>
      <c r="M1148" s="56"/>
    </row>
    <row r="1149" spans="2:13" ht="15">
      <c r="B1149" s="7"/>
      <c r="C1149" s="56"/>
      <c r="D1149" s="56"/>
      <c r="E1149" s="56"/>
      <c r="F1149" s="56"/>
      <c r="G1149" s="56"/>
      <c r="H1149" s="56"/>
      <c r="I1149" s="56"/>
      <c r="J1149" s="56"/>
      <c r="K1149" s="56"/>
      <c r="L1149" s="56"/>
      <c r="M1149" s="56"/>
    </row>
    <row r="1150" spans="2:13" ht="15">
      <c r="B1150" s="7"/>
      <c r="C1150" s="56"/>
      <c r="D1150" s="56"/>
      <c r="E1150" s="56"/>
      <c r="F1150" s="56"/>
      <c r="G1150" s="56"/>
      <c r="H1150" s="56"/>
      <c r="I1150" s="56"/>
      <c r="J1150" s="56"/>
      <c r="K1150" s="56"/>
      <c r="L1150" s="56"/>
      <c r="M1150" s="56"/>
    </row>
    <row r="1151" spans="2:13" ht="15">
      <c r="B1151" s="7"/>
      <c r="C1151" s="56"/>
      <c r="D1151" s="56"/>
      <c r="E1151" s="56"/>
      <c r="F1151" s="56"/>
      <c r="G1151" s="56"/>
      <c r="H1151" s="56"/>
      <c r="I1151" s="56"/>
      <c r="J1151" s="56"/>
      <c r="K1151" s="56"/>
      <c r="L1151" s="56"/>
      <c r="M1151" s="56"/>
    </row>
    <row r="1152" spans="2:13" ht="15">
      <c r="B1152" s="7"/>
      <c r="C1152" s="56"/>
      <c r="D1152" s="56"/>
      <c r="E1152" s="56"/>
      <c r="F1152" s="56"/>
      <c r="G1152" s="56"/>
      <c r="H1152" s="56"/>
      <c r="I1152" s="56"/>
      <c r="J1152" s="56"/>
      <c r="K1152" s="56"/>
      <c r="L1152" s="56"/>
      <c r="M1152" s="56"/>
    </row>
    <row r="1153" spans="2:13" ht="15">
      <c r="B1153" s="7"/>
      <c r="C1153" s="56"/>
      <c r="D1153" s="56"/>
      <c r="E1153" s="56"/>
      <c r="F1153" s="56"/>
      <c r="G1153" s="56"/>
      <c r="H1153" s="56"/>
      <c r="I1153" s="56"/>
      <c r="J1153" s="56"/>
      <c r="K1153" s="56"/>
      <c r="L1153" s="56"/>
      <c r="M1153" s="56"/>
    </row>
    <row r="1154" spans="2:13" ht="15">
      <c r="B1154" s="7"/>
      <c r="C1154" s="56"/>
      <c r="D1154" s="56"/>
      <c r="E1154" s="56"/>
      <c r="F1154" s="56"/>
      <c r="G1154" s="56"/>
      <c r="H1154" s="56"/>
      <c r="I1154" s="56"/>
      <c r="J1154" s="56"/>
      <c r="K1154" s="56"/>
      <c r="L1154" s="56"/>
      <c r="M1154" s="56"/>
    </row>
    <row r="1155" spans="2:13" ht="15">
      <c r="B1155" s="7"/>
      <c r="C1155" s="56"/>
      <c r="D1155" s="56"/>
      <c r="E1155" s="56"/>
      <c r="F1155" s="56"/>
      <c r="G1155" s="56"/>
      <c r="H1155" s="56"/>
      <c r="I1155" s="56"/>
      <c r="J1155" s="56"/>
      <c r="K1155" s="56"/>
      <c r="L1155" s="56"/>
      <c r="M1155" s="56"/>
    </row>
    <row r="1156" spans="2:13" ht="15">
      <c r="B1156" s="7"/>
      <c r="C1156" s="56"/>
      <c r="D1156" s="56"/>
      <c r="E1156" s="56"/>
      <c r="F1156" s="56"/>
      <c r="G1156" s="56"/>
      <c r="H1156" s="56"/>
      <c r="I1156" s="56"/>
      <c r="J1156" s="56"/>
      <c r="K1156" s="56"/>
      <c r="L1156" s="56"/>
      <c r="M1156" s="56"/>
    </row>
    <row r="1157" spans="2:13" ht="15">
      <c r="B1157" s="7"/>
      <c r="C1157" s="56"/>
      <c r="D1157" s="56"/>
      <c r="E1157" s="56"/>
      <c r="F1157" s="56"/>
      <c r="G1157" s="56"/>
      <c r="H1157" s="56"/>
      <c r="I1157" s="56"/>
      <c r="J1157" s="56"/>
      <c r="K1157" s="56"/>
      <c r="L1157" s="56"/>
      <c r="M1157" s="56"/>
    </row>
    <row r="1158" spans="2:13" ht="15">
      <c r="B1158" s="7"/>
      <c r="C1158" s="56"/>
      <c r="D1158" s="56"/>
      <c r="E1158" s="56"/>
      <c r="F1158" s="56"/>
      <c r="G1158" s="56"/>
      <c r="H1158" s="56"/>
      <c r="I1158" s="56"/>
      <c r="J1158" s="56"/>
      <c r="K1158" s="56"/>
      <c r="L1158" s="56"/>
      <c r="M1158" s="56"/>
    </row>
    <row r="1159" spans="2:13" ht="15">
      <c r="B1159" s="7"/>
      <c r="C1159" s="56"/>
      <c r="D1159" s="56"/>
      <c r="E1159" s="56"/>
      <c r="F1159" s="56"/>
      <c r="G1159" s="56"/>
      <c r="H1159" s="56"/>
      <c r="I1159" s="56"/>
      <c r="J1159" s="56"/>
      <c r="K1159" s="56"/>
      <c r="L1159" s="56"/>
      <c r="M1159" s="56"/>
    </row>
    <row r="1160" spans="2:13" ht="15">
      <c r="B1160" s="7"/>
      <c r="C1160" s="56"/>
      <c r="D1160" s="56"/>
      <c r="E1160" s="56"/>
      <c r="F1160" s="56"/>
      <c r="G1160" s="56"/>
      <c r="H1160" s="56"/>
      <c r="I1160" s="56"/>
      <c r="J1160" s="56"/>
      <c r="K1160" s="56"/>
      <c r="L1160" s="56"/>
      <c r="M1160" s="56"/>
    </row>
    <row r="1161" spans="2:13" ht="15">
      <c r="B1161" s="7"/>
      <c r="C1161" s="56"/>
      <c r="D1161" s="56"/>
      <c r="E1161" s="56"/>
      <c r="F1161" s="56"/>
      <c r="G1161" s="56"/>
      <c r="H1161" s="56"/>
      <c r="I1161" s="56"/>
      <c r="J1161" s="56"/>
      <c r="K1161" s="56"/>
      <c r="L1161" s="56"/>
      <c r="M1161" s="56"/>
    </row>
    <row r="1162" spans="2:13" ht="15">
      <c r="B1162" s="7"/>
      <c r="C1162" s="56"/>
      <c r="D1162" s="56"/>
      <c r="E1162" s="56"/>
      <c r="F1162" s="56"/>
      <c r="G1162" s="56"/>
      <c r="H1162" s="56"/>
      <c r="I1162" s="56"/>
      <c r="J1162" s="56"/>
      <c r="K1162" s="56"/>
      <c r="L1162" s="56"/>
      <c r="M1162" s="56"/>
    </row>
    <row r="1163" spans="2:13" ht="15">
      <c r="B1163" s="7"/>
      <c r="C1163" s="56"/>
      <c r="D1163" s="56"/>
      <c r="E1163" s="56"/>
      <c r="F1163" s="56"/>
      <c r="G1163" s="56"/>
      <c r="H1163" s="56"/>
      <c r="I1163" s="56"/>
      <c r="J1163" s="56"/>
      <c r="K1163" s="56"/>
      <c r="L1163" s="56"/>
      <c r="M1163" s="56"/>
    </row>
    <row r="1164" spans="2:13" ht="15">
      <c r="B1164" s="7"/>
      <c r="C1164" s="56"/>
      <c r="D1164" s="56"/>
      <c r="E1164" s="56"/>
      <c r="F1164" s="56"/>
      <c r="G1164" s="56"/>
      <c r="H1164" s="56"/>
      <c r="I1164" s="56"/>
      <c r="J1164" s="56"/>
      <c r="K1164" s="56"/>
      <c r="L1164" s="56"/>
      <c r="M1164" s="56"/>
    </row>
    <row r="1165" spans="2:13" ht="15">
      <c r="B1165" s="7"/>
      <c r="C1165" s="56"/>
      <c r="D1165" s="56"/>
      <c r="E1165" s="56"/>
      <c r="F1165" s="56"/>
      <c r="G1165" s="56"/>
      <c r="H1165" s="56"/>
      <c r="I1165" s="56"/>
      <c r="J1165" s="56"/>
      <c r="K1165" s="56"/>
      <c r="L1165" s="56"/>
      <c r="M1165" s="56"/>
    </row>
    <row r="1166" spans="2:13" ht="15">
      <c r="B1166" s="7"/>
      <c r="C1166" s="56"/>
      <c r="D1166" s="56"/>
      <c r="E1166" s="56"/>
      <c r="F1166" s="56"/>
      <c r="G1166" s="56"/>
      <c r="H1166" s="56"/>
      <c r="I1166" s="56"/>
      <c r="J1166" s="56"/>
      <c r="K1166" s="56"/>
      <c r="L1166" s="56"/>
      <c r="M1166" s="56"/>
    </row>
    <row r="1167" spans="2:13" ht="15">
      <c r="B1167" s="7"/>
      <c r="C1167" s="56"/>
      <c r="D1167" s="56"/>
      <c r="E1167" s="56"/>
      <c r="F1167" s="56"/>
      <c r="G1167" s="56"/>
      <c r="H1167" s="56"/>
      <c r="I1167" s="56"/>
      <c r="J1167" s="56"/>
      <c r="K1167" s="56"/>
      <c r="L1167" s="56"/>
      <c r="M1167" s="56"/>
    </row>
    <row r="1168" spans="2:13" ht="15">
      <c r="B1168" s="7"/>
      <c r="C1168" s="56"/>
      <c r="D1168" s="56"/>
      <c r="E1168" s="56"/>
      <c r="F1168" s="56"/>
      <c r="G1168" s="56"/>
      <c r="H1168" s="56"/>
      <c r="I1168" s="56"/>
      <c r="J1168" s="56"/>
      <c r="K1168" s="56"/>
      <c r="L1168" s="56"/>
      <c r="M1168" s="56"/>
    </row>
    <row r="1169" spans="2:13" ht="15">
      <c r="B1169" s="7"/>
      <c r="C1169" s="56"/>
      <c r="D1169" s="56"/>
      <c r="E1169" s="56"/>
      <c r="F1169" s="56"/>
      <c r="G1169" s="56"/>
      <c r="H1169" s="56"/>
      <c r="I1169" s="56"/>
      <c r="J1169" s="56"/>
      <c r="K1169" s="56"/>
      <c r="L1169" s="56"/>
      <c r="M1169" s="56"/>
    </row>
    <row r="1170" spans="2:13" ht="15">
      <c r="B1170" s="7"/>
      <c r="C1170" s="56"/>
      <c r="D1170" s="56"/>
      <c r="E1170" s="56"/>
      <c r="F1170" s="56"/>
      <c r="G1170" s="56"/>
      <c r="H1170" s="56"/>
      <c r="I1170" s="56"/>
      <c r="J1170" s="56"/>
      <c r="K1170" s="56"/>
      <c r="L1170" s="56"/>
      <c r="M1170" s="56"/>
    </row>
    <row r="1171" spans="2:13" ht="15">
      <c r="B1171" s="7"/>
      <c r="C1171" s="56"/>
      <c r="D1171" s="56"/>
      <c r="E1171" s="56"/>
      <c r="F1171" s="56"/>
      <c r="G1171" s="56"/>
      <c r="H1171" s="56"/>
      <c r="I1171" s="56"/>
      <c r="J1171" s="56"/>
      <c r="K1171" s="56"/>
      <c r="L1171" s="56"/>
      <c r="M1171" s="56"/>
    </row>
    <row r="1172" spans="2:13" ht="15">
      <c r="B1172" s="7"/>
      <c r="C1172" s="56"/>
      <c r="D1172" s="56"/>
      <c r="E1172" s="56"/>
      <c r="F1172" s="56"/>
      <c r="G1172" s="56"/>
      <c r="H1172" s="56"/>
      <c r="I1172" s="56"/>
      <c r="J1172" s="56"/>
      <c r="K1172" s="56"/>
      <c r="L1172" s="56"/>
      <c r="M1172" s="56"/>
    </row>
    <row r="1173" spans="2:13" ht="15">
      <c r="B1173" s="7"/>
      <c r="C1173" s="56"/>
      <c r="D1173" s="56"/>
      <c r="E1173" s="56"/>
      <c r="F1173" s="56"/>
      <c r="G1173" s="56"/>
      <c r="H1173" s="56"/>
      <c r="I1173" s="56"/>
      <c r="J1173" s="56"/>
      <c r="K1173" s="56"/>
      <c r="L1173" s="56"/>
      <c r="M1173" s="56"/>
    </row>
    <row r="1174" spans="2:13" ht="15">
      <c r="B1174" s="7"/>
      <c r="C1174" s="56"/>
      <c r="D1174" s="56"/>
      <c r="E1174" s="56"/>
      <c r="F1174" s="56"/>
      <c r="G1174" s="56"/>
      <c r="H1174" s="56"/>
      <c r="I1174" s="56"/>
      <c r="J1174" s="56"/>
      <c r="K1174" s="56"/>
      <c r="L1174" s="56"/>
      <c r="M1174" s="56"/>
    </row>
    <row r="1175" spans="2:13" ht="15">
      <c r="B1175" s="7"/>
      <c r="C1175" s="56"/>
      <c r="D1175" s="56"/>
      <c r="E1175" s="56"/>
      <c r="F1175" s="56"/>
      <c r="G1175" s="56"/>
      <c r="H1175" s="56"/>
      <c r="I1175" s="56"/>
      <c r="J1175" s="56"/>
      <c r="K1175" s="56"/>
      <c r="L1175" s="56"/>
      <c r="M1175" s="56"/>
    </row>
    <row r="1176" spans="2:13" ht="15">
      <c r="B1176" s="7"/>
      <c r="C1176" s="56"/>
      <c r="D1176" s="56"/>
      <c r="E1176" s="56"/>
      <c r="F1176" s="56"/>
      <c r="G1176" s="56"/>
      <c r="H1176" s="56"/>
      <c r="I1176" s="56"/>
      <c r="J1176" s="56"/>
      <c r="K1176" s="56"/>
      <c r="L1176" s="56"/>
      <c r="M1176" s="56"/>
    </row>
    <row r="1177" spans="2:13" ht="15">
      <c r="B1177" s="7"/>
      <c r="C1177" s="56"/>
      <c r="D1177" s="56"/>
      <c r="E1177" s="56"/>
      <c r="F1177" s="56"/>
      <c r="G1177" s="56"/>
      <c r="H1177" s="56"/>
      <c r="I1177" s="56"/>
      <c r="J1177" s="56"/>
      <c r="K1177" s="56"/>
      <c r="L1177" s="56"/>
      <c r="M1177" s="56"/>
    </row>
    <row r="1178" spans="2:13" ht="15">
      <c r="B1178" s="7"/>
      <c r="C1178" s="56"/>
      <c r="D1178" s="56"/>
      <c r="E1178" s="56"/>
      <c r="F1178" s="56"/>
      <c r="G1178" s="56"/>
      <c r="H1178" s="56"/>
      <c r="I1178" s="56"/>
      <c r="J1178" s="56"/>
      <c r="K1178" s="56"/>
      <c r="L1178" s="56"/>
      <c r="M1178" s="56"/>
    </row>
    <row r="1179" spans="2:13" ht="15">
      <c r="B1179" s="7"/>
      <c r="C1179" s="56"/>
      <c r="D1179" s="56"/>
      <c r="E1179" s="56"/>
      <c r="F1179" s="56"/>
      <c r="G1179" s="56"/>
      <c r="H1179" s="56"/>
      <c r="I1179" s="56"/>
      <c r="J1179" s="56"/>
      <c r="K1179" s="56"/>
      <c r="L1179" s="56"/>
      <c r="M1179" s="56"/>
    </row>
    <row r="1180" spans="2:13" ht="15">
      <c r="B1180" s="7"/>
      <c r="C1180" s="56"/>
      <c r="D1180" s="56"/>
      <c r="E1180" s="56"/>
      <c r="F1180" s="56"/>
      <c r="G1180" s="56"/>
      <c r="H1180" s="56"/>
      <c r="I1180" s="56"/>
      <c r="J1180" s="56"/>
      <c r="K1180" s="56"/>
      <c r="L1180" s="56"/>
      <c r="M1180" s="56"/>
    </row>
    <row r="1181" spans="2:13" ht="15">
      <c r="B1181" s="7"/>
      <c r="C1181" s="56"/>
      <c r="D1181" s="56"/>
      <c r="E1181" s="56"/>
      <c r="F1181" s="56"/>
      <c r="G1181" s="56"/>
      <c r="H1181" s="56"/>
      <c r="I1181" s="56"/>
      <c r="J1181" s="56"/>
      <c r="K1181" s="56"/>
      <c r="L1181" s="56"/>
      <c r="M1181" s="56"/>
    </row>
    <row r="1182" spans="2:13" ht="15">
      <c r="B1182" s="7"/>
      <c r="C1182" s="56"/>
      <c r="D1182" s="56"/>
      <c r="E1182" s="56"/>
      <c r="F1182" s="56"/>
      <c r="G1182" s="56"/>
      <c r="H1182" s="56"/>
      <c r="I1182" s="56"/>
      <c r="J1182" s="56"/>
      <c r="K1182" s="56"/>
      <c r="L1182" s="56"/>
      <c r="M1182" s="56"/>
    </row>
    <row r="1183" spans="2:13" ht="15">
      <c r="B1183" s="7"/>
      <c r="C1183" s="56"/>
      <c r="D1183" s="56"/>
      <c r="E1183" s="56"/>
      <c r="F1183" s="56"/>
      <c r="G1183" s="56"/>
      <c r="H1183" s="56"/>
      <c r="I1183" s="56"/>
      <c r="J1183" s="56"/>
      <c r="K1183" s="56"/>
      <c r="L1183" s="56"/>
      <c r="M1183" s="56"/>
    </row>
    <row r="1184" spans="2:13" ht="15">
      <c r="B1184" s="7"/>
      <c r="C1184" s="56"/>
      <c r="D1184" s="56"/>
      <c r="E1184" s="56"/>
      <c r="F1184" s="56"/>
      <c r="G1184" s="56"/>
      <c r="H1184" s="56"/>
      <c r="I1184" s="56"/>
      <c r="J1184" s="56"/>
      <c r="K1184" s="56"/>
      <c r="L1184" s="56"/>
      <c r="M1184" s="56"/>
    </row>
    <row r="1185" spans="2:13" ht="15">
      <c r="B1185" s="7"/>
      <c r="C1185" s="56"/>
      <c r="D1185" s="56"/>
      <c r="E1185" s="56"/>
      <c r="F1185" s="56"/>
      <c r="G1185" s="56"/>
      <c r="H1185" s="56"/>
      <c r="I1185" s="56"/>
      <c r="J1185" s="56"/>
      <c r="K1185" s="56"/>
      <c r="L1185" s="56"/>
      <c r="M1185" s="56"/>
    </row>
    <row r="1186" spans="2:13" ht="15">
      <c r="B1186" s="7"/>
      <c r="C1186" s="56"/>
      <c r="D1186" s="56"/>
      <c r="E1186" s="56"/>
      <c r="F1186" s="56"/>
      <c r="G1186" s="56"/>
      <c r="H1186" s="56"/>
      <c r="I1186" s="56"/>
      <c r="J1186" s="56"/>
      <c r="K1186" s="56"/>
      <c r="L1186" s="56"/>
      <c r="M1186" s="56"/>
    </row>
    <row r="1187" spans="2:13" ht="15">
      <c r="B1187" s="7"/>
      <c r="C1187" s="56"/>
      <c r="D1187" s="56"/>
      <c r="E1187" s="56"/>
      <c r="F1187" s="56"/>
      <c r="G1187" s="56"/>
      <c r="H1187" s="56"/>
      <c r="I1187" s="56"/>
      <c r="J1187" s="56"/>
      <c r="K1187" s="56"/>
      <c r="L1187" s="56"/>
      <c r="M1187" s="56"/>
    </row>
    <row r="1188" spans="2:13" ht="15">
      <c r="B1188" s="7"/>
      <c r="C1188" s="56"/>
      <c r="D1188" s="56"/>
      <c r="E1188" s="56"/>
      <c r="F1188" s="56"/>
      <c r="G1188" s="56"/>
      <c r="H1188" s="56"/>
      <c r="I1188" s="56"/>
      <c r="J1188" s="56"/>
      <c r="K1188" s="56"/>
      <c r="L1188" s="56"/>
      <c r="M1188" s="56"/>
    </row>
    <row r="1189" spans="2:13" ht="15">
      <c r="B1189" s="7"/>
      <c r="C1189" s="56"/>
      <c r="D1189" s="56"/>
      <c r="E1189" s="56"/>
      <c r="F1189" s="56"/>
      <c r="G1189" s="56"/>
      <c r="H1189" s="56"/>
      <c r="I1189" s="56"/>
      <c r="J1189" s="56"/>
      <c r="K1189" s="56"/>
      <c r="L1189" s="56"/>
      <c r="M1189" s="56"/>
    </row>
    <row r="1190" spans="2:13" ht="15">
      <c r="B1190" s="7"/>
      <c r="C1190" s="56"/>
      <c r="D1190" s="56"/>
      <c r="E1190" s="56"/>
      <c r="F1190" s="56"/>
      <c r="G1190" s="56"/>
      <c r="H1190" s="56"/>
      <c r="I1190" s="56"/>
      <c r="J1190" s="56"/>
      <c r="K1190" s="56"/>
      <c r="L1190" s="56"/>
      <c r="M1190" s="56"/>
    </row>
    <row r="1191" spans="2:13" ht="15">
      <c r="B1191" s="7"/>
      <c r="C1191" s="56"/>
      <c r="D1191" s="56"/>
      <c r="E1191" s="56"/>
      <c r="F1191" s="56"/>
      <c r="G1191" s="56"/>
      <c r="H1191" s="56"/>
      <c r="I1191" s="56"/>
      <c r="J1191" s="56"/>
      <c r="K1191" s="56"/>
      <c r="L1191" s="56"/>
      <c r="M1191" s="56"/>
    </row>
    <row r="1192" spans="2:13" ht="15">
      <c r="B1192" s="7"/>
      <c r="C1192" s="56"/>
      <c r="D1192" s="56"/>
      <c r="E1192" s="56"/>
      <c r="F1192" s="56"/>
      <c r="G1192" s="56"/>
      <c r="H1192" s="56"/>
      <c r="I1192" s="56"/>
      <c r="J1192" s="56"/>
      <c r="K1192" s="56"/>
      <c r="L1192" s="56"/>
      <c r="M1192" s="56"/>
    </row>
    <row r="1193" spans="2:13" ht="15">
      <c r="B1193" s="7"/>
      <c r="C1193" s="56"/>
      <c r="D1193" s="56"/>
      <c r="E1193" s="56"/>
      <c r="F1193" s="56"/>
      <c r="G1193" s="56"/>
      <c r="H1193" s="56"/>
      <c r="I1193" s="56"/>
      <c r="J1193" s="56"/>
      <c r="K1193" s="56"/>
      <c r="L1193" s="56"/>
      <c r="M1193" s="56"/>
    </row>
    <row r="1194" spans="2:13" ht="15">
      <c r="B1194" s="7"/>
      <c r="C1194" s="56"/>
      <c r="D1194" s="56"/>
      <c r="E1194" s="56"/>
      <c r="F1194" s="56"/>
      <c r="G1194" s="56"/>
      <c r="H1194" s="56"/>
      <c r="I1194" s="56"/>
      <c r="J1194" s="56"/>
      <c r="K1194" s="56"/>
      <c r="L1194" s="56"/>
      <c r="M1194" s="56"/>
    </row>
    <row r="1195" spans="2:13" ht="15">
      <c r="B1195" s="7"/>
      <c r="C1195" s="56"/>
      <c r="D1195" s="56"/>
      <c r="E1195" s="56"/>
      <c r="F1195" s="56"/>
      <c r="G1195" s="56"/>
      <c r="H1195" s="56"/>
      <c r="I1195" s="56"/>
      <c r="J1195" s="56"/>
      <c r="K1195" s="56"/>
      <c r="L1195" s="56"/>
      <c r="M1195" s="56"/>
    </row>
    <row r="1196" spans="2:13" ht="15">
      <c r="B1196" s="7"/>
      <c r="C1196" s="56"/>
      <c r="D1196" s="56"/>
      <c r="E1196" s="56"/>
      <c r="F1196" s="56"/>
      <c r="G1196" s="56"/>
      <c r="H1196" s="56"/>
      <c r="I1196" s="56"/>
      <c r="J1196" s="56"/>
      <c r="K1196" s="56"/>
      <c r="L1196" s="56"/>
      <c r="M1196" s="56"/>
    </row>
    <row r="1197" spans="2:13" ht="15">
      <c r="B1197" s="7"/>
      <c r="C1197" s="56"/>
      <c r="D1197" s="56"/>
      <c r="E1197" s="56"/>
      <c r="F1197" s="56"/>
      <c r="G1197" s="56"/>
      <c r="H1197" s="56"/>
      <c r="I1197" s="56"/>
      <c r="J1197" s="56"/>
      <c r="K1197" s="56"/>
      <c r="L1197" s="56"/>
      <c r="M1197" s="56"/>
    </row>
    <row r="1198" spans="2:13" ht="15">
      <c r="B1198" s="7"/>
      <c r="C1198" s="56"/>
      <c r="D1198" s="56"/>
      <c r="E1198" s="56"/>
      <c r="F1198" s="56"/>
      <c r="G1198" s="56"/>
      <c r="H1198" s="56"/>
      <c r="I1198" s="56"/>
      <c r="J1198" s="56"/>
      <c r="K1198" s="56"/>
      <c r="L1198" s="56"/>
      <c r="M1198" s="56"/>
    </row>
    <row r="1199" spans="2:13" ht="15">
      <c r="B1199" s="7"/>
      <c r="C1199" s="56"/>
      <c r="D1199" s="56"/>
      <c r="E1199" s="56"/>
      <c r="F1199" s="56"/>
      <c r="G1199" s="56"/>
      <c r="H1199" s="56"/>
      <c r="I1199" s="56"/>
      <c r="J1199" s="56"/>
      <c r="K1199" s="56"/>
      <c r="L1199" s="56"/>
      <c r="M1199" s="56"/>
    </row>
    <row r="1200" spans="2:13" ht="15">
      <c r="B1200" s="7"/>
      <c r="C1200" s="56"/>
      <c r="D1200" s="56"/>
      <c r="E1200" s="56"/>
      <c r="F1200" s="56"/>
      <c r="G1200" s="56"/>
      <c r="H1200" s="56"/>
      <c r="I1200" s="56"/>
      <c r="J1200" s="56"/>
      <c r="K1200" s="56"/>
      <c r="L1200" s="56"/>
      <c r="M1200" s="56"/>
    </row>
    <row r="1201" spans="2:13" ht="15">
      <c r="B1201" s="7"/>
      <c r="C1201" s="56"/>
      <c r="D1201" s="56"/>
      <c r="E1201" s="56"/>
      <c r="F1201" s="56"/>
      <c r="G1201" s="56"/>
      <c r="H1201" s="56"/>
      <c r="I1201" s="56"/>
      <c r="J1201" s="56"/>
      <c r="K1201" s="56"/>
      <c r="L1201" s="56"/>
      <c r="M1201" s="56"/>
    </row>
    <row r="1202" spans="2:13" ht="15">
      <c r="B1202" s="7"/>
      <c r="C1202" s="56"/>
      <c r="D1202" s="56"/>
      <c r="E1202" s="56"/>
      <c r="F1202" s="56"/>
      <c r="G1202" s="56"/>
      <c r="H1202" s="56"/>
      <c r="I1202" s="56"/>
      <c r="J1202" s="56"/>
      <c r="K1202" s="56"/>
      <c r="L1202" s="56"/>
      <c r="M1202" s="56"/>
    </row>
    <row r="1203" spans="2:13" ht="15">
      <c r="B1203" s="7"/>
      <c r="C1203" s="56"/>
      <c r="D1203" s="56"/>
      <c r="E1203" s="56"/>
      <c r="F1203" s="56"/>
      <c r="G1203" s="56"/>
      <c r="H1203" s="56"/>
      <c r="I1203" s="56"/>
      <c r="J1203" s="56"/>
      <c r="K1203" s="56"/>
      <c r="L1203" s="56"/>
      <c r="M1203" s="56"/>
    </row>
    <row r="1204" spans="2:13" ht="15">
      <c r="B1204" s="7"/>
      <c r="C1204" s="56"/>
      <c r="D1204" s="56"/>
      <c r="E1204" s="56"/>
      <c r="F1204" s="56"/>
      <c r="G1204" s="56"/>
      <c r="H1204" s="56"/>
      <c r="I1204" s="56"/>
      <c r="J1204" s="56"/>
      <c r="K1204" s="56"/>
      <c r="L1204" s="56"/>
      <c r="M1204" s="56"/>
    </row>
    <row r="1205" spans="2:13" ht="15">
      <c r="B1205" s="7"/>
      <c r="C1205" s="56"/>
      <c r="D1205" s="56"/>
      <c r="E1205" s="56"/>
      <c r="F1205" s="56"/>
      <c r="G1205" s="56"/>
      <c r="H1205" s="56"/>
      <c r="I1205" s="56"/>
      <c r="J1205" s="56"/>
      <c r="K1205" s="56"/>
      <c r="L1205" s="56"/>
      <c r="M1205" s="56"/>
    </row>
    <row r="1206" spans="2:13" ht="15">
      <c r="B1206" s="7"/>
      <c r="C1206" s="56"/>
      <c r="D1206" s="56"/>
      <c r="E1206" s="56"/>
      <c r="F1206" s="56"/>
      <c r="G1206" s="56"/>
      <c r="H1206" s="56"/>
      <c r="I1206" s="56"/>
      <c r="J1206" s="56"/>
      <c r="K1206" s="56"/>
      <c r="L1206" s="56"/>
      <c r="M1206" s="56"/>
    </row>
    <row r="1207" spans="2:13" ht="15">
      <c r="B1207" s="7"/>
      <c r="C1207" s="56"/>
      <c r="D1207" s="56"/>
      <c r="E1207" s="56"/>
      <c r="F1207" s="56"/>
      <c r="G1207" s="56"/>
      <c r="H1207" s="56"/>
      <c r="I1207" s="56"/>
      <c r="J1207" s="56"/>
      <c r="K1207" s="56"/>
      <c r="L1207" s="56"/>
      <c r="M1207" s="56"/>
    </row>
    <row r="1208" spans="2:13" ht="15">
      <c r="B1208" s="7"/>
      <c r="C1208" s="56"/>
      <c r="D1208" s="56"/>
      <c r="E1208" s="56"/>
      <c r="F1208" s="56"/>
      <c r="G1208" s="56"/>
      <c r="H1208" s="56"/>
      <c r="I1208" s="56"/>
      <c r="J1208" s="56"/>
      <c r="K1208" s="56"/>
      <c r="L1208" s="56"/>
      <c r="M1208" s="56"/>
    </row>
    <row r="1209" spans="2:13" ht="15">
      <c r="B1209" s="7"/>
      <c r="C1209" s="56"/>
      <c r="D1209" s="56"/>
      <c r="E1209" s="56"/>
      <c r="F1209" s="56"/>
      <c r="G1209" s="56"/>
      <c r="H1209" s="56"/>
      <c r="I1209" s="56"/>
      <c r="J1209" s="56"/>
      <c r="K1209" s="56"/>
      <c r="L1209" s="56"/>
      <c r="M1209" s="56"/>
    </row>
    <row r="1210" spans="2:13" ht="15">
      <c r="B1210" s="7"/>
      <c r="C1210" s="56"/>
      <c r="D1210" s="56"/>
      <c r="E1210" s="56"/>
      <c r="F1210" s="56"/>
      <c r="G1210" s="56"/>
      <c r="H1210" s="56"/>
      <c r="I1210" s="56"/>
      <c r="J1210" s="56"/>
      <c r="K1210" s="56"/>
      <c r="L1210" s="56"/>
      <c r="M1210" s="56"/>
    </row>
    <row r="1211" spans="2:13" ht="15">
      <c r="B1211" s="7"/>
      <c r="C1211" s="56"/>
      <c r="D1211" s="56"/>
      <c r="E1211" s="56"/>
      <c r="F1211" s="56"/>
      <c r="G1211" s="56"/>
      <c r="H1211" s="56"/>
      <c r="I1211" s="56"/>
      <c r="J1211" s="56"/>
      <c r="K1211" s="56"/>
      <c r="L1211" s="56"/>
      <c r="M1211" s="56"/>
    </row>
    <row r="1212" spans="2:13" ht="15">
      <c r="B1212" s="7"/>
      <c r="C1212" s="56"/>
      <c r="D1212" s="56"/>
      <c r="E1212" s="56"/>
      <c r="F1212" s="56"/>
      <c r="G1212" s="56"/>
      <c r="H1212" s="56"/>
      <c r="I1212" s="56"/>
      <c r="J1212" s="56"/>
      <c r="K1212" s="56"/>
      <c r="L1212" s="56"/>
      <c r="M1212" s="56"/>
    </row>
    <row r="1213" spans="2:13" ht="15">
      <c r="B1213" s="7"/>
      <c r="C1213" s="56"/>
      <c r="D1213" s="56"/>
      <c r="E1213" s="56"/>
      <c r="F1213" s="56"/>
      <c r="G1213" s="56"/>
      <c r="H1213" s="56"/>
      <c r="I1213" s="56"/>
      <c r="J1213" s="56"/>
      <c r="K1213" s="56"/>
      <c r="L1213" s="56"/>
      <c r="M1213" s="56"/>
    </row>
    <row r="1214" spans="2:13" ht="15">
      <c r="B1214" s="7"/>
      <c r="C1214" s="56"/>
      <c r="D1214" s="56"/>
      <c r="E1214" s="56"/>
      <c r="F1214" s="56"/>
      <c r="G1214" s="56"/>
      <c r="H1214" s="56"/>
      <c r="I1214" s="56"/>
      <c r="J1214" s="56"/>
      <c r="K1214" s="56"/>
      <c r="L1214" s="56"/>
      <c r="M1214" s="56"/>
    </row>
    <row r="1215" spans="2:13" ht="15">
      <c r="B1215" s="7"/>
      <c r="C1215" s="56"/>
      <c r="D1215" s="56"/>
      <c r="E1215" s="56"/>
      <c r="F1215" s="56"/>
      <c r="G1215" s="56"/>
      <c r="H1215" s="56"/>
      <c r="I1215" s="56"/>
      <c r="J1215" s="56"/>
      <c r="K1215" s="56"/>
      <c r="L1215" s="56"/>
      <c r="M1215" s="56"/>
    </row>
    <row r="1216" spans="2:13" ht="15">
      <c r="B1216" s="7"/>
      <c r="C1216" s="56"/>
      <c r="D1216" s="56"/>
      <c r="E1216" s="56"/>
      <c r="F1216" s="56"/>
      <c r="G1216" s="56"/>
      <c r="H1216" s="56"/>
      <c r="I1216" s="56"/>
      <c r="J1216" s="56"/>
      <c r="K1216" s="56"/>
      <c r="L1216" s="56"/>
      <c r="M1216" s="56"/>
    </row>
    <row r="1217" spans="2:13" ht="15">
      <c r="B1217" s="7"/>
      <c r="C1217" s="56"/>
      <c r="D1217" s="56"/>
      <c r="E1217" s="56"/>
      <c r="F1217" s="56"/>
      <c r="G1217" s="56"/>
      <c r="H1217" s="56"/>
      <c r="I1217" s="56"/>
      <c r="J1217" s="56"/>
      <c r="K1217" s="56"/>
      <c r="L1217" s="56"/>
      <c r="M1217" s="56"/>
    </row>
    <row r="1218" spans="2:13" ht="15">
      <c r="B1218" s="7"/>
      <c r="C1218" s="56"/>
      <c r="D1218" s="56"/>
      <c r="E1218" s="56"/>
      <c r="F1218" s="56"/>
      <c r="G1218" s="56"/>
      <c r="H1218" s="56"/>
      <c r="I1218" s="56"/>
      <c r="J1218" s="56"/>
      <c r="K1218" s="56"/>
      <c r="L1218" s="56"/>
      <c r="M1218" s="56"/>
    </row>
    <row r="1219" spans="2:13" ht="15">
      <c r="B1219" s="7"/>
      <c r="C1219" s="56"/>
      <c r="D1219" s="56"/>
      <c r="E1219" s="56"/>
      <c r="F1219" s="56"/>
      <c r="G1219" s="56"/>
      <c r="H1219" s="56"/>
      <c r="I1219" s="56"/>
      <c r="J1219" s="56"/>
      <c r="K1219" s="56"/>
      <c r="L1219" s="56"/>
      <c r="M1219" s="56"/>
    </row>
    <row r="1220" spans="2:13" ht="15">
      <c r="B1220" s="7"/>
      <c r="C1220" s="56"/>
      <c r="D1220" s="56"/>
      <c r="E1220" s="56"/>
      <c r="F1220" s="56"/>
      <c r="G1220" s="56"/>
      <c r="H1220" s="56"/>
      <c r="I1220" s="56"/>
      <c r="J1220" s="56"/>
      <c r="K1220" s="56"/>
      <c r="L1220" s="56"/>
      <c r="M1220" s="56"/>
    </row>
    <row r="1221" spans="2:13" ht="15">
      <c r="B1221" s="7"/>
      <c r="C1221" s="56"/>
      <c r="D1221" s="56"/>
      <c r="E1221" s="56"/>
      <c r="F1221" s="56"/>
      <c r="G1221" s="56"/>
      <c r="H1221" s="56"/>
      <c r="I1221" s="56"/>
      <c r="J1221" s="56"/>
      <c r="K1221" s="56"/>
      <c r="L1221" s="56"/>
      <c r="M1221" s="56"/>
    </row>
    <row r="1222" spans="2:13" ht="15">
      <c r="B1222" s="7"/>
      <c r="C1222" s="56"/>
      <c r="D1222" s="56"/>
      <c r="E1222" s="56"/>
      <c r="F1222" s="56"/>
      <c r="G1222" s="56"/>
      <c r="H1222" s="56"/>
      <c r="I1222" s="56"/>
      <c r="J1222" s="56"/>
      <c r="K1222" s="56"/>
      <c r="L1222" s="56"/>
      <c r="M1222" s="56"/>
    </row>
    <row r="1223" spans="2:13" ht="15">
      <c r="B1223" s="7"/>
      <c r="C1223" s="56"/>
      <c r="D1223" s="56"/>
      <c r="E1223" s="56"/>
      <c r="F1223" s="56"/>
      <c r="G1223" s="56"/>
      <c r="H1223" s="56"/>
      <c r="I1223" s="56"/>
      <c r="J1223" s="56"/>
      <c r="K1223" s="56"/>
      <c r="L1223" s="56"/>
      <c r="M1223" s="56"/>
    </row>
    <row r="1224" spans="2:13" ht="15">
      <c r="B1224" s="7"/>
      <c r="C1224" s="56"/>
      <c r="D1224" s="56"/>
      <c r="E1224" s="56"/>
      <c r="F1224" s="56"/>
      <c r="G1224" s="56"/>
      <c r="H1224" s="56"/>
      <c r="I1224" s="56"/>
      <c r="J1224" s="56"/>
      <c r="K1224" s="56"/>
      <c r="L1224" s="56"/>
      <c r="M1224" s="56"/>
    </row>
    <row r="1225" spans="2:13" ht="15">
      <c r="B1225" s="7"/>
      <c r="C1225" s="56"/>
      <c r="D1225" s="56"/>
      <c r="E1225" s="56"/>
      <c r="F1225" s="56"/>
      <c r="G1225" s="56"/>
      <c r="H1225" s="56"/>
      <c r="I1225" s="56"/>
      <c r="J1225" s="56"/>
      <c r="K1225" s="56"/>
      <c r="L1225" s="56"/>
      <c r="M1225" s="56"/>
    </row>
    <row r="1226" spans="2:13" ht="15">
      <c r="B1226" s="7"/>
      <c r="C1226" s="56"/>
      <c r="D1226" s="56"/>
      <c r="E1226" s="56"/>
      <c r="F1226" s="56"/>
      <c r="G1226" s="56"/>
      <c r="H1226" s="56"/>
      <c r="I1226" s="56"/>
      <c r="J1226" s="56"/>
      <c r="K1226" s="56"/>
      <c r="L1226" s="56"/>
      <c r="M1226" s="56"/>
    </row>
    <row r="1227" spans="2:13" ht="15">
      <c r="B1227" s="7"/>
      <c r="C1227" s="56"/>
      <c r="D1227" s="56"/>
      <c r="E1227" s="56"/>
      <c r="F1227" s="56"/>
      <c r="G1227" s="56"/>
      <c r="H1227" s="56"/>
      <c r="I1227" s="56"/>
      <c r="J1227" s="56"/>
      <c r="K1227" s="56"/>
      <c r="L1227" s="56"/>
      <c r="M1227" s="56"/>
    </row>
    <row r="1228" spans="2:13" ht="15">
      <c r="B1228" s="7"/>
      <c r="C1228" s="56"/>
      <c r="D1228" s="56"/>
      <c r="E1228" s="56"/>
      <c r="F1228" s="56"/>
      <c r="G1228" s="56"/>
      <c r="H1228" s="56"/>
      <c r="I1228" s="56"/>
      <c r="J1228" s="56"/>
      <c r="K1228" s="56"/>
      <c r="L1228" s="56"/>
      <c r="M1228" s="56"/>
    </row>
    <row r="1229" spans="2:13" ht="15">
      <c r="B1229" s="7"/>
      <c r="C1229" s="56"/>
      <c r="D1229" s="56"/>
      <c r="E1229" s="56"/>
      <c r="F1229" s="56"/>
      <c r="G1229" s="56"/>
      <c r="H1229" s="56"/>
      <c r="I1229" s="56"/>
      <c r="J1229" s="56"/>
      <c r="K1229" s="56"/>
      <c r="L1229" s="56"/>
      <c r="M1229" s="56"/>
    </row>
    <row r="1230" spans="2:13" ht="15">
      <c r="B1230" s="7"/>
      <c r="C1230" s="56"/>
      <c r="D1230" s="56"/>
      <c r="E1230" s="56"/>
      <c r="F1230" s="56"/>
      <c r="G1230" s="56"/>
      <c r="H1230" s="56"/>
      <c r="I1230" s="56"/>
      <c r="J1230" s="56"/>
      <c r="K1230" s="56"/>
      <c r="L1230" s="56"/>
      <c r="M1230" s="56"/>
    </row>
    <row r="1231" spans="2:13" ht="15">
      <c r="B1231" s="7"/>
      <c r="C1231" s="56"/>
      <c r="D1231" s="56"/>
      <c r="E1231" s="56"/>
      <c r="F1231" s="56"/>
      <c r="G1231" s="56"/>
      <c r="H1231" s="56"/>
      <c r="I1231" s="56"/>
      <c r="J1231" s="56"/>
      <c r="K1231" s="56"/>
      <c r="L1231" s="56"/>
      <c r="M1231" s="56"/>
    </row>
    <row r="1232" spans="2:13" ht="15">
      <c r="B1232" s="7"/>
      <c r="C1232" s="56"/>
      <c r="D1232" s="56"/>
      <c r="E1232" s="56"/>
      <c r="F1232" s="56"/>
      <c r="G1232" s="56"/>
      <c r="H1232" s="56"/>
      <c r="I1232" s="56"/>
      <c r="J1232" s="56"/>
      <c r="K1232" s="56"/>
      <c r="L1232" s="56"/>
      <c r="M1232" s="56"/>
    </row>
    <row r="1233" spans="2:13" ht="15">
      <c r="B1233" s="7"/>
      <c r="C1233" s="56"/>
      <c r="D1233" s="56"/>
      <c r="E1233" s="56"/>
      <c r="F1233" s="56"/>
      <c r="G1233" s="56"/>
      <c r="H1233" s="56"/>
      <c r="I1233" s="56"/>
      <c r="J1233" s="56"/>
      <c r="K1233" s="56"/>
      <c r="L1233" s="56"/>
      <c r="M1233" s="56"/>
    </row>
    <row r="1234" spans="2:13" ht="15">
      <c r="B1234" s="7"/>
      <c r="C1234" s="56"/>
      <c r="D1234" s="56"/>
      <c r="E1234" s="56"/>
      <c r="F1234" s="56"/>
      <c r="G1234" s="56"/>
      <c r="H1234" s="56"/>
      <c r="I1234" s="56"/>
      <c r="J1234" s="56"/>
      <c r="K1234" s="56"/>
      <c r="L1234" s="56"/>
      <c r="M1234" s="56"/>
    </row>
    <row r="1235" spans="2:13" ht="15">
      <c r="B1235" s="7"/>
      <c r="C1235" s="56"/>
      <c r="D1235" s="56"/>
      <c r="E1235" s="56"/>
      <c r="F1235" s="56"/>
      <c r="G1235" s="56"/>
      <c r="H1235" s="56"/>
      <c r="I1235" s="56"/>
      <c r="J1235" s="56"/>
      <c r="K1235" s="56"/>
      <c r="L1235" s="56"/>
      <c r="M1235" s="56"/>
    </row>
    <row r="1236" spans="2:13" ht="15">
      <c r="B1236" s="7"/>
      <c r="C1236" s="56"/>
      <c r="D1236" s="56"/>
      <c r="E1236" s="56"/>
      <c r="F1236" s="56"/>
      <c r="G1236" s="56"/>
      <c r="H1236" s="56"/>
      <c r="I1236" s="56"/>
      <c r="J1236" s="56"/>
      <c r="K1236" s="56"/>
      <c r="L1236" s="56"/>
      <c r="M1236" s="56"/>
    </row>
    <row r="1237" spans="2:13" ht="15">
      <c r="B1237" s="7"/>
      <c r="C1237" s="56"/>
      <c r="D1237" s="56"/>
      <c r="E1237" s="56"/>
      <c r="F1237" s="56"/>
      <c r="G1237" s="56"/>
      <c r="H1237" s="56"/>
      <c r="I1237" s="56"/>
      <c r="J1237" s="56"/>
      <c r="K1237" s="56"/>
      <c r="L1237" s="56"/>
      <c r="M1237" s="56"/>
    </row>
    <row r="1238" spans="2:13" ht="15">
      <c r="B1238" s="7"/>
      <c r="C1238" s="56"/>
      <c r="D1238" s="56"/>
      <c r="E1238" s="56"/>
      <c r="F1238" s="56"/>
      <c r="G1238" s="56"/>
      <c r="H1238" s="56"/>
      <c r="I1238" s="56"/>
      <c r="J1238" s="56"/>
      <c r="K1238" s="56"/>
      <c r="L1238" s="56"/>
      <c r="M1238" s="56"/>
    </row>
    <row r="1239" spans="2:13" ht="15">
      <c r="B1239" s="7"/>
      <c r="C1239" s="56"/>
      <c r="D1239" s="56"/>
      <c r="E1239" s="56"/>
      <c r="F1239" s="56"/>
      <c r="G1239" s="56"/>
      <c r="H1239" s="56"/>
      <c r="I1239" s="56"/>
      <c r="J1239" s="56"/>
      <c r="K1239" s="56"/>
      <c r="L1239" s="56"/>
      <c r="M1239" s="56"/>
    </row>
    <row r="1240" spans="2:13" ht="15">
      <c r="B1240" s="7"/>
      <c r="C1240" s="56"/>
      <c r="D1240" s="56"/>
      <c r="E1240" s="56"/>
      <c r="F1240" s="56"/>
      <c r="G1240" s="56"/>
      <c r="H1240" s="56"/>
      <c r="I1240" s="56"/>
      <c r="J1240" s="56"/>
      <c r="K1240" s="56"/>
      <c r="L1240" s="56"/>
      <c r="M1240" s="56"/>
    </row>
    <row r="1241" spans="2:13" ht="15">
      <c r="B1241" s="7"/>
      <c r="C1241" s="56"/>
      <c r="D1241" s="56"/>
      <c r="E1241" s="56"/>
      <c r="F1241" s="56"/>
      <c r="G1241" s="56"/>
      <c r="H1241" s="56"/>
      <c r="I1241" s="56"/>
      <c r="J1241" s="56"/>
      <c r="K1241" s="56"/>
      <c r="L1241" s="56"/>
      <c r="M1241" s="56"/>
    </row>
    <row r="1242" spans="2:13" ht="15">
      <c r="B1242" s="7"/>
      <c r="C1242" s="56"/>
      <c r="D1242" s="56"/>
      <c r="E1242" s="56"/>
      <c r="F1242" s="56"/>
      <c r="G1242" s="56"/>
      <c r="H1242" s="56"/>
      <c r="I1242" s="56"/>
      <c r="J1242" s="56"/>
      <c r="K1242" s="56"/>
      <c r="L1242" s="56"/>
      <c r="M1242" s="56"/>
    </row>
    <row r="1243" spans="2:13" ht="15">
      <c r="B1243" s="7"/>
      <c r="C1243" s="56"/>
      <c r="D1243" s="56"/>
      <c r="E1243" s="56"/>
      <c r="F1243" s="56"/>
      <c r="G1243" s="56"/>
      <c r="H1243" s="56"/>
      <c r="I1243" s="56"/>
      <c r="J1243" s="56"/>
      <c r="K1243" s="56"/>
      <c r="L1243" s="56"/>
      <c r="M1243" s="56"/>
    </row>
    <row r="1244" spans="2:13" ht="15">
      <c r="B1244" s="7"/>
      <c r="C1244" s="56"/>
      <c r="D1244" s="56"/>
      <c r="E1244" s="56"/>
      <c r="F1244" s="56"/>
      <c r="G1244" s="56"/>
      <c r="H1244" s="56"/>
      <c r="I1244" s="56"/>
      <c r="J1244" s="56"/>
      <c r="K1244" s="56"/>
      <c r="L1244" s="56"/>
      <c r="M1244" s="56"/>
    </row>
    <row r="1245" spans="2:13" ht="15">
      <c r="B1245" s="7"/>
      <c r="C1245" s="56"/>
      <c r="D1245" s="56"/>
      <c r="E1245" s="56"/>
      <c r="F1245" s="56"/>
      <c r="G1245" s="56"/>
      <c r="H1245" s="56"/>
      <c r="I1245" s="56"/>
      <c r="J1245" s="56"/>
      <c r="K1245" s="56"/>
      <c r="L1245" s="56"/>
      <c r="M1245" s="56"/>
    </row>
    <row r="1246" spans="2:13" ht="15">
      <c r="B1246" s="7"/>
      <c r="C1246" s="56"/>
      <c r="D1246" s="56"/>
      <c r="E1246" s="56"/>
      <c r="F1246" s="56"/>
      <c r="G1246" s="56"/>
      <c r="H1246" s="56"/>
      <c r="I1246" s="56"/>
      <c r="J1246" s="56"/>
      <c r="K1246" s="56"/>
      <c r="L1246" s="56"/>
      <c r="M1246" s="56"/>
    </row>
    <row r="1247" spans="2:13" ht="15">
      <c r="B1247" s="7"/>
      <c r="C1247" s="56"/>
      <c r="D1247" s="56"/>
      <c r="E1247" s="56"/>
      <c r="F1247" s="56"/>
      <c r="G1247" s="56"/>
      <c r="H1247" s="56"/>
      <c r="I1247" s="56"/>
      <c r="J1247" s="56"/>
      <c r="K1247" s="56"/>
      <c r="L1247" s="56"/>
      <c r="M1247" s="56"/>
    </row>
    <row r="1248" spans="9:10" ht="15">
      <c r="I1248" s="56"/>
      <c r="J1248" s="56"/>
    </row>
  </sheetData>
  <sheetProtection/>
  <mergeCells count="16">
    <mergeCell ref="B17:I18"/>
    <mergeCell ref="I53:J53"/>
    <mergeCell ref="D326:L328"/>
    <mergeCell ref="G253:H253"/>
    <mergeCell ref="E182:E183"/>
    <mergeCell ref="D305:K307"/>
    <mergeCell ref="D35:L35"/>
    <mergeCell ref="D308:J309"/>
    <mergeCell ref="D314:J316"/>
    <mergeCell ref="D318:K319"/>
    <mergeCell ref="D349:J354"/>
    <mergeCell ref="I56:J56"/>
    <mergeCell ref="I137:J137"/>
    <mergeCell ref="D280:K281"/>
    <mergeCell ref="I140:J140"/>
    <mergeCell ref="D301:K303"/>
  </mergeCells>
  <printOptions/>
  <pageMargins left="0.25" right="0.33" top="1" bottom="0.43" header="0.75" footer="0.21"/>
  <pageSetup fitToHeight="5" horizontalDpi="600" verticalDpi="600" orientation="portrait" scale="47" r:id="rId1"/>
  <headerFooter alignWithMargins="0">
    <oddHeader>&amp;R&amp;"Arial,Bold"Formula Rate 
&amp;A
Page &amp;P of &amp;N</oddHeader>
  </headerFooter>
  <rowBreaks count="4" manualBreakCount="4">
    <brk id="44" max="11" man="1"/>
    <brk id="129" max="11" man="1"/>
    <brk id="214" max="11" man="1"/>
    <brk id="259" max="11" man="1"/>
  </rowBreaks>
  <colBreaks count="1" manualBreakCount="1">
    <brk id="12" max="65535" man="1"/>
  </colBreaks>
</worksheet>
</file>

<file path=xl/worksheets/sheet10.xml><?xml version="1.0" encoding="utf-8"?>
<worksheet xmlns="http://schemas.openxmlformats.org/spreadsheetml/2006/main" xmlns:r="http://schemas.openxmlformats.org/officeDocument/2006/relationships">
  <sheetPr>
    <tabColor indexed="45"/>
    <pageSetUpPr fitToPage="1"/>
  </sheetPr>
  <dimension ref="A1:O243"/>
  <sheetViews>
    <sheetView zoomScalePageLayoutView="0" workbookViewId="0" topLeftCell="A1">
      <selection activeCell="A1" sqref="A1:H1"/>
    </sheetView>
  </sheetViews>
  <sheetFormatPr defaultColWidth="9.140625" defaultRowHeight="12.75"/>
  <cols>
    <col min="2" max="2" width="32.57421875" style="0" customWidth="1"/>
    <col min="5" max="5" width="15.00390625" style="0" customWidth="1"/>
    <col min="6" max="6" width="12.8515625" style="0" bestFit="1" customWidth="1"/>
    <col min="7" max="7" width="10.8515625" style="0" customWidth="1"/>
    <col min="8" max="8" width="2.8515625" style="0" customWidth="1"/>
    <col min="9" max="9" width="16.57421875" style="0" bestFit="1" customWidth="1"/>
    <col min="10" max="10" width="2.140625" style="0" customWidth="1"/>
    <col min="11" max="11" width="14.57421875" style="0" bestFit="1" customWidth="1"/>
    <col min="12" max="12" width="4.8515625" style="0" customWidth="1"/>
    <col min="13" max="13" width="16.00390625" style="0" bestFit="1" customWidth="1"/>
    <col min="14" max="14" width="2.140625" style="0" customWidth="1"/>
    <col min="15" max="15" width="14.28125" style="0" bestFit="1" customWidth="1"/>
  </cols>
  <sheetData>
    <row r="1" spans="1:8" ht="15">
      <c r="A1" s="1091" t="s">
        <v>230</v>
      </c>
      <c r="B1" s="1091"/>
      <c r="C1" s="1091"/>
      <c r="D1" s="1091"/>
      <c r="E1" s="1091"/>
      <c r="F1" s="1091"/>
      <c r="G1" s="1091"/>
      <c r="H1" s="1091"/>
    </row>
    <row r="2" spans="1:8" ht="15">
      <c r="A2" s="1090" t="str">
        <f>"Cost of Service Formula Rate Using "&amp;'KPCo Historic TCOS'!O1&amp;" FF1 Balances"</f>
        <v>Cost of Service Formula Rate Using 2009 FF1 Balances</v>
      </c>
      <c r="B2" s="1090"/>
      <c r="C2" s="1090"/>
      <c r="D2" s="1090"/>
      <c r="E2" s="1090"/>
      <c r="F2" s="1090"/>
      <c r="G2" s="1090"/>
      <c r="H2" s="1090"/>
    </row>
    <row r="3" spans="1:8" ht="15">
      <c r="A3" s="1090" t="s">
        <v>929</v>
      </c>
      <c r="B3" s="1090"/>
      <c r="C3" s="1090"/>
      <c r="D3" s="1090"/>
      <c r="E3" s="1090"/>
      <c r="F3" s="1090"/>
      <c r="G3" s="1090"/>
      <c r="H3" s="1090"/>
    </row>
    <row r="4" spans="1:7" ht="15">
      <c r="A4" s="1094" t="str">
        <f>+'KPCo WS A  - RB Support '!A4:F4</f>
        <v>KENTUCKY POWER COMPANY</v>
      </c>
      <c r="B4" s="1094"/>
      <c r="C4" s="1094"/>
      <c r="D4" s="1094"/>
      <c r="E4" s="1094"/>
      <c r="F4" s="1094"/>
      <c r="G4" s="1094"/>
    </row>
    <row r="5" spans="1:15" ht="12.75" customHeight="1">
      <c r="A5" s="137"/>
      <c r="B5" s="149"/>
      <c r="C5" s="149"/>
      <c r="D5" s="149"/>
      <c r="E5" s="149"/>
      <c r="F5" s="149"/>
      <c r="G5" s="149"/>
      <c r="H5" s="149"/>
      <c r="I5" s="149"/>
      <c r="J5" s="149"/>
      <c r="O5" s="131"/>
    </row>
    <row r="6" spans="1:9" ht="12.75" customHeight="1">
      <c r="A6" s="137"/>
      <c r="B6" s="172"/>
      <c r="C6" s="5"/>
      <c r="D6" s="5"/>
      <c r="E6" s="5"/>
      <c r="F6" s="5"/>
      <c r="I6" s="146"/>
    </row>
    <row r="7" spans="1:12" ht="18">
      <c r="A7" s="150"/>
      <c r="B7" s="133" t="s">
        <v>848</v>
      </c>
      <c r="C7" s="170"/>
      <c r="D7" s="173"/>
      <c r="E7" s="315">
        <v>0.06</v>
      </c>
      <c r="F7" s="5"/>
      <c r="G7" s="148"/>
      <c r="H7" s="148"/>
      <c r="I7" s="1135"/>
      <c r="L7" s="147"/>
    </row>
    <row r="8" spans="1:12" ht="15">
      <c r="A8" s="147"/>
      <c r="B8" s="133" t="s">
        <v>676</v>
      </c>
      <c r="C8" s="170"/>
      <c r="D8" s="170"/>
      <c r="E8" s="316">
        <v>0.7769</v>
      </c>
      <c r="F8" s="5"/>
      <c r="G8" s="148"/>
      <c r="H8" s="148"/>
      <c r="I8" s="1135"/>
      <c r="L8" s="147"/>
    </row>
    <row r="9" spans="1:12" ht="15">
      <c r="A9" s="147"/>
      <c r="B9" s="133" t="s">
        <v>285</v>
      </c>
      <c r="C9" s="170"/>
      <c r="D9" s="170"/>
      <c r="E9" s="139"/>
      <c r="F9" s="174">
        <f>ROUND(E7*E8,4)</f>
        <v>0.0466</v>
      </c>
      <c r="G9" s="148"/>
      <c r="I9" s="146"/>
      <c r="L9" s="147"/>
    </row>
    <row r="10" spans="1:12" ht="15">
      <c r="A10" s="147"/>
      <c r="B10" s="133"/>
      <c r="C10" s="170"/>
      <c r="D10" s="170"/>
      <c r="E10" s="139"/>
      <c r="F10" s="174"/>
      <c r="G10" s="148"/>
      <c r="I10" s="146"/>
      <c r="L10" s="147"/>
    </row>
    <row r="11" spans="1:12" ht="18">
      <c r="A11" s="150"/>
      <c r="B11" s="133" t="s">
        <v>902</v>
      </c>
      <c r="C11" s="170"/>
      <c r="D11" s="173"/>
      <c r="E11" s="315">
        <v>0.085</v>
      </c>
      <c r="F11" s="5"/>
      <c r="G11" s="148"/>
      <c r="H11" s="148"/>
      <c r="I11" s="1135"/>
      <c r="L11" s="147"/>
    </row>
    <row r="12" spans="1:12" ht="15">
      <c r="A12" s="147"/>
      <c r="B12" s="133" t="s">
        <v>676</v>
      </c>
      <c r="C12" s="170"/>
      <c r="D12" s="170"/>
      <c r="E12" s="316">
        <v>0.0273</v>
      </c>
      <c r="F12" s="5"/>
      <c r="G12" s="148"/>
      <c r="H12" s="148"/>
      <c r="I12" s="1135"/>
      <c r="L12" s="147"/>
    </row>
    <row r="13" spans="1:12" ht="15">
      <c r="A13" s="147"/>
      <c r="B13" s="133" t="s">
        <v>285</v>
      </c>
      <c r="C13" s="170"/>
      <c r="D13" s="170"/>
      <c r="E13" s="139"/>
      <c r="F13" s="174">
        <f>ROUND(E11*E12,4)</f>
        <v>0.0023</v>
      </c>
      <c r="G13" s="148"/>
      <c r="I13" s="146"/>
      <c r="L13" s="147"/>
    </row>
    <row r="14" spans="1:12" ht="15">
      <c r="A14" s="147"/>
      <c r="B14" s="133"/>
      <c r="C14" s="170"/>
      <c r="D14" s="170"/>
      <c r="E14" s="139"/>
      <c r="F14" s="174"/>
      <c r="G14" s="148"/>
      <c r="I14" s="146"/>
      <c r="L14" s="147"/>
    </row>
    <row r="15" spans="1:12" ht="18">
      <c r="A15" s="150"/>
      <c r="B15" s="133" t="s">
        <v>849</v>
      </c>
      <c r="C15" s="170"/>
      <c r="D15" s="173"/>
      <c r="E15" s="315">
        <v>0.0604</v>
      </c>
      <c r="F15" s="5"/>
      <c r="G15" s="148"/>
      <c r="H15" s="148"/>
      <c r="I15" s="1135"/>
      <c r="L15" s="147"/>
    </row>
    <row r="16" spans="1:12" ht="15">
      <c r="A16" s="147"/>
      <c r="B16" s="133" t="s">
        <v>676</v>
      </c>
      <c r="C16" s="170"/>
      <c r="D16" s="170"/>
      <c r="E16" s="316">
        <v>0</v>
      </c>
      <c r="F16" s="5"/>
      <c r="G16" s="148"/>
      <c r="H16" s="148"/>
      <c r="I16" s="1135"/>
      <c r="L16" s="147"/>
    </row>
    <row r="17" spans="1:12" ht="15">
      <c r="A17" s="147"/>
      <c r="B17" s="133" t="s">
        <v>285</v>
      </c>
      <c r="C17" s="170"/>
      <c r="D17" s="170"/>
      <c r="E17" s="139"/>
      <c r="F17" s="174">
        <f>ROUND(E15*E16,4)</f>
        <v>0</v>
      </c>
      <c r="G17" s="148"/>
      <c r="I17" s="146"/>
      <c r="L17" s="147"/>
    </row>
    <row r="18" spans="1:12" ht="15">
      <c r="A18" s="147"/>
      <c r="B18" s="133"/>
      <c r="C18" s="170"/>
      <c r="D18" s="170"/>
      <c r="E18" s="139"/>
      <c r="F18" s="174"/>
      <c r="G18" s="148"/>
      <c r="I18" s="146"/>
      <c r="L18" s="147"/>
    </row>
    <row r="19" spans="1:12" ht="15">
      <c r="A19" s="147"/>
      <c r="B19" s="133" t="s">
        <v>903</v>
      </c>
      <c r="C19" s="170"/>
      <c r="D19" s="173"/>
      <c r="E19" s="315">
        <v>0</v>
      </c>
      <c r="F19" s="5"/>
      <c r="G19" s="148"/>
      <c r="I19" s="1135"/>
      <c r="L19" s="147"/>
    </row>
    <row r="20" spans="1:12" ht="15">
      <c r="A20" s="147"/>
      <c r="B20" s="133" t="s">
        <v>675</v>
      </c>
      <c r="C20" s="170"/>
      <c r="D20" s="173"/>
      <c r="E20" s="315">
        <v>0</v>
      </c>
      <c r="F20" s="5"/>
      <c r="G20" s="148"/>
      <c r="I20" s="1135"/>
      <c r="L20" s="147"/>
    </row>
    <row r="21" spans="1:12" ht="15">
      <c r="A21" s="147"/>
      <c r="B21" s="133" t="s">
        <v>676</v>
      </c>
      <c r="C21" s="170"/>
      <c r="D21" s="170"/>
      <c r="E21" s="316">
        <v>0.0675</v>
      </c>
      <c r="F21" s="5"/>
      <c r="G21" s="148"/>
      <c r="I21" s="1135"/>
      <c r="L21" s="147"/>
    </row>
    <row r="22" spans="1:12" ht="15">
      <c r="A22" s="147"/>
      <c r="B22" s="133" t="s">
        <v>285</v>
      </c>
      <c r="C22" s="170"/>
      <c r="D22" s="170"/>
      <c r="E22" s="139"/>
      <c r="F22" s="174">
        <f>ROUND(E19*E20*E21,4)</f>
        <v>0</v>
      </c>
      <c r="G22" s="148"/>
      <c r="I22" s="146"/>
      <c r="L22" s="147"/>
    </row>
    <row r="23" spans="1:12" ht="15">
      <c r="A23" s="147"/>
      <c r="B23" s="133"/>
      <c r="C23" s="170"/>
      <c r="D23" s="170"/>
      <c r="E23" s="139"/>
      <c r="F23" s="174"/>
      <c r="G23" s="148"/>
      <c r="I23" s="146"/>
      <c r="L23" s="147"/>
    </row>
    <row r="24" spans="1:12" ht="15">
      <c r="A24" s="147"/>
      <c r="B24" s="133" t="s">
        <v>634</v>
      </c>
      <c r="C24" s="170"/>
      <c r="D24" s="173"/>
      <c r="E24" s="315">
        <v>0.073</v>
      </c>
      <c r="F24" s="5"/>
      <c r="G24" s="148"/>
      <c r="I24" s="1135"/>
      <c r="L24" s="147"/>
    </row>
    <row r="25" spans="1:12" ht="15">
      <c r="A25" s="147"/>
      <c r="B25" s="133" t="s">
        <v>676</v>
      </c>
      <c r="C25" s="170"/>
      <c r="D25" s="170"/>
      <c r="E25" s="316">
        <v>0.0055</v>
      </c>
      <c r="F25" s="5"/>
      <c r="G25" s="148"/>
      <c r="I25" s="1135"/>
      <c r="L25" s="147"/>
    </row>
    <row r="26" spans="1:12" ht="15">
      <c r="A26" s="147"/>
      <c r="B26" s="133" t="s">
        <v>285</v>
      </c>
      <c r="C26" s="170"/>
      <c r="D26" s="170"/>
      <c r="E26" s="139"/>
      <c r="F26" s="174">
        <f>ROUND(E24*E25,4)</f>
        <v>0.0004</v>
      </c>
      <c r="G26" s="148"/>
      <c r="I26" s="146"/>
      <c r="L26" s="147"/>
    </row>
    <row r="27" spans="1:12" ht="15">
      <c r="A27" s="147"/>
      <c r="B27" s="133"/>
      <c r="C27" s="170"/>
      <c r="D27" s="170"/>
      <c r="E27" s="170"/>
      <c r="F27" s="175"/>
      <c r="G27" s="148"/>
      <c r="I27" s="146"/>
      <c r="L27" s="147"/>
    </row>
    <row r="28" spans="1:12" ht="15.75" thickBot="1">
      <c r="A28" s="147"/>
      <c r="B28" s="139" t="s">
        <v>838</v>
      </c>
      <c r="C28" s="139"/>
      <c r="D28" s="139"/>
      <c r="E28" s="139"/>
      <c r="F28" s="474">
        <f>ROUND(SUM(F9:F27),4)</f>
        <v>0.0493</v>
      </c>
      <c r="G28" s="148"/>
      <c r="L28" s="147"/>
    </row>
    <row r="29" spans="1:12" ht="13.5" thickTop="1">
      <c r="A29" s="147"/>
      <c r="G29" s="146"/>
      <c r="L29" s="147"/>
    </row>
    <row r="30" spans="1:12" ht="12.75">
      <c r="A30" s="147"/>
      <c r="G30" s="146"/>
      <c r="H30" s="146"/>
      <c r="L30" s="147"/>
    </row>
    <row r="31" spans="1:12" ht="12.75">
      <c r="A31" s="147"/>
      <c r="G31" s="146"/>
      <c r="H31" s="146"/>
      <c r="L31" s="147"/>
    </row>
    <row r="32" spans="1:12" ht="12.75" customHeight="1">
      <c r="A32" s="147"/>
      <c r="C32" s="139"/>
      <c r="D32" s="139"/>
      <c r="E32" s="139"/>
      <c r="F32" s="139"/>
      <c r="G32" s="146"/>
      <c r="H32" s="146"/>
      <c r="L32" s="147"/>
    </row>
    <row r="33" spans="1:12" ht="21.75" customHeight="1">
      <c r="A33" s="100" t="s">
        <v>389</v>
      </c>
      <c r="B33" s="1087" t="s">
        <v>400</v>
      </c>
      <c r="C33" s="1087"/>
      <c r="D33" s="1087"/>
      <c r="E33" s="1087"/>
      <c r="F33" s="1087"/>
      <c r="G33" s="1087"/>
      <c r="H33" s="146"/>
      <c r="I33" s="137"/>
      <c r="L33" s="146"/>
    </row>
    <row r="34" spans="1:12" ht="12.75" customHeight="1">
      <c r="A34" s="99"/>
      <c r="B34" s="1087"/>
      <c r="C34" s="1087"/>
      <c r="D34" s="1087"/>
      <c r="E34" s="1087"/>
      <c r="F34" s="1087"/>
      <c r="G34" s="1087"/>
      <c r="H34" s="146"/>
      <c r="L34" s="146"/>
    </row>
    <row r="35" spans="1:12" ht="16.5" customHeight="1">
      <c r="A35" s="99"/>
      <c r="B35" s="1087"/>
      <c r="C35" s="1087"/>
      <c r="D35" s="1087"/>
      <c r="E35" s="1087"/>
      <c r="F35" s="1087"/>
      <c r="G35" s="1087"/>
      <c r="H35" s="146"/>
      <c r="I35" s="146"/>
      <c r="L35" s="146"/>
    </row>
    <row r="36" spans="1:12" ht="12.75">
      <c r="A36" s="1001" t="s">
        <v>677</v>
      </c>
      <c r="B36" s="1001" t="s">
        <v>678</v>
      </c>
      <c r="C36" s="146"/>
      <c r="D36" s="146"/>
      <c r="E36" s="146"/>
      <c r="F36" s="146"/>
      <c r="G36" s="146"/>
      <c r="H36" s="146"/>
      <c r="I36" s="146"/>
      <c r="L36" s="146"/>
    </row>
    <row r="243" ht="12.75">
      <c r="B243" t="s">
        <v>28</v>
      </c>
    </row>
    <row r="302" ht="6" customHeight="1"/>
    <row r="304" ht="6" customHeight="1"/>
    <row r="311" ht="6" customHeight="1"/>
    <row r="313" ht="6" customHeight="1"/>
    <row r="317" ht="6" customHeight="1"/>
    <row r="320" ht="6" customHeight="1"/>
    <row r="325" ht="6" customHeight="1"/>
    <row r="329" ht="6" customHeight="1"/>
    <row r="331" ht="6" customHeight="1"/>
    <row r="340" ht="6" customHeight="1"/>
    <row r="342" ht="6" customHeight="1"/>
    <row r="344" ht="6" customHeight="1"/>
    <row r="346" ht="6" customHeight="1"/>
    <row r="355" ht="6" customHeight="1"/>
    <row r="357" ht="6" customHeight="1"/>
  </sheetData>
  <sheetProtection/>
  <mergeCells count="5">
    <mergeCell ref="B33:G35"/>
    <mergeCell ref="A4:G4"/>
    <mergeCell ref="A1:H1"/>
    <mergeCell ref="A2:H2"/>
    <mergeCell ref="A3:H3"/>
  </mergeCells>
  <printOptions/>
  <pageMargins left="0.26" right="0.77" top="1" bottom="1" header="0.75" footer="0.5"/>
  <pageSetup fitToHeight="1" fitToWidth="1" horizontalDpi="600" verticalDpi="600" orientation="portrait" scale="95" r:id="rId1"/>
  <headerFooter alignWithMargins="0">
    <oddHeader>&amp;R&amp;"Arial,Bold"Formula Rate 
&amp;A
Page &amp;P of &amp;N</oddHeader>
  </headerFooter>
</worksheet>
</file>

<file path=xl/worksheets/sheet11.xml><?xml version="1.0" encoding="utf-8"?>
<worksheet xmlns="http://schemas.openxmlformats.org/spreadsheetml/2006/main" xmlns:r="http://schemas.openxmlformats.org/officeDocument/2006/relationships">
  <sheetPr>
    <pageSetUpPr fitToPage="1"/>
  </sheetPr>
  <dimension ref="A1:AC207"/>
  <sheetViews>
    <sheetView zoomScale="75" zoomScaleNormal="75" zoomScalePageLayoutView="0" workbookViewId="0" topLeftCell="A1">
      <selection activeCell="A1" sqref="A1:M1"/>
    </sheetView>
  </sheetViews>
  <sheetFormatPr defaultColWidth="9.140625" defaultRowHeight="12.75"/>
  <cols>
    <col min="1" max="1" width="7.28125" style="461" customWidth="1"/>
    <col min="2" max="2" width="1.7109375" style="462" customWidth="1"/>
    <col min="3" max="3" width="62.421875" style="462" customWidth="1"/>
    <col min="4" max="4" width="19.140625" style="462" customWidth="1"/>
    <col min="5" max="5" width="20.421875" style="456" customWidth="1"/>
    <col min="6" max="6" width="1.7109375" style="447" customWidth="1"/>
    <col min="7" max="7" width="20.00390625" style="447" bestFit="1" customWidth="1"/>
    <col min="8" max="8" width="1.7109375" style="447" customWidth="1"/>
    <col min="9" max="9" width="21.421875" style="447" customWidth="1"/>
    <col min="10" max="10" width="1.7109375" style="447" customWidth="1"/>
    <col min="11" max="11" width="17.7109375" style="447" bestFit="1" customWidth="1"/>
    <col min="12" max="12" width="3.421875" style="447" customWidth="1"/>
    <col min="13" max="13" width="22.57421875" style="447" customWidth="1"/>
    <col min="14" max="14" width="1.28515625" style="447" customWidth="1"/>
    <col min="15" max="15" width="22.140625" style="683" customWidth="1"/>
    <col min="16" max="16384" width="9.140625" style="447" customWidth="1"/>
  </cols>
  <sheetData>
    <row r="1" spans="1:13" ht="18.75" customHeight="1">
      <c r="A1" s="1091" t="s">
        <v>230</v>
      </c>
      <c r="B1" s="1091"/>
      <c r="C1" s="1091"/>
      <c r="D1" s="1091"/>
      <c r="E1" s="1091"/>
      <c r="F1" s="1091"/>
      <c r="G1" s="1091"/>
      <c r="H1" s="1091"/>
      <c r="I1" s="1091"/>
      <c r="J1" s="1091"/>
      <c r="K1" s="1091"/>
      <c r="L1" s="1091"/>
      <c r="M1" s="1091"/>
    </row>
    <row r="2" spans="1:13" ht="18.75" customHeight="1">
      <c r="A2" s="1090" t="str">
        <f>"Cost of Service Formula Rate Using "&amp;'KPCo Historic TCOS'!O1&amp;" FF1 Balances"</f>
        <v>Cost of Service Formula Rate Using 2009 FF1 Balances</v>
      </c>
      <c r="B2" s="1090"/>
      <c r="C2" s="1090"/>
      <c r="D2" s="1090"/>
      <c r="E2" s="1090"/>
      <c r="F2" s="1090"/>
      <c r="G2" s="1090"/>
      <c r="H2" s="1090"/>
      <c r="I2" s="1090"/>
      <c r="J2" s="1090"/>
      <c r="K2" s="1090"/>
      <c r="L2" s="1090"/>
      <c r="M2" s="1090"/>
    </row>
    <row r="3" spans="1:13" ht="18.75" customHeight="1">
      <c r="A3" s="1090" t="s">
        <v>19</v>
      </c>
      <c r="B3" s="1090"/>
      <c r="C3" s="1090"/>
      <c r="D3" s="1090"/>
      <c r="E3" s="1090"/>
      <c r="F3" s="1090"/>
      <c r="G3" s="1090"/>
      <c r="H3" s="1090"/>
      <c r="I3" s="1090"/>
      <c r="J3" s="1090"/>
      <c r="K3" s="1090"/>
      <c r="L3" s="1090"/>
      <c r="M3" s="1090"/>
    </row>
    <row r="4" spans="1:13" ht="18" customHeight="1">
      <c r="A4" s="1161" t="str">
        <f>+'KPCo Historic TCOS'!F7</f>
        <v>KENTUCKY POWER COMPANY</v>
      </c>
      <c r="B4" s="1161"/>
      <c r="C4" s="1161"/>
      <c r="D4" s="1161"/>
      <c r="E4" s="1161"/>
      <c r="F4" s="1161"/>
      <c r="G4" s="1161"/>
      <c r="H4" s="1161"/>
      <c r="I4" s="1161"/>
      <c r="J4" s="1161"/>
      <c r="K4" s="1161"/>
      <c r="L4" s="1161"/>
      <c r="M4" s="1161"/>
    </row>
    <row r="5" spans="1:13" ht="18" customHeight="1">
      <c r="A5" s="1094"/>
      <c r="B5" s="1094"/>
      <c r="C5" s="1094"/>
      <c r="D5" s="1094"/>
      <c r="E5" s="1094"/>
      <c r="F5" s="1094"/>
      <c r="G5" s="1094"/>
      <c r="H5" s="1094"/>
      <c r="I5" s="1094"/>
      <c r="J5" s="1094"/>
      <c r="K5" s="1094"/>
      <c r="L5" s="1094"/>
      <c r="M5" s="1094"/>
    </row>
    <row r="6" spans="1:13" ht="18" customHeight="1">
      <c r="A6" s="1158"/>
      <c r="B6" s="1158"/>
      <c r="C6" s="1158"/>
      <c r="D6" s="1158"/>
      <c r="E6" s="1158"/>
      <c r="F6" s="1158"/>
      <c r="G6" s="1158"/>
      <c r="H6" s="1158"/>
      <c r="I6" s="1158"/>
      <c r="J6" s="1158"/>
      <c r="K6" s="1158"/>
      <c r="L6" s="1158"/>
      <c r="M6" s="1158"/>
    </row>
    <row r="7" spans="1:13" ht="18" customHeight="1">
      <c r="A7" s="532"/>
      <c r="B7" s="532"/>
      <c r="C7" s="532"/>
      <c r="D7" s="532"/>
      <c r="E7" s="532"/>
      <c r="F7" s="532"/>
      <c r="G7" s="532"/>
      <c r="H7" s="532"/>
      <c r="I7" s="532"/>
      <c r="J7" s="532"/>
      <c r="K7" s="532"/>
      <c r="L7" s="532"/>
      <c r="M7" s="532"/>
    </row>
    <row r="8" spans="1:13" ht="19.5" customHeight="1">
      <c r="A8" s="449"/>
      <c r="B8" s="450"/>
      <c r="C8" s="169" t="s">
        <v>770</v>
      </c>
      <c r="E8" s="169" t="s">
        <v>771</v>
      </c>
      <c r="G8" s="169" t="s">
        <v>772</v>
      </c>
      <c r="I8" s="169" t="s">
        <v>773</v>
      </c>
      <c r="K8" s="169" t="s">
        <v>588</v>
      </c>
      <c r="M8" s="169" t="s">
        <v>589</v>
      </c>
    </row>
    <row r="9" spans="1:29" ht="18">
      <c r="A9" s="621"/>
      <c r="B9" s="622"/>
      <c r="C9" s="622"/>
      <c r="D9" s="622"/>
      <c r="E9"/>
      <c r="F9"/>
      <c r="G9"/>
      <c r="H9"/>
      <c r="I9"/>
      <c r="J9"/>
      <c r="K9"/>
      <c r="L9"/>
      <c r="M9"/>
      <c r="Q9" s="172"/>
      <c r="R9" s="172"/>
      <c r="S9" s="172"/>
      <c r="T9" s="172"/>
      <c r="U9" s="172"/>
      <c r="V9" s="172"/>
      <c r="W9" s="172"/>
      <c r="X9" s="172"/>
      <c r="Y9" s="172"/>
      <c r="Z9" s="172"/>
      <c r="AA9" s="172"/>
      <c r="AB9" s="172"/>
      <c r="AC9" s="172"/>
    </row>
    <row r="10" spans="1:13" ht="19.5">
      <c r="A10" s="621" t="s">
        <v>777</v>
      </c>
      <c r="B10" s="622"/>
      <c r="C10" s="622"/>
      <c r="D10" s="622"/>
      <c r="E10" s="623" t="s">
        <v>726</v>
      </c>
      <c r="F10" s="621"/>
      <c r="G10" s="621"/>
      <c r="H10" s="621"/>
      <c r="I10" s="621"/>
      <c r="J10" s="621"/>
      <c r="K10" s="455"/>
      <c r="L10" s="455"/>
      <c r="M10" s="624"/>
    </row>
    <row r="11" spans="1:13" ht="19.5">
      <c r="A11" s="625" t="s">
        <v>725</v>
      </c>
      <c r="B11" s="622"/>
      <c r="C11" s="625" t="s">
        <v>93</v>
      </c>
      <c r="D11" s="622"/>
      <c r="E11" s="626" t="s">
        <v>811</v>
      </c>
      <c r="F11" s="621"/>
      <c r="G11" s="625" t="s">
        <v>96</v>
      </c>
      <c r="H11" s="621"/>
      <c r="I11" s="625" t="s">
        <v>769</v>
      </c>
      <c r="J11" s="621"/>
      <c r="K11" s="627" t="s">
        <v>790</v>
      </c>
      <c r="L11" s="628"/>
      <c r="M11" s="627" t="s">
        <v>97</v>
      </c>
    </row>
    <row r="12" spans="1:12" ht="19.5">
      <c r="A12" s="451"/>
      <c r="B12" s="450"/>
      <c r="C12" s="446"/>
      <c r="D12" s="446"/>
      <c r="E12" s="1041" t="s">
        <v>660</v>
      </c>
      <c r="F12" s="446"/>
      <c r="G12" s="446"/>
      <c r="H12" s="446"/>
      <c r="I12" s="446"/>
      <c r="J12" s="446"/>
      <c r="K12" s="445"/>
      <c r="L12" s="445"/>
    </row>
    <row r="13" spans="1:12" ht="19.5">
      <c r="A13" s="449"/>
      <c r="B13" s="450"/>
      <c r="C13" s="450"/>
      <c r="D13" s="450"/>
      <c r="E13" s="452"/>
      <c r="F13" s="448"/>
      <c r="G13" s="448"/>
      <c r="H13" s="448"/>
      <c r="I13" s="444"/>
      <c r="J13" s="448"/>
      <c r="K13" s="445"/>
      <c r="L13" s="445"/>
    </row>
    <row r="14" spans="1:13" ht="19.5">
      <c r="A14" s="449">
        <v>1</v>
      </c>
      <c r="B14" s="450"/>
      <c r="C14" s="453" t="s">
        <v>108</v>
      </c>
      <c r="D14" s="450"/>
      <c r="E14" s="445"/>
      <c r="F14" s="445"/>
      <c r="G14" s="472"/>
      <c r="H14" s="472"/>
      <c r="I14" s="472"/>
      <c r="J14" s="472"/>
      <c r="K14" s="472"/>
      <c r="L14" s="472"/>
      <c r="M14" s="454"/>
    </row>
    <row r="15" spans="1:13" ht="19.5">
      <c r="A15" s="449">
        <f>+A14+1</f>
        <v>2</v>
      </c>
      <c r="B15" s="450"/>
      <c r="C15" s="445" t="s">
        <v>94</v>
      </c>
      <c r="D15" s="450"/>
      <c r="E15" s="1024">
        <f>'KPCo WS H-1-Detail of Tax Amts'!E13</f>
        <v>206405</v>
      </c>
      <c r="F15" s="445"/>
      <c r="G15" s="472"/>
      <c r="H15" s="472"/>
      <c r="I15" s="472"/>
      <c r="J15" s="472"/>
      <c r="K15" s="472"/>
      <c r="L15" s="472"/>
      <c r="M15" s="454">
        <f>+E15</f>
        <v>206405</v>
      </c>
    </row>
    <row r="16" spans="1:13" ht="19.5">
      <c r="A16" s="449"/>
      <c r="B16" s="450"/>
      <c r="C16" s="455"/>
      <c r="D16" s="450"/>
      <c r="E16" s="935"/>
      <c r="F16" s="445"/>
      <c r="G16" s="472"/>
      <c r="H16" s="472"/>
      <c r="I16" s="472"/>
      <c r="J16" s="472"/>
      <c r="K16" s="472"/>
      <c r="L16" s="472"/>
      <c r="M16" s="454"/>
    </row>
    <row r="17" spans="1:13" ht="19.5">
      <c r="A17" s="449">
        <f>+A15+1</f>
        <v>3</v>
      </c>
      <c r="B17" s="450"/>
      <c r="C17" s="453" t="s">
        <v>109</v>
      </c>
      <c r="D17" s="450"/>
      <c r="E17" s="935"/>
      <c r="F17" s="445"/>
      <c r="G17" s="472"/>
      <c r="H17" s="472"/>
      <c r="I17" s="472"/>
      <c r="J17" s="472"/>
      <c r="K17" s="472"/>
      <c r="L17" s="472"/>
      <c r="M17" s="454"/>
    </row>
    <row r="18" spans="1:15" ht="19.5">
      <c r="A18" s="449">
        <f>+A17+1</f>
        <v>4</v>
      </c>
      <c r="B18" s="450"/>
      <c r="C18" s="448" t="s">
        <v>824</v>
      </c>
      <c r="D18" s="448"/>
      <c r="E18" s="1024">
        <f>'KPCo WS H-1-Detail of Tax Amts'!E17</f>
        <v>9616458</v>
      </c>
      <c r="F18" s="448"/>
      <c r="G18" s="472">
        <f>+E18</f>
        <v>9616458</v>
      </c>
      <c r="H18" s="472"/>
      <c r="I18" s="472"/>
      <c r="J18" s="472"/>
      <c r="K18" s="472"/>
      <c r="L18" s="472"/>
      <c r="M18" s="454"/>
      <c r="O18"/>
    </row>
    <row r="19" spans="1:15" ht="19.5">
      <c r="A19" s="449">
        <f>+A18+1</f>
        <v>5</v>
      </c>
      <c r="B19" s="450"/>
      <c r="C19" s="448" t="s">
        <v>899</v>
      </c>
      <c r="D19" s="448"/>
      <c r="E19" s="1025">
        <f>'KPCo WS H-1-Detail of Tax Amts'!E28</f>
        <v>3254</v>
      </c>
      <c r="F19" s="448"/>
      <c r="G19" s="472">
        <f>+E19</f>
        <v>3254</v>
      </c>
      <c r="H19" s="472"/>
      <c r="I19" s="472"/>
      <c r="J19" s="472"/>
      <c r="K19" s="472"/>
      <c r="L19" s="472"/>
      <c r="M19" s="454"/>
      <c r="O19"/>
    </row>
    <row r="20" spans="1:15" ht="19.5">
      <c r="A20" s="449"/>
      <c r="B20" s="450"/>
      <c r="C20" s="455"/>
      <c r="D20" s="450"/>
      <c r="E20" s="935"/>
      <c r="F20" s="445"/>
      <c r="G20" s="472"/>
      <c r="H20" s="472"/>
      <c r="I20" s="472"/>
      <c r="J20" s="472"/>
      <c r="K20" s="472"/>
      <c r="L20" s="472"/>
      <c r="M20" s="454"/>
      <c r="O20" s="684"/>
    </row>
    <row r="21" spans="1:15" ht="19.5">
      <c r="A21" s="449">
        <f>+A19+1</f>
        <v>6</v>
      </c>
      <c r="B21" s="450"/>
      <c r="C21" s="453" t="s">
        <v>110</v>
      </c>
      <c r="D21" s="450"/>
      <c r="E21" s="935"/>
      <c r="F21" s="445"/>
      <c r="G21" s="472"/>
      <c r="H21" s="472"/>
      <c r="I21" s="472"/>
      <c r="J21" s="472"/>
      <c r="K21" s="472"/>
      <c r="L21" s="472"/>
      <c r="M21" s="454"/>
      <c r="O21" s="684"/>
    </row>
    <row r="22" spans="1:15" ht="19.5">
      <c r="A22" s="449">
        <f>+A21+1</f>
        <v>7</v>
      </c>
      <c r="B22" s="450"/>
      <c r="C22" s="448" t="s">
        <v>106</v>
      </c>
      <c r="D22" s="450"/>
      <c r="E22" s="1024">
        <f>'KPCo WS H-1-Detail of Tax Amts'!E35</f>
        <v>1631366</v>
      </c>
      <c r="F22" s="445"/>
      <c r="G22" s="472"/>
      <c r="H22" s="472"/>
      <c r="I22" s="472">
        <f>+E22</f>
        <v>1631366</v>
      </c>
      <c r="J22" s="472"/>
      <c r="K22" s="472"/>
      <c r="L22" s="472"/>
      <c r="M22" s="454"/>
      <c r="O22" s="684"/>
    </row>
    <row r="23" spans="1:13" ht="19.5">
      <c r="A23" s="449">
        <f>+A22+1</f>
        <v>8</v>
      </c>
      <c r="B23" s="450"/>
      <c r="C23" s="448" t="s">
        <v>99</v>
      </c>
      <c r="D23" s="450"/>
      <c r="E23" s="1024">
        <f>'KPCo WS H-1-Detail of Tax Amts'!E37</f>
        <v>5717</v>
      </c>
      <c r="F23" s="445"/>
      <c r="G23" s="445"/>
      <c r="H23" s="445"/>
      <c r="I23" s="454">
        <f>+E23</f>
        <v>5717</v>
      </c>
      <c r="J23" s="448"/>
      <c r="K23" s="445"/>
      <c r="L23" s="445"/>
      <c r="M23" s="454"/>
    </row>
    <row r="24" spans="1:13" ht="19.5">
      <c r="A24" s="449">
        <f>+A23+1</f>
        <v>9</v>
      </c>
      <c r="B24" s="450"/>
      <c r="C24" s="448" t="s">
        <v>100</v>
      </c>
      <c r="D24" s="450"/>
      <c r="E24" s="1024">
        <f>'KPCo WS H-1-Detail of Tax Amts'!E39</f>
        <v>18523</v>
      </c>
      <c r="F24" s="445"/>
      <c r="G24" s="445"/>
      <c r="H24" s="445"/>
      <c r="I24" s="454">
        <f>+E24</f>
        <v>18523</v>
      </c>
      <c r="J24" s="452"/>
      <c r="K24" s="445"/>
      <c r="L24" s="445"/>
      <c r="M24" s="454"/>
    </row>
    <row r="25" spans="1:13" ht="19.5">
      <c r="A25" s="449" t="s">
        <v>722</v>
      </c>
      <c r="B25" s="450"/>
      <c r="C25" s="445"/>
      <c r="D25" s="450"/>
      <c r="E25" s="935"/>
      <c r="F25" s="445"/>
      <c r="G25" s="445"/>
      <c r="H25" s="445"/>
      <c r="I25" s="464"/>
      <c r="J25" s="465"/>
      <c r="K25" s="468"/>
      <c r="L25" s="468"/>
      <c r="M25" s="454"/>
    </row>
    <row r="26" spans="1:13" ht="19.5">
      <c r="A26" s="449">
        <f>A24+1</f>
        <v>10</v>
      </c>
      <c r="B26" s="450"/>
      <c r="C26" s="453" t="s">
        <v>271</v>
      </c>
      <c r="D26" s="450"/>
      <c r="E26" s="935"/>
      <c r="F26" s="445"/>
      <c r="G26" s="445"/>
      <c r="H26" s="445"/>
      <c r="I26" s="464"/>
      <c r="J26" s="465"/>
      <c r="K26" s="468"/>
      <c r="L26" s="468"/>
      <c r="M26" s="454"/>
    </row>
    <row r="27" spans="1:13" ht="19.5">
      <c r="A27" s="449">
        <f>A26+1</f>
        <v>11</v>
      </c>
      <c r="B27" s="450"/>
      <c r="C27" s="460" t="s">
        <v>272</v>
      </c>
      <c r="D27" s="690"/>
      <c r="E27" s="1024">
        <f>'KPCo WS H-1-Detail of Tax Amts'!E43</f>
        <v>0</v>
      </c>
      <c r="F27" s="460"/>
      <c r="G27" s="445"/>
      <c r="H27" s="445"/>
      <c r="I27" s="464"/>
      <c r="J27" s="465"/>
      <c r="K27" s="468"/>
      <c r="L27" s="468"/>
      <c r="M27" s="454">
        <f>E27</f>
        <v>0</v>
      </c>
    </row>
    <row r="28" spans="1:13" ht="19.5">
      <c r="A28" s="449"/>
      <c r="B28" s="450"/>
      <c r="C28" s="445"/>
      <c r="D28" s="450"/>
      <c r="E28" s="935"/>
      <c r="F28" s="445"/>
      <c r="G28" s="445"/>
      <c r="H28" s="445"/>
      <c r="I28" s="464"/>
      <c r="J28" s="465"/>
      <c r="K28" s="468"/>
      <c r="L28" s="468"/>
      <c r="M28" s="454"/>
    </row>
    <row r="29" spans="1:13" ht="19.5">
      <c r="A29" s="457">
        <f>+A27+1</f>
        <v>12</v>
      </c>
      <c r="B29" s="458"/>
      <c r="C29" s="453" t="s">
        <v>107</v>
      </c>
      <c r="D29" s="459"/>
      <c r="E29" s="935"/>
      <c r="F29" s="445"/>
      <c r="G29" s="454"/>
      <c r="H29" s="454"/>
      <c r="I29" s="454"/>
      <c r="J29" s="454"/>
      <c r="K29" s="454"/>
      <c r="L29" s="454"/>
      <c r="M29" s="454"/>
    </row>
    <row r="30" spans="1:13" ht="19.5">
      <c r="A30" s="457">
        <f>A29+1</f>
        <v>13</v>
      </c>
      <c r="B30" s="458"/>
      <c r="C30" s="445" t="s">
        <v>270</v>
      </c>
      <c r="D30" s="459"/>
      <c r="E30" s="1024">
        <f>'KPCo WS H-1-Detail of Tax Amts'!E46</f>
        <v>0</v>
      </c>
      <c r="F30" s="460"/>
      <c r="G30" s="454"/>
      <c r="H30" s="454"/>
      <c r="I30" s="454"/>
      <c r="J30" s="454"/>
      <c r="K30" s="454"/>
      <c r="L30" s="454"/>
      <c r="M30" s="454">
        <f>E30</f>
        <v>0</v>
      </c>
    </row>
    <row r="31" spans="1:13" ht="19.5">
      <c r="A31" s="449">
        <f>A30+1</f>
        <v>14</v>
      </c>
      <c r="B31" s="450"/>
      <c r="C31" s="445" t="s">
        <v>101</v>
      </c>
      <c r="D31" s="450"/>
      <c r="E31" s="527">
        <f>'KPCo WS H-1-Detail of Tax Amts'!E48</f>
        <v>710060</v>
      </c>
      <c r="F31" s="445"/>
      <c r="G31" s="454"/>
      <c r="H31" s="454"/>
      <c r="I31" s="454"/>
      <c r="J31" s="454"/>
      <c r="K31" s="454">
        <f>+E31</f>
        <v>710060</v>
      </c>
      <c r="L31" s="454"/>
      <c r="M31" s="454"/>
    </row>
    <row r="32" spans="1:13" ht="19.5">
      <c r="A32" s="449">
        <f aca="true" t="shared" si="0" ref="A32:A37">+A31+1</f>
        <v>15</v>
      </c>
      <c r="B32" s="450"/>
      <c r="C32" s="445" t="s">
        <v>102</v>
      </c>
      <c r="D32"/>
      <c r="E32" s="527">
        <f>'KPCo WS H-1-Detail of Tax Amts'!E51</f>
        <v>68465</v>
      </c>
      <c r="F32" s="445"/>
      <c r="G32" s="527"/>
      <c r="H32" s="527"/>
      <c r="I32" s="527"/>
      <c r="J32" s="527"/>
      <c r="K32" s="454">
        <f>+E32</f>
        <v>68465</v>
      </c>
      <c r="L32" s="527"/>
      <c r="M32" s="454"/>
    </row>
    <row r="33" spans="1:13" ht="19.5">
      <c r="A33" s="449">
        <f>+A32+1</f>
        <v>16</v>
      </c>
      <c r="B33" s="450"/>
      <c r="C33" s="445" t="s">
        <v>103</v>
      </c>
      <c r="D33"/>
      <c r="E33" s="527">
        <f>'KPCo WS H-1-Detail of Tax Amts'!E55</f>
        <v>95</v>
      </c>
      <c r="F33" s="445"/>
      <c r="G33" s="454"/>
      <c r="H33" s="454"/>
      <c r="I33" s="454"/>
      <c r="J33" s="454"/>
      <c r="K33" s="454">
        <f>+E33</f>
        <v>95</v>
      </c>
      <c r="L33" s="454"/>
      <c r="M33" s="454"/>
    </row>
    <row r="34" spans="1:13" ht="19.5">
      <c r="A34" s="449">
        <f t="shared" si="0"/>
        <v>17</v>
      </c>
      <c r="B34" s="450"/>
      <c r="C34" s="445" t="s">
        <v>104</v>
      </c>
      <c r="D34" s="450"/>
      <c r="E34" s="527">
        <f>'KPCo WS H-1-Detail of Tax Amts'!E58</f>
        <v>230</v>
      </c>
      <c r="F34" s="445"/>
      <c r="G34" s="454"/>
      <c r="H34" s="454"/>
      <c r="I34" s="454"/>
      <c r="J34" s="454"/>
      <c r="K34" s="454">
        <f>+E34</f>
        <v>230</v>
      </c>
      <c r="L34" s="454"/>
      <c r="M34" s="454"/>
    </row>
    <row r="35" spans="1:13" ht="19.5">
      <c r="A35" s="449">
        <f t="shared" si="0"/>
        <v>18</v>
      </c>
      <c r="B35" s="450"/>
      <c r="C35" s="445" t="s">
        <v>105</v>
      </c>
      <c r="D35" s="450"/>
      <c r="E35" s="527">
        <f>'KPCo WS H-1-Detail of Tax Amts'!E60</f>
        <v>-582273</v>
      </c>
      <c r="F35" s="460"/>
      <c r="G35" s="454"/>
      <c r="H35" s="454"/>
      <c r="I35" s="454"/>
      <c r="J35" s="454"/>
      <c r="K35" s="454"/>
      <c r="L35" s="454"/>
      <c r="M35" s="454">
        <f>+E35</f>
        <v>-582273</v>
      </c>
    </row>
    <row r="36" spans="1:13" ht="19.5">
      <c r="A36" s="449">
        <f t="shared" si="0"/>
        <v>19</v>
      </c>
      <c r="B36" s="445"/>
      <c r="C36" s="445" t="s">
        <v>95</v>
      </c>
      <c r="D36" s="445"/>
      <c r="E36" s="527">
        <f>'KPCo WS H-1-Detail of Tax Amts'!E64</f>
        <v>4262</v>
      </c>
      <c r="F36" s="445"/>
      <c r="G36" s="454"/>
      <c r="H36" s="454"/>
      <c r="I36" s="454"/>
      <c r="J36" s="454"/>
      <c r="K36" s="454"/>
      <c r="L36" s="454"/>
      <c r="M36" s="454">
        <f>+E36</f>
        <v>4262</v>
      </c>
    </row>
    <row r="37" spans="1:13" ht="19.5">
      <c r="A37" s="449">
        <f t="shared" si="0"/>
        <v>20</v>
      </c>
      <c r="B37" s="445"/>
      <c r="C37" s="471" t="s">
        <v>714</v>
      </c>
      <c r="D37" s="460"/>
      <c r="E37" s="527">
        <f>'KPCo WS H-1-Detail of Tax Amts'!E66</f>
        <v>0</v>
      </c>
      <c r="F37" s="460"/>
      <c r="G37" s="454"/>
      <c r="H37" s="454"/>
      <c r="I37" s="454"/>
      <c r="J37" s="454"/>
      <c r="K37" s="454"/>
      <c r="L37" s="454"/>
      <c r="M37" s="454">
        <f>+E37</f>
        <v>0</v>
      </c>
    </row>
    <row r="38" spans="1:13" ht="19.5">
      <c r="A38" s="100"/>
      <c r="B38" s="756"/>
      <c r="C38" s="756"/>
      <c r="D38"/>
      <c r="E38"/>
      <c r="F38" s="445"/>
      <c r="H38" s="463"/>
      <c r="I38" s="466"/>
      <c r="J38" s="466"/>
      <c r="K38" s="468"/>
      <c r="L38" s="469"/>
      <c r="M38" s="469"/>
    </row>
    <row r="39" spans="1:13" ht="20.25" thickBot="1">
      <c r="A39" s="768">
        <f>+A37+1</f>
        <v>21</v>
      </c>
      <c r="B39" s="756"/>
      <c r="C39" s="445" t="s">
        <v>98</v>
      </c>
      <c r="D39"/>
      <c r="E39" s="470">
        <f>SUM(E15:E37)</f>
        <v>11682562</v>
      </c>
      <c r="F39" s="445"/>
      <c r="G39" s="470">
        <f>SUM(G15:G37)</f>
        <v>9619712</v>
      </c>
      <c r="H39" s="463"/>
      <c r="I39" s="470">
        <f>SUM(I15:I37)</f>
        <v>1655606</v>
      </c>
      <c r="J39" s="466"/>
      <c r="K39" s="470">
        <f>SUM(K15:K37)</f>
        <v>778850</v>
      </c>
      <c r="L39" s="469"/>
      <c r="M39" s="470">
        <f>SUM(M15:M37)</f>
        <v>-371606</v>
      </c>
    </row>
    <row r="40" spans="1:13" ht="20.25" thickTop="1">
      <c r="A40" s="100"/>
      <c r="B40" s="756"/>
      <c r="C40" s="445" t="s">
        <v>211</v>
      </c>
      <c r="D40"/>
      <c r="E40"/>
      <c r="F40" s="445"/>
      <c r="G40" s="463"/>
      <c r="H40" s="463"/>
      <c r="I40" s="466"/>
      <c r="J40" s="467"/>
      <c r="K40" s="469"/>
      <c r="L40" s="469"/>
      <c r="M40" s="469"/>
    </row>
    <row r="41" spans="1:13" ht="19.5">
      <c r="A41" s="100"/>
      <c r="B41" s="756"/>
      <c r="C41" s="1023" t="s">
        <v>698</v>
      </c>
      <c r="D41"/>
      <c r="E41"/>
      <c r="F41" s="445"/>
      <c r="G41" s="463"/>
      <c r="H41" s="463"/>
      <c r="I41" s="466"/>
      <c r="J41" s="467"/>
      <c r="K41" s="469"/>
      <c r="L41" s="469"/>
      <c r="M41" s="469"/>
    </row>
    <row r="42" spans="1:13" ht="19.5">
      <c r="A42" s="100"/>
      <c r="B42" s="756"/>
      <c r="C42" s="1160" t="s">
        <v>312</v>
      </c>
      <c r="D42" s="1160"/>
      <c r="E42" s="1160"/>
      <c r="F42" s="1160"/>
      <c r="G42" s="1160"/>
      <c r="H42" s="1160"/>
      <c r="I42" s="1160"/>
      <c r="J42" s="1160"/>
      <c r="K42" s="1160"/>
      <c r="L42" s="1160"/>
      <c r="M42" s="1160"/>
    </row>
    <row r="43" spans="1:13" ht="19.5">
      <c r="A43" s="449"/>
      <c r="C43" s="445"/>
      <c r="D43" s="445"/>
      <c r="E43" s="475" t="s">
        <v>6</v>
      </c>
      <c r="G43" s="475" t="s">
        <v>119</v>
      </c>
      <c r="H43" s="475"/>
      <c r="I43" s="475" t="s">
        <v>269</v>
      </c>
      <c r="J43" s="475"/>
      <c r="K43" s="475" t="s">
        <v>120</v>
      </c>
      <c r="L43" s="475"/>
      <c r="M43" s="475" t="s">
        <v>726</v>
      </c>
    </row>
    <row r="44" spans="1:13" ht="19.5">
      <c r="A44" s="523">
        <f>+A39+1</f>
        <v>22</v>
      </c>
      <c r="B44" s="524"/>
      <c r="C44" s="843" t="str">
        <f>"Functionalized Net Plant (Hist. TCOS, Lns "&amp;'KPCo Historic TCOS'!B90&amp;" thru "&amp;'KPCo Historic TCOS'!B100&amp;")"</f>
        <v>Functionalized Net Plant (Hist. TCOS, Lns 212 thru 222)</v>
      </c>
      <c r="D44" s="460"/>
      <c r="E44" s="844">
        <f>+'KPCo Historic TCOS'!G90</f>
        <v>311390888</v>
      </c>
      <c r="F44" s="843"/>
      <c r="G44" s="844">
        <f>+'KPCo Historic TCOS'!G91</f>
        <v>296964992</v>
      </c>
      <c r="H44" s="843"/>
      <c r="I44" s="844">
        <f>+'KPCo Historic TCOS'!G97</f>
        <v>428782699</v>
      </c>
      <c r="J44" s="843"/>
      <c r="K44" s="845">
        <f>+'KPCo Historic TCOS'!G98</f>
        <v>26765990</v>
      </c>
      <c r="L44" s="460"/>
      <c r="M44" s="525">
        <f>SUM(E44:K44)</f>
        <v>1063904569</v>
      </c>
    </row>
    <row r="45" spans="1:13" ht="19.5">
      <c r="A45" s="523"/>
      <c r="B45" s="524"/>
      <c r="C45" s="668" t="s">
        <v>850</v>
      </c>
      <c r="D45" s="460"/>
      <c r="E45" s="525"/>
      <c r="F45" s="460"/>
      <c r="G45" s="669"/>
      <c r="H45" s="460"/>
      <c r="I45" s="525"/>
      <c r="J45" s="460"/>
      <c r="K45" s="526"/>
      <c r="L45" s="460"/>
      <c r="M45" s="682"/>
    </row>
    <row r="46" spans="1:13" ht="19.5">
      <c r="A46" s="523">
        <f>+A44+1</f>
        <v>23</v>
      </c>
      <c r="B46" s="524"/>
      <c r="C46" s="460" t="str">
        <f>"Percentage of Plant in "&amp;C45&amp;""</f>
        <v>Percentage of Plant in KENTUCKY JURISDICTION</v>
      </c>
      <c r="D46" s="460"/>
      <c r="E46" s="912">
        <v>1</v>
      </c>
      <c r="F46" s="672"/>
      <c r="G46" s="912">
        <v>1</v>
      </c>
      <c r="H46" s="672"/>
      <c r="I46" s="912">
        <v>1</v>
      </c>
      <c r="J46" s="669"/>
      <c r="K46" s="912">
        <v>1</v>
      </c>
      <c r="L46" s="460"/>
      <c r="M46" s="682"/>
    </row>
    <row r="47" spans="1:15" ht="19.5">
      <c r="A47" s="523">
        <f aca="true" t="shared" si="1" ref="A47:A54">+A46+1</f>
        <v>24</v>
      </c>
      <c r="B47" s="524"/>
      <c r="C47" s="843" t="str">
        <f>"Net Plant in "&amp;C45&amp;" (Ln "&amp;A44&amp;" * Ln "&amp;A46&amp;")"</f>
        <v>Net Plant in KENTUCKY JURISDICTION (Ln 22 * Ln 23)</v>
      </c>
      <c r="D47" s="460"/>
      <c r="E47" s="525">
        <f>+E44*E46</f>
        <v>311390888</v>
      </c>
      <c r="F47" s="460"/>
      <c r="G47" s="525">
        <f>+G44*G46</f>
        <v>296964992</v>
      </c>
      <c r="H47" s="460"/>
      <c r="I47" s="525">
        <f>+I44*I46</f>
        <v>428782699</v>
      </c>
      <c r="J47" s="460"/>
      <c r="K47" s="525">
        <f>+K44*K46</f>
        <v>26765990</v>
      </c>
      <c r="L47" s="460"/>
      <c r="M47" s="525">
        <f>SUM(E47:K47)</f>
        <v>1063904569</v>
      </c>
      <c r="O47"/>
    </row>
    <row r="48" spans="1:15" ht="19.5">
      <c r="A48" s="523">
        <f t="shared" si="1"/>
        <v>25</v>
      </c>
      <c r="B48" s="524"/>
      <c r="C48" s="843" t="s">
        <v>926</v>
      </c>
      <c r="D48" s="460"/>
      <c r="E48" s="894">
        <v>120217738</v>
      </c>
      <c r="F48" s="460"/>
      <c r="G48" s="666"/>
      <c r="H48" s="460"/>
      <c r="I48" s="666"/>
      <c r="J48" s="460"/>
      <c r="K48" s="667"/>
      <c r="L48" s="460"/>
      <c r="M48" s="525"/>
      <c r="O48"/>
    </row>
    <row r="49" spans="1:15" ht="19.5">
      <c r="A49" s="523">
        <f t="shared" si="1"/>
        <v>26</v>
      </c>
      <c r="B49" s="524"/>
      <c r="C49" s="460" t="str">
        <f>"Taxable Property Basis (Ln "&amp;A47&amp;" - Ln "&amp;A48&amp;")"</f>
        <v>Taxable Property Basis (Ln 24 - Ln 25)</v>
      </c>
      <c r="D49" s="460"/>
      <c r="E49" s="525">
        <f>+E47-E48</f>
        <v>191173150</v>
      </c>
      <c r="F49" s="460"/>
      <c r="G49" s="525">
        <f>+G47-G48</f>
        <v>296964992</v>
      </c>
      <c r="H49" s="460"/>
      <c r="I49" s="525">
        <f>+I47-I48</f>
        <v>428782699</v>
      </c>
      <c r="J49" s="460"/>
      <c r="K49" s="525">
        <f>+K47-K48</f>
        <v>26765990</v>
      </c>
      <c r="L49" s="460"/>
      <c r="M49" s="525">
        <f>SUM(E49:K49)</f>
        <v>943686831</v>
      </c>
      <c r="O49"/>
    </row>
    <row r="50" spans="1:15" ht="19.5">
      <c r="A50" s="523">
        <f t="shared" si="1"/>
        <v>27</v>
      </c>
      <c r="B50" s="524"/>
      <c r="C50" s="527" t="s">
        <v>311</v>
      </c>
      <c r="D50" s="460"/>
      <c r="E50" s="663">
        <v>0.3334</v>
      </c>
      <c r="F50" s="664"/>
      <c r="G50" s="663">
        <v>1</v>
      </c>
      <c r="H50" s="664"/>
      <c r="I50" s="663">
        <v>1</v>
      </c>
      <c r="J50" s="665"/>
      <c r="K50" s="663">
        <v>1</v>
      </c>
      <c r="L50" s="460"/>
      <c r="M50" s="629">
        <f>SUM(E50:K50)</f>
        <v>3.3334</v>
      </c>
      <c r="O50"/>
    </row>
    <row r="51" spans="1:21" ht="19.5">
      <c r="A51" s="523">
        <f t="shared" si="1"/>
        <v>28</v>
      </c>
      <c r="B51" s="524"/>
      <c r="C51" s="843" t="str">
        <f>"Weighted Net Plant (Ln "&amp;A49&amp;" * Ln "&amp;A50&amp;")"</f>
        <v>Weighted Net Plant (Ln 26 * Ln 27)</v>
      </c>
      <c r="D51" s="460"/>
      <c r="E51" s="525">
        <f>+E49*E50</f>
        <v>63737128.20999999</v>
      </c>
      <c r="F51" s="460"/>
      <c r="G51" s="525">
        <f>+G49*G50</f>
        <v>296964992</v>
      </c>
      <c r="H51" s="460"/>
      <c r="I51" s="525">
        <f>+I49*I50</f>
        <v>428782699</v>
      </c>
      <c r="J51" s="460"/>
      <c r="K51" s="525">
        <f>+K49*K50</f>
        <v>26765990</v>
      </c>
      <c r="L51" s="460"/>
      <c r="M51" s="525"/>
      <c r="O51"/>
      <c r="P51"/>
      <c r="Q51"/>
      <c r="R51"/>
      <c r="S51"/>
      <c r="T51"/>
      <c r="U51"/>
    </row>
    <row r="52" spans="1:21" ht="19.5">
      <c r="A52" s="523">
        <f t="shared" si="1"/>
        <v>29</v>
      </c>
      <c r="B52" s="524"/>
      <c r="C52" s="460" t="str">
        <f>+"General Plant Allocator (Ln "&amp;A51&amp;" / (Total - General Plant))"</f>
        <v>General Plant Allocator (Ln 28 / (Total - General Plant))</v>
      </c>
      <c r="D52" s="460"/>
      <c r="E52" s="528">
        <f>IF(E50=0,0,+E51/($E51+$G51+$I51))</f>
        <v>0.08073255705382494</v>
      </c>
      <c r="F52" s="460"/>
      <c r="G52" s="528">
        <f>IF(G50=0,0,+G51/($E51+$G51+$I51))</f>
        <v>0.37615035118364754</v>
      </c>
      <c r="H52" s="460"/>
      <c r="I52" s="528">
        <f>IF(I50=0,0,+I51/($E51+$G51+$I51))</f>
        <v>0.5431170917625274</v>
      </c>
      <c r="J52" s="460"/>
      <c r="K52" s="528">
        <v>-1</v>
      </c>
      <c r="L52" s="460"/>
      <c r="M52" s="460"/>
      <c r="O52"/>
      <c r="P52"/>
      <c r="Q52"/>
      <c r="R52"/>
      <c r="S52"/>
      <c r="T52"/>
      <c r="U52"/>
    </row>
    <row r="53" spans="1:21" ht="19.5">
      <c r="A53" s="523">
        <f t="shared" si="1"/>
        <v>30</v>
      </c>
      <c r="B53" s="524"/>
      <c r="C53" s="460" t="str">
        <f>"Functionalized General Plant (Ln "&amp;A52&amp;" * General Plant)"</f>
        <v>Functionalized General Plant (Ln 29 * General Plant)</v>
      </c>
      <c r="D53" s="460"/>
      <c r="E53" s="529">
        <f>ROUND($K51*E52,0)</f>
        <v>2160887</v>
      </c>
      <c r="F53" s="460"/>
      <c r="G53" s="529">
        <f>+G52*K51+1</f>
        <v>10068037.538277999</v>
      </c>
      <c r="H53" s="460"/>
      <c r="I53" s="529">
        <f>ROUND($K51*I52,0)</f>
        <v>14537067</v>
      </c>
      <c r="J53" s="460"/>
      <c r="K53" s="529">
        <f>ROUND($K51*K52,0)</f>
        <v>-26765990</v>
      </c>
      <c r="L53" s="460"/>
      <c r="M53" s="525">
        <f>IF(SUM(E53:K53)&lt;&gt;0,0,0)</f>
        <v>0</v>
      </c>
      <c r="O53"/>
      <c r="P53"/>
      <c r="Q53"/>
      <c r="R53"/>
      <c r="S53"/>
      <c r="T53"/>
      <c r="U53"/>
    </row>
    <row r="54" spans="1:15" ht="19.5">
      <c r="A54" s="523">
        <f t="shared" si="1"/>
        <v>31</v>
      </c>
      <c r="B54" s="524"/>
      <c r="C54" s="460" t="str">
        <f>"Weighted "&amp;C45&amp;" Plant (Ln "&amp;A51&amp;" + "&amp;A53&amp;")"</f>
        <v>Weighted KENTUCKY JURISDICTION Plant (Ln 28 + 30)</v>
      </c>
      <c r="D54" s="460"/>
      <c r="E54" s="525">
        <f>+E51+E53</f>
        <v>65898015.20999999</v>
      </c>
      <c r="F54" s="460"/>
      <c r="G54" s="526">
        <f>+G51+G53</f>
        <v>307033029.538278</v>
      </c>
      <c r="H54" s="460"/>
      <c r="I54" s="525">
        <f>+I51+I53</f>
        <v>443319766</v>
      </c>
      <c r="J54" s="460"/>
      <c r="K54" s="525">
        <f>+K51+K53</f>
        <v>0</v>
      </c>
      <c r="L54" s="460"/>
      <c r="M54" s="525">
        <f>SUM(E54:K54)-SUM(E53:K53)-1</f>
        <v>816250808.2099999</v>
      </c>
      <c r="O54"/>
    </row>
    <row r="55" spans="1:15" ht="20.25" thickBot="1">
      <c r="A55" s="523">
        <f>+A54+1</f>
        <v>32</v>
      </c>
      <c r="B55" s="524"/>
      <c r="C55" s="460" t="str">
        <f>"Functional Percentage (Ln "&amp;A54&amp;"/Total Ln "&amp;A54&amp;")"</f>
        <v>Functional Percentage (Ln 31/Total Ln 31)</v>
      </c>
      <c r="D55" s="460"/>
      <c r="E55" s="669">
        <f>+E54/M54</f>
        <v>0.0807325573796506</v>
      </c>
      <c r="F55" s="460"/>
      <c r="G55" s="671">
        <f>+G54/M54</f>
        <v>0.37615035286958814</v>
      </c>
      <c r="H55" s="460"/>
      <c r="I55" s="669">
        <f>+I54/M54</f>
        <v>0.5431170928604403</v>
      </c>
      <c r="J55" s="460"/>
      <c r="K55"/>
      <c r="L55" s="460"/>
      <c r="M55" s="525"/>
      <c r="O55"/>
    </row>
    <row r="56" spans="1:15" ht="19.5">
      <c r="A56" s="523">
        <f>+A55+1</f>
        <v>33</v>
      </c>
      <c r="B56" s="524"/>
      <c r="C56" s="460" t="str">
        <f>"Functionalized Expense in "&amp;C45&amp;""</f>
        <v>Functionalized Expense in KENTUCKY JURISDICTION</v>
      </c>
      <c r="D56" s="460"/>
      <c r="E56" s="930">
        <f>+E55*M56</f>
        <v>776361.2472740001</v>
      </c>
      <c r="F56" s="460"/>
      <c r="G56" s="930">
        <f>+G55*M56</f>
        <v>3617234.0700555737</v>
      </c>
      <c r="H56" s="460"/>
      <c r="I56" s="930">
        <f>+I55*M56</f>
        <v>5222862.712574524</v>
      </c>
      <c r="J56" s="460"/>
      <c r="K56"/>
      <c r="L56" s="460"/>
      <c r="M56" s="931">
        <f>+G18</f>
        <v>9616458</v>
      </c>
      <c r="O56"/>
    </row>
    <row r="57" spans="1:15" ht="20.25" thickBot="1">
      <c r="A57" s="932"/>
      <c r="B57" s="933"/>
      <c r="C57" s="934"/>
      <c r="D57" s="935"/>
      <c r="E57" s="526"/>
      <c r="F57" s="935"/>
      <c r="G57" s="526"/>
      <c r="H57" s="935"/>
      <c r="I57" s="526"/>
      <c r="J57" s="935"/>
      <c r="K57" s="526"/>
      <c r="L57" s="935"/>
      <c r="M57" s="526"/>
      <c r="O57"/>
    </row>
    <row r="58" spans="1:15" ht="20.25" thickBot="1">
      <c r="A58" s="523">
        <f>+A56+1</f>
        <v>34</v>
      </c>
      <c r="B58" s="524"/>
      <c r="C58" s="460" t="str">
        <f>"Total Other Jurisdictions: (Line "&amp;A19&amp;" * Net Plant Allocator)"</f>
        <v>Total Other Jurisdictions: (Line 5 * Net Plant Allocator)</v>
      </c>
      <c r="D58" s="460"/>
      <c r="E58" s="662"/>
      <c r="F58" s="460"/>
      <c r="G58" s="662">
        <f>+M58*NP_h</f>
        <v>912.5585194560886</v>
      </c>
      <c r="H58" s="460"/>
      <c r="I58" s="662"/>
      <c r="J58" s="460"/>
      <c r="K58" s="662"/>
      <c r="L58" s="460"/>
      <c r="M58" s="674">
        <f>+G19</f>
        <v>3254</v>
      </c>
      <c r="O58"/>
    </row>
    <row r="59" spans="1:15" ht="19.5">
      <c r="A59" s="523"/>
      <c r="B59" s="524"/>
      <c r="C59" s="460"/>
      <c r="D59" s="460"/>
      <c r="E59" s="525"/>
      <c r="F59"/>
      <c r="G59" s="526"/>
      <c r="H59"/>
      <c r="I59" s="669"/>
      <c r="J59"/>
      <c r="K59" s="525"/>
      <c r="L59" s="460"/>
      <c r="M59" s="525"/>
      <c r="O59"/>
    </row>
    <row r="60" spans="1:15" ht="20.25" thickBot="1">
      <c r="A60" s="523">
        <f>+A58+1</f>
        <v>35</v>
      </c>
      <c r="B60" s="524"/>
      <c r="C60" s="460" t="str">
        <f>"Total Func. Property Taxes (Sum Lns "&amp;A56&amp;", "&amp;""&amp;A58&amp;")"</f>
        <v>Total Func. Property Taxes (Sum Lns 33, 34)</v>
      </c>
      <c r="D60" s="460"/>
      <c r="E60" s="670">
        <f>+E58+E56</f>
        <v>776361.2472740001</v>
      </c>
      <c r="F60"/>
      <c r="G60" s="670">
        <f>+G58+G56</f>
        <v>3618146.62857503</v>
      </c>
      <c r="H60"/>
      <c r="I60" s="670">
        <f>+I58+I56</f>
        <v>5222862.712574524</v>
      </c>
      <c r="J60"/>
      <c r="K60"/>
      <c r="L60" s="460"/>
      <c r="M60" s="670">
        <f>+M58+M56</f>
        <v>9619712</v>
      </c>
      <c r="O60"/>
    </row>
    <row r="61" spans="1:15" ht="20.25" thickTop="1">
      <c r="A61" s="523"/>
      <c r="B61" s="524"/>
      <c r="C61" s="460"/>
      <c r="D61" s="460"/>
      <c r="E61" s="527"/>
      <c r="F61" s="527"/>
      <c r="G61" s="527"/>
      <c r="H61" s="527"/>
      <c r="I61" s="527"/>
      <c r="J61" s="460"/>
      <c r="K61" s="662"/>
      <c r="L61" s="460"/>
      <c r="M61" s="527"/>
      <c r="O61"/>
    </row>
    <row r="62" spans="1:15" ht="19.5">
      <c r="A62" s="523"/>
      <c r="B62" s="524"/>
      <c r="C62" s="460"/>
      <c r="D62" s="460"/>
      <c r="E62" s="662"/>
      <c r="F62" s="460"/>
      <c r="G62" s="662"/>
      <c r="H62" s="460"/>
      <c r="I62" s="662"/>
      <c r="J62" s="460"/>
      <c r="K62" s="662"/>
      <c r="L62" s="460"/>
      <c r="M62" s="527"/>
      <c r="O62"/>
    </row>
    <row r="63" ht="12.75">
      <c r="O63"/>
    </row>
    <row r="64" ht="12.75">
      <c r="O64"/>
    </row>
    <row r="65" spans="7:15" ht="12.75">
      <c r="G65" s="681"/>
      <c r="O65"/>
    </row>
    <row r="206" ht="15.75" thickBot="1"/>
    <row r="207" ht="20.25" thickBot="1">
      <c r="G207" s="530" t="e">
        <f>IF(#REF!&lt;&gt;0,+#REF!/#REF!*#REF!,0)</f>
        <v>#REF!</v>
      </c>
    </row>
    <row r="299" ht="6" customHeight="1"/>
    <row r="301" ht="6" customHeight="1"/>
    <row r="308" ht="6" customHeight="1"/>
    <row r="310" ht="6" customHeight="1"/>
    <row r="314" ht="6" customHeight="1"/>
    <row r="317" ht="6" customHeight="1"/>
    <row r="322" ht="6" customHeight="1"/>
    <row r="326" ht="6" customHeight="1"/>
    <row r="328" ht="6" customHeight="1"/>
    <row r="337" ht="6" customHeight="1"/>
    <row r="339" ht="6" customHeight="1"/>
    <row r="341" ht="6" customHeight="1"/>
    <row r="343" ht="6" customHeight="1"/>
    <row r="352" ht="6" customHeight="1"/>
    <row r="354" ht="6" customHeight="1"/>
  </sheetData>
  <sheetProtection/>
  <mergeCells count="7">
    <mergeCell ref="A6:M6"/>
    <mergeCell ref="A5:M5"/>
    <mergeCell ref="C42:M42"/>
    <mergeCell ref="A1:M1"/>
    <mergeCell ref="A2:M2"/>
    <mergeCell ref="A3:M3"/>
    <mergeCell ref="A4:M4"/>
  </mergeCells>
  <printOptions/>
  <pageMargins left="0.41" right="0.86" top="1" bottom="1" header="0.75" footer="0.5"/>
  <pageSetup fitToHeight="1" fitToWidth="1" horizontalDpi="600" verticalDpi="600" orientation="portrait" scale="46" r:id="rId1"/>
  <headerFooter alignWithMargins="0">
    <oddHeader>&amp;R&amp;"Arial,Bold"Formula Rate 
&amp;A
Page &amp;P of &amp;N</oddHeader>
  </headerFooter>
  <colBreaks count="1" manualBreakCount="1">
    <brk id="13" max="88" man="1"/>
  </colBreaks>
</worksheet>
</file>

<file path=xl/worksheets/sheet12.xml><?xml version="1.0" encoding="utf-8"?>
<worksheet xmlns="http://schemas.openxmlformats.org/spreadsheetml/2006/main" xmlns:r="http://schemas.openxmlformats.org/officeDocument/2006/relationships">
  <sheetPr>
    <tabColor indexed="45"/>
  </sheetPr>
  <dimension ref="A1:K112"/>
  <sheetViews>
    <sheetView zoomScale="75" zoomScaleNormal="75" zoomScalePageLayoutView="0" workbookViewId="0" topLeftCell="A1">
      <selection activeCell="A1" sqref="A1:F1"/>
    </sheetView>
  </sheetViews>
  <sheetFormatPr defaultColWidth="9.140625" defaultRowHeight="12.75"/>
  <cols>
    <col min="1" max="1" width="7.28125" style="461" customWidth="1"/>
    <col min="2" max="2" width="1.7109375" style="462" customWidth="1"/>
    <col min="3" max="3" width="57.7109375" style="462" customWidth="1"/>
    <col min="4" max="4" width="19.140625" style="462" customWidth="1"/>
    <col min="5" max="5" width="20.421875" style="456" customWidth="1"/>
    <col min="6" max="6" width="20.421875" style="447" bestFit="1" customWidth="1"/>
    <col min="7" max="7" width="35.7109375" style="447" bestFit="1" customWidth="1"/>
    <col min="8" max="16384" width="9.140625" style="447" customWidth="1"/>
  </cols>
  <sheetData>
    <row r="1" spans="1:6" ht="18.75" customHeight="1">
      <c r="A1" s="1164" t="s">
        <v>230</v>
      </c>
      <c r="B1" s="1164"/>
      <c r="C1" s="1164"/>
      <c r="D1" s="1164"/>
      <c r="E1" s="1164"/>
      <c r="F1" s="1164"/>
    </row>
    <row r="2" spans="1:6" ht="18.75" customHeight="1">
      <c r="A2" s="1090" t="s">
        <v>856</v>
      </c>
      <c r="B2" s="1090"/>
      <c r="C2" s="1090"/>
      <c r="D2" s="1090"/>
      <c r="E2" s="1090"/>
      <c r="F2" s="1090"/>
    </row>
    <row r="3" spans="1:6" ht="18.75" customHeight="1">
      <c r="A3" s="1090" t="s">
        <v>190</v>
      </c>
      <c r="B3" s="1090"/>
      <c r="C3" s="1090"/>
      <c r="D3" s="1090"/>
      <c r="E3" s="1090"/>
      <c r="F3" s="1090"/>
    </row>
    <row r="4" spans="1:6" ht="18" customHeight="1">
      <c r="A4" s="1165" t="s">
        <v>846</v>
      </c>
      <c r="B4" s="1165"/>
      <c r="C4" s="1165"/>
      <c r="D4" s="1165"/>
      <c r="E4" s="1165"/>
      <c r="F4" s="1165"/>
    </row>
    <row r="5" spans="1:6" ht="18" customHeight="1">
      <c r="A5" s="1163"/>
      <c r="B5" s="1163"/>
      <c r="C5" s="1163"/>
      <c r="D5" s="1163"/>
      <c r="E5" s="1163"/>
      <c r="F5" s="1163"/>
    </row>
    <row r="6" spans="1:7" ht="19.5" customHeight="1">
      <c r="A6" s="449"/>
      <c r="B6" s="450"/>
      <c r="C6" s="1003" t="s">
        <v>770</v>
      </c>
      <c r="E6" s="1003" t="s">
        <v>771</v>
      </c>
      <c r="F6" s="1004" t="s">
        <v>772</v>
      </c>
      <c r="G6" s="1004" t="s">
        <v>773</v>
      </c>
    </row>
    <row r="7" spans="1:11" ht="18">
      <c r="A7" s="621"/>
      <c r="B7" s="622"/>
      <c r="C7" s="622"/>
      <c r="D7" s="622"/>
      <c r="E7" s="1005"/>
      <c r="F7" s="1006"/>
      <c r="G7" s="1007"/>
      <c r="H7" s="1002"/>
      <c r="I7" s="1002"/>
      <c r="J7" s="1002"/>
      <c r="K7" s="1002"/>
    </row>
    <row r="8" spans="1:7" ht="18">
      <c r="A8" s="621" t="s">
        <v>777</v>
      </c>
      <c r="B8" s="622"/>
      <c r="C8" s="622"/>
      <c r="D8" s="622"/>
      <c r="E8" s="623" t="s">
        <v>726</v>
      </c>
      <c r="F8" s="1008" t="s">
        <v>679</v>
      </c>
      <c r="G8" s="1009"/>
    </row>
    <row r="9" spans="1:7" ht="18">
      <c r="A9" s="625" t="s">
        <v>725</v>
      </c>
      <c r="B9" s="1010"/>
      <c r="C9" s="1065" t="s">
        <v>924</v>
      </c>
      <c r="D9" s="1010"/>
      <c r="E9" s="626" t="s">
        <v>811</v>
      </c>
      <c r="F9" s="625" t="s">
        <v>680</v>
      </c>
      <c r="G9" s="626" t="s">
        <v>681</v>
      </c>
    </row>
    <row r="10" spans="1:7" ht="18">
      <c r="A10" s="451"/>
      <c r="B10" s="450"/>
      <c r="C10" s="446"/>
      <c r="D10" s="446"/>
      <c r="E10" s="446"/>
      <c r="F10" s="1008"/>
      <c r="G10" s="1011"/>
    </row>
    <row r="11" spans="1:6" ht="18">
      <c r="A11" s="449"/>
      <c r="B11" s="450"/>
      <c r="C11" s="450"/>
      <c r="D11" s="450"/>
      <c r="E11" s="452"/>
      <c r="F11" s="446"/>
    </row>
    <row r="12" spans="1:6" ht="19.5">
      <c r="A12" s="449">
        <v>1</v>
      </c>
      <c r="B12" s="450"/>
      <c r="C12" s="453" t="s">
        <v>108</v>
      </c>
      <c r="D12" s="450"/>
      <c r="E12" s="445"/>
      <c r="F12" s="448"/>
    </row>
    <row r="13" spans="1:8" ht="19.5">
      <c r="A13" s="449">
        <f>+A12+1</f>
        <v>2</v>
      </c>
      <c r="B13" s="450"/>
      <c r="C13" s="445" t="s">
        <v>94</v>
      </c>
      <c r="D13" s="450"/>
      <c r="E13" s="1024">
        <f>SUM(F14:F15)</f>
        <v>206405</v>
      </c>
      <c r="F13" s="445"/>
      <c r="H13" s="1047"/>
    </row>
    <row r="14" spans="1:8" ht="19.5">
      <c r="A14" s="449"/>
      <c r="B14" s="450"/>
      <c r="C14" s="445"/>
      <c r="D14" s="450"/>
      <c r="E14" s="1024"/>
      <c r="F14" s="841">
        <v>-16746</v>
      </c>
      <c r="G14" s="1013" t="s">
        <v>682</v>
      </c>
      <c r="H14" s="1136"/>
    </row>
    <row r="15" spans="1:8" ht="19.5">
      <c r="A15" s="449"/>
      <c r="B15" s="450"/>
      <c r="C15" s="445"/>
      <c r="D15" s="450"/>
      <c r="E15" s="1024"/>
      <c r="F15" s="841">
        <v>223151</v>
      </c>
      <c r="G15" s="1013" t="s">
        <v>166</v>
      </c>
      <c r="H15" s="1136"/>
    </row>
    <row r="16" spans="1:8" ht="19.5">
      <c r="A16" s="449">
        <f>+A13+1</f>
        <v>3</v>
      </c>
      <c r="B16" s="450"/>
      <c r="C16" s="453" t="s">
        <v>109</v>
      </c>
      <c r="D16" s="450"/>
      <c r="E16" s="935"/>
      <c r="F16" s="1012"/>
      <c r="G16" s="1014"/>
      <c r="H16" s="1047"/>
    </row>
    <row r="17" spans="1:8" ht="19.5">
      <c r="A17" s="449">
        <f>+A16+1</f>
        <v>4</v>
      </c>
      <c r="B17" s="450"/>
      <c r="C17" s="448" t="s">
        <v>824</v>
      </c>
      <c r="D17" s="448"/>
      <c r="E17" s="1024">
        <f>SUM(F18:F26)</f>
        <v>9616458</v>
      </c>
      <c r="F17" s="1012"/>
      <c r="G17" s="1014"/>
      <c r="H17" s="1047"/>
    </row>
    <row r="18" spans="1:8" ht="19.5">
      <c r="A18" s="449"/>
      <c r="B18" s="450"/>
      <c r="C18" s="448"/>
      <c r="D18" s="448"/>
      <c r="E18" s="1024"/>
      <c r="F18" s="841">
        <v>1815</v>
      </c>
      <c r="G18" s="1013" t="s">
        <v>684</v>
      </c>
      <c r="H18" s="1136"/>
    </row>
    <row r="19" spans="1:8" ht="19.5">
      <c r="A19" s="449"/>
      <c r="B19" s="450"/>
      <c r="C19" s="448"/>
      <c r="D19" s="448"/>
      <c r="E19" s="1024"/>
      <c r="F19" s="841">
        <v>-11197</v>
      </c>
      <c r="G19" s="1013" t="s">
        <v>685</v>
      </c>
      <c r="H19" s="1136"/>
    </row>
    <row r="20" spans="1:8" ht="19.5">
      <c r="A20" s="449"/>
      <c r="B20" s="450"/>
      <c r="C20" s="448"/>
      <c r="D20" s="448"/>
      <c r="E20" s="1024"/>
      <c r="F20" s="841">
        <v>855411</v>
      </c>
      <c r="G20" s="1013" t="s">
        <v>167</v>
      </c>
      <c r="H20" s="1136"/>
    </row>
    <row r="21" spans="1:8" ht="19.5">
      <c r="A21" s="449"/>
      <c r="B21" s="450"/>
      <c r="C21" s="448"/>
      <c r="D21" s="448"/>
      <c r="E21" s="1024"/>
      <c r="F21" s="841">
        <v>8714874</v>
      </c>
      <c r="G21" s="1013" t="s">
        <v>686</v>
      </c>
      <c r="H21" s="1136"/>
    </row>
    <row r="22" spans="1:8" ht="19.5">
      <c r="A22" s="449"/>
      <c r="B22" s="450"/>
      <c r="C22" s="448"/>
      <c r="D22" s="448"/>
      <c r="E22" s="1024"/>
      <c r="F22" s="841">
        <v>22</v>
      </c>
      <c r="G22" s="1013" t="s">
        <v>687</v>
      </c>
      <c r="H22" s="1136"/>
    </row>
    <row r="23" spans="1:8" ht="19.5">
      <c r="A23" s="449"/>
      <c r="B23" s="450"/>
      <c r="C23" s="448"/>
      <c r="D23" s="448"/>
      <c r="E23" s="1024"/>
      <c r="F23" s="841">
        <v>-790</v>
      </c>
      <c r="G23" s="1013" t="s">
        <v>688</v>
      </c>
      <c r="H23" s="1136"/>
    </row>
    <row r="24" spans="1:8" ht="19.5">
      <c r="A24" s="449"/>
      <c r="B24" s="450"/>
      <c r="C24" s="448"/>
      <c r="D24" s="448"/>
      <c r="E24" s="1024"/>
      <c r="F24" s="841">
        <v>45167</v>
      </c>
      <c r="G24" s="1013" t="s">
        <v>689</v>
      </c>
      <c r="H24" s="1136"/>
    </row>
    <row r="25" spans="1:8" ht="19.5">
      <c r="A25" s="449"/>
      <c r="B25" s="450"/>
      <c r="C25" s="448"/>
      <c r="D25" s="448"/>
      <c r="E25" s="1024"/>
      <c r="F25" s="841">
        <v>-864</v>
      </c>
      <c r="G25" s="1013" t="s">
        <v>168</v>
      </c>
      <c r="H25" s="1136"/>
    </row>
    <row r="26" spans="1:8" ht="19.5">
      <c r="A26" s="449"/>
      <c r="B26" s="450"/>
      <c r="C26" s="448"/>
      <c r="D26" s="448"/>
      <c r="E26" s="1024"/>
      <c r="F26" s="841">
        <v>12020</v>
      </c>
      <c r="G26" s="1013" t="s">
        <v>169</v>
      </c>
      <c r="H26" s="1136"/>
    </row>
    <row r="27" spans="1:8" ht="19.5">
      <c r="A27" s="449"/>
      <c r="B27" s="450"/>
      <c r="C27" s="448"/>
      <c r="D27" s="448"/>
      <c r="E27" s="1024"/>
      <c r="H27" s="1047"/>
    </row>
    <row r="28" spans="1:8" ht="19.5">
      <c r="A28" s="449">
        <f>+A17+1</f>
        <v>5</v>
      </c>
      <c r="B28" s="450"/>
      <c r="C28" s="448" t="s">
        <v>899</v>
      </c>
      <c r="D28" s="448"/>
      <c r="E28" s="1024">
        <f>SUM(F29:F33)</f>
        <v>3254</v>
      </c>
      <c r="F28" s="472"/>
      <c r="G28" s="1014"/>
      <c r="H28" s="1047"/>
    </row>
    <row r="29" spans="1:8" ht="19.5">
      <c r="A29" s="449"/>
      <c r="B29" s="450"/>
      <c r="C29" s="448"/>
      <c r="D29" s="448"/>
      <c r="E29" s="1025"/>
      <c r="F29" s="841">
        <v>1061</v>
      </c>
      <c r="G29" s="1013" t="s">
        <v>690</v>
      </c>
      <c r="H29" s="1136"/>
    </row>
    <row r="30" spans="1:8" ht="19.5">
      <c r="A30" s="449"/>
      <c r="B30" s="450"/>
      <c r="C30" s="448"/>
      <c r="D30" s="448"/>
      <c r="E30" s="1025"/>
      <c r="F30" s="841">
        <v>1042</v>
      </c>
      <c r="G30" s="1013" t="s">
        <v>691</v>
      </c>
      <c r="H30" s="1136"/>
    </row>
    <row r="31" spans="1:8" ht="19.5">
      <c r="A31" s="449"/>
      <c r="B31" s="450"/>
      <c r="C31" s="448"/>
      <c r="D31" s="448"/>
      <c r="E31" s="1025"/>
      <c r="F31" s="841">
        <v>82</v>
      </c>
      <c r="G31" s="1013" t="s">
        <v>170</v>
      </c>
      <c r="H31" s="1136"/>
    </row>
    <row r="32" spans="1:8" ht="19.5">
      <c r="A32" s="449"/>
      <c r="B32" s="450"/>
      <c r="C32" s="448"/>
      <c r="D32" s="690"/>
      <c r="E32" s="1025"/>
      <c r="F32" s="841">
        <v>871</v>
      </c>
      <c r="G32" s="1013" t="s">
        <v>171</v>
      </c>
      <c r="H32" s="1136"/>
    </row>
    <row r="33" spans="1:8" ht="19.5">
      <c r="A33" s="449"/>
      <c r="B33" s="450"/>
      <c r="C33" s="448"/>
      <c r="D33" s="690"/>
      <c r="E33" s="1025"/>
      <c r="F33" s="841">
        <v>198</v>
      </c>
      <c r="G33" s="1013" t="s">
        <v>172</v>
      </c>
      <c r="H33" s="1136"/>
    </row>
    <row r="34" spans="1:8" ht="19.5">
      <c r="A34" s="449">
        <f>+A28+1</f>
        <v>6</v>
      </c>
      <c r="B34" s="450"/>
      <c r="C34" s="453" t="s">
        <v>110</v>
      </c>
      <c r="D34" s="450"/>
      <c r="E34" s="935"/>
      <c r="F34" s="1015"/>
      <c r="G34" s="1014"/>
      <c r="H34" s="1047"/>
    </row>
    <row r="35" spans="1:8" ht="19.5">
      <c r="A35" s="449">
        <f>+A34+1</f>
        <v>7</v>
      </c>
      <c r="B35" s="450"/>
      <c r="C35" s="448" t="s">
        <v>106</v>
      </c>
      <c r="D35" s="450"/>
      <c r="E35" s="1024">
        <f>SUM(F36)</f>
        <v>1631366</v>
      </c>
      <c r="F35" s="1014"/>
      <c r="G35" s="1014"/>
      <c r="H35" s="1047"/>
    </row>
    <row r="36" spans="1:8" ht="19.5">
      <c r="A36" s="449"/>
      <c r="B36" s="450"/>
      <c r="C36" s="448"/>
      <c r="D36" s="450"/>
      <c r="E36" s="1024"/>
      <c r="F36" s="841">
        <v>1631366</v>
      </c>
      <c r="G36" s="1013" t="s">
        <v>692</v>
      </c>
      <c r="H36" s="1136"/>
    </row>
    <row r="37" spans="1:8" ht="19.5">
      <c r="A37" s="449">
        <f>+A35+1</f>
        <v>8</v>
      </c>
      <c r="B37" s="450"/>
      <c r="C37" s="448" t="s">
        <v>99</v>
      </c>
      <c r="D37" s="450"/>
      <c r="E37" s="1024">
        <f>SUM(F38)</f>
        <v>5717</v>
      </c>
      <c r="H37" s="1047"/>
    </row>
    <row r="38" spans="1:8" ht="19.5">
      <c r="A38" s="449"/>
      <c r="B38" s="450"/>
      <c r="C38" s="448"/>
      <c r="D38" s="450"/>
      <c r="E38" s="1024"/>
      <c r="F38" s="841">
        <v>5717</v>
      </c>
      <c r="G38" s="1013" t="s">
        <v>693</v>
      </c>
      <c r="H38" s="1136"/>
    </row>
    <row r="39" spans="1:8" ht="19.5">
      <c r="A39" s="449">
        <f>+A37+1</f>
        <v>9</v>
      </c>
      <c r="B39" s="450"/>
      <c r="C39" s="448" t="s">
        <v>100</v>
      </c>
      <c r="D39" s="450"/>
      <c r="E39" s="1024">
        <f>SUM(F40:F41)</f>
        <v>18523</v>
      </c>
      <c r="F39" s="1014"/>
      <c r="G39" s="1014"/>
      <c r="H39" s="1047"/>
    </row>
    <row r="40" spans="1:8" ht="19.5">
      <c r="A40" s="449"/>
      <c r="B40" s="450"/>
      <c r="C40" s="448"/>
      <c r="D40" s="450"/>
      <c r="E40" s="1024"/>
      <c r="F40" s="841">
        <v>19069</v>
      </c>
      <c r="G40" s="1013" t="s">
        <v>694</v>
      </c>
      <c r="H40" s="1136"/>
    </row>
    <row r="41" spans="1:8" ht="19.5">
      <c r="A41" s="449" t="s">
        <v>722</v>
      </c>
      <c r="B41" s="450"/>
      <c r="C41" s="445"/>
      <c r="D41" s="450"/>
      <c r="E41" s="935"/>
      <c r="F41" s="841">
        <v>-546</v>
      </c>
      <c r="G41" s="1013" t="s">
        <v>173</v>
      </c>
      <c r="H41" s="1136"/>
    </row>
    <row r="42" spans="1:8" ht="19.5">
      <c r="A42" s="449">
        <f>A39+1</f>
        <v>10</v>
      </c>
      <c r="B42" s="450"/>
      <c r="C42" s="453" t="s">
        <v>271</v>
      </c>
      <c r="D42" s="450"/>
      <c r="E42" s="935"/>
      <c r="F42" s="1014"/>
      <c r="G42" s="1014"/>
      <c r="H42" s="1047"/>
    </row>
    <row r="43" spans="1:8" ht="19.5">
      <c r="A43" s="449">
        <f>A42+1</f>
        <v>11</v>
      </c>
      <c r="B43" s="450"/>
      <c r="C43" s="460" t="s">
        <v>272</v>
      </c>
      <c r="D43" s="690"/>
      <c r="E43" s="1024">
        <f>SUM(F44)</f>
        <v>0</v>
      </c>
      <c r="F43" s="1012"/>
      <c r="G43" s="1014"/>
      <c r="H43" s="1047"/>
    </row>
    <row r="44" spans="1:8" ht="19.5">
      <c r="A44" s="449"/>
      <c r="B44" s="450"/>
      <c r="C44" s="445"/>
      <c r="D44" s="450"/>
      <c r="E44" s="935"/>
      <c r="F44" s="841">
        <v>0</v>
      </c>
      <c r="G44" s="1014"/>
      <c r="H44" s="1047"/>
    </row>
    <row r="45" spans="1:8" ht="19.5">
      <c r="A45" s="1016">
        <f>+A43+1</f>
        <v>12</v>
      </c>
      <c r="B45" s="1017"/>
      <c r="C45" s="453" t="s">
        <v>107</v>
      </c>
      <c r="D45" s="1018"/>
      <c r="E45" s="935"/>
      <c r="F45" s="1012"/>
      <c r="G45" s="1014"/>
      <c r="H45" s="1047"/>
    </row>
    <row r="46" spans="1:8" ht="19.5">
      <c r="A46" s="1016">
        <f>A45+1</f>
        <v>13</v>
      </c>
      <c r="B46" s="1017"/>
      <c r="C46" s="445" t="s">
        <v>270</v>
      </c>
      <c r="D46" s="1018"/>
      <c r="E46" s="1024">
        <f>SUM(F47)</f>
        <v>0</v>
      </c>
      <c r="F46" s="1014"/>
      <c r="G46" s="1014"/>
      <c r="H46" s="1047"/>
    </row>
    <row r="47" spans="1:8" ht="19.5">
      <c r="A47" s="1016"/>
      <c r="B47" s="1017"/>
      <c r="C47" s="445"/>
      <c r="D47" s="1018"/>
      <c r="E47" s="1024"/>
      <c r="F47" s="841">
        <v>0</v>
      </c>
      <c r="G47" s="1014"/>
      <c r="H47" s="1047"/>
    </row>
    <row r="48" spans="1:8" ht="19.5">
      <c r="A48" s="449">
        <f>A46+1</f>
        <v>14</v>
      </c>
      <c r="B48" s="450"/>
      <c r="C48" s="445" t="s">
        <v>101</v>
      </c>
      <c r="D48" s="450"/>
      <c r="E48" s="1024">
        <f>SUM(F49:F50)</f>
        <v>710060</v>
      </c>
      <c r="F48" s="935"/>
      <c r="G48" s="1014"/>
      <c r="H48" s="1047"/>
    </row>
    <row r="49" spans="1:8" ht="19.5">
      <c r="A49" s="449"/>
      <c r="B49" s="450"/>
      <c r="C49" s="445"/>
      <c r="D49" s="450"/>
      <c r="E49" s="527"/>
      <c r="F49" s="841">
        <v>335183</v>
      </c>
      <c r="G49" s="1013" t="s">
        <v>174</v>
      </c>
      <c r="H49" s="1136"/>
    </row>
    <row r="50" spans="1:8" ht="19.5">
      <c r="A50" s="449"/>
      <c r="B50" s="450"/>
      <c r="C50" s="445"/>
      <c r="D50" s="450"/>
      <c r="E50" s="527"/>
      <c r="F50" s="841">
        <v>374877</v>
      </c>
      <c r="G50" s="1013" t="s">
        <v>695</v>
      </c>
      <c r="H50" s="1136"/>
    </row>
    <row r="51" spans="1:8" ht="19.5">
      <c r="A51" s="449">
        <f>+A48+1</f>
        <v>15</v>
      </c>
      <c r="B51" s="450"/>
      <c r="C51" s="445" t="s">
        <v>102</v>
      </c>
      <c r="D51" s="1005"/>
      <c r="E51" s="1024">
        <f>SUM(F52:F54)</f>
        <v>68465</v>
      </c>
      <c r="F51" s="1014"/>
      <c r="G51" s="1014"/>
      <c r="H51" s="1047"/>
    </row>
    <row r="52" spans="1:8" ht="19.5">
      <c r="A52" s="449"/>
      <c r="B52" s="450"/>
      <c r="C52" s="445"/>
      <c r="D52" s="1005"/>
      <c r="E52" s="527"/>
      <c r="F52" s="842">
        <v>-5085</v>
      </c>
      <c r="G52" s="1013" t="s">
        <v>175</v>
      </c>
      <c r="H52" s="1136"/>
    </row>
    <row r="53" spans="1:8" ht="19.5">
      <c r="A53" s="449"/>
      <c r="B53" s="450"/>
      <c r="C53" s="445"/>
      <c r="D53" s="1005"/>
      <c r="E53" s="527"/>
      <c r="F53" s="842">
        <v>54700</v>
      </c>
      <c r="G53" s="1013" t="s">
        <v>176</v>
      </c>
      <c r="H53" s="1136"/>
    </row>
    <row r="54" spans="1:8" ht="19.5">
      <c r="A54" s="449"/>
      <c r="B54" s="450"/>
      <c r="C54" s="445"/>
      <c r="D54" s="1005"/>
      <c r="E54" s="527"/>
      <c r="F54" s="842">
        <v>18850</v>
      </c>
      <c r="G54" s="1013" t="s">
        <v>177</v>
      </c>
      <c r="H54" s="1136"/>
    </row>
    <row r="55" spans="1:8" ht="19.5">
      <c r="A55" s="449">
        <f>+A51+1</f>
        <v>16</v>
      </c>
      <c r="B55" s="450"/>
      <c r="C55" s="445" t="s">
        <v>103</v>
      </c>
      <c r="D55" s="1005"/>
      <c r="E55" s="1024">
        <f>SUM(F56:F57)</f>
        <v>95</v>
      </c>
      <c r="F55" s="1014"/>
      <c r="G55" s="1014"/>
      <c r="H55" s="1047"/>
    </row>
    <row r="56" spans="1:8" ht="19.5">
      <c r="A56" s="449"/>
      <c r="B56" s="450"/>
      <c r="C56" s="445"/>
      <c r="D56" s="1005"/>
      <c r="E56" s="527"/>
      <c r="F56" s="842">
        <v>55</v>
      </c>
      <c r="G56" s="1013" t="s">
        <v>178</v>
      </c>
      <c r="H56" s="1136"/>
    </row>
    <row r="57" spans="1:8" ht="19.5">
      <c r="A57" s="449"/>
      <c r="B57" s="450"/>
      <c r="C57" s="445"/>
      <c r="D57" s="1005"/>
      <c r="E57" s="527"/>
      <c r="F57" s="842">
        <v>40</v>
      </c>
      <c r="G57" s="1013" t="s">
        <v>179</v>
      </c>
      <c r="H57" s="1136"/>
    </row>
    <row r="58" spans="1:8" ht="19.5">
      <c r="A58" s="449">
        <f>+A55+1</f>
        <v>17</v>
      </c>
      <c r="B58" s="450"/>
      <c r="C58" s="445" t="s">
        <v>104</v>
      </c>
      <c r="D58" s="450"/>
      <c r="E58" s="1024">
        <f>SUM(F59)</f>
        <v>230</v>
      </c>
      <c r="F58" s="1019"/>
      <c r="G58" s="1013"/>
      <c r="H58" s="1047"/>
    </row>
    <row r="59" spans="1:8" ht="19.5">
      <c r="A59" s="449"/>
      <c r="B59" s="450"/>
      <c r="C59" s="445"/>
      <c r="D59" s="450"/>
      <c r="E59" s="527"/>
      <c r="F59" s="842">
        <v>230</v>
      </c>
      <c r="G59" s="1013" t="s">
        <v>578</v>
      </c>
      <c r="H59" s="1136"/>
    </row>
    <row r="60" spans="1:8" ht="19.5">
      <c r="A60" s="449">
        <f>+A58+1</f>
        <v>18</v>
      </c>
      <c r="B60" s="450"/>
      <c r="C60" s="445" t="s">
        <v>105</v>
      </c>
      <c r="D60" s="450"/>
      <c r="E60" s="1024">
        <f>SUM(F61:F63)</f>
        <v>-582273</v>
      </c>
      <c r="F60" s="1014"/>
      <c r="G60" s="1014"/>
      <c r="H60" s="1047"/>
    </row>
    <row r="61" spans="1:8" ht="19.5">
      <c r="A61" s="449"/>
      <c r="B61" s="450"/>
      <c r="C61" s="445"/>
      <c r="D61" s="450"/>
      <c r="E61" s="527"/>
      <c r="F61" s="842">
        <v>1808</v>
      </c>
      <c r="G61" s="1013" t="s">
        <v>696</v>
      </c>
      <c r="H61" s="1136"/>
    </row>
    <row r="62" spans="1:8" ht="19.5">
      <c r="A62" s="449"/>
      <c r="B62" s="450"/>
      <c r="C62" s="445"/>
      <c r="D62" s="450"/>
      <c r="E62" s="527"/>
      <c r="F62" s="842">
        <v>15045</v>
      </c>
      <c r="G62" s="1013" t="s">
        <v>180</v>
      </c>
      <c r="H62" s="1136"/>
    </row>
    <row r="63" spans="1:8" ht="19.5">
      <c r="A63" s="449"/>
      <c r="B63" s="450"/>
      <c r="C63" s="445"/>
      <c r="D63" s="450"/>
      <c r="E63" s="527"/>
      <c r="F63" s="842">
        <v>-599126</v>
      </c>
      <c r="G63" s="1013" t="s">
        <v>683</v>
      </c>
      <c r="H63" s="1136"/>
    </row>
    <row r="64" spans="1:8" ht="19.5">
      <c r="A64" s="449">
        <f>+A60+1</f>
        <v>19</v>
      </c>
      <c r="B64" s="445"/>
      <c r="C64" s="445" t="s">
        <v>95</v>
      </c>
      <c r="D64" s="445"/>
      <c r="E64" s="1024">
        <f>SUM(F65:F65)</f>
        <v>4262</v>
      </c>
      <c r="F64" s="1012"/>
      <c r="G64" s="1014"/>
      <c r="H64" s="1047"/>
    </row>
    <row r="65" spans="1:8" ht="19.5">
      <c r="A65" s="449"/>
      <c r="B65" s="445"/>
      <c r="C65" s="445"/>
      <c r="D65" s="445"/>
      <c r="E65" s="527"/>
      <c r="F65" s="842">
        <v>4262</v>
      </c>
      <c r="G65" s="1013" t="s">
        <v>697</v>
      </c>
      <c r="H65" s="1136"/>
    </row>
    <row r="66" spans="1:8" ht="19.5">
      <c r="A66" s="449">
        <f>+A64+1</f>
        <v>20</v>
      </c>
      <c r="B66" s="445"/>
      <c r="C66" s="1020" t="s">
        <v>714</v>
      </c>
      <c r="D66" s="460"/>
      <c r="E66" s="1024">
        <f>SUM(F67)</f>
        <v>0</v>
      </c>
      <c r="F66" s="1014"/>
      <c r="G66" s="1014"/>
      <c r="H66" s="1047"/>
    </row>
    <row r="67" spans="1:7" s="1047" customFormat="1" ht="19.5">
      <c r="A67" s="523"/>
      <c r="B67" s="460"/>
      <c r="C67" s="1046"/>
      <c r="D67" s="460"/>
      <c r="E67" s="1019"/>
      <c r="F67" s="841">
        <v>0</v>
      </c>
      <c r="G67" s="935"/>
    </row>
    <row r="68" spans="1:7" ht="20.25" thickBot="1">
      <c r="A68" s="1016">
        <f>+A66+1</f>
        <v>21</v>
      </c>
      <c r="B68" s="1021"/>
      <c r="C68" s="445" t="s">
        <v>98</v>
      </c>
      <c r="D68" s="1005"/>
      <c r="E68" s="1022">
        <f>SUM(E13:E66)</f>
        <v>11682562</v>
      </c>
      <c r="F68" s="1022">
        <f>SUM(F13:F66)</f>
        <v>11682562</v>
      </c>
      <c r="G68" s="1014"/>
    </row>
    <row r="69" spans="1:7" ht="20.25" thickTop="1">
      <c r="A69" s="1021"/>
      <c r="B69" s="1021"/>
      <c r="C69" s="445" t="s">
        <v>211</v>
      </c>
      <c r="D69" s="1005"/>
      <c r="E69" s="1005"/>
      <c r="F69" s="1014"/>
      <c r="G69" s="1014"/>
    </row>
    <row r="70" spans="1:7" ht="19.5">
      <c r="A70" s="1021"/>
      <c r="B70" s="1021"/>
      <c r="C70" s="445"/>
      <c r="D70" s="1005"/>
      <c r="E70" s="1005"/>
      <c r="F70" s="1014"/>
      <c r="G70" s="1014"/>
    </row>
    <row r="71" spans="1:7" ht="20.25" customHeight="1">
      <c r="A71" s="1162" t="s">
        <v>385</v>
      </c>
      <c r="B71" s="1162"/>
      <c r="C71" s="1162"/>
      <c r="D71" s="1162"/>
      <c r="E71" s="1162"/>
      <c r="F71" s="1162"/>
      <c r="G71" s="1162"/>
    </row>
    <row r="72" spans="1:7" ht="20.25" customHeight="1">
      <c r="A72" s="1162"/>
      <c r="B72" s="1162"/>
      <c r="C72" s="1162"/>
      <c r="D72" s="1162"/>
      <c r="E72" s="1162"/>
      <c r="F72" s="1162"/>
      <c r="G72" s="1162"/>
    </row>
    <row r="73" spans="1:7" ht="20.25" customHeight="1">
      <c r="A73" s="1162"/>
      <c r="B73" s="1162"/>
      <c r="C73" s="1162"/>
      <c r="D73" s="1162"/>
      <c r="E73" s="1162"/>
      <c r="F73" s="1162"/>
      <c r="G73" s="1162"/>
    </row>
    <row r="74" spans="1:7" ht="20.25" customHeight="1">
      <c r="A74" s="1162"/>
      <c r="B74" s="1162"/>
      <c r="C74" s="1162"/>
      <c r="D74" s="1162"/>
      <c r="E74" s="1162"/>
      <c r="F74" s="1162"/>
      <c r="G74" s="1162"/>
    </row>
    <row r="75" spans="1:7" ht="20.25" customHeight="1">
      <c r="A75" s="1162"/>
      <c r="B75" s="1162"/>
      <c r="C75" s="1162"/>
      <c r="D75" s="1162"/>
      <c r="E75" s="1162"/>
      <c r="F75" s="1162"/>
      <c r="G75" s="1162"/>
    </row>
    <row r="76" spans="2:7" ht="19.5">
      <c r="B76" s="524"/>
      <c r="F76" s="1014"/>
      <c r="G76" s="1014"/>
    </row>
    <row r="77" spans="2:7" ht="19.5">
      <c r="B77" s="524"/>
      <c r="F77" s="935"/>
      <c r="G77" s="1014"/>
    </row>
    <row r="78" spans="2:7" ht="19.5">
      <c r="B78" s="524"/>
      <c r="F78" s="1012"/>
      <c r="G78" s="1014"/>
    </row>
    <row r="79" spans="2:7" ht="19.5">
      <c r="B79" s="524"/>
      <c r="F79" s="1012"/>
      <c r="G79" s="1014"/>
    </row>
    <row r="80" spans="2:7" ht="19.5">
      <c r="B80" s="524"/>
      <c r="F80" s="1012"/>
      <c r="G80" s="1014"/>
    </row>
    <row r="81" spans="2:7" ht="19.5">
      <c r="B81" s="524"/>
      <c r="F81" s="1014"/>
      <c r="G81" s="1009"/>
    </row>
    <row r="82" spans="2:7" ht="19.5">
      <c r="B82" s="524"/>
      <c r="F82" s="935"/>
      <c r="G82" s="1009"/>
    </row>
    <row r="83" spans="2:7" ht="19.5">
      <c r="B83" s="524"/>
      <c r="F83" s="935"/>
      <c r="G83" s="1009"/>
    </row>
    <row r="84" spans="2:7" ht="19.5">
      <c r="B84" s="524"/>
      <c r="F84" s="1014"/>
      <c r="G84" s="1009"/>
    </row>
    <row r="85" spans="2:7" ht="19.5">
      <c r="B85" s="524"/>
      <c r="F85" s="472"/>
      <c r="G85" s="1009"/>
    </row>
    <row r="86" spans="2:7" ht="12.75">
      <c r="B86" s="524"/>
      <c r="F86" s="1009"/>
      <c r="G86" s="1009"/>
    </row>
    <row r="87" spans="2:7" ht="12.75">
      <c r="B87" s="524"/>
      <c r="F87" s="1009"/>
      <c r="G87" s="1009"/>
    </row>
    <row r="88" spans="2:7" ht="12.75">
      <c r="B88" s="524"/>
      <c r="F88" s="1009"/>
      <c r="G88" s="1009"/>
    </row>
    <row r="89" spans="2:7" ht="12.75">
      <c r="B89" s="524"/>
      <c r="F89" s="1009"/>
      <c r="G89" s="1009"/>
    </row>
    <row r="90" spans="2:7" ht="12.75">
      <c r="B90" s="524"/>
      <c r="F90" s="1009"/>
      <c r="G90" s="1009"/>
    </row>
    <row r="91" spans="2:7" ht="12.75">
      <c r="B91" s="524"/>
      <c r="F91" s="1009"/>
      <c r="G91" s="1009"/>
    </row>
    <row r="92" spans="6:7" ht="12.75">
      <c r="F92" s="1009"/>
      <c r="G92" s="1009"/>
    </row>
    <row r="93" spans="6:7" ht="12.75">
      <c r="F93" s="1009"/>
      <c r="G93" s="1009"/>
    </row>
    <row r="94" spans="6:7" ht="12.75">
      <c r="F94" s="1009"/>
      <c r="G94" s="1009"/>
    </row>
    <row r="95" spans="6:7" ht="12.75">
      <c r="F95" s="1009"/>
      <c r="G95" s="1009"/>
    </row>
    <row r="96" spans="6:7" ht="12.75">
      <c r="F96" s="1009"/>
      <c r="G96" s="1009"/>
    </row>
    <row r="97" spans="6:7" ht="12.75">
      <c r="F97" s="1009"/>
      <c r="G97" s="1009"/>
    </row>
    <row r="98" spans="6:7" ht="12.75">
      <c r="F98" s="1009"/>
      <c r="G98" s="1009"/>
    </row>
    <row r="99" spans="6:7" ht="12.75">
      <c r="F99" s="1009"/>
      <c r="G99" s="1009"/>
    </row>
    <row r="100" spans="6:7" ht="12.75">
      <c r="F100" s="1009"/>
      <c r="G100" s="1009"/>
    </row>
    <row r="101" spans="6:7" ht="12.75">
      <c r="F101" s="1009"/>
      <c r="G101" s="1009"/>
    </row>
    <row r="102" spans="6:7" ht="12.75">
      <c r="F102" s="1009"/>
      <c r="G102" s="1009"/>
    </row>
    <row r="103" spans="6:7" ht="12.75">
      <c r="F103" s="1009"/>
      <c r="G103" s="1009"/>
    </row>
    <row r="104" spans="6:7" ht="12.75">
      <c r="F104" s="1009"/>
      <c r="G104" s="1009"/>
    </row>
    <row r="105" spans="6:7" ht="12.75">
      <c r="F105" s="1009"/>
      <c r="G105" s="1009"/>
    </row>
    <row r="106" spans="6:7" ht="12.75">
      <c r="F106" s="1009"/>
      <c r="G106" s="1009"/>
    </row>
    <row r="107" spans="6:7" ht="12.75">
      <c r="F107" s="1009"/>
      <c r="G107" s="1009"/>
    </row>
    <row r="108" spans="6:7" ht="12.75">
      <c r="F108" s="1009"/>
      <c r="G108" s="1009"/>
    </row>
    <row r="109" spans="6:7" ht="12.75">
      <c r="F109" s="1009"/>
      <c r="G109" s="1009"/>
    </row>
    <row r="110" spans="6:7" ht="12.75">
      <c r="F110" s="1009"/>
      <c r="G110" s="1009"/>
    </row>
    <row r="111" spans="6:7" ht="12.75">
      <c r="F111" s="1009"/>
      <c r="G111" s="1009"/>
    </row>
    <row r="112" spans="6:7" ht="12.75">
      <c r="F112" s="1009"/>
      <c r="G112" s="1009"/>
    </row>
    <row r="300" ht="6" customHeight="1"/>
    <row r="302" ht="6" customHeight="1"/>
    <row r="309" ht="6" customHeight="1"/>
    <row r="311" ht="6" customHeight="1"/>
    <row r="315" ht="6" customHeight="1"/>
    <row r="318" ht="6" customHeight="1"/>
    <row r="323" ht="6" customHeight="1"/>
    <row r="327" ht="6" customHeight="1"/>
    <row r="329" ht="6" customHeight="1"/>
    <row r="338" ht="6" customHeight="1"/>
    <row r="340" ht="6" customHeight="1"/>
    <row r="342" ht="6" customHeight="1"/>
    <row r="344" ht="6" customHeight="1"/>
    <row r="353" ht="6" customHeight="1"/>
    <row r="355" ht="6" customHeight="1"/>
  </sheetData>
  <sheetProtection/>
  <mergeCells count="6">
    <mergeCell ref="A71:G75"/>
    <mergeCell ref="A5:F5"/>
    <mergeCell ref="A1:F1"/>
    <mergeCell ref="A2:F2"/>
    <mergeCell ref="A3:F3"/>
    <mergeCell ref="A4:F4"/>
  </mergeCells>
  <printOptions/>
  <pageMargins left="0.53" right="0.83" top="1" bottom="0.68" header="0.75" footer="0.5"/>
  <pageSetup horizontalDpi="600" verticalDpi="600" orientation="portrait" scale="45" r:id="rId1"/>
  <headerFooter alignWithMargins="0">
    <oddHeader>&amp;R&amp;"Arial,Bold"Formula Rate 
&amp;A
Page &amp;P of &amp;N</oddHeader>
  </headerFooter>
</worksheet>
</file>

<file path=xl/worksheets/sheet13.xml><?xml version="1.0" encoding="utf-8"?>
<worksheet xmlns="http://schemas.openxmlformats.org/spreadsheetml/2006/main" xmlns:r="http://schemas.openxmlformats.org/officeDocument/2006/relationships">
  <sheetPr>
    <tabColor indexed="45"/>
    <pageSetUpPr fitToPage="1"/>
  </sheetPr>
  <dimension ref="A1:AC78"/>
  <sheetViews>
    <sheetView zoomScalePageLayoutView="0" workbookViewId="0" topLeftCell="A1">
      <selection activeCell="A1" sqref="A1:J1"/>
    </sheetView>
  </sheetViews>
  <sheetFormatPr defaultColWidth="9.140625" defaultRowHeight="12.75"/>
  <cols>
    <col min="1" max="1" width="4.7109375" style="0" customWidth="1"/>
    <col min="3" max="3" width="13.8515625" style="0" customWidth="1"/>
    <col min="4" max="4" width="18.8515625" style="0" customWidth="1"/>
    <col min="5" max="5" width="16.00390625" style="0" customWidth="1"/>
    <col min="6" max="6" width="15.28125" style="0" customWidth="1"/>
    <col min="7" max="7" width="19.421875" style="0" customWidth="1"/>
    <col min="8" max="8" width="16.421875" style="0" customWidth="1"/>
    <col min="9" max="9" width="18.7109375" style="0" customWidth="1"/>
    <col min="10" max="10" width="1.421875" style="0" customWidth="1"/>
    <col min="15" max="15" width="9.8515625" style="0" bestFit="1" customWidth="1"/>
  </cols>
  <sheetData>
    <row r="1" spans="1:13" ht="18">
      <c r="A1" s="1167" t="s">
        <v>230</v>
      </c>
      <c r="B1" s="1167"/>
      <c r="C1" s="1167"/>
      <c r="D1" s="1167"/>
      <c r="E1" s="1167"/>
      <c r="F1" s="1167"/>
      <c r="G1" s="1167"/>
      <c r="H1" s="1167"/>
      <c r="I1" s="1167"/>
      <c r="J1" s="1167"/>
      <c r="K1" s="513"/>
      <c r="L1" s="513"/>
      <c r="M1" s="513"/>
    </row>
    <row r="2" spans="1:13" ht="18">
      <c r="A2" s="1166" t="str">
        <f>"Cost of Service Formula Rate Using "&amp;'KPCo Historic TCOS'!O1&amp;" FF1 Balances"</f>
        <v>Cost of Service Formula Rate Using 2009 FF1 Balances</v>
      </c>
      <c r="B2" s="1166"/>
      <c r="C2" s="1166"/>
      <c r="D2" s="1166"/>
      <c r="E2" s="1166"/>
      <c r="F2" s="1166"/>
      <c r="G2" s="1166"/>
      <c r="H2" s="1166"/>
      <c r="I2" s="1166"/>
      <c r="J2" s="1166"/>
      <c r="K2" s="275"/>
      <c r="L2" s="275"/>
      <c r="M2" s="275"/>
    </row>
    <row r="3" spans="1:13" ht="18">
      <c r="A3" s="1166" t="s">
        <v>330</v>
      </c>
      <c r="B3" s="1166"/>
      <c r="C3" s="1166"/>
      <c r="D3" s="1166"/>
      <c r="E3" s="1166"/>
      <c r="F3" s="1166"/>
      <c r="G3" s="1166"/>
      <c r="H3" s="1166"/>
      <c r="I3" s="1166"/>
      <c r="J3" s="1166"/>
      <c r="K3" s="514"/>
      <c r="L3" s="514"/>
      <c r="M3" s="514"/>
    </row>
    <row r="4" spans="1:13" ht="18">
      <c r="A4" s="1158" t="str">
        <f>+'KPCo Historic TCOS'!F7</f>
        <v>KENTUCKY POWER COMPANY</v>
      </c>
      <c r="B4" s="1158"/>
      <c r="C4" s="1158"/>
      <c r="D4" s="1158"/>
      <c r="E4" s="1158"/>
      <c r="F4" s="1158"/>
      <c r="G4" s="1158"/>
      <c r="H4" s="1158"/>
      <c r="I4" s="1158"/>
      <c r="J4" s="1158"/>
      <c r="K4" s="532"/>
      <c r="L4" s="532"/>
      <c r="M4" s="532"/>
    </row>
    <row r="5" spans="1:9" ht="12.75">
      <c r="A5" s="544" t="s">
        <v>258</v>
      </c>
      <c r="B5" s="544" t="s">
        <v>259</v>
      </c>
      <c r="C5" s="544" t="s">
        <v>460</v>
      </c>
      <c r="D5" s="544" t="s">
        <v>260</v>
      </c>
      <c r="E5" s="544" t="s">
        <v>261</v>
      </c>
      <c r="F5" s="544" t="s">
        <v>262</v>
      </c>
      <c r="G5" s="544" t="s">
        <v>263</v>
      </c>
      <c r="H5" s="544" t="s">
        <v>264</v>
      </c>
      <c r="I5" s="544" t="s">
        <v>265</v>
      </c>
    </row>
    <row r="7" spans="1:6" ht="18">
      <c r="A7" s="540" t="s">
        <v>779</v>
      </c>
      <c r="B7" s="331" t="s">
        <v>51</v>
      </c>
      <c r="D7" s="364"/>
      <c r="E7" s="100"/>
      <c r="F7" s="383"/>
    </row>
    <row r="8" spans="3:29" ht="18">
      <c r="C8" s="102"/>
      <c r="D8" s="364"/>
      <c r="E8" s="100"/>
      <c r="F8" s="383"/>
      <c r="K8" s="146"/>
      <c r="Q8" s="513"/>
      <c r="R8" s="513"/>
      <c r="S8" s="513"/>
      <c r="T8" s="513"/>
      <c r="U8" s="513"/>
      <c r="V8" s="513"/>
      <c r="W8" s="513"/>
      <c r="X8" s="513"/>
      <c r="Y8" s="513"/>
      <c r="Z8" s="513"/>
      <c r="AA8" s="513"/>
      <c r="AB8" s="513"/>
      <c r="AC8" s="513"/>
    </row>
    <row r="9" spans="1:11" ht="12.75">
      <c r="A9">
        <v>1</v>
      </c>
      <c r="C9" s="102" t="str">
        <f>"Transmission Plant @ Beginning of Historic Period ("&amp;'KPCo Historic TCOS'!O1&amp;") (P.206, ln 58,(b)):"</f>
        <v>Transmission Plant @ Beginning of Historic Period (2009) (P.206, ln 58,(b)):</v>
      </c>
      <c r="D9" s="364"/>
      <c r="H9" s="541">
        <v>431804417</v>
      </c>
      <c r="K9" s="1135"/>
    </row>
    <row r="10" spans="1:11" ht="12.75">
      <c r="A10">
        <f aca="true" t="shared" si="0" ref="A10:A15">+A9+1</f>
        <v>2</v>
      </c>
      <c r="C10" s="102" t="str">
        <f>"Transmission Plant @ End of Historic Period ("&amp;'KPCo Historic TCOS'!O1&amp;") (P.207, ln 58,(g)):"</f>
        <v>Transmission Plant @ End of Historic Period (2009) (P.207, ln 58,(g)):</v>
      </c>
      <c r="D10" s="364"/>
      <c r="H10" s="531">
        <f>+'KPCo WS A  - RB Support '!E18</f>
        <v>438744866</v>
      </c>
      <c r="K10" s="146"/>
    </row>
    <row r="11" spans="1:11" ht="12.75">
      <c r="A11">
        <f t="shared" si="0"/>
        <v>3</v>
      </c>
      <c r="C11" s="102"/>
      <c r="D11" s="364"/>
      <c r="H11" s="365">
        <f>+H10+H9</f>
        <v>870549283</v>
      </c>
      <c r="K11" s="146"/>
    </row>
    <row r="12" spans="1:11" ht="12.75">
      <c r="A12">
        <f t="shared" si="0"/>
        <v>4</v>
      </c>
      <c r="C12" s="102" t="s">
        <v>212</v>
      </c>
      <c r="D12" s="364"/>
      <c r="H12" s="365">
        <f>+H11/2</f>
        <v>435274641.5</v>
      </c>
      <c r="K12" s="146"/>
    </row>
    <row r="13" spans="1:11" ht="12.75">
      <c r="A13">
        <f t="shared" si="0"/>
        <v>5</v>
      </c>
      <c r="C13" s="102" t="str">
        <f>+"Annual Depreciation Expense, Historic TCOS, ln "&amp;'KPCo Historic TCOS'!B178&amp;""</f>
        <v>Annual Depreciation Expense, Historic TCOS, ln 276</v>
      </c>
      <c r="D13" s="364"/>
      <c r="E13" s="100"/>
      <c r="H13" s="365">
        <f>+'KPCo Historic TCOS'!G178</f>
        <v>7420678</v>
      </c>
      <c r="K13" s="146"/>
    </row>
    <row r="14" spans="1:11" ht="12.75">
      <c r="A14">
        <f t="shared" si="0"/>
        <v>6</v>
      </c>
      <c r="C14" s="102" t="s">
        <v>52</v>
      </c>
      <c r="D14" s="364"/>
      <c r="E14" s="100"/>
      <c r="H14" s="383">
        <f>+H13/H12</f>
        <v>0.017048266295568243</v>
      </c>
      <c r="K14" s="146"/>
    </row>
    <row r="15" spans="1:11" ht="12.75">
      <c r="A15">
        <f t="shared" si="0"/>
        <v>7</v>
      </c>
      <c r="C15" s="102" t="str">
        <f>"Round to "&amp;ROUND(H15,4)*100&amp;"% to Reflect a Composite Life of "&amp;ROUND(1/H15,0)&amp;" Years"</f>
        <v>Round to 1.7% to Reflect a Composite Life of 59 Years</v>
      </c>
      <c r="D15" s="364"/>
      <c r="E15" s="100"/>
      <c r="H15" s="533">
        <f>ROUND(+H14,4)</f>
        <v>0.017</v>
      </c>
      <c r="K15" s="146"/>
    </row>
    <row r="16" ht="12.75">
      <c r="K16" s="146"/>
    </row>
    <row r="17" spans="1:11" ht="18">
      <c r="A17" s="540" t="s">
        <v>780</v>
      </c>
      <c r="B17" s="137" t="s">
        <v>213</v>
      </c>
      <c r="K17" s="146"/>
    </row>
    <row r="18" ht="12.75">
      <c r="K18" s="146"/>
    </row>
    <row r="19" spans="1:11" ht="51">
      <c r="A19" s="136">
        <f>+A15+1</f>
        <v>8</v>
      </c>
      <c r="B19" s="136"/>
      <c r="C19" s="534" t="s">
        <v>214</v>
      </c>
      <c r="D19" s="534" t="s">
        <v>215</v>
      </c>
      <c r="E19" s="534" t="s">
        <v>216</v>
      </c>
      <c r="F19" s="534" t="s">
        <v>217</v>
      </c>
      <c r="G19" s="534" t="s">
        <v>218</v>
      </c>
      <c r="H19" s="534" t="s">
        <v>219</v>
      </c>
      <c r="I19" s="534" t="s">
        <v>220</v>
      </c>
      <c r="J19" s="535"/>
      <c r="K19" s="146"/>
    </row>
    <row r="20" ht="12.75">
      <c r="K20" s="146"/>
    </row>
    <row r="21" spans="1:11" ht="12.75">
      <c r="A21">
        <f>+A19+1</f>
        <v>9</v>
      </c>
      <c r="C21" t="s">
        <v>814</v>
      </c>
      <c r="D21" s="536">
        <v>1357551.62583333</v>
      </c>
      <c r="E21" s="537">
        <f>H15</f>
        <v>0.017</v>
      </c>
      <c r="F21" s="538">
        <f aca="true" t="shared" si="1" ref="F21:F32">E21*D21</f>
        <v>23078.37763916661</v>
      </c>
      <c r="G21" s="538">
        <f aca="true" t="shared" si="2" ref="G21:G32">ROUND(+F21/12,0)</f>
        <v>1923</v>
      </c>
      <c r="H21">
        <v>11</v>
      </c>
      <c r="I21" s="538">
        <f aca="true" t="shared" si="3" ref="I21:I32">H21*G21</f>
        <v>21153</v>
      </c>
      <c r="K21" s="1135"/>
    </row>
    <row r="22" spans="1:11" ht="12.75">
      <c r="A22">
        <f>+A21+1</f>
        <v>10</v>
      </c>
      <c r="C22" t="s">
        <v>221</v>
      </c>
      <c r="D22" s="536">
        <v>1347973.5258333301</v>
      </c>
      <c r="E22" s="443">
        <f aca="true" t="shared" si="4" ref="E22:E32">+E21</f>
        <v>0.017</v>
      </c>
      <c r="F22" s="538">
        <f t="shared" si="1"/>
        <v>22915.549939166613</v>
      </c>
      <c r="G22" s="538">
        <f t="shared" si="2"/>
        <v>1910</v>
      </c>
      <c r="H22">
        <v>10</v>
      </c>
      <c r="I22" s="538">
        <f t="shared" si="3"/>
        <v>19100</v>
      </c>
      <c r="K22" s="1135"/>
    </row>
    <row r="23" spans="1:11" ht="12.75">
      <c r="A23">
        <f aca="true" t="shared" si="5" ref="A23:A32">+A22+1</f>
        <v>11</v>
      </c>
      <c r="C23" t="s">
        <v>815</v>
      </c>
      <c r="D23" s="536">
        <v>1386470.08583333</v>
      </c>
      <c r="E23" s="443">
        <f t="shared" si="4"/>
        <v>0.017</v>
      </c>
      <c r="F23" s="538">
        <f t="shared" si="1"/>
        <v>23569.99145916661</v>
      </c>
      <c r="G23" s="538">
        <f t="shared" si="2"/>
        <v>1964</v>
      </c>
      <c r="H23">
        <v>9</v>
      </c>
      <c r="I23" s="538">
        <f t="shared" si="3"/>
        <v>17676</v>
      </c>
      <c r="K23" s="1135"/>
    </row>
    <row r="24" spans="1:11" ht="12.75">
      <c r="A24">
        <f t="shared" si="5"/>
        <v>12</v>
      </c>
      <c r="C24" t="s">
        <v>816</v>
      </c>
      <c r="D24" s="536">
        <v>1365622.0158333299</v>
      </c>
      <c r="E24" s="443">
        <f t="shared" si="4"/>
        <v>0.017</v>
      </c>
      <c r="F24" s="538">
        <f t="shared" si="1"/>
        <v>23215.57426916661</v>
      </c>
      <c r="G24" s="538">
        <f t="shared" si="2"/>
        <v>1935</v>
      </c>
      <c r="H24">
        <v>8</v>
      </c>
      <c r="I24" s="538">
        <f t="shared" si="3"/>
        <v>15480</v>
      </c>
      <c r="K24" s="1135"/>
    </row>
    <row r="25" spans="1:11" ht="12.75">
      <c r="A25">
        <f t="shared" si="5"/>
        <v>13</v>
      </c>
      <c r="C25" t="s">
        <v>817</v>
      </c>
      <c r="D25" s="536">
        <v>1347918.54583333</v>
      </c>
      <c r="E25" s="443">
        <f t="shared" si="4"/>
        <v>0.017</v>
      </c>
      <c r="F25" s="538">
        <f t="shared" si="1"/>
        <v>22914.61527916661</v>
      </c>
      <c r="G25" s="538">
        <f t="shared" si="2"/>
        <v>1910</v>
      </c>
      <c r="H25">
        <v>7</v>
      </c>
      <c r="I25" s="538">
        <f t="shared" si="3"/>
        <v>13370</v>
      </c>
      <c r="K25" s="1135"/>
    </row>
    <row r="26" spans="1:11" ht="12.75">
      <c r="A26">
        <f t="shared" si="5"/>
        <v>14</v>
      </c>
      <c r="C26" t="s">
        <v>222</v>
      </c>
      <c r="D26" s="536">
        <v>1384118.12583333</v>
      </c>
      <c r="E26" s="443">
        <f t="shared" si="4"/>
        <v>0.017</v>
      </c>
      <c r="F26" s="538">
        <f t="shared" si="1"/>
        <v>23530.00813916661</v>
      </c>
      <c r="G26" s="538">
        <f t="shared" si="2"/>
        <v>1961</v>
      </c>
      <c r="H26">
        <v>6</v>
      </c>
      <c r="I26" s="538">
        <f t="shared" si="3"/>
        <v>11766</v>
      </c>
      <c r="K26" s="1135"/>
    </row>
    <row r="27" spans="1:11" ht="12.75">
      <c r="A27">
        <f t="shared" si="5"/>
        <v>15</v>
      </c>
      <c r="C27" t="s">
        <v>818</v>
      </c>
      <c r="D27" s="536">
        <v>1366018.5458333301</v>
      </c>
      <c r="E27" s="443">
        <f t="shared" si="4"/>
        <v>0.017</v>
      </c>
      <c r="F27" s="538">
        <f t="shared" si="1"/>
        <v>23222.315279166614</v>
      </c>
      <c r="G27" s="538">
        <f t="shared" si="2"/>
        <v>1935</v>
      </c>
      <c r="H27">
        <v>5</v>
      </c>
      <c r="I27" s="538">
        <f t="shared" si="3"/>
        <v>9675</v>
      </c>
      <c r="K27" s="1135"/>
    </row>
    <row r="28" spans="1:11" ht="12.75">
      <c r="A28">
        <f t="shared" si="5"/>
        <v>16</v>
      </c>
      <c r="C28" t="s">
        <v>819</v>
      </c>
      <c r="D28" s="536">
        <v>1383604.4558333298</v>
      </c>
      <c r="E28" s="443">
        <f t="shared" si="4"/>
        <v>0.017</v>
      </c>
      <c r="F28" s="538">
        <f t="shared" si="1"/>
        <v>23521.27574916661</v>
      </c>
      <c r="G28" s="538">
        <f t="shared" si="2"/>
        <v>1960</v>
      </c>
      <c r="H28">
        <v>4</v>
      </c>
      <c r="I28" s="538">
        <f t="shared" si="3"/>
        <v>7840</v>
      </c>
      <c r="K28" s="1135"/>
    </row>
    <row r="29" spans="1:11" ht="12.75">
      <c r="A29">
        <f t="shared" si="5"/>
        <v>17</v>
      </c>
      <c r="C29" t="s">
        <v>822</v>
      </c>
      <c r="D29" s="536">
        <v>1373870.7958333301</v>
      </c>
      <c r="E29" s="443">
        <f t="shared" si="4"/>
        <v>0.017</v>
      </c>
      <c r="F29" s="538">
        <f t="shared" si="1"/>
        <v>23355.803529166613</v>
      </c>
      <c r="G29" s="538">
        <f t="shared" si="2"/>
        <v>1946</v>
      </c>
      <c r="H29">
        <v>3</v>
      </c>
      <c r="I29" s="538">
        <f t="shared" si="3"/>
        <v>5838</v>
      </c>
      <c r="K29" s="1135"/>
    </row>
    <row r="30" spans="1:11" ht="12.75">
      <c r="A30">
        <f t="shared" si="5"/>
        <v>18</v>
      </c>
      <c r="C30" t="s">
        <v>820</v>
      </c>
      <c r="D30" s="536">
        <v>1367546.40583333</v>
      </c>
      <c r="E30" s="443">
        <f t="shared" si="4"/>
        <v>0.017</v>
      </c>
      <c r="F30" s="538">
        <f t="shared" si="1"/>
        <v>23248.28889916661</v>
      </c>
      <c r="G30" s="538">
        <f t="shared" si="2"/>
        <v>1937</v>
      </c>
      <c r="H30">
        <v>2</v>
      </c>
      <c r="I30" s="538">
        <f t="shared" si="3"/>
        <v>3874</v>
      </c>
      <c r="K30" s="1135"/>
    </row>
    <row r="31" spans="1:11" ht="12.75">
      <c r="A31">
        <f t="shared" si="5"/>
        <v>19</v>
      </c>
      <c r="C31" t="s">
        <v>223</v>
      </c>
      <c r="D31" s="536">
        <v>1335390.64583333</v>
      </c>
      <c r="E31" s="443">
        <f t="shared" si="4"/>
        <v>0.017</v>
      </c>
      <c r="F31" s="538">
        <f t="shared" si="1"/>
        <v>22701.640979166612</v>
      </c>
      <c r="G31" s="538">
        <f t="shared" si="2"/>
        <v>1892</v>
      </c>
      <c r="H31">
        <v>1</v>
      </c>
      <c r="I31" s="538">
        <f t="shared" si="3"/>
        <v>1892</v>
      </c>
      <c r="K31" s="1135"/>
    </row>
    <row r="32" spans="1:11" ht="12.75">
      <c r="A32">
        <f t="shared" si="5"/>
        <v>20</v>
      </c>
      <c r="C32" t="s">
        <v>821</v>
      </c>
      <c r="D32" s="536">
        <v>3824250.5158333303</v>
      </c>
      <c r="E32" s="443">
        <f t="shared" si="4"/>
        <v>0.017</v>
      </c>
      <c r="F32" s="538">
        <f t="shared" si="1"/>
        <v>65012.25876916662</v>
      </c>
      <c r="G32" s="538">
        <f t="shared" si="2"/>
        <v>5418</v>
      </c>
      <c r="H32">
        <v>0</v>
      </c>
      <c r="I32" s="538">
        <f t="shared" si="3"/>
        <v>0</v>
      </c>
      <c r="K32" s="1135"/>
    </row>
    <row r="33" ht="12.75">
      <c r="K33" s="146"/>
    </row>
    <row r="34" spans="1:11" ht="13.5" thickBot="1">
      <c r="A34">
        <f>+A32+1</f>
        <v>21</v>
      </c>
      <c r="C34" t="s">
        <v>56</v>
      </c>
      <c r="D34" s="539">
        <f>SUM(D21:D33)</f>
        <v>18840335.28999996</v>
      </c>
      <c r="H34" s="280" t="s">
        <v>224</v>
      </c>
      <c r="I34" s="539">
        <f>SUM(I21:I33)</f>
        <v>127664</v>
      </c>
      <c r="K34" s="146"/>
    </row>
    <row r="35" ht="13.5" thickTop="1">
      <c r="K35" s="146"/>
    </row>
    <row r="36" spans="1:11" ht="18">
      <c r="A36" s="540" t="s">
        <v>781</v>
      </c>
      <c r="B36" s="137" t="s">
        <v>225</v>
      </c>
      <c r="K36" s="146"/>
    </row>
    <row r="37" spans="1:11" ht="12.75">
      <c r="A37">
        <f>+A34+1</f>
        <v>22</v>
      </c>
      <c r="D37" s="895">
        <v>0</v>
      </c>
      <c r="E37" t="s">
        <v>226</v>
      </c>
      <c r="K37" s="146"/>
    </row>
    <row r="38" spans="1:5" ht="12.75">
      <c r="A38">
        <f>+A37+1</f>
        <v>23</v>
      </c>
      <c r="D38" s="895">
        <v>0</v>
      </c>
      <c r="E38" t="s">
        <v>326</v>
      </c>
    </row>
    <row r="39" ht="12.75">
      <c r="E39" t="s">
        <v>327</v>
      </c>
    </row>
    <row r="40" spans="1:5" ht="12.75">
      <c r="A40">
        <f>+A38+1</f>
        <v>24</v>
      </c>
      <c r="B40" t="str">
        <f>"(Ln "&amp;A15&amp;" * Ln "&amp;A37&amp;")"</f>
        <v>(Ln 7 * Ln 22)</v>
      </c>
      <c r="D40" s="597">
        <f>+D37*E32</f>
        <v>0</v>
      </c>
      <c r="E40" t="s">
        <v>331</v>
      </c>
    </row>
    <row r="43" spans="1:9" ht="18">
      <c r="A43" s="540" t="s">
        <v>782</v>
      </c>
      <c r="B43" s="550" t="s">
        <v>305</v>
      </c>
      <c r="C43" s="542"/>
      <c r="E43" s="542"/>
      <c r="F43" s="542"/>
      <c r="G43" s="542"/>
      <c r="H43" s="542"/>
      <c r="I43" s="364"/>
    </row>
    <row r="44" spans="2:9" ht="12.75">
      <c r="B44" s="543"/>
      <c r="C44" s="542"/>
      <c r="D44" s="542"/>
      <c r="E44" s="542"/>
      <c r="F44" s="542"/>
      <c r="G44" s="542"/>
      <c r="H44" s="542"/>
      <c r="I44" s="364"/>
    </row>
    <row r="45" spans="2:8" ht="25.5">
      <c r="B45" s="549"/>
      <c r="C45" s="542"/>
      <c r="D45" s="542"/>
      <c r="E45" s="542"/>
      <c r="F45" s="542"/>
      <c r="G45" s="551" t="s">
        <v>335</v>
      </c>
      <c r="H45" s="551" t="s">
        <v>214</v>
      </c>
    </row>
    <row r="46" spans="1:7" ht="12.75">
      <c r="A46">
        <f>+A40+1</f>
        <v>25</v>
      </c>
      <c r="B46" s="549" t="s">
        <v>603</v>
      </c>
      <c r="C46" s="544"/>
      <c r="D46" s="544"/>
      <c r="E46" s="544"/>
      <c r="F46" s="544"/>
      <c r="G46" s="544"/>
    </row>
    <row r="47" spans="1:11" ht="12.75">
      <c r="A47">
        <f>+A46+1</f>
        <v>26</v>
      </c>
      <c r="B47" s="146" t="s">
        <v>203</v>
      </c>
      <c r="C47" s="542"/>
      <c r="D47" s="542"/>
      <c r="E47" s="542"/>
      <c r="F47" s="542"/>
      <c r="G47" s="936">
        <v>0</v>
      </c>
      <c r="H47" s="913" t="s">
        <v>900</v>
      </c>
      <c r="I47" s="547"/>
      <c r="J47" s="552"/>
      <c r="K47" s="548"/>
    </row>
    <row r="48" spans="1:10" ht="12.75">
      <c r="A48">
        <f>+A47+1</f>
        <v>27</v>
      </c>
      <c r="B48" s="546"/>
      <c r="F48" s="280" t="s">
        <v>336</v>
      </c>
      <c r="G48" s="657">
        <f>SUM(G47:G47)</f>
        <v>0</v>
      </c>
      <c r="H48" s="554"/>
      <c r="I48" s="547"/>
      <c r="J48" s="552"/>
    </row>
    <row r="49" spans="2:10" ht="12.75">
      <c r="B49" s="546"/>
      <c r="F49" s="280"/>
      <c r="G49" s="545"/>
      <c r="H49" s="554"/>
      <c r="I49" s="547"/>
      <c r="J49" s="552"/>
    </row>
    <row r="50" spans="1:10" ht="12.75">
      <c r="A50">
        <f>+A48+1</f>
        <v>28</v>
      </c>
      <c r="B50" s="549" t="s">
        <v>604</v>
      </c>
      <c r="G50" s="545"/>
      <c r="H50" s="554"/>
      <c r="I50" s="547"/>
      <c r="J50" s="552"/>
    </row>
    <row r="51" spans="1:10" ht="12.75">
      <c r="A51">
        <f>+A50+1</f>
        <v>29</v>
      </c>
      <c r="B51" s="146" t="s">
        <v>203</v>
      </c>
      <c r="C51" s="914"/>
      <c r="D51" s="542"/>
      <c r="E51" s="542"/>
      <c r="F51" s="542"/>
      <c r="G51" s="936">
        <v>0</v>
      </c>
      <c r="H51" s="552"/>
      <c r="J51" s="552"/>
    </row>
    <row r="52" spans="1:10" ht="12.75">
      <c r="A52">
        <f>+A51+1</f>
        <v>30</v>
      </c>
      <c r="F52" s="280" t="s">
        <v>336</v>
      </c>
      <c r="G52" s="657">
        <f>SUM(G51:G51)</f>
        <v>0</v>
      </c>
      <c r="J52" s="553"/>
    </row>
    <row r="56" ht="12.75">
      <c r="H56" s="364"/>
    </row>
    <row r="57" ht="12.75">
      <c r="H57" s="542"/>
    </row>
    <row r="59" ht="12.75">
      <c r="H59" s="364"/>
    </row>
    <row r="63" ht="12.75">
      <c r="H63" s="543"/>
    </row>
    <row r="64" ht="12.75">
      <c r="H64" s="658"/>
    </row>
    <row r="65" ht="12.75">
      <c r="H65" s="658"/>
    </row>
    <row r="74" spans="2:7" ht="12.75">
      <c r="B74" s="546"/>
      <c r="G74" s="547"/>
    </row>
    <row r="75" ht="12.75">
      <c r="G75" s="547"/>
    </row>
    <row r="76" spans="2:7" ht="12.75">
      <c r="B76" s="659"/>
      <c r="G76" s="660"/>
    </row>
    <row r="77" ht="12.75">
      <c r="G77" s="547"/>
    </row>
    <row r="78" ht="12.75">
      <c r="G78" s="548"/>
    </row>
    <row r="299" ht="6" customHeight="1"/>
    <row r="301" ht="6" customHeight="1"/>
    <row r="308" ht="6" customHeight="1"/>
    <row r="310" ht="6" customHeight="1"/>
    <row r="314" ht="6" customHeight="1"/>
    <row r="317" ht="6" customHeight="1"/>
    <row r="322" ht="6" customHeight="1"/>
    <row r="326" ht="6" customHeight="1"/>
    <row r="328" ht="6" customHeight="1"/>
    <row r="337" ht="6" customHeight="1"/>
    <row r="339" ht="6" customHeight="1"/>
    <row r="341" ht="6" customHeight="1"/>
    <row r="343" ht="6" customHeight="1"/>
    <row r="352" ht="6" customHeight="1"/>
    <row r="354" ht="6" customHeight="1"/>
  </sheetData>
  <sheetProtection/>
  <mergeCells count="4">
    <mergeCell ref="A2:J2"/>
    <mergeCell ref="A1:J1"/>
    <mergeCell ref="A4:J4"/>
    <mergeCell ref="A3:J3"/>
  </mergeCells>
  <printOptions/>
  <pageMargins left="0.26" right="0.46" top="1" bottom="1" header="0.75" footer="0.5"/>
  <pageSetup fitToHeight="1" fitToWidth="1" horizontalDpi="600" verticalDpi="600" orientation="portrait" scale="75" r:id="rId1"/>
  <headerFooter alignWithMargins="0">
    <oddHeader>&amp;R&amp;"Arial,Bold"Formula Rate 
&amp;A
Page &amp;P of &amp;N</oddHeader>
  </headerFooter>
</worksheet>
</file>

<file path=xl/worksheets/sheet14.xml><?xml version="1.0" encoding="utf-8"?>
<worksheet xmlns="http://schemas.openxmlformats.org/spreadsheetml/2006/main" xmlns:r="http://schemas.openxmlformats.org/officeDocument/2006/relationships">
  <dimension ref="A1:P169"/>
  <sheetViews>
    <sheetView zoomScalePageLayoutView="0" workbookViewId="0" topLeftCell="A1">
      <selection activeCell="A1" sqref="A1:O1"/>
    </sheetView>
  </sheetViews>
  <sheetFormatPr defaultColWidth="9.140625" defaultRowHeight="12.75"/>
  <cols>
    <col min="1" max="1" width="4.7109375" style="0" customWidth="1"/>
    <col min="2" max="2" width="6.7109375" style="0" customWidth="1"/>
    <col min="3" max="3" width="20.7109375" style="0" customWidth="1"/>
    <col min="4" max="4" width="17.7109375" style="4" customWidth="1"/>
    <col min="5" max="7" width="17.7109375" style="0" customWidth="1"/>
    <col min="8" max="8" width="17.7109375" style="326" customWidth="1"/>
    <col min="9" max="9" width="17.7109375" style="0" bestFit="1" customWidth="1"/>
    <col min="10" max="10" width="2.140625" style="132" customWidth="1"/>
    <col min="11" max="14" width="17.7109375" style="0" customWidth="1"/>
    <col min="15" max="15" width="16.7109375" style="0" customWidth="1"/>
    <col min="16" max="16" width="2.140625" style="0" customWidth="1"/>
  </cols>
  <sheetData>
    <row r="1" spans="1:16" ht="15">
      <c r="A1" s="1091" t="s">
        <v>230</v>
      </c>
      <c r="B1" s="1091"/>
      <c r="C1" s="1091"/>
      <c r="D1" s="1091"/>
      <c r="E1" s="1091"/>
      <c r="F1" s="1091"/>
      <c r="G1" s="1091"/>
      <c r="H1" s="1091"/>
      <c r="I1" s="1091"/>
      <c r="J1" s="1091"/>
      <c r="K1" s="1091"/>
      <c r="L1" s="1091"/>
      <c r="M1" s="1091"/>
      <c r="N1" s="1091"/>
      <c r="O1" s="1091"/>
      <c r="P1" s="132"/>
    </row>
    <row r="2" spans="1:16" ht="15">
      <c r="A2" s="1090" t="str">
        <f>"Cost of Service Formula Rate Using "&amp;'KPCo Historic TCOS'!O1&amp;" FF1 Balances"</f>
        <v>Cost of Service Formula Rate Using 2009 FF1 Balances</v>
      </c>
      <c r="B2" s="1090"/>
      <c r="C2" s="1090"/>
      <c r="D2" s="1090"/>
      <c r="E2" s="1090"/>
      <c r="F2" s="1090"/>
      <c r="G2" s="1090"/>
      <c r="H2" s="1090"/>
      <c r="I2" s="1090"/>
      <c r="J2" s="1090"/>
      <c r="K2" s="1090"/>
      <c r="L2" s="1090"/>
      <c r="M2" s="1090"/>
      <c r="N2" s="1090"/>
      <c r="O2" s="1090"/>
      <c r="P2" s="132"/>
    </row>
    <row r="3" spans="1:16" ht="15">
      <c r="A3" s="1090" t="s">
        <v>324</v>
      </c>
      <c r="B3" s="1090"/>
      <c r="C3" s="1090"/>
      <c r="D3" s="1090"/>
      <c r="E3" s="1090"/>
      <c r="F3" s="1090"/>
      <c r="G3" s="1090"/>
      <c r="H3" s="1090"/>
      <c r="I3" s="1090"/>
      <c r="J3" s="1090"/>
      <c r="K3" s="1090"/>
      <c r="L3" s="1090"/>
      <c r="M3" s="1090"/>
      <c r="N3" s="1090"/>
      <c r="O3" s="1090"/>
      <c r="P3" s="132"/>
    </row>
    <row r="4" spans="1:16" ht="15">
      <c r="A4" s="1094" t="str">
        <f>+'KPCo WS A  - RB Support '!A4:F4</f>
        <v>KENTUCKY POWER COMPANY</v>
      </c>
      <c r="B4" s="1094"/>
      <c r="C4" s="1094"/>
      <c r="D4" s="1094"/>
      <c r="E4" s="1094"/>
      <c r="F4" s="1094"/>
      <c r="G4" s="1094"/>
      <c r="H4" s="1094"/>
      <c r="I4" s="1094"/>
      <c r="J4" s="1094"/>
      <c r="K4" s="1094"/>
      <c r="L4" s="1094"/>
      <c r="M4" s="1094"/>
      <c r="N4" s="1094"/>
      <c r="O4" s="1094"/>
      <c r="P4" s="132"/>
    </row>
    <row r="5" ht="12.75">
      <c r="P5" s="132"/>
    </row>
    <row r="6" spans="1:16" ht="20.25">
      <c r="A6" s="421"/>
      <c r="B6" s="146"/>
      <c r="C6" s="146"/>
      <c r="N6" s="633" t="str">
        <f>"Page "&amp;P6&amp;" of "</f>
        <v>Page 1 of </v>
      </c>
      <c r="O6" s="634">
        <f>COUNT(P$6:P$59677)</f>
        <v>2</v>
      </c>
      <c r="P6" s="329">
        <v>1</v>
      </c>
    </row>
    <row r="7" spans="3:16" ht="18">
      <c r="C7" s="331"/>
      <c r="P7" s="132"/>
    </row>
    <row r="8" ht="12.75">
      <c r="P8" s="132"/>
    </row>
    <row r="9" spans="2:16" ht="18">
      <c r="B9" s="330" t="s">
        <v>779</v>
      </c>
      <c r="C9" s="1176" t="str">
        <f>"Calculate Return and Income Taxes with "&amp;F15&amp;" basis point ROE increase for Projects Qualified for Regional Billing."</f>
        <v>Calculate Return and Income Taxes with  basis point ROE increase for Projects Qualified for Regional Billing.</v>
      </c>
      <c r="D9" s="1143"/>
      <c r="E9" s="1143"/>
      <c r="F9" s="1143"/>
      <c r="G9" s="1143"/>
      <c r="H9" s="1143"/>
      <c r="P9" s="132"/>
    </row>
    <row r="10" spans="3:16" ht="18.75" customHeight="1">
      <c r="C10" s="1143"/>
      <c r="D10" s="1143"/>
      <c r="E10" s="1143"/>
      <c r="F10" s="1143"/>
      <c r="G10" s="1143"/>
      <c r="H10" s="1143"/>
      <c r="P10" s="132"/>
    </row>
    <row r="11" spans="3:16" ht="15.75" customHeight="1">
      <c r="C11" s="136"/>
      <c r="D11" s="136"/>
      <c r="E11" s="136"/>
      <c r="F11" s="136"/>
      <c r="G11" s="136"/>
      <c r="H11" s="136"/>
      <c r="P11" s="132"/>
    </row>
    <row r="12" spans="3:16" ht="15.75">
      <c r="C12" s="332" t="str">
        <f>"A.   Determine 'R' with hypothetical "&amp;F15&amp;" basis point increase in ROE for Identified Projects"</f>
        <v>A.   Determine 'R' with hypothetical  basis point increase in ROE for Identified Projects</v>
      </c>
      <c r="P12" s="132"/>
    </row>
    <row r="13" ht="12.75">
      <c r="P13" s="132"/>
    </row>
    <row r="14" spans="3:16" ht="12.75">
      <c r="C14" s="333" t="str">
        <f>"   ROE w/o incentives  (Projected TCOS, ln "&amp;'KPCo Projected TCOS'!B257&amp;")"</f>
        <v>   ROE w/o incentives  (Projected TCOS, ln 164)</v>
      </c>
      <c r="E14" s="334"/>
      <c r="F14" s="730">
        <f>+'KPCo Projected TCOS'!J257</f>
        <v>0.1149</v>
      </c>
      <c r="G14" s="334"/>
      <c r="H14" s="335"/>
      <c r="I14" s="335"/>
      <c r="J14" s="336"/>
      <c r="K14" s="335"/>
      <c r="L14" s="335"/>
      <c r="M14" s="335"/>
      <c r="N14" s="335"/>
      <c r="O14" s="335"/>
      <c r="P14" s="336"/>
    </row>
    <row r="15" spans="3:10" ht="12.75">
      <c r="C15" s="333" t="s">
        <v>35</v>
      </c>
      <c r="E15" s="334"/>
      <c r="F15" s="856"/>
      <c r="G15" s="700" t="s">
        <v>161</v>
      </c>
      <c r="H15" s="335"/>
      <c r="I15" s="335"/>
      <c r="J15" s="336"/>
    </row>
    <row r="16" spans="3:10" ht="12.75">
      <c r="C16" s="333" t="str">
        <f>"   ROE with additional "&amp;F15&amp;" basis point incentive"</f>
        <v>   ROE with additional  basis point incentive</v>
      </c>
      <c r="D16" s="334"/>
      <c r="E16" s="334"/>
      <c r="F16" s="557">
        <f>IF((F14+(F15/10000)&gt;0.1274),"ERROR",F14+(F15/10000))</f>
        <v>0.1149</v>
      </c>
      <c r="G16" s="808" t="str">
        <f>"&lt;== ROE Including Incentives  Cannot Exceed "&amp;12.74&amp;"% Until July 1, 2012"</f>
        <v>&lt;== ROE Including Incentives  Cannot Exceed 12.74% Until July 1, 2012</v>
      </c>
      <c r="H16" s="335"/>
      <c r="I16" s="335"/>
      <c r="J16" s="336"/>
    </row>
    <row r="17" spans="3:10" ht="12.75">
      <c r="C17" s="333" t="str">
        <f>"   Determine R  ( cost of long term debt, cost of preferred stock and equity percentage is from the Projected TCOS, lns "&amp;'KPCo Projected TCOS'!B255&amp;" through"&amp;'KPCo Projected TCOS'!B257&amp;")"</f>
        <v>   Determine R  ( cost of long term debt, cost of preferred stock and equity percentage is from the Projected TCOS, lns 162 through164)</v>
      </c>
      <c r="E17" s="334"/>
      <c r="F17" s="337"/>
      <c r="G17" s="334"/>
      <c r="H17" s="335"/>
      <c r="I17" s="335"/>
      <c r="J17" s="336"/>
    </row>
    <row r="18" spans="3:10" ht="12.75">
      <c r="C18" s="336"/>
      <c r="D18" s="340" t="s">
        <v>754</v>
      </c>
      <c r="E18" s="340" t="s">
        <v>753</v>
      </c>
      <c r="F18" s="341" t="s">
        <v>36</v>
      </c>
      <c r="G18" s="334"/>
      <c r="H18" s="335"/>
      <c r="I18" s="335"/>
      <c r="J18" s="336"/>
    </row>
    <row r="19" spans="3:15" ht="13.5" thickBot="1">
      <c r="C19" s="342" t="s">
        <v>40</v>
      </c>
      <c r="D19" s="846">
        <f>+'KPCo Projected TCOS'!H255</f>
        <v>0.5598621743107284</v>
      </c>
      <c r="E19" s="343">
        <f>+'KPCo Projected TCOS'!J255</f>
        <v>0.06461718727272728</v>
      </c>
      <c r="F19" s="569">
        <f>E19*D19</f>
        <v>0.036176718964352615</v>
      </c>
      <c r="G19" s="334"/>
      <c r="H19" s="335"/>
      <c r="I19" s="344"/>
      <c r="J19" s="345"/>
      <c r="K19" s="794"/>
      <c r="L19" s="794"/>
      <c r="M19" s="794"/>
      <c r="N19" s="794"/>
      <c r="O19" s="794"/>
    </row>
    <row r="20" spans="3:16" ht="12.75">
      <c r="C20" s="342" t="s">
        <v>41</v>
      </c>
      <c r="D20" s="846">
        <f>+'KPCo Projected TCOS'!H256</f>
        <v>0</v>
      </c>
      <c r="E20" s="343">
        <f>+'KPCo Projected TCOS'!J256</f>
        <v>0</v>
      </c>
      <c r="F20" s="569">
        <f>E20*D20</f>
        <v>0</v>
      </c>
      <c r="G20" s="346"/>
      <c r="H20" s="346"/>
      <c r="I20" s="347"/>
      <c r="J20" s="348"/>
      <c r="K20" s="1170" t="s">
        <v>299</v>
      </c>
      <c r="L20" s="1171"/>
      <c r="M20" s="1171"/>
      <c r="N20" s="1171"/>
      <c r="O20" s="1172"/>
      <c r="P20" s="348"/>
    </row>
    <row r="21" spans="3:16" ht="12.75">
      <c r="C21" s="349" t="s">
        <v>26</v>
      </c>
      <c r="D21" s="846">
        <f>+'KPCo Projected TCOS'!H257</f>
        <v>0.44013782568927157</v>
      </c>
      <c r="E21" s="343">
        <f>+F16</f>
        <v>0.1149</v>
      </c>
      <c r="F21" s="570">
        <f>E21*D21</f>
        <v>0.050571836171697304</v>
      </c>
      <c r="G21" s="346"/>
      <c r="H21" s="346"/>
      <c r="I21" s="347"/>
      <c r="J21" s="348"/>
      <c r="K21" s="1173"/>
      <c r="L21" s="1174"/>
      <c r="M21" s="1174"/>
      <c r="N21" s="1174"/>
      <c r="O21" s="1175"/>
      <c r="P21" s="348"/>
    </row>
    <row r="22" spans="3:16" ht="12.75">
      <c r="C22" s="333"/>
      <c r="D22"/>
      <c r="E22" s="350" t="s">
        <v>43</v>
      </c>
      <c r="F22" s="569">
        <f>SUM(F19:F21)</f>
        <v>0.08674855513604993</v>
      </c>
      <c r="G22" s="346"/>
      <c r="H22" s="346"/>
      <c r="I22" s="347"/>
      <c r="J22" s="348"/>
      <c r="K22" s="795"/>
      <c r="L22" s="796"/>
      <c r="M22" s="797" t="s">
        <v>37</v>
      </c>
      <c r="N22" s="797" t="s">
        <v>38</v>
      </c>
      <c r="O22" s="798" t="s">
        <v>39</v>
      </c>
      <c r="P22" s="348"/>
    </row>
    <row r="23" spans="3:16" ht="12.75">
      <c r="C23" s="100"/>
      <c r="D23" s="351"/>
      <c r="E23" s="351"/>
      <c r="F23" s="346"/>
      <c r="G23" s="346"/>
      <c r="H23" s="346"/>
      <c r="I23" s="346"/>
      <c r="J23" s="352"/>
      <c r="K23" s="799"/>
      <c r="L23" s="800"/>
      <c r="M23" s="800"/>
      <c r="N23" s="800"/>
      <c r="O23" s="801"/>
      <c r="P23" s="352"/>
    </row>
    <row r="24" spans="3:16" ht="16.5" thickBot="1">
      <c r="C24" s="332" t="str">
        <f>"B.   Determine Return using 'R' with hypothetical "&amp;F15&amp;" basis point ROE increase for Identified Projects."</f>
        <v>B.   Determine Return using 'R' with hypothetical  basis point ROE increase for Identified Projects.</v>
      </c>
      <c r="D24" s="351"/>
      <c r="E24" s="351"/>
      <c r="F24" s="353"/>
      <c r="G24" s="346"/>
      <c r="H24" s="334"/>
      <c r="I24" s="346"/>
      <c r="J24" s="352"/>
      <c r="K24" s="802" t="s">
        <v>45</v>
      </c>
      <c r="L24" s="803">
        <f>+'KPCo Historic TCOS'!O2</f>
        <v>2010</v>
      </c>
      <c r="M24" s="804">
        <f>+N87</f>
        <v>0</v>
      </c>
      <c r="N24" s="804">
        <f>+N88</f>
        <v>0</v>
      </c>
      <c r="O24" s="805">
        <f>+N24-M24</f>
        <v>0</v>
      </c>
      <c r="P24" s="352"/>
    </row>
    <row r="25" spans="3:16" ht="12.75">
      <c r="C25" s="336"/>
      <c r="D25" s="351"/>
      <c r="E25" s="351"/>
      <c r="F25" s="352"/>
      <c r="G25" s="352"/>
      <c r="H25" s="352"/>
      <c r="I25" s="352"/>
      <c r="J25" s="352"/>
      <c r="K25" s="806"/>
      <c r="L25" s="806"/>
      <c r="M25" s="806"/>
      <c r="N25" s="806"/>
      <c r="O25" s="806"/>
      <c r="P25" s="352"/>
    </row>
    <row r="26" spans="3:16" ht="12.75">
      <c r="C26" s="333" t="str">
        <f>"   Rate Base  (Projected TCOS, ln "&amp;'KPCo Projected TCOS'!B128&amp;")"</f>
        <v>   Rate Base  (Projected TCOS, ln 78)</v>
      </c>
      <c r="D26" s="334"/>
      <c r="F26" s="355">
        <f>+'KPCo Projected TCOS'!L128</f>
        <v>266897847.6482861</v>
      </c>
      <c r="G26" s="352"/>
      <c r="H26" s="352"/>
      <c r="I26" s="352"/>
      <c r="J26" s="352"/>
      <c r="K26" s="806"/>
      <c r="L26" s="806"/>
      <c r="M26" s="806"/>
      <c r="N26" s="806"/>
      <c r="O26" s="807"/>
      <c r="P26" s="352"/>
    </row>
    <row r="27" spans="3:16" ht="12.75">
      <c r="C27" s="336" t="s">
        <v>566</v>
      </c>
      <c r="D27" s="357"/>
      <c r="F27" s="569">
        <f>F22</f>
        <v>0.08674855513604993</v>
      </c>
      <c r="G27" s="352"/>
      <c r="H27" s="352"/>
      <c r="I27" s="352"/>
      <c r="J27" s="352"/>
      <c r="K27" s="352"/>
      <c r="L27" s="352"/>
      <c r="M27" s="352"/>
      <c r="N27" s="352"/>
      <c r="O27" s="352"/>
      <c r="P27" s="352"/>
    </row>
    <row r="28" spans="3:16" ht="12.75">
      <c r="C28" s="358" t="s">
        <v>46</v>
      </c>
      <c r="D28" s="358"/>
      <c r="F28" s="347">
        <f>F26*F27</f>
        <v>23153002.6524104</v>
      </c>
      <c r="G28" s="352"/>
      <c r="H28" s="352"/>
      <c r="I28" s="348"/>
      <c r="J28" s="348"/>
      <c r="K28" s="348"/>
      <c r="L28" s="348"/>
      <c r="M28" s="348"/>
      <c r="N28" s="348"/>
      <c r="O28" s="352"/>
      <c r="P28" s="348"/>
    </row>
    <row r="29" spans="3:16" ht="12.75">
      <c r="C29" s="359"/>
      <c r="D29" s="335"/>
      <c r="E29" s="335"/>
      <c r="F29" s="352"/>
      <c r="G29" s="352"/>
      <c r="H29" s="352"/>
      <c r="I29" s="348"/>
      <c r="J29" s="348"/>
      <c r="K29" s="348"/>
      <c r="L29" s="348"/>
      <c r="M29" s="348"/>
      <c r="N29" s="348"/>
      <c r="O29" s="352"/>
      <c r="P29" s="348"/>
    </row>
    <row r="30" spans="3:16" ht="15.75">
      <c r="C30" s="332" t="str">
        <f>"C.   Determine Income Taxes using Return with hypothetical "&amp;F15&amp;" basis point ROE increase for Identified Projects."</f>
        <v>C.   Determine Income Taxes using Return with hypothetical  basis point ROE increase for Identified Projects.</v>
      </c>
      <c r="D30" s="360"/>
      <c r="E30" s="360"/>
      <c r="F30" s="361"/>
      <c r="G30" s="361"/>
      <c r="H30" s="361"/>
      <c r="I30" s="362"/>
      <c r="J30" s="362"/>
      <c r="K30" s="362"/>
      <c r="L30" s="362"/>
      <c r="M30" s="362"/>
      <c r="N30" s="362"/>
      <c r="O30" s="361"/>
      <c r="P30" s="362"/>
    </row>
    <row r="31" spans="3:16" ht="12.75">
      <c r="C31" s="333"/>
      <c r="D31" s="335"/>
      <c r="E31" s="335"/>
      <c r="F31" s="352"/>
      <c r="G31" s="352"/>
      <c r="H31" s="352"/>
      <c r="I31" s="348"/>
      <c r="J31" s="348"/>
      <c r="K31" s="348"/>
      <c r="L31" s="348"/>
      <c r="M31" s="348"/>
      <c r="N31" s="348"/>
      <c r="O31" s="352"/>
      <c r="P31" s="348"/>
    </row>
    <row r="32" spans="3:16" ht="12.75">
      <c r="C32" s="336" t="s">
        <v>47</v>
      </c>
      <c r="D32" s="350"/>
      <c r="F32" s="363">
        <f>F28</f>
        <v>23153002.6524104</v>
      </c>
      <c r="G32" s="352"/>
      <c r="H32" s="352"/>
      <c r="I32" s="352"/>
      <c r="J32" s="352"/>
      <c r="K32" s="352"/>
      <c r="L32" s="352"/>
      <c r="M32" s="352"/>
      <c r="N32" s="352"/>
      <c r="O32" s="352"/>
      <c r="P32" s="352"/>
    </row>
    <row r="33" spans="3:16" ht="12.75">
      <c r="C33" s="333" t="str">
        <f>"   Effective Tax Rate  (Projected TCOS, ln "&amp;'KPCo Projected TCOS'!B195&amp;")"</f>
        <v>   Effective Tax Rate  (Projected TCOS, ln 126)</v>
      </c>
      <c r="D33" s="364"/>
      <c r="F33" s="383">
        <f>+'KPCo Projected TCOS'!G195</f>
        <v>0.36041606606507814</v>
      </c>
      <c r="G33" s="100"/>
      <c r="H33" s="365"/>
      <c r="I33" s="100"/>
      <c r="J33" s="354"/>
      <c r="K33" s="100"/>
      <c r="L33" s="100"/>
      <c r="M33" s="100"/>
      <c r="N33" s="100"/>
      <c r="O33" s="100"/>
      <c r="P33" s="354"/>
    </row>
    <row r="34" spans="3:16" ht="12.75">
      <c r="C34" s="359" t="s">
        <v>48</v>
      </c>
      <c r="D34" s="364"/>
      <c r="F34" s="366">
        <f>F32*F33</f>
        <v>8344714.133576076</v>
      </c>
      <c r="G34" s="100"/>
      <c r="H34" s="365"/>
      <c r="I34" s="100"/>
      <c r="J34" s="354"/>
      <c r="K34" s="100"/>
      <c r="L34" s="100"/>
      <c r="M34" s="100"/>
      <c r="N34" s="100"/>
      <c r="O34" s="100"/>
      <c r="P34" s="354"/>
    </row>
    <row r="35" spans="3:16" ht="15">
      <c r="C35" s="333" t="s">
        <v>89</v>
      </c>
      <c r="D35" s="69"/>
      <c r="F35" s="367">
        <f>+'KPCo Projected TCOS'!L202</f>
        <v>-373022.3852375463</v>
      </c>
      <c r="G35" s="69"/>
      <c r="H35" s="69"/>
      <c r="I35" s="69"/>
      <c r="J35" s="69"/>
      <c r="K35" s="69"/>
      <c r="L35" s="69"/>
      <c r="M35" s="69"/>
      <c r="N35" s="69"/>
      <c r="O35" s="39"/>
      <c r="P35" s="69"/>
    </row>
    <row r="36" spans="3:16" ht="15">
      <c r="C36" s="359" t="s">
        <v>49</v>
      </c>
      <c r="D36" s="69"/>
      <c r="F36" s="367">
        <f>F34+F35</f>
        <v>7971691.748338529</v>
      </c>
      <c r="G36" s="69"/>
      <c r="H36" s="69"/>
      <c r="I36" s="69"/>
      <c r="J36" s="69"/>
      <c r="K36" s="69"/>
      <c r="L36" s="69"/>
      <c r="M36" s="69"/>
      <c r="N36" s="69"/>
      <c r="O36" s="127"/>
      <c r="P36" s="69"/>
    </row>
    <row r="37" spans="3:16" ht="12.75" customHeight="1">
      <c r="C37" s="58"/>
      <c r="D37" s="69"/>
      <c r="E37" s="69"/>
      <c r="F37" s="69"/>
      <c r="G37" s="69"/>
      <c r="H37" s="69"/>
      <c r="I37" s="69"/>
      <c r="J37" s="69"/>
      <c r="K37" s="69"/>
      <c r="L37" s="69"/>
      <c r="M37" s="69"/>
      <c r="N37" s="69"/>
      <c r="O37" s="127"/>
      <c r="P37" s="69"/>
    </row>
    <row r="38" spans="2:16" ht="18.75">
      <c r="B38" s="330" t="s">
        <v>780</v>
      </c>
      <c r="C38" s="331" t="str">
        <f>"Calculate Net Plant Carrying Charge Rate (Fixed Charge Rate or FCR) with hypothetical "&amp;F15&amp;""</f>
        <v>Calculate Net Plant Carrying Charge Rate (Fixed Charge Rate or FCR) with hypothetical </v>
      </c>
      <c r="D38" s="69"/>
      <c r="E38" s="69"/>
      <c r="F38" s="69"/>
      <c r="G38" s="69"/>
      <c r="H38" s="69"/>
      <c r="I38" s="69"/>
      <c r="J38" s="69"/>
      <c r="K38" s="69"/>
      <c r="L38" s="69"/>
      <c r="M38" s="69"/>
      <c r="N38" s="69"/>
      <c r="O38" s="127"/>
      <c r="P38" s="69"/>
    </row>
    <row r="39" spans="3:16" ht="18.75" customHeight="1">
      <c r="C39" s="331" t="str">
        <f>"basis point ROE increase."</f>
        <v>basis point ROE increase.</v>
      </c>
      <c r="D39" s="69"/>
      <c r="E39" s="69"/>
      <c r="F39" s="69"/>
      <c r="G39" s="69"/>
      <c r="H39" s="69"/>
      <c r="I39" s="69"/>
      <c r="J39" s="69"/>
      <c r="K39" s="69"/>
      <c r="L39" s="69"/>
      <c r="M39" s="69"/>
      <c r="N39" s="69"/>
      <c r="O39" s="127"/>
      <c r="P39" s="69"/>
    </row>
    <row r="40" spans="3:16" ht="12.75" customHeight="1">
      <c r="C40" s="331"/>
      <c r="D40" s="69"/>
      <c r="E40" s="69"/>
      <c r="F40" s="69"/>
      <c r="G40" s="69"/>
      <c r="H40" s="69"/>
      <c r="I40" s="69"/>
      <c r="J40" s="69"/>
      <c r="K40" s="69"/>
      <c r="L40" s="69"/>
      <c r="M40" s="69"/>
      <c r="N40" s="69"/>
      <c r="O40" s="127"/>
      <c r="P40" s="69"/>
    </row>
    <row r="41" spans="3:16" ht="15.75">
      <c r="C41" s="332" t="s">
        <v>316</v>
      </c>
      <c r="D41" s="69"/>
      <c r="E41" s="69"/>
      <c r="F41" s="68"/>
      <c r="G41" s="69"/>
      <c r="H41" s="69"/>
      <c r="I41" s="69"/>
      <c r="J41" s="69"/>
      <c r="K41" s="69"/>
      <c r="L41" s="69"/>
      <c r="M41" s="69"/>
      <c r="N41" s="69"/>
      <c r="O41" s="127"/>
      <c r="P41" s="69"/>
    </row>
    <row r="42" spans="2:16" ht="12.75">
      <c r="B42" s="100"/>
      <c r="C42" s="368"/>
      <c r="D42" s="369"/>
      <c r="E42" s="369"/>
      <c r="F42" s="369"/>
      <c r="G42" s="369"/>
      <c r="H42" s="369"/>
      <c r="I42" s="369"/>
      <c r="J42" s="369"/>
      <c r="K42" s="369"/>
      <c r="L42" s="369"/>
      <c r="M42" s="369"/>
      <c r="N42" s="369"/>
      <c r="O42" s="367"/>
      <c r="P42" s="369"/>
    </row>
    <row r="43" spans="2:16" ht="12.75" customHeight="1">
      <c r="B43" s="100"/>
      <c r="C43" s="333" t="str">
        <f>"   Annual Revenue Requirement  (Projected TCOS, ln "&amp;'KPCo Projected TCOS'!B11&amp;")"</f>
        <v>   Annual Revenue Requirement  (Projected TCOS, ln 1)</v>
      </c>
      <c r="D43" s="369"/>
      <c r="E43" s="369"/>
      <c r="G43" s="367">
        <f>+'KPCo Projected TCOS'!L11</f>
        <v>41178105.36408009</v>
      </c>
      <c r="H43" s="369"/>
      <c r="I43" s="369"/>
      <c r="J43" s="369"/>
      <c r="K43" s="369"/>
      <c r="L43" s="369"/>
      <c r="M43" s="369"/>
      <c r="N43" s="369"/>
      <c r="O43" s="367"/>
      <c r="P43" s="369"/>
    </row>
    <row r="44" spans="2:16" ht="12.75" customHeight="1">
      <c r="B44" s="100"/>
      <c r="C44" s="333" t="str">
        <f>"   T.E.A. &amp; Lease Payments (Projected TCOS, Lns "&amp;'KPCo Projected TCOS'!B171&amp;" &amp; "&amp;'KPCo Projected TCOS'!B172&amp;")"</f>
        <v>   T.E.A. &amp; Lease Payments (Projected TCOS, Lns 105 &amp; 106)</v>
      </c>
      <c r="D44" s="369"/>
      <c r="E44" s="369"/>
      <c r="G44" s="367">
        <f>+'KPCo Projected TCOS'!L171+'KPCo Projected TCOS'!L172</f>
        <v>-8835297</v>
      </c>
      <c r="H44" s="369"/>
      <c r="I44" s="369"/>
      <c r="J44" s="369"/>
      <c r="K44" s="369"/>
      <c r="L44" s="369"/>
      <c r="M44" s="369"/>
      <c r="N44" s="369"/>
      <c r="O44" s="367"/>
      <c r="P44" s="369"/>
    </row>
    <row r="45" spans="2:16" ht="12.75">
      <c r="B45" s="100"/>
      <c r="C45" s="333" t="str">
        <f>"   Return  (Projected TCOS, ln "&amp;'KPCo Projected TCOS'!B205&amp;")"</f>
        <v>   Return  (Projected TCOS, ln 134)</v>
      </c>
      <c r="D45" s="369"/>
      <c r="E45" s="369"/>
      <c r="G45" s="370">
        <f>+'KPCo Projected TCOS'!L205</f>
        <v>23153002.6524104</v>
      </c>
      <c r="H45" s="371"/>
      <c r="I45" s="371"/>
      <c r="J45" s="371"/>
      <c r="K45" s="371"/>
      <c r="L45" s="371"/>
      <c r="M45" s="371"/>
      <c r="N45" s="371"/>
      <c r="O45" s="367"/>
      <c r="P45" s="371"/>
    </row>
    <row r="46" spans="2:16" ht="12.75">
      <c r="B46" s="100"/>
      <c r="C46" s="333" t="str">
        <f>"   Income Taxes  (Projected TCOS, ln "&amp;'KPCo Projected TCOS'!B203&amp;")"</f>
        <v>   Income Taxes  (Projected TCOS, ln 133)</v>
      </c>
      <c r="D46" s="369"/>
      <c r="E46" s="369"/>
      <c r="G46" s="372">
        <f>+'KPCo Projected TCOS'!L203</f>
        <v>7971691.748338529</v>
      </c>
      <c r="H46" s="369"/>
      <c r="I46" s="373"/>
      <c r="J46" s="373"/>
      <c r="K46" s="373"/>
      <c r="L46" s="373"/>
      <c r="M46" s="373"/>
      <c r="N46" s="373"/>
      <c r="O46" s="369"/>
      <c r="P46" s="373"/>
    </row>
    <row r="47" spans="2:16" ht="12.75">
      <c r="B47" s="100"/>
      <c r="C47" s="102" t="s">
        <v>315</v>
      </c>
      <c r="D47" s="369"/>
      <c r="E47" s="369"/>
      <c r="G47" s="370">
        <f>G43-G45-G46-G44</f>
        <v>18888707.96333116</v>
      </c>
      <c r="H47" s="369"/>
      <c r="I47" s="374"/>
      <c r="J47" s="374"/>
      <c r="K47" s="374"/>
      <c r="L47" s="374"/>
      <c r="M47" s="374"/>
      <c r="N47" s="374"/>
      <c r="O47" s="374"/>
      <c r="P47" s="374"/>
    </row>
    <row r="48" spans="2:16" ht="12.75">
      <c r="B48" s="100"/>
      <c r="C48" s="368"/>
      <c r="D48" s="369"/>
      <c r="E48" s="369"/>
      <c r="F48" s="367"/>
      <c r="G48" s="375"/>
      <c r="H48" s="376"/>
      <c r="I48" s="376"/>
      <c r="J48" s="376"/>
      <c r="K48" s="376"/>
      <c r="L48" s="376"/>
      <c r="M48" s="376"/>
      <c r="N48" s="376"/>
      <c r="O48" s="376"/>
      <c r="P48" s="376"/>
    </row>
    <row r="49" spans="2:16" ht="15.75">
      <c r="B49" s="100"/>
      <c r="C49" s="332" t="str">
        <f>"B.   Determine Annual Revenue Requirement with hypothetical "&amp;F15&amp;" basis point increase in ROE."</f>
        <v>B.   Determine Annual Revenue Requirement with hypothetical  basis point increase in ROE.</v>
      </c>
      <c r="D49" s="377"/>
      <c r="E49" s="377"/>
      <c r="F49" s="367"/>
      <c r="G49" s="375"/>
      <c r="H49" s="376"/>
      <c r="I49" s="376"/>
      <c r="J49" s="376"/>
      <c r="K49" s="376"/>
      <c r="L49" s="376"/>
      <c r="M49" s="376"/>
      <c r="N49" s="376"/>
      <c r="O49" s="376"/>
      <c r="P49" s="376"/>
    </row>
    <row r="50" spans="2:16" ht="12.75">
      <c r="B50" s="100"/>
      <c r="C50" s="368"/>
      <c r="D50" s="377"/>
      <c r="E50" s="377"/>
      <c r="F50" s="367"/>
      <c r="G50" s="375"/>
      <c r="H50" s="376"/>
      <c r="I50" s="376"/>
      <c r="J50" s="376"/>
      <c r="K50" s="376"/>
      <c r="L50" s="376"/>
      <c r="M50" s="376"/>
      <c r="N50" s="376"/>
      <c r="O50" s="376"/>
      <c r="P50" s="376"/>
    </row>
    <row r="51" spans="2:16" ht="12.75">
      <c r="B51" s="100"/>
      <c r="C51" s="368" t="str">
        <f>C47</f>
        <v>   Annual Revenue Requirement, Less TEA Charges, Return and Taxes</v>
      </c>
      <c r="D51" s="377"/>
      <c r="E51" s="377"/>
      <c r="G51" s="367">
        <f>G47</f>
        <v>18888707.96333116</v>
      </c>
      <c r="H51" s="369"/>
      <c r="I51" s="369"/>
      <c r="J51" s="369"/>
      <c r="K51" s="369"/>
      <c r="L51" s="369"/>
      <c r="M51" s="369"/>
      <c r="N51" s="369"/>
      <c r="O51" s="378"/>
      <c r="P51" s="369"/>
    </row>
    <row r="52" spans="2:16" ht="12.75">
      <c r="B52" s="100"/>
      <c r="C52" s="336" t="s">
        <v>84</v>
      </c>
      <c r="D52" s="379"/>
      <c r="E52" s="102"/>
      <c r="G52" s="380">
        <f>F28</f>
        <v>23153002.6524104</v>
      </c>
      <c r="H52" s="381"/>
      <c r="I52" s="102"/>
      <c r="J52" s="102"/>
      <c r="K52" s="102"/>
      <c r="L52" s="102"/>
      <c r="M52" s="102"/>
      <c r="N52" s="102"/>
      <c r="O52" s="102"/>
      <c r="P52" s="102"/>
    </row>
    <row r="53" spans="2:16" ht="12.75" customHeight="1">
      <c r="B53" s="100"/>
      <c r="C53" s="333" t="s">
        <v>50</v>
      </c>
      <c r="D53" s="369"/>
      <c r="E53" s="369"/>
      <c r="G53" s="372">
        <f>F36</f>
        <v>7971691.748338529</v>
      </c>
      <c r="H53" s="365"/>
      <c r="I53" s="100"/>
      <c r="J53" s="354"/>
      <c r="K53" s="100"/>
      <c r="L53" s="100"/>
      <c r="M53" s="100"/>
      <c r="N53" s="100"/>
      <c r="O53" s="100"/>
      <c r="P53" s="354"/>
    </row>
    <row r="54" spans="2:16" ht="12.75">
      <c r="B54" s="100"/>
      <c r="C54" s="102" t="str">
        <f>"   Annual Revenue Requirement, with "&amp;F15&amp;" Basis Point ROE increase"</f>
        <v>   Annual Revenue Requirement, with  Basis Point ROE increase</v>
      </c>
      <c r="D54" s="364"/>
      <c r="E54" s="100"/>
      <c r="G54" s="366">
        <f>SUM(G51:G53)</f>
        <v>50013402.36408009</v>
      </c>
      <c r="H54" s="365"/>
      <c r="I54" s="100"/>
      <c r="J54" s="354"/>
      <c r="K54" s="100"/>
      <c r="L54" s="100"/>
      <c r="M54" s="100"/>
      <c r="N54" s="100"/>
      <c r="O54" s="100"/>
      <c r="P54" s="354"/>
    </row>
    <row r="55" spans="2:16" ht="12.75">
      <c r="B55" s="100"/>
      <c r="C55" s="333" t="str">
        <f>"   Depreciation  (Projected TCOS, ln "&amp;'KPCo Projected TCOS'!B178&amp;")"</f>
        <v>   Depreciation  (Projected TCOS, ln 111)</v>
      </c>
      <c r="D55" s="364"/>
      <c r="E55" s="100"/>
      <c r="G55" s="382">
        <f>+'KPCo Projected TCOS'!L178</f>
        <v>7390213.258175233</v>
      </c>
      <c r="H55" s="365"/>
      <c r="I55" s="100"/>
      <c r="J55" s="354"/>
      <c r="K55" s="100"/>
      <c r="L55" s="100"/>
      <c r="M55" s="100"/>
      <c r="N55" s="100"/>
      <c r="O55" s="100"/>
      <c r="P55" s="354"/>
    </row>
    <row r="56" spans="2:16" ht="12.75">
      <c r="B56" s="100"/>
      <c r="C56" s="102" t="str">
        <f>"   Annual Rev. Req, w/"&amp;F15&amp;" Basis Point ROE increase, less Depreciation"</f>
        <v>   Annual Rev. Req, w/ Basis Point ROE increase, less Depreciation</v>
      </c>
      <c r="D56" s="364"/>
      <c r="E56" s="100"/>
      <c r="G56" s="366">
        <f>G54-G55</f>
        <v>42623189.105904855</v>
      </c>
      <c r="H56" s="365"/>
      <c r="I56" s="100"/>
      <c r="J56" s="354"/>
      <c r="K56" s="100"/>
      <c r="L56" s="100"/>
      <c r="M56" s="100"/>
      <c r="N56" s="100"/>
      <c r="O56" s="100"/>
      <c r="P56" s="354"/>
    </row>
    <row r="57" spans="2:16" ht="12.75">
      <c r="B57" s="100"/>
      <c r="C57" s="100"/>
      <c r="D57" s="364"/>
      <c r="E57" s="100"/>
      <c r="F57" s="100"/>
      <c r="G57" s="100"/>
      <c r="H57" s="365"/>
      <c r="I57" s="100"/>
      <c r="J57" s="354"/>
      <c r="K57" s="100"/>
      <c r="L57" s="100"/>
      <c r="M57" s="100"/>
      <c r="N57" s="100"/>
      <c r="O57" s="100"/>
      <c r="P57" s="354"/>
    </row>
    <row r="58" spans="2:16" ht="15.75">
      <c r="B58" s="100"/>
      <c r="C58" s="332" t="str">
        <f>"C.   Determine FCR with hypothetical "&amp;F15&amp;" basis point ROE increase."</f>
        <v>C.   Determine FCR with hypothetical  basis point ROE increase.</v>
      </c>
      <c r="D58" s="364"/>
      <c r="E58" s="100"/>
      <c r="F58" s="100"/>
      <c r="G58" s="100"/>
      <c r="H58" s="365"/>
      <c r="I58" s="100"/>
      <c r="J58" s="354"/>
      <c r="K58" s="100"/>
      <c r="L58" s="100"/>
      <c r="M58" s="100"/>
      <c r="N58" s="100"/>
      <c r="O58" s="100"/>
      <c r="P58" s="354"/>
    </row>
    <row r="59" spans="2:16" ht="12.75">
      <c r="B59" s="100"/>
      <c r="C59" s="100"/>
      <c r="D59" s="364"/>
      <c r="E59" s="100"/>
      <c r="F59" s="100"/>
      <c r="G59" s="100"/>
      <c r="H59" s="365"/>
      <c r="I59" s="100"/>
      <c r="J59" s="354"/>
      <c r="K59" s="100"/>
      <c r="L59" s="100"/>
      <c r="M59" s="100"/>
      <c r="N59" s="100"/>
      <c r="O59" s="100"/>
      <c r="P59" s="354"/>
    </row>
    <row r="60" spans="2:16" ht="12.75">
      <c r="B60" s="100"/>
      <c r="C60" s="333" t="str">
        <f>"   Net Transmission Plant  (Projected TCOS, ln "&amp;'KPCo Projected TCOS'!B91&amp;")"</f>
        <v>   Net Transmission Plant  (Projected TCOS, ln 48)</v>
      </c>
      <c r="D60" s="364"/>
      <c r="E60" s="100"/>
      <c r="G60" s="366">
        <f>+'KPCo Projected TCOS'!L91</f>
        <v>295941682</v>
      </c>
      <c r="H60" s="676"/>
      <c r="I60" s="100"/>
      <c r="J60" s="354"/>
      <c r="K60" s="100"/>
      <c r="L60" s="100"/>
      <c r="M60" s="100"/>
      <c r="N60" s="100"/>
      <c r="O60" s="100"/>
      <c r="P60" s="354"/>
    </row>
    <row r="61" spans="2:16" ht="12.75">
      <c r="B61" s="100"/>
      <c r="C61" s="102" t="str">
        <f>"   Annual Revenue Requirement, with "&amp;F15&amp;" Basis Point ROE increase"</f>
        <v>   Annual Revenue Requirement, with  Basis Point ROE increase</v>
      </c>
      <c r="D61" s="364"/>
      <c r="E61" s="100"/>
      <c r="G61" s="366">
        <f>G54</f>
        <v>50013402.36408009</v>
      </c>
      <c r="H61" s="365"/>
      <c r="I61" s="100"/>
      <c r="J61" s="354"/>
      <c r="K61" s="100"/>
      <c r="L61" s="100"/>
      <c r="M61" s="100"/>
      <c r="N61" s="100"/>
      <c r="O61" s="100"/>
      <c r="P61" s="354"/>
    </row>
    <row r="62" spans="2:16" ht="12.75">
      <c r="B62" s="100"/>
      <c r="C62" s="102" t="str">
        <f>"   FCR with "&amp;F15&amp;" Basis Point increase in ROE"</f>
        <v>   FCR with  Basis Point increase in ROE</v>
      </c>
      <c r="D62" s="364"/>
      <c r="E62" s="100"/>
      <c r="G62" s="383">
        <f>G61/G60</f>
        <v>0.1689974931077133</v>
      </c>
      <c r="H62" s="365"/>
      <c r="I62" s="100"/>
      <c r="J62" s="354"/>
      <c r="K62" s="100"/>
      <c r="L62" s="100"/>
      <c r="M62" s="100"/>
      <c r="N62" s="100"/>
      <c r="O62" s="100"/>
      <c r="P62" s="354"/>
    </row>
    <row r="63" spans="2:16" ht="12.75">
      <c r="B63" s="100"/>
      <c r="C63" s="756"/>
      <c r="D63" s="364"/>
      <c r="E63" s="100"/>
      <c r="G63" s="99"/>
      <c r="H63" s="365"/>
      <c r="I63" s="100"/>
      <c r="J63" s="354"/>
      <c r="K63" s="100"/>
      <c r="L63" s="100"/>
      <c r="M63" s="100"/>
      <c r="N63" s="100"/>
      <c r="O63" s="100"/>
      <c r="P63" s="354"/>
    </row>
    <row r="64" spans="2:16" ht="12.75">
      <c r="B64" s="100"/>
      <c r="C64" s="102" t="str">
        <f>"   Annual Rev. Req, w / "&amp;F15&amp;" Basis Point ROE increase, less Dep."</f>
        <v>   Annual Rev. Req, w /  Basis Point ROE increase, less Dep.</v>
      </c>
      <c r="D64" s="364"/>
      <c r="E64" s="100"/>
      <c r="G64" s="366">
        <f>G56</f>
        <v>42623189.105904855</v>
      </c>
      <c r="H64" s="365"/>
      <c r="I64" s="100"/>
      <c r="J64" s="354"/>
      <c r="K64" s="100"/>
      <c r="L64" s="100"/>
      <c r="M64" s="100"/>
      <c r="N64" s="100"/>
      <c r="O64" s="100"/>
      <c r="P64" s="354"/>
    </row>
    <row r="65" spans="2:16" ht="12.75">
      <c r="B65" s="100"/>
      <c r="C65" s="102" t="str">
        <f>"   FCR with "&amp;F15&amp;" Basis Point ROE increase, less Depreciation"</f>
        <v>   FCR with  Basis Point ROE increase, less Depreciation</v>
      </c>
      <c r="D65" s="364"/>
      <c r="E65" s="100"/>
      <c r="G65" s="383">
        <f>G64/G60</f>
        <v>0.14402563646274355</v>
      </c>
      <c r="H65" s="365"/>
      <c r="I65" s="100"/>
      <c r="J65" s="354"/>
      <c r="K65" s="100"/>
      <c r="L65" s="100"/>
      <c r="M65" s="100"/>
      <c r="N65" s="100"/>
      <c r="O65" s="100"/>
      <c r="P65" s="354"/>
    </row>
    <row r="66" spans="2:16" ht="12.75">
      <c r="B66" s="100"/>
      <c r="C66" s="333" t="str">
        <f>"   FCR less Depreciation  (Projected TCOS, ln "&amp;'KPCo Projected TCOS'!B27&amp;")"</f>
        <v>   FCR less Depreciation  (Projected TCOS, ln 9)</v>
      </c>
      <c r="D66" s="364"/>
      <c r="E66" s="100"/>
      <c r="G66" s="384">
        <f>+'KPCo Projected TCOS'!L27</f>
        <v>0.13830291130459743</v>
      </c>
      <c r="H66" s="365"/>
      <c r="I66" s="100"/>
      <c r="J66" s="354"/>
      <c r="K66" s="100"/>
      <c r="L66" s="100"/>
      <c r="M66" s="100"/>
      <c r="N66" s="100"/>
      <c r="O66" s="100"/>
      <c r="P66" s="354"/>
    </row>
    <row r="67" spans="2:16" ht="12.75">
      <c r="B67" s="100"/>
      <c r="C67" s="102" t="str">
        <f>"   Incremental FCR with "&amp;F15&amp;" Basis Point ROE increase, less Depreciation"</f>
        <v>   Incremental FCR with  Basis Point ROE increase, less Depreciation</v>
      </c>
      <c r="D67" s="364"/>
      <c r="E67" s="100"/>
      <c r="G67" s="383">
        <f>G65-G66</f>
        <v>0.005722725158146119</v>
      </c>
      <c r="H67" s="365"/>
      <c r="I67" s="100"/>
      <c r="J67" s="354"/>
      <c r="K67" s="100"/>
      <c r="L67" s="100"/>
      <c r="M67" s="100"/>
      <c r="N67" s="100"/>
      <c r="O67" s="100"/>
      <c r="P67" s="354"/>
    </row>
    <row r="68" spans="2:16" ht="12.75">
      <c r="B68" s="100"/>
      <c r="C68" s="102"/>
      <c r="D68" s="364"/>
      <c r="E68" s="100"/>
      <c r="F68" s="383"/>
      <c r="G68" s="100"/>
      <c r="H68" s="365"/>
      <c r="I68" s="100"/>
      <c r="J68" s="354"/>
      <c r="K68" s="100"/>
      <c r="L68" s="100"/>
      <c r="M68" s="100"/>
      <c r="N68" s="100"/>
      <c r="O68" s="100"/>
      <c r="P68" s="354"/>
    </row>
    <row r="69" spans="2:16" ht="18.75">
      <c r="B69" s="330" t="s">
        <v>781</v>
      </c>
      <c r="C69" s="331" t="s">
        <v>51</v>
      </c>
      <c r="D69" s="364"/>
      <c r="E69" s="100"/>
      <c r="F69" s="383"/>
      <c r="G69" s="100"/>
      <c r="H69" s="365"/>
      <c r="I69" s="100"/>
      <c r="J69" s="354"/>
      <c r="K69" s="100"/>
      <c r="L69" s="100"/>
      <c r="M69" s="100"/>
      <c r="N69" s="100"/>
      <c r="O69" s="100"/>
      <c r="P69" s="354"/>
    </row>
    <row r="70" spans="2:16" ht="12.75">
      <c r="B70" s="100"/>
      <c r="C70" s="102"/>
      <c r="D70" s="364"/>
      <c r="E70" s="100"/>
      <c r="F70" s="383"/>
      <c r="G70" s="100"/>
      <c r="H70" s="365"/>
      <c r="I70" s="100"/>
      <c r="J70" s="354"/>
      <c r="K70" s="100"/>
      <c r="L70" s="100"/>
      <c r="M70" s="100"/>
      <c r="N70" s="100"/>
      <c r="O70" s="100"/>
      <c r="P70" s="354"/>
    </row>
    <row r="71" spans="2:16" ht="12.75">
      <c r="B71" s="100"/>
      <c r="C71" s="102" t="str">
        <f>"Transmission Plant @ Beginning of Historic Period ("&amp;'KPCo Historic TCOS'!O1&amp;") (P.206, ln 58,(b)):"</f>
        <v>Transmission Plant @ Beginning of Historic Period (2009) (P.206, ln 58,(b)):</v>
      </c>
      <c r="D71" s="364"/>
      <c r="G71" s="495">
        <f>+'KPCo WS A  - RB Support '!F18</f>
        <v>431804417</v>
      </c>
      <c r="I71" s="100"/>
      <c r="J71" s="354"/>
      <c r="K71" s="388"/>
      <c r="L71" s="100"/>
      <c r="M71" s="100"/>
      <c r="N71" s="100"/>
      <c r="O71" s="100"/>
      <c r="P71" s="354"/>
    </row>
    <row r="72" spans="2:16" ht="12.75">
      <c r="B72" s="100"/>
      <c r="C72" s="102" t="str">
        <f>"Transmission Plant @ End of Historic Period ("&amp;'KPCo Historic TCOS'!O1&amp;") (P.207, ln 58,(g)):"</f>
        <v>Transmission Plant @ End of Historic Period (2009) (P.207, ln 58,(g)):</v>
      </c>
      <c r="D72" s="364"/>
      <c r="G72" s="531">
        <f>+'KPCo WS A  - RB Support '!E18</f>
        <v>438744866</v>
      </c>
      <c r="I72" s="100"/>
      <c r="J72" s="354"/>
      <c r="L72" s="100"/>
      <c r="M72" s="100"/>
      <c r="N72" s="100"/>
      <c r="O72" s="100"/>
      <c r="P72" s="354"/>
    </row>
    <row r="73" spans="2:16" ht="12.75">
      <c r="B73" s="100"/>
      <c r="C73" s="102" t="s">
        <v>336</v>
      </c>
      <c r="D73" s="364"/>
      <c r="G73" s="365">
        <f>+G72+G71</f>
        <v>870549283</v>
      </c>
      <c r="I73" s="100"/>
      <c r="J73" s="354"/>
      <c r="L73" s="100"/>
      <c r="M73" s="100"/>
      <c r="N73" s="100"/>
      <c r="O73" s="100"/>
      <c r="P73" s="354"/>
    </row>
    <row r="74" spans="2:16" ht="12.75">
      <c r="B74" s="100"/>
      <c r="C74" s="102" t="str">
        <f>+"Average Transmission Plant Balance for "&amp;'KPCo Historic TCOS'!O1&amp;""</f>
        <v>Average Transmission Plant Balance for 2009</v>
      </c>
      <c r="D74" s="364"/>
      <c r="G74" s="365">
        <f>+G73/2</f>
        <v>435274641.5</v>
      </c>
      <c r="I74" s="100"/>
      <c r="J74" s="354"/>
      <c r="K74" s="388"/>
      <c r="L74" s="100"/>
      <c r="M74" s="100"/>
      <c r="N74" s="100"/>
      <c r="O74" s="100"/>
      <c r="P74" s="354"/>
    </row>
    <row r="75" spans="2:16" ht="12.75">
      <c r="B75" s="100"/>
      <c r="C75" s="102" t="str">
        <f>"Annual Depreciation Rate (Projected TCOS, ln "&amp;'KPCo Projected TCOS'!B178&amp;")"</f>
        <v>Annual Depreciation Rate (Projected TCOS, ln 111)</v>
      </c>
      <c r="D75" s="364"/>
      <c r="E75" s="100"/>
      <c r="G75" s="495">
        <f>+'KPCo Projected TCOS'!G178</f>
        <v>7420678</v>
      </c>
      <c r="H75" s="365"/>
      <c r="I75" s="100"/>
      <c r="J75" s="354"/>
      <c r="K75" s="100"/>
      <c r="L75" s="100"/>
      <c r="M75" s="100"/>
      <c r="N75" s="100"/>
      <c r="O75" s="100"/>
      <c r="P75" s="354"/>
    </row>
    <row r="76" spans="2:16" ht="12.75">
      <c r="B76" s="100"/>
      <c r="C76" s="102" t="s">
        <v>52</v>
      </c>
      <c r="D76" s="364"/>
      <c r="E76" s="100"/>
      <c r="G76" s="383">
        <f>+G75/G74</f>
        <v>0.017048266295568243</v>
      </c>
      <c r="H76" s="385"/>
      <c r="I76" s="100"/>
      <c r="J76" s="354"/>
      <c r="K76" s="100"/>
      <c r="L76" s="100"/>
      <c r="M76" s="100"/>
      <c r="N76" s="100"/>
      <c r="O76" s="100"/>
      <c r="P76" s="354"/>
    </row>
    <row r="77" spans="2:16" ht="12.75">
      <c r="B77" s="100"/>
      <c r="C77" s="102" t="s">
        <v>53</v>
      </c>
      <c r="D77" s="364"/>
      <c r="E77" s="100"/>
      <c r="G77" s="385">
        <f>1/G76</f>
        <v>58.6569908436938</v>
      </c>
      <c r="H77" s="365"/>
      <c r="I77" s="100"/>
      <c r="J77" s="354"/>
      <c r="K77" s="100"/>
      <c r="L77" s="100"/>
      <c r="M77" s="100"/>
      <c r="N77" s="100"/>
      <c r="O77" s="100"/>
      <c r="P77" s="354"/>
    </row>
    <row r="78" spans="2:16" ht="12.75">
      <c r="B78" s="100"/>
      <c r="C78" s="102" t="s">
        <v>54</v>
      </c>
      <c r="D78" s="364"/>
      <c r="E78" s="100"/>
      <c r="G78" s="386">
        <f>ROUND(G77,0)</f>
        <v>59</v>
      </c>
      <c r="H78" s="365"/>
      <c r="I78" s="100"/>
      <c r="J78" s="354"/>
      <c r="K78" s="100"/>
      <c r="L78" s="100"/>
      <c r="M78" s="100"/>
      <c r="N78" s="100"/>
      <c r="O78" s="100"/>
      <c r="P78" s="354"/>
    </row>
    <row r="79" spans="2:16" ht="12.75">
      <c r="B79" s="100"/>
      <c r="C79" s="102"/>
      <c r="D79" s="364"/>
      <c r="E79" s="100"/>
      <c r="G79" s="386"/>
      <c r="H79" s="365"/>
      <c r="I79" s="100"/>
      <c r="J79" s="354"/>
      <c r="K79" s="100"/>
      <c r="L79" s="100"/>
      <c r="M79" s="100"/>
      <c r="N79" s="100"/>
      <c r="O79" s="100"/>
      <c r="P79" s="354"/>
    </row>
    <row r="80" spans="3:16" ht="12.75">
      <c r="C80" s="424"/>
      <c r="D80" s="409"/>
      <c r="E80" s="409"/>
      <c r="F80" s="409"/>
      <c r="G80" s="388"/>
      <c r="H80" s="388"/>
      <c r="I80" s="420"/>
      <c r="J80" s="420"/>
      <c r="K80" s="420"/>
      <c r="L80" s="420"/>
      <c r="M80" s="420"/>
      <c r="N80" s="420"/>
      <c r="O80" s="100"/>
      <c r="P80" s="420"/>
    </row>
    <row r="81" spans="1:16" ht="20.25">
      <c r="A81" s="325" t="s">
        <v>828</v>
      </c>
      <c r="B81" s="100"/>
      <c r="C81" s="102"/>
      <c r="D81" s="364"/>
      <c r="E81" s="100"/>
      <c r="F81" s="383"/>
      <c r="G81" s="100"/>
      <c r="H81" s="365"/>
      <c r="K81" s="131"/>
      <c r="L81" s="131"/>
      <c r="M81" s="131"/>
      <c r="N81" s="633" t="str">
        <f>"Page "&amp;SUM(P$6:P81)&amp;" of "</f>
        <v>Page 2 of </v>
      </c>
      <c r="O81" s="634">
        <f>COUNT(P$6:P$59677)</f>
        <v>2</v>
      </c>
      <c r="P81" s="387">
        <v>1</v>
      </c>
    </row>
    <row r="82" spans="2:16" ht="12.75">
      <c r="B82" s="100"/>
      <c r="C82" s="100"/>
      <c r="D82" s="364"/>
      <c r="E82" s="100"/>
      <c r="F82" s="100"/>
      <c r="G82" s="100"/>
      <c r="H82" s="365"/>
      <c r="I82" s="100"/>
      <c r="J82" s="354"/>
      <c r="K82" s="100"/>
      <c r="L82" s="100"/>
      <c r="M82" s="100"/>
      <c r="N82" s="100"/>
      <c r="O82" s="100"/>
      <c r="P82" s="354"/>
    </row>
    <row r="83" spans="2:16" ht="18">
      <c r="B83" s="330" t="s">
        <v>782</v>
      </c>
      <c r="C83" s="425" t="s">
        <v>75</v>
      </c>
      <c r="D83" s="364"/>
      <c r="E83" s="100"/>
      <c r="F83" s="100"/>
      <c r="G83" s="100"/>
      <c r="H83" s="365"/>
      <c r="I83" s="365"/>
      <c r="J83" s="388"/>
      <c r="K83" s="365"/>
      <c r="L83" s="365"/>
      <c r="M83" s="365"/>
      <c r="N83" s="365"/>
      <c r="O83" s="100"/>
      <c r="P83" s="388"/>
    </row>
    <row r="84" spans="2:16" ht="6" customHeight="1">
      <c r="B84" s="330"/>
      <c r="C84" s="331"/>
      <c r="D84" s="364"/>
      <c r="E84" s="100"/>
      <c r="F84" s="100"/>
      <c r="G84" s="100"/>
      <c r="H84" s="365"/>
      <c r="I84" s="365"/>
      <c r="J84" s="388"/>
      <c r="K84" s="365"/>
      <c r="L84" s="365"/>
      <c r="M84" s="365"/>
      <c r="N84" s="365"/>
      <c r="O84" s="100"/>
      <c r="P84" s="388"/>
    </row>
    <row r="85" spans="2:16" ht="18.75">
      <c r="B85" s="330"/>
      <c r="C85" s="331" t="s">
        <v>76</v>
      </c>
      <c r="D85" s="364"/>
      <c r="E85" s="100"/>
      <c r="F85" s="100"/>
      <c r="G85" s="100"/>
      <c r="H85" s="365"/>
      <c r="I85" s="365"/>
      <c r="J85" s="388"/>
      <c r="K85" s="365"/>
      <c r="L85" s="365"/>
      <c r="M85" s="365"/>
      <c r="N85" s="365"/>
      <c r="O85" s="100"/>
      <c r="P85" s="388"/>
    </row>
    <row r="86" spans="3:16" ht="6" customHeight="1" thickBot="1">
      <c r="C86" s="58"/>
      <c r="D86" s="364"/>
      <c r="E86" s="100"/>
      <c r="F86" s="100"/>
      <c r="G86" s="100"/>
      <c r="H86" s="365"/>
      <c r="I86" s="365"/>
      <c r="J86" s="388"/>
      <c r="K86" s="365"/>
      <c r="L86" s="365"/>
      <c r="M86" s="365"/>
      <c r="N86" s="365"/>
      <c r="O86" s="100"/>
      <c r="P86" s="388"/>
    </row>
    <row r="87" spans="3:16" ht="15.75">
      <c r="C87" s="332" t="s">
        <v>77</v>
      </c>
      <c r="D87" s="364"/>
      <c r="E87" s="100"/>
      <c r="F87" s="100"/>
      <c r="G87" s="851"/>
      <c r="H87" s="100" t="s">
        <v>55</v>
      </c>
      <c r="I87" s="100"/>
      <c r="J87" s="354"/>
      <c r="K87" s="769" t="s">
        <v>81</v>
      </c>
      <c r="L87" s="770"/>
      <c r="M87" s="771"/>
      <c r="N87" s="772">
        <f>VLOOKUP(I93,C100:O159,5)</f>
        <v>0</v>
      </c>
      <c r="O87" s="100"/>
      <c r="P87" s="354"/>
    </row>
    <row r="88" spans="3:16" ht="15.75">
      <c r="C88" s="332"/>
      <c r="D88" s="364"/>
      <c r="E88" s="100"/>
      <c r="F88" s="100"/>
      <c r="G88" s="100"/>
      <c r="H88" s="389"/>
      <c r="I88" s="389"/>
      <c r="J88" s="390"/>
      <c r="K88" s="773" t="s">
        <v>82</v>
      </c>
      <c r="L88" s="774"/>
      <c r="M88" s="354"/>
      <c r="N88" s="775">
        <f>VLOOKUP(I93,C100:O159,6)</f>
        <v>0</v>
      </c>
      <c r="O88" s="100"/>
      <c r="P88" s="390"/>
    </row>
    <row r="89" spans="3:16" ht="13.5" thickBot="1">
      <c r="C89" s="391" t="s">
        <v>78</v>
      </c>
      <c r="D89" s="858"/>
      <c r="E89" s="605"/>
      <c r="F89" s="605"/>
      <c r="G89" s="605"/>
      <c r="H89" s="365"/>
      <c r="I89" s="365"/>
      <c r="J89" s="388"/>
      <c r="K89" s="776" t="s">
        <v>298</v>
      </c>
      <c r="L89" s="777"/>
      <c r="M89" s="777"/>
      <c r="N89" s="418">
        <f>+N88-N87</f>
        <v>0</v>
      </c>
      <c r="O89" s="100"/>
      <c r="P89" s="388"/>
    </row>
    <row r="90" spans="3:16" ht="12.75">
      <c r="C90" s="391"/>
      <c r="D90" s="427"/>
      <c r="E90" s="386"/>
      <c r="F90" s="386"/>
      <c r="G90" s="394"/>
      <c r="H90" s="365"/>
      <c r="I90" s="365"/>
      <c r="J90" s="388"/>
      <c r="K90" s="365"/>
      <c r="L90" s="365"/>
      <c r="M90" s="365"/>
      <c r="N90" s="365"/>
      <c r="O90" s="100"/>
      <c r="P90" s="388"/>
    </row>
    <row r="91" spans="3:16" ht="6" customHeight="1" thickBot="1">
      <c r="C91" s="392"/>
      <c r="D91" s="393"/>
      <c r="E91" s="394"/>
      <c r="F91" s="394"/>
      <c r="G91" s="394"/>
      <c r="H91" s="394"/>
      <c r="I91" s="394"/>
      <c r="J91" s="395"/>
      <c r="K91" s="394"/>
      <c r="L91" s="394"/>
      <c r="M91" s="394"/>
      <c r="N91" s="394"/>
      <c r="O91" s="99"/>
      <c r="P91" s="395"/>
    </row>
    <row r="92" spans="3:16" ht="13.5" thickBot="1">
      <c r="C92" s="428" t="s">
        <v>79</v>
      </c>
      <c r="D92" s="429"/>
      <c r="E92" s="429"/>
      <c r="F92" s="429"/>
      <c r="G92" s="429"/>
      <c r="H92" s="429"/>
      <c r="I92" s="739"/>
      <c r="J92" s="430"/>
      <c r="K92" s="100"/>
      <c r="L92" s="100"/>
      <c r="M92" s="100"/>
      <c r="N92" s="100"/>
      <c r="O92" s="778"/>
      <c r="P92" s="430"/>
    </row>
    <row r="93" spans="3:16" ht="15">
      <c r="C93" s="397" t="s">
        <v>56</v>
      </c>
      <c r="D93" s="853"/>
      <c r="E93" s="102" t="s">
        <v>57</v>
      </c>
      <c r="G93" s="396"/>
      <c r="H93" s="396"/>
      <c r="I93" s="850">
        <v>2008</v>
      </c>
      <c r="J93" s="101"/>
      <c r="K93" s="1169" t="s">
        <v>308</v>
      </c>
      <c r="L93" s="1169"/>
      <c r="M93" s="1169"/>
      <c r="N93" s="1169"/>
      <c r="O93" s="1169"/>
      <c r="P93" s="101"/>
    </row>
    <row r="94" spans="3:16" ht="12.75">
      <c r="C94" s="397" t="s">
        <v>59</v>
      </c>
      <c r="D94" s="854">
        <v>2008</v>
      </c>
      <c r="E94" s="397" t="s">
        <v>60</v>
      </c>
      <c r="F94" s="396"/>
      <c r="H94"/>
      <c r="I94" s="852">
        <f>IF(G87="",0,$F$15)</f>
        <v>0</v>
      </c>
      <c r="J94" s="281"/>
      <c r="K94" s="388" t="s">
        <v>308</v>
      </c>
      <c r="P94" s="281"/>
    </row>
    <row r="95" spans="3:16" ht="12.75">
      <c r="C95" s="397" t="s">
        <v>61</v>
      </c>
      <c r="D95" s="853">
        <v>1</v>
      </c>
      <c r="E95" s="397" t="s">
        <v>62</v>
      </c>
      <c r="F95" s="396"/>
      <c r="H95"/>
      <c r="I95" s="398">
        <f>$G$66</f>
        <v>0.13830291130459743</v>
      </c>
      <c r="J95" s="399"/>
      <c r="K95" t="str">
        <f>"          INPUT PROJECTED ARR (WITH &amp; WITHOUT INCENTIVES) FROM EACH PRIOR YEAR"</f>
        <v>          INPUT PROJECTED ARR (WITH &amp; WITHOUT INCENTIVES) FROM EACH PRIOR YEAR</v>
      </c>
      <c r="P95" s="399"/>
    </row>
    <row r="96" spans="3:16" ht="12.75">
      <c r="C96" s="397" t="s">
        <v>63</v>
      </c>
      <c r="D96" s="872">
        <f>G$78</f>
        <v>59</v>
      </c>
      <c r="E96" s="397" t="s">
        <v>64</v>
      </c>
      <c r="F96" s="396"/>
      <c r="H96"/>
      <c r="I96" s="398">
        <f>IF(G87="",I95,$G$65)</f>
        <v>0.13830291130459743</v>
      </c>
      <c r="J96" s="400"/>
      <c r="K96" t="s">
        <v>163</v>
      </c>
      <c r="P96" s="400"/>
    </row>
    <row r="97" spans="3:16" ht="13.5" thickBot="1">
      <c r="C97" s="397" t="s">
        <v>65</v>
      </c>
      <c r="D97" s="855" t="s">
        <v>66</v>
      </c>
      <c r="E97" s="431" t="s">
        <v>67</v>
      </c>
      <c r="F97" s="432"/>
      <c r="G97" s="317"/>
      <c r="H97" s="317"/>
      <c r="I97" s="418">
        <f>IF(D93=0,0,D93/D96)</f>
        <v>0</v>
      </c>
      <c r="J97" s="388"/>
      <c r="K97" s="388" t="s">
        <v>185</v>
      </c>
      <c r="L97" s="388"/>
      <c r="M97" s="388"/>
      <c r="N97" s="388"/>
      <c r="O97" s="354"/>
      <c r="P97" s="388"/>
    </row>
    <row r="98" spans="1:16" ht="51">
      <c r="A98" s="136"/>
      <c r="B98" s="136"/>
      <c r="C98" s="433" t="s">
        <v>56</v>
      </c>
      <c r="D98" s="434" t="s">
        <v>68</v>
      </c>
      <c r="E98" s="402" t="s">
        <v>69</v>
      </c>
      <c r="F98" s="434" t="s">
        <v>70</v>
      </c>
      <c r="G98" s="402" t="s">
        <v>162</v>
      </c>
      <c r="H98" s="435" t="s">
        <v>162</v>
      </c>
      <c r="I98" s="433" t="s">
        <v>80</v>
      </c>
      <c r="J98" s="436"/>
      <c r="K98" s="402" t="s">
        <v>187</v>
      </c>
      <c r="L98" s="910"/>
      <c r="M98" s="402" t="s">
        <v>187</v>
      </c>
      <c r="N98" s="910"/>
      <c r="O98" s="910"/>
      <c r="P98" s="437"/>
    </row>
    <row r="99" spans="3:16" ht="13.5" thickBot="1">
      <c r="C99" s="403" t="s">
        <v>785</v>
      </c>
      <c r="D99" s="438" t="s">
        <v>786</v>
      </c>
      <c r="E99" s="403" t="s">
        <v>573</v>
      </c>
      <c r="F99" s="438" t="s">
        <v>786</v>
      </c>
      <c r="G99" s="407" t="s">
        <v>83</v>
      </c>
      <c r="H99" s="404" t="s">
        <v>86</v>
      </c>
      <c r="I99" s="405" t="s">
        <v>85</v>
      </c>
      <c r="J99" s="406"/>
      <c r="K99" s="407" t="s">
        <v>72</v>
      </c>
      <c r="L99" s="911"/>
      <c r="M99" s="407" t="s">
        <v>86</v>
      </c>
      <c r="N99" s="911"/>
      <c r="O99" s="911"/>
      <c r="P99" s="101"/>
    </row>
    <row r="100" spans="3:16" ht="12.75">
      <c r="C100" s="408">
        <f>IF(D94="","-",D94)</f>
        <v>2008</v>
      </c>
      <c r="D100" s="409">
        <f>+D93</f>
        <v>0</v>
      </c>
      <c r="E100" s="412">
        <f>+I97/12*(12-D95)</f>
        <v>0</v>
      </c>
      <c r="F100" s="409">
        <f aca="true" t="shared" si="0" ref="F100:F131">+D100-E100</f>
        <v>0</v>
      </c>
      <c r="G100" s="555">
        <f>+I95*F100+E100</f>
        <v>0</v>
      </c>
      <c r="H100" s="1074">
        <f>I96*F100+E100</f>
        <v>0</v>
      </c>
      <c r="I100" s="413">
        <f>+H100-G100</f>
        <v>0</v>
      </c>
      <c r="J100" s="413"/>
      <c r="K100" s="847"/>
      <c r="L100" s="907"/>
      <c r="M100" s="847"/>
      <c r="N100" s="907"/>
      <c r="O100" s="907"/>
      <c r="P100" s="420"/>
    </row>
    <row r="101" spans="3:16" ht="12.75">
      <c r="C101" s="408">
        <f>IF(D94="","-",+C100+1)</f>
        <v>2009</v>
      </c>
      <c r="D101" s="409">
        <f aca="true" t="shared" si="1" ref="D101:D132">F100</f>
        <v>0</v>
      </c>
      <c r="E101" s="411">
        <f>IF(D101&gt;$I$97,$I$97,D101)</f>
        <v>0</v>
      </c>
      <c r="F101" s="409">
        <f t="shared" si="0"/>
        <v>0</v>
      </c>
      <c r="G101" s="412">
        <f>+I95*F101+E101</f>
        <v>0</v>
      </c>
      <c r="H101" s="401">
        <f>I96*F101+E101</f>
        <v>0</v>
      </c>
      <c r="I101" s="413">
        <f aca="true" t="shared" si="2" ref="I101:I159">+H101-G101</f>
        <v>0</v>
      </c>
      <c r="J101" s="413"/>
      <c r="K101" s="848"/>
      <c r="L101" s="908"/>
      <c r="M101" s="848"/>
      <c r="N101" s="908"/>
      <c r="O101" s="908"/>
      <c r="P101" s="420"/>
    </row>
    <row r="102" spans="3:16" ht="12.75">
      <c r="C102" s="408">
        <f>IF(D94="","-",+C101+1)</f>
        <v>2010</v>
      </c>
      <c r="D102" s="409">
        <f t="shared" si="1"/>
        <v>0</v>
      </c>
      <c r="E102" s="411">
        <f aca="true" t="shared" si="3" ref="E102:E159">IF(D102&gt;$I$97,$I$97,D102)</f>
        <v>0</v>
      </c>
      <c r="F102" s="409">
        <f t="shared" si="0"/>
        <v>0</v>
      </c>
      <c r="G102" s="412">
        <f>+I95*F102+E102</f>
        <v>0</v>
      </c>
      <c r="H102" s="401">
        <f>I96*F102+E102</f>
        <v>0</v>
      </c>
      <c r="I102" s="413">
        <f t="shared" si="2"/>
        <v>0</v>
      </c>
      <c r="J102" s="413"/>
      <c r="K102" s="848"/>
      <c r="L102" s="908"/>
      <c r="M102" s="848"/>
      <c r="N102" s="908"/>
      <c r="O102" s="908"/>
      <c r="P102" s="420"/>
    </row>
    <row r="103" spans="3:16" ht="12.75">
      <c r="C103" s="408">
        <f>IF(D94="","-",+C102+1)</f>
        <v>2011</v>
      </c>
      <c r="D103" s="409">
        <f t="shared" si="1"/>
        <v>0</v>
      </c>
      <c r="E103" s="411">
        <f t="shared" si="3"/>
        <v>0</v>
      </c>
      <c r="F103" s="409">
        <f t="shared" si="0"/>
        <v>0</v>
      </c>
      <c r="G103" s="412">
        <f>+I95*F103+E103</f>
        <v>0</v>
      </c>
      <c r="H103" s="401">
        <f>I96*F103+E103</f>
        <v>0</v>
      </c>
      <c r="I103" s="413">
        <f t="shared" si="2"/>
        <v>0</v>
      </c>
      <c r="J103" s="413"/>
      <c r="K103" s="848"/>
      <c r="L103" s="908"/>
      <c r="M103" s="848"/>
      <c r="N103" s="908"/>
      <c r="O103" s="908"/>
      <c r="P103" s="420"/>
    </row>
    <row r="104" spans="3:16" ht="12.75">
      <c r="C104" s="408">
        <f>IF(D94="","-",+C103+1)</f>
        <v>2012</v>
      </c>
      <c r="D104" s="409">
        <f t="shared" si="1"/>
        <v>0</v>
      </c>
      <c r="E104" s="411">
        <f t="shared" si="3"/>
        <v>0</v>
      </c>
      <c r="F104" s="409">
        <f t="shared" si="0"/>
        <v>0</v>
      </c>
      <c r="G104" s="412">
        <f>+I95*F104+E104</f>
        <v>0</v>
      </c>
      <c r="H104" s="401">
        <f>I96*F104+E104</f>
        <v>0</v>
      </c>
      <c r="I104" s="413">
        <f t="shared" si="2"/>
        <v>0</v>
      </c>
      <c r="J104" s="413"/>
      <c r="K104" s="848"/>
      <c r="L104" s="908"/>
      <c r="M104" s="848"/>
      <c r="N104" s="908"/>
      <c r="O104" s="908"/>
      <c r="P104" s="420"/>
    </row>
    <row r="105" spans="3:16" ht="12.75">
      <c r="C105" s="408">
        <f>IF(D94="","-",+C104+1)</f>
        <v>2013</v>
      </c>
      <c r="D105" s="409">
        <f t="shared" si="1"/>
        <v>0</v>
      </c>
      <c r="E105" s="411">
        <f t="shared" si="3"/>
        <v>0</v>
      </c>
      <c r="F105" s="409">
        <f t="shared" si="0"/>
        <v>0</v>
      </c>
      <c r="G105" s="412">
        <f>+I95*F105+E105</f>
        <v>0</v>
      </c>
      <c r="H105" s="401">
        <f>I96*F105+E105</f>
        <v>0</v>
      </c>
      <c r="I105" s="413">
        <f t="shared" si="2"/>
        <v>0</v>
      </c>
      <c r="J105" s="413"/>
      <c r="K105" s="848"/>
      <c r="L105" s="908"/>
      <c r="M105" s="848"/>
      <c r="N105" s="908"/>
      <c r="O105" s="908"/>
      <c r="P105" s="420"/>
    </row>
    <row r="106" spans="3:16" ht="12.75">
      <c r="C106" s="408">
        <f>IF(D94="","-",+C105+1)</f>
        <v>2014</v>
      </c>
      <c r="D106" s="409">
        <f t="shared" si="1"/>
        <v>0</v>
      </c>
      <c r="E106" s="411">
        <f t="shared" si="3"/>
        <v>0</v>
      </c>
      <c r="F106" s="409">
        <f t="shared" si="0"/>
        <v>0</v>
      </c>
      <c r="G106" s="412">
        <f>+I95*F106+E106</f>
        <v>0</v>
      </c>
      <c r="H106" s="401">
        <f>I96*F106+E106</f>
        <v>0</v>
      </c>
      <c r="I106" s="413">
        <f t="shared" si="2"/>
        <v>0</v>
      </c>
      <c r="J106" s="413"/>
      <c r="K106" s="848"/>
      <c r="L106" s="908"/>
      <c r="M106" s="848"/>
      <c r="N106" s="908"/>
      <c r="O106" s="908"/>
      <c r="P106" s="420"/>
    </row>
    <row r="107" spans="3:16" ht="12.75">
      <c r="C107" s="408">
        <f>IF(D94="","-",+C106+1)</f>
        <v>2015</v>
      </c>
      <c r="D107" s="409">
        <f t="shared" si="1"/>
        <v>0</v>
      </c>
      <c r="E107" s="411">
        <f t="shared" si="3"/>
        <v>0</v>
      </c>
      <c r="F107" s="409">
        <f t="shared" si="0"/>
        <v>0</v>
      </c>
      <c r="G107" s="412">
        <f>+I95*F107+E107</f>
        <v>0</v>
      </c>
      <c r="H107" s="401">
        <f>I96*F107+E107</f>
        <v>0</v>
      </c>
      <c r="I107" s="413">
        <f t="shared" si="2"/>
        <v>0</v>
      </c>
      <c r="J107" s="413"/>
      <c r="K107" s="848"/>
      <c r="L107" s="908"/>
      <c r="M107" s="848"/>
      <c r="N107" s="908"/>
      <c r="O107" s="908"/>
      <c r="P107" s="420"/>
    </row>
    <row r="108" spans="3:16" ht="12.75">
      <c r="C108" s="408">
        <f>IF(D94="","-",+C107+1)</f>
        <v>2016</v>
      </c>
      <c r="D108" s="409">
        <f t="shared" si="1"/>
        <v>0</v>
      </c>
      <c r="E108" s="411">
        <f t="shared" si="3"/>
        <v>0</v>
      </c>
      <c r="F108" s="409">
        <f t="shared" si="0"/>
        <v>0</v>
      </c>
      <c r="G108" s="412">
        <f>+I95*F108+E108</f>
        <v>0</v>
      </c>
      <c r="H108" s="401">
        <f>I96*F108+E108</f>
        <v>0</v>
      </c>
      <c r="I108" s="413">
        <f t="shared" si="2"/>
        <v>0</v>
      </c>
      <c r="J108" s="413"/>
      <c r="K108" s="848"/>
      <c r="L108" s="908"/>
      <c r="M108" s="848"/>
      <c r="N108" s="908"/>
      <c r="O108" s="908"/>
      <c r="P108" s="420"/>
    </row>
    <row r="109" spans="3:16" ht="12.75">
      <c r="C109" s="408">
        <f>IF(D94="","-",+C108+1)</f>
        <v>2017</v>
      </c>
      <c r="D109" s="409">
        <f t="shared" si="1"/>
        <v>0</v>
      </c>
      <c r="E109" s="411">
        <f t="shared" si="3"/>
        <v>0</v>
      </c>
      <c r="F109" s="409">
        <f t="shared" si="0"/>
        <v>0</v>
      </c>
      <c r="G109" s="412">
        <f>+I95*F109+E109</f>
        <v>0</v>
      </c>
      <c r="H109" s="401">
        <f>I96*F109+E109</f>
        <v>0</v>
      </c>
      <c r="I109" s="413">
        <f t="shared" si="2"/>
        <v>0</v>
      </c>
      <c r="J109" s="413"/>
      <c r="K109" s="848"/>
      <c r="L109" s="908"/>
      <c r="M109" s="848"/>
      <c r="N109" s="908"/>
      <c r="O109" s="908"/>
      <c r="P109" s="420"/>
    </row>
    <row r="110" spans="3:16" ht="12.75">
      <c r="C110" s="408">
        <f>IF(D94="","-",+C109+1)</f>
        <v>2018</v>
      </c>
      <c r="D110" s="409">
        <f t="shared" si="1"/>
        <v>0</v>
      </c>
      <c r="E110" s="411">
        <f t="shared" si="3"/>
        <v>0</v>
      </c>
      <c r="F110" s="409">
        <f t="shared" si="0"/>
        <v>0</v>
      </c>
      <c r="G110" s="412">
        <f>+I95*F110+E110</f>
        <v>0</v>
      </c>
      <c r="H110" s="401">
        <f>I96*F110+E110</f>
        <v>0</v>
      </c>
      <c r="I110" s="413">
        <f t="shared" si="2"/>
        <v>0</v>
      </c>
      <c r="J110" s="413"/>
      <c r="K110" s="848"/>
      <c r="L110" s="908"/>
      <c r="M110" s="848"/>
      <c r="N110" s="908"/>
      <c r="O110" s="908"/>
      <c r="P110" s="420"/>
    </row>
    <row r="111" spans="3:16" ht="12.75">
      <c r="C111" s="408">
        <f>IF(D94="","-",+C110+1)</f>
        <v>2019</v>
      </c>
      <c r="D111" s="409">
        <f t="shared" si="1"/>
        <v>0</v>
      </c>
      <c r="E111" s="411">
        <f t="shared" si="3"/>
        <v>0</v>
      </c>
      <c r="F111" s="409">
        <f t="shared" si="0"/>
        <v>0</v>
      </c>
      <c r="G111" s="412">
        <f>+I95*F111+E111</f>
        <v>0</v>
      </c>
      <c r="H111" s="401">
        <f>I96*F111+E111</f>
        <v>0</v>
      </c>
      <c r="I111" s="413">
        <f t="shared" si="2"/>
        <v>0</v>
      </c>
      <c r="J111" s="413"/>
      <c r="K111" s="848"/>
      <c r="L111" s="908"/>
      <c r="M111" s="848"/>
      <c r="N111" s="908"/>
      <c r="O111" s="908"/>
      <c r="P111" s="420"/>
    </row>
    <row r="112" spans="3:16" ht="12.75">
      <c r="C112" s="408">
        <f>IF(D94="","-",+C111+1)</f>
        <v>2020</v>
      </c>
      <c r="D112" s="409">
        <f t="shared" si="1"/>
        <v>0</v>
      </c>
      <c r="E112" s="411">
        <f t="shared" si="3"/>
        <v>0</v>
      </c>
      <c r="F112" s="409">
        <f t="shared" si="0"/>
        <v>0</v>
      </c>
      <c r="G112" s="412">
        <f>+I95*F112+E112</f>
        <v>0</v>
      </c>
      <c r="H112" s="401">
        <f>I96*F112+E112</f>
        <v>0</v>
      </c>
      <c r="I112" s="413">
        <f t="shared" si="2"/>
        <v>0</v>
      </c>
      <c r="J112" s="413"/>
      <c r="K112" s="848"/>
      <c r="L112" s="908"/>
      <c r="M112" s="848"/>
      <c r="N112" s="908"/>
      <c r="O112" s="908"/>
      <c r="P112" s="420"/>
    </row>
    <row r="113" spans="3:16" ht="12.75">
      <c r="C113" s="408">
        <f>IF(D94="","-",+C112+1)</f>
        <v>2021</v>
      </c>
      <c r="D113" s="409">
        <f t="shared" si="1"/>
        <v>0</v>
      </c>
      <c r="E113" s="411">
        <f t="shared" si="3"/>
        <v>0</v>
      </c>
      <c r="F113" s="409">
        <f t="shared" si="0"/>
        <v>0</v>
      </c>
      <c r="G113" s="412">
        <f>+I95*F113+E113</f>
        <v>0</v>
      </c>
      <c r="H113" s="401">
        <f>I96*F113+E113</f>
        <v>0</v>
      </c>
      <c r="I113" s="413">
        <f t="shared" si="2"/>
        <v>0</v>
      </c>
      <c r="J113" s="413"/>
      <c r="K113" s="848"/>
      <c r="L113" s="908"/>
      <c r="M113" s="848"/>
      <c r="N113" s="908"/>
      <c r="O113" s="908"/>
      <c r="P113" s="420"/>
    </row>
    <row r="114" spans="3:16" ht="12.75">
      <c r="C114" s="408">
        <f>IF(D94="","-",+C113+1)</f>
        <v>2022</v>
      </c>
      <c r="D114" s="409">
        <f t="shared" si="1"/>
        <v>0</v>
      </c>
      <c r="E114" s="411">
        <f t="shared" si="3"/>
        <v>0</v>
      </c>
      <c r="F114" s="409">
        <f t="shared" si="0"/>
        <v>0</v>
      </c>
      <c r="G114" s="412">
        <f>+I95*F114+E114</f>
        <v>0</v>
      </c>
      <c r="H114" s="401">
        <f>I96*F114+E114</f>
        <v>0</v>
      </c>
      <c r="I114" s="413">
        <f t="shared" si="2"/>
        <v>0</v>
      </c>
      <c r="J114" s="413"/>
      <c r="K114" s="848"/>
      <c r="L114" s="908"/>
      <c r="M114" s="848"/>
      <c r="N114" s="908"/>
      <c r="O114" s="908"/>
      <c r="P114" s="420"/>
    </row>
    <row r="115" spans="3:16" ht="12.75">
      <c r="C115" s="408">
        <f>IF(D94="","-",+C114+1)</f>
        <v>2023</v>
      </c>
      <c r="D115" s="409">
        <f t="shared" si="1"/>
        <v>0</v>
      </c>
      <c r="E115" s="411">
        <f t="shared" si="3"/>
        <v>0</v>
      </c>
      <c r="F115" s="409">
        <f t="shared" si="0"/>
        <v>0</v>
      </c>
      <c r="G115" s="412">
        <f>+I95*F115+E115</f>
        <v>0</v>
      </c>
      <c r="H115" s="401">
        <f>I96*F115+E115</f>
        <v>0</v>
      </c>
      <c r="I115" s="413">
        <f t="shared" si="2"/>
        <v>0</v>
      </c>
      <c r="J115" s="413"/>
      <c r="K115" s="848"/>
      <c r="L115" s="908"/>
      <c r="M115" s="848"/>
      <c r="N115" s="908"/>
      <c r="O115" s="908"/>
      <c r="P115" s="420"/>
    </row>
    <row r="116" spans="3:16" ht="12.75">
      <c r="C116" s="408">
        <f>IF(D94="","-",+C115+1)</f>
        <v>2024</v>
      </c>
      <c r="D116" s="409">
        <f t="shared" si="1"/>
        <v>0</v>
      </c>
      <c r="E116" s="411">
        <f t="shared" si="3"/>
        <v>0</v>
      </c>
      <c r="F116" s="409">
        <f t="shared" si="0"/>
        <v>0</v>
      </c>
      <c r="G116" s="412">
        <f>+I95*F116+E116</f>
        <v>0</v>
      </c>
      <c r="H116" s="401">
        <f>I96*F116+E116</f>
        <v>0</v>
      </c>
      <c r="I116" s="413">
        <f t="shared" si="2"/>
        <v>0</v>
      </c>
      <c r="J116" s="413"/>
      <c r="K116" s="848"/>
      <c r="L116" s="908"/>
      <c r="M116" s="848"/>
      <c r="N116" s="908"/>
      <c r="O116" s="908"/>
      <c r="P116" s="420"/>
    </row>
    <row r="117" spans="3:16" ht="12.75">
      <c r="C117" s="408">
        <f>IF(D94="","-",+C116+1)</f>
        <v>2025</v>
      </c>
      <c r="D117" s="409">
        <f t="shared" si="1"/>
        <v>0</v>
      </c>
      <c r="E117" s="411">
        <f t="shared" si="3"/>
        <v>0</v>
      </c>
      <c r="F117" s="409">
        <f t="shared" si="0"/>
        <v>0</v>
      </c>
      <c r="G117" s="412">
        <f>+I95*F117+E117</f>
        <v>0</v>
      </c>
      <c r="H117" s="401">
        <f>I96*F117+E117</f>
        <v>0</v>
      </c>
      <c r="I117" s="413">
        <f t="shared" si="2"/>
        <v>0</v>
      </c>
      <c r="J117" s="413"/>
      <c r="K117" s="848"/>
      <c r="L117" s="908"/>
      <c r="M117" s="848"/>
      <c r="N117" s="908"/>
      <c r="O117" s="908"/>
      <c r="P117" s="420"/>
    </row>
    <row r="118" spans="3:16" ht="12.75">
      <c r="C118" s="408">
        <f>IF(D94="","-",+C117+1)</f>
        <v>2026</v>
      </c>
      <c r="D118" s="409">
        <f t="shared" si="1"/>
        <v>0</v>
      </c>
      <c r="E118" s="411">
        <f t="shared" si="3"/>
        <v>0</v>
      </c>
      <c r="F118" s="409">
        <f t="shared" si="0"/>
        <v>0</v>
      </c>
      <c r="G118" s="412">
        <f>+I95*F118+E118</f>
        <v>0</v>
      </c>
      <c r="H118" s="401">
        <f>I96*F118+E118</f>
        <v>0</v>
      </c>
      <c r="I118" s="413">
        <f t="shared" si="2"/>
        <v>0</v>
      </c>
      <c r="J118" s="413"/>
      <c r="K118" s="848"/>
      <c r="L118" s="908"/>
      <c r="M118" s="848"/>
      <c r="N118" s="908"/>
      <c r="O118" s="908"/>
      <c r="P118" s="420"/>
    </row>
    <row r="119" spans="3:16" ht="12.75">
      <c r="C119" s="408">
        <f>IF(D94="","-",+C118+1)</f>
        <v>2027</v>
      </c>
      <c r="D119" s="409">
        <f t="shared" si="1"/>
        <v>0</v>
      </c>
      <c r="E119" s="411">
        <f t="shared" si="3"/>
        <v>0</v>
      </c>
      <c r="F119" s="409">
        <f t="shared" si="0"/>
        <v>0</v>
      </c>
      <c r="G119" s="412">
        <f>+I95*F119+E119</f>
        <v>0</v>
      </c>
      <c r="H119" s="401">
        <f>I96*F119+E119</f>
        <v>0</v>
      </c>
      <c r="I119" s="413">
        <f t="shared" si="2"/>
        <v>0</v>
      </c>
      <c r="J119" s="413"/>
      <c r="K119" s="848"/>
      <c r="L119" s="908"/>
      <c r="M119" s="848"/>
      <c r="N119" s="908"/>
      <c r="O119" s="908"/>
      <c r="P119" s="420"/>
    </row>
    <row r="120" spans="3:16" ht="12.75">
      <c r="C120" s="408">
        <f>IF(D94="","-",+C119+1)</f>
        <v>2028</v>
      </c>
      <c r="D120" s="409">
        <f t="shared" si="1"/>
        <v>0</v>
      </c>
      <c r="E120" s="411">
        <f t="shared" si="3"/>
        <v>0</v>
      </c>
      <c r="F120" s="409">
        <f t="shared" si="0"/>
        <v>0</v>
      </c>
      <c r="G120" s="412">
        <f>+I95*F120+E120</f>
        <v>0</v>
      </c>
      <c r="H120" s="401">
        <f>I96*F120+E120</f>
        <v>0</v>
      </c>
      <c r="I120" s="413">
        <f t="shared" si="2"/>
        <v>0</v>
      </c>
      <c r="J120" s="413"/>
      <c r="K120" s="848"/>
      <c r="L120" s="908"/>
      <c r="M120" s="848"/>
      <c r="N120" s="908"/>
      <c r="O120" s="908"/>
      <c r="P120" s="420"/>
    </row>
    <row r="121" spans="3:16" ht="12.75">
      <c r="C121" s="408">
        <f>IF(D94="","-",+C120+1)</f>
        <v>2029</v>
      </c>
      <c r="D121" s="409">
        <f t="shared" si="1"/>
        <v>0</v>
      </c>
      <c r="E121" s="411">
        <f t="shared" si="3"/>
        <v>0</v>
      </c>
      <c r="F121" s="409">
        <f t="shared" si="0"/>
        <v>0</v>
      </c>
      <c r="G121" s="412">
        <f>+I95*F121+E121</f>
        <v>0</v>
      </c>
      <c r="H121" s="401">
        <f>I96*F121+E121</f>
        <v>0</v>
      </c>
      <c r="I121" s="413">
        <f t="shared" si="2"/>
        <v>0</v>
      </c>
      <c r="J121" s="413"/>
      <c r="K121" s="848"/>
      <c r="L121" s="908"/>
      <c r="M121" s="848"/>
      <c r="N121" s="908"/>
      <c r="O121" s="908"/>
      <c r="P121" s="420"/>
    </row>
    <row r="122" spans="3:16" ht="12.75">
      <c r="C122" s="408">
        <f>IF(D94="","-",+C121+1)</f>
        <v>2030</v>
      </c>
      <c r="D122" s="409">
        <f t="shared" si="1"/>
        <v>0</v>
      </c>
      <c r="E122" s="411">
        <f t="shared" si="3"/>
        <v>0</v>
      </c>
      <c r="F122" s="409">
        <f t="shared" si="0"/>
        <v>0</v>
      </c>
      <c r="G122" s="412">
        <f>+I95*F122+E122</f>
        <v>0</v>
      </c>
      <c r="H122" s="401">
        <f>I96*F122+E122</f>
        <v>0</v>
      </c>
      <c r="I122" s="413">
        <f t="shared" si="2"/>
        <v>0</v>
      </c>
      <c r="J122" s="413"/>
      <c r="K122" s="848"/>
      <c r="L122" s="908"/>
      <c r="M122" s="848"/>
      <c r="N122" s="908"/>
      <c r="O122" s="908"/>
      <c r="P122" s="420"/>
    </row>
    <row r="123" spans="3:16" ht="12.75">
      <c r="C123" s="408">
        <f>IF(D94="","-",+C122+1)</f>
        <v>2031</v>
      </c>
      <c r="D123" s="409">
        <f t="shared" si="1"/>
        <v>0</v>
      </c>
      <c r="E123" s="411">
        <f t="shared" si="3"/>
        <v>0</v>
      </c>
      <c r="F123" s="409">
        <f t="shared" si="0"/>
        <v>0</v>
      </c>
      <c r="G123" s="412">
        <f>+I95*F123+E123</f>
        <v>0</v>
      </c>
      <c r="H123" s="401">
        <f>I96*F123+E123</f>
        <v>0</v>
      </c>
      <c r="I123" s="413">
        <f t="shared" si="2"/>
        <v>0</v>
      </c>
      <c r="J123" s="413"/>
      <c r="K123" s="848"/>
      <c r="L123" s="908"/>
      <c r="M123" s="848"/>
      <c r="N123" s="908"/>
      <c r="O123" s="908"/>
      <c r="P123" s="420"/>
    </row>
    <row r="124" spans="3:16" ht="12.75">
      <c r="C124" s="408">
        <f>IF(D94="","-",+C123+1)</f>
        <v>2032</v>
      </c>
      <c r="D124" s="409">
        <f t="shared" si="1"/>
        <v>0</v>
      </c>
      <c r="E124" s="411">
        <f t="shared" si="3"/>
        <v>0</v>
      </c>
      <c r="F124" s="409">
        <f t="shared" si="0"/>
        <v>0</v>
      </c>
      <c r="G124" s="412">
        <f>+I95*F124+E124</f>
        <v>0</v>
      </c>
      <c r="H124" s="401">
        <f>I96*F124+E124</f>
        <v>0</v>
      </c>
      <c r="I124" s="413">
        <f t="shared" si="2"/>
        <v>0</v>
      </c>
      <c r="J124" s="413"/>
      <c r="K124" s="848"/>
      <c r="L124" s="908"/>
      <c r="M124" s="848"/>
      <c r="N124" s="908"/>
      <c r="O124" s="908"/>
      <c r="P124" s="420"/>
    </row>
    <row r="125" spans="3:16" ht="12.75">
      <c r="C125" s="408">
        <f>IF(D94="","-",+C124+1)</f>
        <v>2033</v>
      </c>
      <c r="D125" s="409">
        <f t="shared" si="1"/>
        <v>0</v>
      </c>
      <c r="E125" s="411">
        <f t="shared" si="3"/>
        <v>0</v>
      </c>
      <c r="F125" s="409">
        <f t="shared" si="0"/>
        <v>0</v>
      </c>
      <c r="G125" s="412">
        <f>+I95*F125+E125</f>
        <v>0</v>
      </c>
      <c r="H125" s="401">
        <f>I96*F125+E125</f>
        <v>0</v>
      </c>
      <c r="I125" s="413">
        <f t="shared" si="2"/>
        <v>0</v>
      </c>
      <c r="J125" s="413"/>
      <c r="K125" s="848"/>
      <c r="L125" s="908"/>
      <c r="M125" s="848"/>
      <c r="N125" s="908"/>
      <c r="O125" s="908"/>
      <c r="P125" s="420"/>
    </row>
    <row r="126" spans="3:16" ht="12.75">
      <c r="C126" s="408">
        <f>IF(D94="","-",+C125+1)</f>
        <v>2034</v>
      </c>
      <c r="D126" s="409">
        <f t="shared" si="1"/>
        <v>0</v>
      </c>
      <c r="E126" s="411">
        <f t="shared" si="3"/>
        <v>0</v>
      </c>
      <c r="F126" s="409">
        <f t="shared" si="0"/>
        <v>0</v>
      </c>
      <c r="G126" s="412">
        <f>+I95*F126+E126</f>
        <v>0</v>
      </c>
      <c r="H126" s="401">
        <f>I96*F126+E126</f>
        <v>0</v>
      </c>
      <c r="I126" s="413">
        <f t="shared" si="2"/>
        <v>0</v>
      </c>
      <c r="J126" s="413"/>
      <c r="K126" s="848"/>
      <c r="L126" s="908"/>
      <c r="M126" s="848"/>
      <c r="N126" s="908"/>
      <c r="O126" s="908"/>
      <c r="P126" s="420"/>
    </row>
    <row r="127" spans="3:16" ht="12.75">
      <c r="C127" s="408">
        <f>IF(D94="","-",+C126+1)</f>
        <v>2035</v>
      </c>
      <c r="D127" s="409">
        <f t="shared" si="1"/>
        <v>0</v>
      </c>
      <c r="E127" s="411">
        <f t="shared" si="3"/>
        <v>0</v>
      </c>
      <c r="F127" s="409">
        <f t="shared" si="0"/>
        <v>0</v>
      </c>
      <c r="G127" s="412">
        <f>+I95*F127+E127</f>
        <v>0</v>
      </c>
      <c r="H127" s="401">
        <f>I96*F127+E127</f>
        <v>0</v>
      </c>
      <c r="I127" s="413">
        <f t="shared" si="2"/>
        <v>0</v>
      </c>
      <c r="J127" s="413"/>
      <c r="K127" s="848"/>
      <c r="L127" s="908"/>
      <c r="M127" s="848"/>
      <c r="N127" s="908"/>
      <c r="O127" s="908"/>
      <c r="P127" s="420"/>
    </row>
    <row r="128" spans="3:16" ht="12.75">
      <c r="C128" s="408">
        <f>IF(D94="","-",+C127+1)</f>
        <v>2036</v>
      </c>
      <c r="D128" s="409">
        <f t="shared" si="1"/>
        <v>0</v>
      </c>
      <c r="E128" s="411">
        <f t="shared" si="3"/>
        <v>0</v>
      </c>
      <c r="F128" s="409">
        <f t="shared" si="0"/>
        <v>0</v>
      </c>
      <c r="G128" s="555">
        <f>+I95*F128+E128</f>
        <v>0</v>
      </c>
      <c r="H128" s="401">
        <f>I96*F128+E128</f>
        <v>0</v>
      </c>
      <c r="I128" s="413">
        <f t="shared" si="2"/>
        <v>0</v>
      </c>
      <c r="J128" s="413"/>
      <c r="K128" s="848"/>
      <c r="L128" s="908"/>
      <c r="M128" s="848"/>
      <c r="N128" s="908"/>
      <c r="O128" s="908"/>
      <c r="P128" s="420"/>
    </row>
    <row r="129" spans="3:16" ht="12.75">
      <c r="C129" s="408">
        <f>IF(D94="","-",+C128+1)</f>
        <v>2037</v>
      </c>
      <c r="D129" s="409">
        <f t="shared" si="1"/>
        <v>0</v>
      </c>
      <c r="E129" s="411">
        <f t="shared" si="3"/>
        <v>0</v>
      </c>
      <c r="F129" s="409">
        <f t="shared" si="0"/>
        <v>0</v>
      </c>
      <c r="G129" s="412">
        <f>+I95*F129+E129</f>
        <v>0</v>
      </c>
      <c r="H129" s="401">
        <f>I96*F129+E129</f>
        <v>0</v>
      </c>
      <c r="I129" s="413">
        <f t="shared" si="2"/>
        <v>0</v>
      </c>
      <c r="J129" s="413"/>
      <c r="K129" s="848"/>
      <c r="L129" s="908"/>
      <c r="M129" s="848"/>
      <c r="N129" s="908"/>
      <c r="O129" s="908"/>
      <c r="P129" s="420"/>
    </row>
    <row r="130" spans="3:16" ht="12.75">
      <c r="C130" s="408">
        <f>IF(D94="","-",+C129+1)</f>
        <v>2038</v>
      </c>
      <c r="D130" s="409">
        <f t="shared" si="1"/>
        <v>0</v>
      </c>
      <c r="E130" s="411">
        <f t="shared" si="3"/>
        <v>0</v>
      </c>
      <c r="F130" s="409">
        <f t="shared" si="0"/>
        <v>0</v>
      </c>
      <c r="G130" s="412">
        <f>+I95*F130+E130</f>
        <v>0</v>
      </c>
      <c r="H130" s="401">
        <f>I96*F130+E130</f>
        <v>0</v>
      </c>
      <c r="I130" s="413">
        <f t="shared" si="2"/>
        <v>0</v>
      </c>
      <c r="J130" s="413"/>
      <c r="K130" s="848"/>
      <c r="L130" s="908"/>
      <c r="M130" s="848"/>
      <c r="N130" s="908"/>
      <c r="O130" s="908"/>
      <c r="P130" s="420"/>
    </row>
    <row r="131" spans="3:16" ht="12.75">
      <c r="C131" s="408">
        <f>IF(D94="","-",+C130+1)</f>
        <v>2039</v>
      </c>
      <c r="D131" s="409">
        <f t="shared" si="1"/>
        <v>0</v>
      </c>
      <c r="E131" s="411">
        <f t="shared" si="3"/>
        <v>0</v>
      </c>
      <c r="F131" s="409">
        <f t="shared" si="0"/>
        <v>0</v>
      </c>
      <c r="G131" s="412">
        <f>+I95*F131+E131</f>
        <v>0</v>
      </c>
      <c r="H131" s="401">
        <f>I96*F131+E131</f>
        <v>0</v>
      </c>
      <c r="I131" s="413">
        <f t="shared" si="2"/>
        <v>0</v>
      </c>
      <c r="J131" s="413"/>
      <c r="K131" s="848"/>
      <c r="L131" s="908"/>
      <c r="M131" s="848"/>
      <c r="N131" s="908"/>
      <c r="O131" s="908"/>
      <c r="P131" s="420"/>
    </row>
    <row r="132" spans="3:16" ht="12.75">
      <c r="C132" s="408">
        <f>IF(D94="","-",+C131+1)</f>
        <v>2040</v>
      </c>
      <c r="D132" s="409">
        <f t="shared" si="1"/>
        <v>0</v>
      </c>
      <c r="E132" s="411">
        <f t="shared" si="3"/>
        <v>0</v>
      </c>
      <c r="F132" s="409">
        <f aca="true" t="shared" si="4" ref="F132:F159">+D132-E132</f>
        <v>0</v>
      </c>
      <c r="G132" s="412">
        <f>+I95*F132+E132</f>
        <v>0</v>
      </c>
      <c r="H132" s="401">
        <f>I96*F132+E132</f>
        <v>0</v>
      </c>
      <c r="I132" s="413">
        <f t="shared" si="2"/>
        <v>0</v>
      </c>
      <c r="J132" s="413"/>
      <c r="K132" s="848"/>
      <c r="L132" s="908"/>
      <c r="M132" s="848"/>
      <c r="N132" s="908"/>
      <c r="O132" s="908"/>
      <c r="P132" s="420"/>
    </row>
    <row r="133" spans="3:16" ht="12.75">
      <c r="C133" s="408">
        <f>IF(D94="","-",+C132+1)</f>
        <v>2041</v>
      </c>
      <c r="D133" s="409">
        <f aca="true" t="shared" si="5" ref="D133:D159">F132</f>
        <v>0</v>
      </c>
      <c r="E133" s="411">
        <f t="shared" si="3"/>
        <v>0</v>
      </c>
      <c r="F133" s="409">
        <f t="shared" si="4"/>
        <v>0</v>
      </c>
      <c r="G133" s="412">
        <f>+I95*F133+E133</f>
        <v>0</v>
      </c>
      <c r="H133" s="401">
        <f>I96*F133+E133</f>
        <v>0</v>
      </c>
      <c r="I133" s="413">
        <f t="shared" si="2"/>
        <v>0</v>
      </c>
      <c r="J133" s="413"/>
      <c r="K133" s="848"/>
      <c r="L133" s="908"/>
      <c r="M133" s="848"/>
      <c r="N133" s="908"/>
      <c r="O133" s="908"/>
      <c r="P133" s="420"/>
    </row>
    <row r="134" spans="3:16" ht="12.75">
      <c r="C134" s="408">
        <f>IF(D94="","-",+C133+1)</f>
        <v>2042</v>
      </c>
      <c r="D134" s="409">
        <f t="shared" si="5"/>
        <v>0</v>
      </c>
      <c r="E134" s="411">
        <f t="shared" si="3"/>
        <v>0</v>
      </c>
      <c r="F134" s="409">
        <f t="shared" si="4"/>
        <v>0</v>
      </c>
      <c r="G134" s="412">
        <f>+I95*F134+E134</f>
        <v>0</v>
      </c>
      <c r="H134" s="401">
        <f>I96*F134+E134</f>
        <v>0</v>
      </c>
      <c r="I134" s="413">
        <f t="shared" si="2"/>
        <v>0</v>
      </c>
      <c r="J134" s="413"/>
      <c r="K134" s="848"/>
      <c r="L134" s="908"/>
      <c r="M134" s="848"/>
      <c r="N134" s="908"/>
      <c r="O134" s="908"/>
      <c r="P134" s="420"/>
    </row>
    <row r="135" spans="3:16" ht="12.75">
      <c r="C135" s="408">
        <f>IF(D94="","-",+C134+1)</f>
        <v>2043</v>
      </c>
      <c r="D135" s="409">
        <f t="shared" si="5"/>
        <v>0</v>
      </c>
      <c r="E135" s="411">
        <f t="shared" si="3"/>
        <v>0</v>
      </c>
      <c r="F135" s="409">
        <f t="shared" si="4"/>
        <v>0</v>
      </c>
      <c r="G135" s="412">
        <f>+I95*F135+E135</f>
        <v>0</v>
      </c>
      <c r="H135" s="401">
        <f>I96*F135+E135</f>
        <v>0</v>
      </c>
      <c r="I135" s="413">
        <f t="shared" si="2"/>
        <v>0</v>
      </c>
      <c r="J135" s="413"/>
      <c r="K135" s="848"/>
      <c r="L135" s="908"/>
      <c r="M135" s="848"/>
      <c r="N135" s="908"/>
      <c r="O135" s="908"/>
      <c r="P135" s="420"/>
    </row>
    <row r="136" spans="3:16" ht="12.75">
      <c r="C136" s="408">
        <f>IF(D94="","-",+C135+1)</f>
        <v>2044</v>
      </c>
      <c r="D136" s="409">
        <f t="shared" si="5"/>
        <v>0</v>
      </c>
      <c r="E136" s="411">
        <f t="shared" si="3"/>
        <v>0</v>
      </c>
      <c r="F136" s="409">
        <f t="shared" si="4"/>
        <v>0</v>
      </c>
      <c r="G136" s="412">
        <f>+I95*F136+E136</f>
        <v>0</v>
      </c>
      <c r="H136" s="401">
        <f>I96*F136+E136</f>
        <v>0</v>
      </c>
      <c r="I136" s="413">
        <f t="shared" si="2"/>
        <v>0</v>
      </c>
      <c r="J136" s="413"/>
      <c r="K136" s="848"/>
      <c r="L136" s="908"/>
      <c r="M136" s="848"/>
      <c r="N136" s="908"/>
      <c r="O136" s="908"/>
      <c r="P136" s="420"/>
    </row>
    <row r="137" spans="3:16" ht="12.75">
      <c r="C137" s="408">
        <f>IF(D94="","-",+C136+1)</f>
        <v>2045</v>
      </c>
      <c r="D137" s="409">
        <f t="shared" si="5"/>
        <v>0</v>
      </c>
      <c r="E137" s="411">
        <f t="shared" si="3"/>
        <v>0</v>
      </c>
      <c r="F137" s="409">
        <f t="shared" si="4"/>
        <v>0</v>
      </c>
      <c r="G137" s="412">
        <f>+I95*F137+E137</f>
        <v>0</v>
      </c>
      <c r="H137" s="401">
        <f>I96*F137+E137</f>
        <v>0</v>
      </c>
      <c r="I137" s="413">
        <f t="shared" si="2"/>
        <v>0</v>
      </c>
      <c r="J137" s="413"/>
      <c r="K137" s="848"/>
      <c r="L137" s="908"/>
      <c r="M137" s="848"/>
      <c r="N137" s="908"/>
      <c r="O137" s="908"/>
      <c r="P137" s="420"/>
    </row>
    <row r="138" spans="3:16" ht="12.75">
      <c r="C138" s="408">
        <f>IF(D94="","-",+C137+1)</f>
        <v>2046</v>
      </c>
      <c r="D138" s="409">
        <f t="shared" si="5"/>
        <v>0</v>
      </c>
      <c r="E138" s="411">
        <f t="shared" si="3"/>
        <v>0</v>
      </c>
      <c r="F138" s="409">
        <f t="shared" si="4"/>
        <v>0</v>
      </c>
      <c r="G138" s="412">
        <f>+I95*F138+E138</f>
        <v>0</v>
      </c>
      <c r="H138" s="401">
        <f>I96*F138+E138</f>
        <v>0</v>
      </c>
      <c r="I138" s="413">
        <f t="shared" si="2"/>
        <v>0</v>
      </c>
      <c r="J138" s="413"/>
      <c r="K138" s="848"/>
      <c r="L138" s="908"/>
      <c r="M138" s="848"/>
      <c r="N138" s="908"/>
      <c r="O138" s="908"/>
      <c r="P138" s="420"/>
    </row>
    <row r="139" spans="3:16" ht="12.75">
      <c r="C139" s="408">
        <f>IF(D94="","-",+C138+1)</f>
        <v>2047</v>
      </c>
      <c r="D139" s="409">
        <f t="shared" si="5"/>
        <v>0</v>
      </c>
      <c r="E139" s="411">
        <f t="shared" si="3"/>
        <v>0</v>
      </c>
      <c r="F139" s="409">
        <f t="shared" si="4"/>
        <v>0</v>
      </c>
      <c r="G139" s="412">
        <f>+I95*F139+E139</f>
        <v>0</v>
      </c>
      <c r="H139" s="401">
        <f>I96*F139+E139</f>
        <v>0</v>
      </c>
      <c r="I139" s="413">
        <f t="shared" si="2"/>
        <v>0</v>
      </c>
      <c r="J139" s="413"/>
      <c r="K139" s="848"/>
      <c r="L139" s="908"/>
      <c r="M139" s="848"/>
      <c r="N139" s="908"/>
      <c r="O139" s="908"/>
      <c r="P139" s="420"/>
    </row>
    <row r="140" spans="3:16" ht="12.75">
      <c r="C140" s="408">
        <f>IF(D94="","-",+C139+1)</f>
        <v>2048</v>
      </c>
      <c r="D140" s="409">
        <f t="shared" si="5"/>
        <v>0</v>
      </c>
      <c r="E140" s="411">
        <f t="shared" si="3"/>
        <v>0</v>
      </c>
      <c r="F140" s="409">
        <f t="shared" si="4"/>
        <v>0</v>
      </c>
      <c r="G140" s="412">
        <f>+I95*F140+E140</f>
        <v>0</v>
      </c>
      <c r="H140" s="401">
        <f>I96*F140+E140</f>
        <v>0</v>
      </c>
      <c r="I140" s="413">
        <f t="shared" si="2"/>
        <v>0</v>
      </c>
      <c r="J140" s="413"/>
      <c r="K140" s="848"/>
      <c r="L140" s="908"/>
      <c r="M140" s="848"/>
      <c r="N140" s="908"/>
      <c r="O140" s="908"/>
      <c r="P140" s="420"/>
    </row>
    <row r="141" spans="3:16" ht="12.75">
      <c r="C141" s="408">
        <f>IF(D94="","-",+C140+1)</f>
        <v>2049</v>
      </c>
      <c r="D141" s="409">
        <f t="shared" si="5"/>
        <v>0</v>
      </c>
      <c r="E141" s="411">
        <f t="shared" si="3"/>
        <v>0</v>
      </c>
      <c r="F141" s="409">
        <f t="shared" si="4"/>
        <v>0</v>
      </c>
      <c r="G141" s="412">
        <f>+I95*F141+E141</f>
        <v>0</v>
      </c>
      <c r="H141" s="401">
        <f>I96*F141+E141</f>
        <v>0</v>
      </c>
      <c r="I141" s="413">
        <f t="shared" si="2"/>
        <v>0</v>
      </c>
      <c r="J141" s="413"/>
      <c r="K141" s="848"/>
      <c r="L141" s="908"/>
      <c r="M141" s="848"/>
      <c r="N141" s="908"/>
      <c r="O141" s="908"/>
      <c r="P141" s="420"/>
    </row>
    <row r="142" spans="3:16" ht="12.75">
      <c r="C142" s="408">
        <f>IF(D94="","-",+C141+1)</f>
        <v>2050</v>
      </c>
      <c r="D142" s="409">
        <f t="shared" si="5"/>
        <v>0</v>
      </c>
      <c r="E142" s="411">
        <f t="shared" si="3"/>
        <v>0</v>
      </c>
      <c r="F142" s="409">
        <f t="shared" si="4"/>
        <v>0</v>
      </c>
      <c r="G142" s="412">
        <f>+I95*F142+E142</f>
        <v>0</v>
      </c>
      <c r="H142" s="401">
        <f>I96*F142+E142</f>
        <v>0</v>
      </c>
      <c r="I142" s="413">
        <f t="shared" si="2"/>
        <v>0</v>
      </c>
      <c r="J142" s="413"/>
      <c r="K142" s="848"/>
      <c r="L142" s="908"/>
      <c r="M142" s="848"/>
      <c r="N142" s="908"/>
      <c r="O142" s="908"/>
      <c r="P142" s="420"/>
    </row>
    <row r="143" spans="3:16" ht="12.75">
      <c r="C143" s="408">
        <f>IF(D94="","-",+C142+1)</f>
        <v>2051</v>
      </c>
      <c r="D143" s="409">
        <f t="shared" si="5"/>
        <v>0</v>
      </c>
      <c r="E143" s="411">
        <f t="shared" si="3"/>
        <v>0</v>
      </c>
      <c r="F143" s="409">
        <f t="shared" si="4"/>
        <v>0</v>
      </c>
      <c r="G143" s="412">
        <f>+I95*F143+E143</f>
        <v>0</v>
      </c>
      <c r="H143" s="401">
        <f>I96*F143+E143</f>
        <v>0</v>
      </c>
      <c r="I143" s="413">
        <f t="shared" si="2"/>
        <v>0</v>
      </c>
      <c r="J143" s="413"/>
      <c r="K143" s="848"/>
      <c r="L143" s="908"/>
      <c r="M143" s="848"/>
      <c r="N143" s="908"/>
      <c r="O143" s="908"/>
      <c r="P143" s="420"/>
    </row>
    <row r="144" spans="3:16" ht="12.75">
      <c r="C144" s="408">
        <f>IF(D94="","-",+C143+1)</f>
        <v>2052</v>
      </c>
      <c r="D144" s="409">
        <f t="shared" si="5"/>
        <v>0</v>
      </c>
      <c r="E144" s="411">
        <f t="shared" si="3"/>
        <v>0</v>
      </c>
      <c r="F144" s="409">
        <f t="shared" si="4"/>
        <v>0</v>
      </c>
      <c r="G144" s="412">
        <f>+I95*F144+E144</f>
        <v>0</v>
      </c>
      <c r="H144" s="401">
        <f>I96*F144+E144</f>
        <v>0</v>
      </c>
      <c r="I144" s="413">
        <f t="shared" si="2"/>
        <v>0</v>
      </c>
      <c r="J144" s="413"/>
      <c r="K144" s="848"/>
      <c r="L144" s="908"/>
      <c r="M144" s="848"/>
      <c r="N144" s="908"/>
      <c r="O144" s="908"/>
      <c r="P144" s="420"/>
    </row>
    <row r="145" spans="3:16" ht="12.75">
      <c r="C145" s="408">
        <f>IF(D94="","-",+C144+1)</f>
        <v>2053</v>
      </c>
      <c r="D145" s="409">
        <f t="shared" si="5"/>
        <v>0</v>
      </c>
      <c r="E145" s="411">
        <f t="shared" si="3"/>
        <v>0</v>
      </c>
      <c r="F145" s="409">
        <f t="shared" si="4"/>
        <v>0</v>
      </c>
      <c r="G145" s="412">
        <f>+I95*F145+E145</f>
        <v>0</v>
      </c>
      <c r="H145" s="401">
        <f>I96*F145+E145</f>
        <v>0</v>
      </c>
      <c r="I145" s="413">
        <f t="shared" si="2"/>
        <v>0</v>
      </c>
      <c r="J145" s="413"/>
      <c r="K145" s="848"/>
      <c r="L145" s="908"/>
      <c r="M145" s="848"/>
      <c r="N145" s="908"/>
      <c r="O145" s="908"/>
      <c r="P145" s="420"/>
    </row>
    <row r="146" spans="3:16" ht="12.75">
      <c r="C146" s="408">
        <f>IF(D94="","-",+C145+1)</f>
        <v>2054</v>
      </c>
      <c r="D146" s="409">
        <f t="shared" si="5"/>
        <v>0</v>
      </c>
      <c r="E146" s="411">
        <f t="shared" si="3"/>
        <v>0</v>
      </c>
      <c r="F146" s="409">
        <f t="shared" si="4"/>
        <v>0</v>
      </c>
      <c r="G146" s="412">
        <f>+I95*F146+E146</f>
        <v>0</v>
      </c>
      <c r="H146" s="401">
        <f>I96*F146+E146</f>
        <v>0</v>
      </c>
      <c r="I146" s="413">
        <f t="shared" si="2"/>
        <v>0</v>
      </c>
      <c r="J146" s="413"/>
      <c r="K146" s="848"/>
      <c r="L146" s="908"/>
      <c r="M146" s="848"/>
      <c r="N146" s="908"/>
      <c r="O146" s="908"/>
      <c r="P146" s="420"/>
    </row>
    <row r="147" spans="3:16" ht="12.75">
      <c r="C147" s="408">
        <f>IF(D94="","-",+C146+1)</f>
        <v>2055</v>
      </c>
      <c r="D147" s="409">
        <f t="shared" si="5"/>
        <v>0</v>
      </c>
      <c r="E147" s="411">
        <f t="shared" si="3"/>
        <v>0</v>
      </c>
      <c r="F147" s="409">
        <f t="shared" si="4"/>
        <v>0</v>
      </c>
      <c r="G147" s="412">
        <f>+I95*F147+E147</f>
        <v>0</v>
      </c>
      <c r="H147" s="401">
        <f>I96*F147+E147</f>
        <v>0</v>
      </c>
      <c r="I147" s="413">
        <f t="shared" si="2"/>
        <v>0</v>
      </c>
      <c r="J147" s="413"/>
      <c r="K147" s="848"/>
      <c r="L147" s="908"/>
      <c r="M147" s="848"/>
      <c r="N147" s="908"/>
      <c r="O147" s="908"/>
      <c r="P147" s="420"/>
    </row>
    <row r="148" spans="3:16" ht="12.75">
      <c r="C148" s="408">
        <f>IF(D94="","-",+C147+1)</f>
        <v>2056</v>
      </c>
      <c r="D148" s="409">
        <f t="shared" si="5"/>
        <v>0</v>
      </c>
      <c r="E148" s="411">
        <f t="shared" si="3"/>
        <v>0</v>
      </c>
      <c r="F148" s="409">
        <f t="shared" si="4"/>
        <v>0</v>
      </c>
      <c r="G148" s="412">
        <f>+I95*F148+E148</f>
        <v>0</v>
      </c>
      <c r="H148" s="401">
        <f>I96*F148+E148</f>
        <v>0</v>
      </c>
      <c r="I148" s="413">
        <f t="shared" si="2"/>
        <v>0</v>
      </c>
      <c r="J148" s="413"/>
      <c r="K148" s="848"/>
      <c r="L148" s="908"/>
      <c r="M148" s="848"/>
      <c r="N148" s="908"/>
      <c r="O148" s="908"/>
      <c r="P148" s="420"/>
    </row>
    <row r="149" spans="3:16" ht="12.75">
      <c r="C149" s="408">
        <f>IF(D94="","-",+C148+1)</f>
        <v>2057</v>
      </c>
      <c r="D149" s="409">
        <f t="shared" si="5"/>
        <v>0</v>
      </c>
      <c r="E149" s="411">
        <f t="shared" si="3"/>
        <v>0</v>
      </c>
      <c r="F149" s="409">
        <f t="shared" si="4"/>
        <v>0</v>
      </c>
      <c r="G149" s="412">
        <f>+I95*F149+E149</f>
        <v>0</v>
      </c>
      <c r="H149" s="401">
        <f>I96*F149+E149</f>
        <v>0</v>
      </c>
      <c r="I149" s="413">
        <f t="shared" si="2"/>
        <v>0</v>
      </c>
      <c r="J149" s="413"/>
      <c r="K149" s="848"/>
      <c r="L149" s="908"/>
      <c r="M149" s="848"/>
      <c r="N149" s="908"/>
      <c r="O149" s="908"/>
      <c r="P149" s="420"/>
    </row>
    <row r="150" spans="3:16" ht="12.75">
      <c r="C150" s="408">
        <f>IF(D94="","-",+C149+1)</f>
        <v>2058</v>
      </c>
      <c r="D150" s="409">
        <f t="shared" si="5"/>
        <v>0</v>
      </c>
      <c r="E150" s="411">
        <f t="shared" si="3"/>
        <v>0</v>
      </c>
      <c r="F150" s="409">
        <f t="shared" si="4"/>
        <v>0</v>
      </c>
      <c r="G150" s="412">
        <f>+I95*F150+E150</f>
        <v>0</v>
      </c>
      <c r="H150" s="401">
        <f>I96*F150+E150</f>
        <v>0</v>
      </c>
      <c r="I150" s="413">
        <f t="shared" si="2"/>
        <v>0</v>
      </c>
      <c r="J150" s="413"/>
      <c r="K150" s="848"/>
      <c r="L150" s="908"/>
      <c r="M150" s="848"/>
      <c r="N150" s="908"/>
      <c r="O150" s="908"/>
      <c r="P150" s="420"/>
    </row>
    <row r="151" spans="3:16" ht="12.75">
      <c r="C151" s="408">
        <f>IF(D94="","-",+C150+1)</f>
        <v>2059</v>
      </c>
      <c r="D151" s="409">
        <f t="shared" si="5"/>
        <v>0</v>
      </c>
      <c r="E151" s="411">
        <f t="shared" si="3"/>
        <v>0</v>
      </c>
      <c r="F151" s="409">
        <f t="shared" si="4"/>
        <v>0</v>
      </c>
      <c r="G151" s="412">
        <f>+I95*F151+E151</f>
        <v>0</v>
      </c>
      <c r="H151" s="401">
        <f>I96*F151+E151</f>
        <v>0</v>
      </c>
      <c r="I151" s="413">
        <f t="shared" si="2"/>
        <v>0</v>
      </c>
      <c r="J151" s="413"/>
      <c r="K151" s="848"/>
      <c r="L151" s="908"/>
      <c r="M151" s="848"/>
      <c r="N151" s="908"/>
      <c r="O151" s="908"/>
      <c r="P151" s="420"/>
    </row>
    <row r="152" spans="3:16" ht="12.75">
      <c r="C152" s="408">
        <f>IF(D94="","-",+C151+1)</f>
        <v>2060</v>
      </c>
      <c r="D152" s="409">
        <f t="shared" si="5"/>
        <v>0</v>
      </c>
      <c r="E152" s="411">
        <f t="shared" si="3"/>
        <v>0</v>
      </c>
      <c r="F152" s="409">
        <f t="shared" si="4"/>
        <v>0</v>
      </c>
      <c r="G152" s="412">
        <f>+I95*F152+E152</f>
        <v>0</v>
      </c>
      <c r="H152" s="401">
        <f>I96*F152+E152</f>
        <v>0</v>
      </c>
      <c r="I152" s="413">
        <f t="shared" si="2"/>
        <v>0</v>
      </c>
      <c r="J152" s="413"/>
      <c r="K152" s="848"/>
      <c r="L152" s="908"/>
      <c r="M152" s="848"/>
      <c r="N152" s="908"/>
      <c r="O152" s="908"/>
      <c r="P152" s="420"/>
    </row>
    <row r="153" spans="3:16" ht="12.75">
      <c r="C153" s="408">
        <f>IF(D94="","-",+C152+1)</f>
        <v>2061</v>
      </c>
      <c r="D153" s="409">
        <f t="shared" si="5"/>
        <v>0</v>
      </c>
      <c r="E153" s="411">
        <f t="shared" si="3"/>
        <v>0</v>
      </c>
      <c r="F153" s="409">
        <f t="shared" si="4"/>
        <v>0</v>
      </c>
      <c r="G153" s="412">
        <f>+I95*F153+E153</f>
        <v>0</v>
      </c>
      <c r="H153" s="401">
        <f>I96*F153+E153</f>
        <v>0</v>
      </c>
      <c r="I153" s="413">
        <f t="shared" si="2"/>
        <v>0</v>
      </c>
      <c r="J153" s="413"/>
      <c r="K153" s="848"/>
      <c r="L153" s="908"/>
      <c r="M153" s="848"/>
      <c r="N153" s="908"/>
      <c r="O153" s="908"/>
      <c r="P153" s="420"/>
    </row>
    <row r="154" spans="3:16" ht="12.75">
      <c r="C154" s="408">
        <f>IF(D94="","-",+C153+1)</f>
        <v>2062</v>
      </c>
      <c r="D154" s="409">
        <f t="shared" si="5"/>
        <v>0</v>
      </c>
      <c r="E154" s="411">
        <f t="shared" si="3"/>
        <v>0</v>
      </c>
      <c r="F154" s="409">
        <f t="shared" si="4"/>
        <v>0</v>
      </c>
      <c r="G154" s="412">
        <f>+I95*F154+E154</f>
        <v>0</v>
      </c>
      <c r="H154" s="401">
        <f>I96*F154+E154</f>
        <v>0</v>
      </c>
      <c r="I154" s="413">
        <f t="shared" si="2"/>
        <v>0</v>
      </c>
      <c r="J154" s="413"/>
      <c r="K154" s="848"/>
      <c r="L154" s="908"/>
      <c r="M154" s="848"/>
      <c r="N154" s="908"/>
      <c r="O154" s="908"/>
      <c r="P154" s="420"/>
    </row>
    <row r="155" spans="3:16" ht="12.75">
      <c r="C155" s="408">
        <f>IF(D94="","-",+C154+1)</f>
        <v>2063</v>
      </c>
      <c r="D155" s="409">
        <f t="shared" si="5"/>
        <v>0</v>
      </c>
      <c r="E155" s="411">
        <f t="shared" si="3"/>
        <v>0</v>
      </c>
      <c r="F155" s="409">
        <f t="shared" si="4"/>
        <v>0</v>
      </c>
      <c r="G155" s="412">
        <f>+I95*F155+E155</f>
        <v>0</v>
      </c>
      <c r="H155" s="401">
        <f>I96*F155+E155</f>
        <v>0</v>
      </c>
      <c r="I155" s="413">
        <f t="shared" si="2"/>
        <v>0</v>
      </c>
      <c r="J155" s="413"/>
      <c r="K155" s="848"/>
      <c r="L155" s="908"/>
      <c r="M155" s="848"/>
      <c r="N155" s="908"/>
      <c r="O155" s="908"/>
      <c r="P155" s="420"/>
    </row>
    <row r="156" spans="3:16" ht="12.75">
      <c r="C156" s="408">
        <f>IF(D94="","-",+C155+1)</f>
        <v>2064</v>
      </c>
      <c r="D156" s="409">
        <f t="shared" si="5"/>
        <v>0</v>
      </c>
      <c r="E156" s="411">
        <f t="shared" si="3"/>
        <v>0</v>
      </c>
      <c r="F156" s="409">
        <f t="shared" si="4"/>
        <v>0</v>
      </c>
      <c r="G156" s="412">
        <f>+I95*F156+E156</f>
        <v>0</v>
      </c>
      <c r="H156" s="401">
        <f>I96*F156+E156</f>
        <v>0</v>
      </c>
      <c r="I156" s="413">
        <f t="shared" si="2"/>
        <v>0</v>
      </c>
      <c r="J156" s="413"/>
      <c r="K156" s="848"/>
      <c r="L156" s="908"/>
      <c r="M156" s="848"/>
      <c r="N156" s="908"/>
      <c r="O156" s="908"/>
      <c r="P156" s="420"/>
    </row>
    <row r="157" spans="3:16" ht="12.75">
      <c r="C157" s="408">
        <f>IF(D94="","-",+C156+1)</f>
        <v>2065</v>
      </c>
      <c r="D157" s="409">
        <f t="shared" si="5"/>
        <v>0</v>
      </c>
      <c r="E157" s="411">
        <f t="shared" si="3"/>
        <v>0</v>
      </c>
      <c r="F157" s="409">
        <f t="shared" si="4"/>
        <v>0</v>
      </c>
      <c r="G157" s="412">
        <f>+I95*F157+E157</f>
        <v>0</v>
      </c>
      <c r="H157" s="401">
        <f>I96*F157+E157</f>
        <v>0</v>
      </c>
      <c r="I157" s="413">
        <f t="shared" si="2"/>
        <v>0</v>
      </c>
      <c r="J157" s="413"/>
      <c r="K157" s="848"/>
      <c r="L157" s="908"/>
      <c r="M157" s="848"/>
      <c r="N157" s="908"/>
      <c r="O157" s="908"/>
      <c r="P157" s="420"/>
    </row>
    <row r="158" spans="3:16" ht="12.75">
      <c r="C158" s="408">
        <f>IF(D94="","-",+C157+1)</f>
        <v>2066</v>
      </c>
      <c r="D158" s="409">
        <f t="shared" si="5"/>
        <v>0</v>
      </c>
      <c r="E158" s="411">
        <f t="shared" si="3"/>
        <v>0</v>
      </c>
      <c r="F158" s="409">
        <f t="shared" si="4"/>
        <v>0</v>
      </c>
      <c r="G158" s="412">
        <f>+I95*F158+E158</f>
        <v>0</v>
      </c>
      <c r="H158" s="401">
        <f>I96*F158+E158</f>
        <v>0</v>
      </c>
      <c r="I158" s="413">
        <f t="shared" si="2"/>
        <v>0</v>
      </c>
      <c r="J158" s="413"/>
      <c r="K158" s="848"/>
      <c r="L158" s="908"/>
      <c r="M158" s="848"/>
      <c r="N158" s="908"/>
      <c r="O158" s="908"/>
      <c r="P158" s="420"/>
    </row>
    <row r="159" spans="3:16" ht="13.5" thickBot="1">
      <c r="C159" s="414">
        <f>IF(D94="","-",+C158+1)</f>
        <v>2067</v>
      </c>
      <c r="D159" s="415">
        <f t="shared" si="5"/>
        <v>0</v>
      </c>
      <c r="E159" s="416">
        <f t="shared" si="3"/>
        <v>0</v>
      </c>
      <c r="F159" s="415">
        <f t="shared" si="4"/>
        <v>0</v>
      </c>
      <c r="G159" s="417">
        <f>+I95*F159+E159</f>
        <v>0</v>
      </c>
      <c r="H159" s="417">
        <f>I96*F159+E159</f>
        <v>0</v>
      </c>
      <c r="I159" s="419">
        <f t="shared" si="2"/>
        <v>0</v>
      </c>
      <c r="J159" s="413"/>
      <c r="K159" s="849"/>
      <c r="L159" s="909"/>
      <c r="M159" s="849"/>
      <c r="N159" s="909"/>
      <c r="O159" s="909"/>
      <c r="P159" s="420"/>
    </row>
    <row r="160" spans="3:16" ht="12.75">
      <c r="C160" s="409" t="s">
        <v>73</v>
      </c>
      <c r="D160" s="388"/>
      <c r="E160" s="388">
        <f>SUM(E100:E159)</f>
        <v>0</v>
      </c>
      <c r="F160" s="388"/>
      <c r="G160" s="388">
        <f>SUM(G100:G159)</f>
        <v>0</v>
      </c>
      <c r="H160" s="388">
        <f>SUM(H100:H159)</f>
        <v>0</v>
      </c>
      <c r="I160" s="388">
        <f>SUM(I100:I159)</f>
        <v>0</v>
      </c>
      <c r="J160" s="388"/>
      <c r="K160" s="388"/>
      <c r="L160" s="388"/>
      <c r="M160" s="388"/>
      <c r="N160" s="388"/>
      <c r="O160" s="100"/>
      <c r="P160" s="388"/>
    </row>
    <row r="161" spans="4:16" ht="6.75" customHeight="1">
      <c r="D161" s="364"/>
      <c r="E161" s="100"/>
      <c r="F161" s="100"/>
      <c r="G161" s="100"/>
      <c r="H161" s="365"/>
      <c r="I161" s="365"/>
      <c r="J161" s="388"/>
      <c r="K161" s="365"/>
      <c r="L161" s="365"/>
      <c r="M161" s="365"/>
      <c r="N161" s="365"/>
      <c r="O161" s="100"/>
      <c r="P161" s="388"/>
    </row>
    <row r="162" spans="3:16" ht="12.75">
      <c r="C162" s="439" t="s">
        <v>337</v>
      </c>
      <c r="D162" s="364"/>
      <c r="E162" s="100"/>
      <c r="F162" s="100"/>
      <c r="G162" s="100"/>
      <c r="H162" s="365"/>
      <c r="I162" s="365"/>
      <c r="J162" s="388"/>
      <c r="K162" s="365"/>
      <c r="L162" s="365"/>
      <c r="M162" s="365"/>
      <c r="N162" s="365"/>
      <c r="O162" s="100"/>
      <c r="P162" s="388"/>
    </row>
    <row r="163" spans="4:16" ht="6.75" customHeight="1">
      <c r="D163" s="364"/>
      <c r="E163" s="100"/>
      <c r="F163" s="100"/>
      <c r="G163" s="100"/>
      <c r="H163" s="365"/>
      <c r="I163" s="365"/>
      <c r="J163" s="388"/>
      <c r="K163" s="365"/>
      <c r="L163" s="365"/>
      <c r="M163" s="365"/>
      <c r="N163" s="365"/>
      <c r="O163" s="100"/>
      <c r="P163" s="388"/>
    </row>
    <row r="164" spans="3:16" ht="12.75">
      <c r="C164" s="391" t="s">
        <v>87</v>
      </c>
      <c r="D164" s="409"/>
      <c r="E164" s="409"/>
      <c r="F164" s="409"/>
      <c r="G164" s="388"/>
      <c r="H164" s="388"/>
      <c r="I164" s="420"/>
      <c r="J164" s="420"/>
      <c r="K164" s="420"/>
      <c r="L164" s="420"/>
      <c r="M164" s="420"/>
      <c r="N164" s="420"/>
      <c r="O164" s="100"/>
      <c r="P164" s="420"/>
    </row>
    <row r="165" spans="3:16" ht="12.75">
      <c r="C165" s="424" t="s">
        <v>338</v>
      </c>
      <c r="D165" s="409"/>
      <c r="E165" s="409"/>
      <c r="F165" s="409"/>
      <c r="G165" s="388"/>
      <c r="H165" s="388"/>
      <c r="I165" s="420"/>
      <c r="J165" s="420"/>
      <c r="K165" s="420"/>
      <c r="L165" s="420"/>
      <c r="M165" s="420"/>
      <c r="N165" s="420"/>
      <c r="O165" s="100"/>
      <c r="P165" s="420"/>
    </row>
    <row r="166" spans="3:16" ht="12.75">
      <c r="C166" s="424" t="s">
        <v>74</v>
      </c>
      <c r="D166" s="409"/>
      <c r="E166" s="409"/>
      <c r="F166" s="409"/>
      <c r="G166" s="388"/>
      <c r="H166" s="388"/>
      <c r="I166" s="420"/>
      <c r="J166" s="420"/>
      <c r="K166" s="420"/>
      <c r="L166" s="420"/>
      <c r="M166" s="420"/>
      <c r="N166" s="420"/>
      <c r="O166" s="100"/>
      <c r="P166" s="420"/>
    </row>
    <row r="167" spans="3:16" ht="12.75">
      <c r="C167" s="424"/>
      <c r="D167" s="409"/>
      <c r="E167" s="409"/>
      <c r="F167" s="409"/>
      <c r="G167" s="388"/>
      <c r="H167" s="388"/>
      <c r="I167" s="420"/>
      <c r="J167" s="420"/>
      <c r="K167" s="420"/>
      <c r="L167" s="420"/>
      <c r="M167" s="420"/>
      <c r="N167" s="420"/>
      <c r="O167" s="100"/>
      <c r="P167" s="420"/>
    </row>
    <row r="168" spans="3:15" ht="12.75">
      <c r="C168" s="1168" t="s">
        <v>789</v>
      </c>
      <c r="D168" s="1168"/>
      <c r="E168" s="1168"/>
      <c r="F168" s="1168"/>
      <c r="G168" s="1168"/>
      <c r="H168" s="1168"/>
      <c r="I168" s="1168"/>
      <c r="J168" s="1168"/>
      <c r="K168" s="1168"/>
      <c r="L168" s="1168"/>
      <c r="M168" s="1168"/>
      <c r="N168" s="1168"/>
      <c r="O168" s="1168"/>
    </row>
    <row r="169" spans="3:15" ht="12.75">
      <c r="C169" s="1168"/>
      <c r="D169" s="1168"/>
      <c r="E169" s="1168"/>
      <c r="F169" s="1168"/>
      <c r="G169" s="1168"/>
      <c r="H169" s="1168"/>
      <c r="I169" s="1168"/>
      <c r="J169" s="1168"/>
      <c r="K169" s="1168"/>
      <c r="L169" s="1168"/>
      <c r="M169" s="1168"/>
      <c r="N169" s="1168"/>
      <c r="O169" s="1168"/>
    </row>
    <row r="299" ht="6" customHeight="1"/>
    <row r="301" ht="6" customHeight="1"/>
    <row r="308" ht="6" customHeight="1"/>
    <row r="310" ht="6" customHeight="1"/>
    <row r="314" ht="6" customHeight="1"/>
    <row r="317" ht="6" customHeight="1"/>
    <row r="322" ht="6" customHeight="1"/>
    <row r="326" ht="6" customHeight="1"/>
    <row r="328" ht="6" customHeight="1"/>
    <row r="337" ht="6" customHeight="1"/>
    <row r="339" ht="6" customHeight="1"/>
    <row r="341" ht="6" customHeight="1"/>
    <row r="343" ht="6" customHeight="1"/>
    <row r="352" ht="6" customHeight="1"/>
    <row r="354" ht="6" customHeight="1"/>
  </sheetData>
  <sheetProtection/>
  <mergeCells count="8">
    <mergeCell ref="C168:O169"/>
    <mergeCell ref="K93:O93"/>
    <mergeCell ref="K20:O21"/>
    <mergeCell ref="A1:O1"/>
    <mergeCell ref="C9:H10"/>
    <mergeCell ref="A2:O2"/>
    <mergeCell ref="A3:O3"/>
    <mergeCell ref="A4:O4"/>
  </mergeCells>
  <conditionalFormatting sqref="C100:C159">
    <cfRule type="cellIs" priority="1" dxfId="0" operator="equal" stopIfTrue="1">
      <formula>$I$93</formula>
    </cfRule>
  </conditionalFormatting>
  <printOptions/>
  <pageMargins left="0.26" right="1.28" top="1" bottom="0.25" header="0.75" footer="0.5"/>
  <pageSetup fitToHeight="2" horizontalDpi="600" verticalDpi="600" orientation="landscape" scale="45" r:id="rId1"/>
  <headerFooter alignWithMargins="0">
    <oddHeader>&amp;R&amp;"Arial,Bold"Formula Rate 
&amp;A
Page &amp;P of &amp;N</oddHeader>
  </headerFooter>
  <rowBreaks count="1" manualBreakCount="1">
    <brk id="80" max="14" man="1"/>
  </rowBreaks>
</worksheet>
</file>

<file path=xl/worksheets/sheet15.xml><?xml version="1.0" encoding="utf-8"?>
<worksheet xmlns="http://schemas.openxmlformats.org/spreadsheetml/2006/main" xmlns:r="http://schemas.openxmlformats.org/officeDocument/2006/relationships">
  <dimension ref="A1:Q167"/>
  <sheetViews>
    <sheetView zoomScalePageLayoutView="0" workbookViewId="0" topLeftCell="A1">
      <selection activeCell="A1" sqref="A1:P1"/>
    </sheetView>
  </sheetViews>
  <sheetFormatPr defaultColWidth="9.140625" defaultRowHeight="12.75"/>
  <cols>
    <col min="1" max="1" width="4.7109375" style="0" customWidth="1"/>
    <col min="2" max="2" width="6.7109375" style="0" customWidth="1"/>
    <col min="3" max="3" width="20.7109375" style="0" customWidth="1"/>
    <col min="4" max="4" width="17.7109375" style="4" customWidth="1"/>
    <col min="5" max="8" width="17.7109375" style="0" customWidth="1"/>
    <col min="9" max="9" width="17.7109375" style="326" customWidth="1"/>
    <col min="10" max="10" width="17.7109375" style="0" bestFit="1" customWidth="1"/>
    <col min="11" max="11" width="2.140625" style="132" customWidth="1"/>
    <col min="12" max="15" width="17.7109375" style="100" customWidth="1"/>
    <col min="16" max="16" width="16.7109375" style="100" customWidth="1"/>
    <col min="17" max="17" width="2.140625" style="0" customWidth="1"/>
  </cols>
  <sheetData>
    <row r="1" spans="1:17" ht="15">
      <c r="A1" s="1091" t="s">
        <v>230</v>
      </c>
      <c r="B1" s="1091"/>
      <c r="C1" s="1091"/>
      <c r="D1" s="1091"/>
      <c r="E1" s="1091"/>
      <c r="F1" s="1091"/>
      <c r="G1" s="1091"/>
      <c r="H1" s="1091"/>
      <c r="I1" s="1091"/>
      <c r="J1" s="1091"/>
      <c r="K1" s="1091"/>
      <c r="L1" s="1091"/>
      <c r="M1" s="1091"/>
      <c r="N1" s="1091"/>
      <c r="O1" s="1091"/>
      <c r="P1" s="1091"/>
      <c r="Q1" s="132"/>
    </row>
    <row r="2" spans="1:17" ht="15">
      <c r="A2" s="1090" t="str">
        <f>"Cost of Service Formula Rate Using "&amp;'KPCo Historic TCOS'!O1&amp;" FF1 Balances"</f>
        <v>Cost of Service Formula Rate Using 2009 FF1 Balances</v>
      </c>
      <c r="B2" s="1090"/>
      <c r="C2" s="1090"/>
      <c r="D2" s="1090"/>
      <c r="E2" s="1090"/>
      <c r="F2" s="1090"/>
      <c r="G2" s="1090"/>
      <c r="H2" s="1090"/>
      <c r="I2" s="1090"/>
      <c r="J2" s="1090"/>
      <c r="K2" s="1090"/>
      <c r="L2" s="1090"/>
      <c r="M2" s="1090"/>
      <c r="N2" s="1090"/>
      <c r="O2" s="1090"/>
      <c r="P2" s="1090"/>
      <c r="Q2" s="132"/>
    </row>
    <row r="3" spans="1:17" ht="15">
      <c r="A3" s="1090" t="s">
        <v>325</v>
      </c>
      <c r="B3" s="1090"/>
      <c r="C3" s="1090"/>
      <c r="D3" s="1090"/>
      <c r="E3" s="1090"/>
      <c r="F3" s="1090"/>
      <c r="G3" s="1090"/>
      <c r="H3" s="1090"/>
      <c r="I3" s="1090"/>
      <c r="J3" s="1090"/>
      <c r="K3" s="1090"/>
      <c r="L3" s="1090"/>
      <c r="M3" s="1090"/>
      <c r="N3" s="1090"/>
      <c r="O3" s="1090"/>
      <c r="P3" s="1090"/>
      <c r="Q3" s="132"/>
    </row>
    <row r="4" spans="1:17" ht="15">
      <c r="A4" s="1094" t="str">
        <f>+'KPCo WS A  - RB Support '!A4:F4</f>
        <v>KENTUCKY POWER COMPANY</v>
      </c>
      <c r="B4" s="1094"/>
      <c r="C4" s="1094"/>
      <c r="D4" s="1094"/>
      <c r="E4" s="1094"/>
      <c r="F4" s="1094"/>
      <c r="G4" s="1094"/>
      <c r="H4" s="1094"/>
      <c r="I4" s="1094"/>
      <c r="J4" s="1094"/>
      <c r="K4" s="1094"/>
      <c r="L4" s="1094"/>
      <c r="M4" s="1094"/>
      <c r="N4" s="1094"/>
      <c r="O4" s="1094"/>
      <c r="P4" s="1094"/>
      <c r="Q4" s="132"/>
    </row>
    <row r="5" ht="12.75">
      <c r="Q5" s="132"/>
    </row>
    <row r="6" spans="1:17" ht="20.25">
      <c r="A6" s="421"/>
      <c r="B6" s="146"/>
      <c r="C6" s="146"/>
      <c r="O6" s="327" t="str">
        <f>"Page "&amp;Q6&amp;" of "</f>
        <v>Page 1 of </v>
      </c>
      <c r="P6" s="328">
        <f>COUNT(Q$6:Q$59668)</f>
        <v>2</v>
      </c>
      <c r="Q6" s="1069">
        <v>1</v>
      </c>
    </row>
    <row r="7" spans="3:17" ht="18">
      <c r="C7" s="331"/>
      <c r="Q7" s="132"/>
    </row>
    <row r="8" ht="12.75">
      <c r="Q8" s="132"/>
    </row>
    <row r="9" spans="2:17" ht="18">
      <c r="B9" s="330" t="s">
        <v>779</v>
      </c>
      <c r="C9" s="1176" t="str">
        <f>"Calculate Return and Income Taxes with "&amp;F15&amp;" basis point ROE increase for Projects Qualified for Regional Billing."</f>
        <v>Calculate Return and Income Taxes with 0 basis point ROE increase for Projects Qualified for Regional Billing.</v>
      </c>
      <c r="D9" s="1143"/>
      <c r="E9" s="1143"/>
      <c r="F9" s="1143"/>
      <c r="G9" s="1143"/>
      <c r="H9" s="1143"/>
      <c r="I9" s="1143"/>
      <c r="Q9" s="132"/>
    </row>
    <row r="10" spans="3:17" ht="18.75" customHeight="1">
      <c r="C10" s="1143"/>
      <c r="D10" s="1143"/>
      <c r="E10" s="1143"/>
      <c r="F10" s="1143"/>
      <c r="G10" s="1143"/>
      <c r="H10" s="1143"/>
      <c r="I10" s="1143"/>
      <c r="Q10" s="132"/>
    </row>
    <row r="11" spans="3:17" ht="15.75" customHeight="1">
      <c r="C11" s="136"/>
      <c r="D11" s="136"/>
      <c r="E11" s="136"/>
      <c r="F11" s="136"/>
      <c r="G11" s="136"/>
      <c r="H11" s="136"/>
      <c r="I11" s="136"/>
      <c r="Q11" s="132"/>
    </row>
    <row r="12" spans="3:17" ht="15.75">
      <c r="C12" s="332" t="str">
        <f>"A.   Determine 'R' with hypothetical "&amp;F15&amp;" basis point increase in ROE for Identified Projects"</f>
        <v>A.   Determine 'R' with hypothetical 0 basis point increase in ROE for Identified Projects</v>
      </c>
      <c r="D12" s="745"/>
      <c r="Q12" s="132"/>
    </row>
    <row r="13" spans="3:17" ht="12.75">
      <c r="C13" s="756"/>
      <c r="D13" s="745"/>
      <c r="Q13" s="132"/>
    </row>
    <row r="14" spans="3:17" ht="12.75">
      <c r="C14" s="333" t="str">
        <f>"   ROE w/o incentives  (True-Up TCOS, ln "&amp;'KPCo True-UP TCOS'!B257&amp;")"</f>
        <v>   ROE w/o incentives  (True-Up TCOS, ln 164)</v>
      </c>
      <c r="D14" s="745"/>
      <c r="E14" s="334"/>
      <c r="F14" s="556">
        <f>+'KPCo True-UP TCOS'!J257</f>
        <v>0.1149</v>
      </c>
      <c r="G14" s="556"/>
      <c r="H14" s="334"/>
      <c r="I14" s="335"/>
      <c r="J14" s="335"/>
      <c r="K14" s="336"/>
      <c r="L14" s="335"/>
      <c r="M14" s="335"/>
      <c r="N14" s="335"/>
      <c r="O14" s="335"/>
      <c r="P14" s="335"/>
      <c r="Q14" s="336"/>
    </row>
    <row r="15" spans="3:17" ht="13.5" thickBot="1">
      <c r="C15" s="333" t="s">
        <v>35</v>
      </c>
      <c r="D15" s="745"/>
      <c r="E15" s="334"/>
      <c r="F15" s="856">
        <v>0</v>
      </c>
      <c r="G15" s="334" t="s">
        <v>322</v>
      </c>
      <c r="H15" s="334"/>
      <c r="I15" s="335"/>
      <c r="J15" s="335"/>
      <c r="K15" s="336"/>
      <c r="L15" s="335"/>
      <c r="M15" s="335"/>
      <c r="N15" s="335"/>
      <c r="O15" s="335"/>
      <c r="P15" s="335"/>
      <c r="Q15" s="336"/>
    </row>
    <row r="16" spans="3:17" ht="12.75">
      <c r="C16" s="333" t="str">
        <f>"   ROE with additional "&amp;F15&amp;" basis point incentive"</f>
        <v>   ROE with additional 0 basis point incentive</v>
      </c>
      <c r="D16" s="334"/>
      <c r="E16" s="334"/>
      <c r="F16" s="557">
        <f>IF((F14+(F15/10000)&gt;0.125),"ERROR",F14+(F15/10000))</f>
        <v>0.1149</v>
      </c>
      <c r="G16" s="808" t="str">
        <f>"&lt;== ROE Including Incentives  Cannot Exceed "&amp;12.5&amp;"% Until July 1, 2012"</f>
        <v>&lt;== ROE Including Incentives  Cannot Exceed 12.5% Until July 1, 2012</v>
      </c>
      <c r="H16" s="334"/>
      <c r="I16" s="335"/>
      <c r="J16" s="335"/>
      <c r="K16" s="336"/>
      <c r="L16" s="809" t="s">
        <v>302</v>
      </c>
      <c r="M16" s="338"/>
      <c r="N16" s="338"/>
      <c r="O16" s="338"/>
      <c r="P16" s="339"/>
      <c r="Q16" s="336"/>
    </row>
    <row r="17" spans="3:17" ht="12.75">
      <c r="C17" s="333" t="str">
        <f>"   Determine R  ( cost of long term debt, cost of preferred stock and equity percentage is from the True-Up TCOS, lns "&amp;'KPCo True-UP TCOS'!B255&amp;" through"&amp;'KPCo True-UP TCOS'!B257&amp;")"</f>
        <v>   Determine R  ( cost of long term debt, cost of preferred stock and equity percentage is from the True-Up TCOS, lns 162 through164)</v>
      </c>
      <c r="D17" s="745"/>
      <c r="E17" s="334"/>
      <c r="F17" s="337"/>
      <c r="G17" s="337"/>
      <c r="H17" s="334"/>
      <c r="I17" s="335"/>
      <c r="J17" s="335"/>
      <c r="K17" s="336"/>
      <c r="L17" s="810"/>
      <c r="M17" s="336"/>
      <c r="N17" s="336" t="s">
        <v>37</v>
      </c>
      <c r="O17" s="336" t="s">
        <v>38</v>
      </c>
      <c r="P17" s="811" t="s">
        <v>39</v>
      </c>
      <c r="Q17" s="336"/>
    </row>
    <row r="18" spans="3:17" ht="12.75">
      <c r="C18" s="336"/>
      <c r="D18" s="340" t="s">
        <v>754</v>
      </c>
      <c r="E18" s="340" t="s">
        <v>753</v>
      </c>
      <c r="F18" s="341" t="s">
        <v>36</v>
      </c>
      <c r="G18" s="341"/>
      <c r="H18" s="334"/>
      <c r="I18" s="335"/>
      <c r="J18" s="335"/>
      <c r="K18" s="336"/>
      <c r="L18" s="810" t="s">
        <v>300</v>
      </c>
      <c r="M18" s="812">
        <f>+'KPCo Historic TCOS'!O1</f>
        <v>2009</v>
      </c>
      <c r="N18" s="354"/>
      <c r="O18" s="354"/>
      <c r="P18" s="813"/>
      <c r="Q18" s="336"/>
    </row>
    <row r="19" spans="3:17" ht="12.75">
      <c r="C19" s="342" t="s">
        <v>40</v>
      </c>
      <c r="D19" s="871">
        <f>IF(+'KPCo True-UP TCOS'!H255=0,'KPCo True-UP TCOS'!G255,'KPCo True-UP TCOS'!H255)</f>
        <v>0.5387889950145954</v>
      </c>
      <c r="E19" s="343">
        <f>+'KPCo True-UP TCOS'!J255</f>
        <v>0.06353364329896907</v>
      </c>
      <c r="F19" s="569">
        <f>E19*D19</f>
        <v>0.03423122782266733</v>
      </c>
      <c r="G19" s="569"/>
      <c r="H19" s="334"/>
      <c r="I19" s="335"/>
      <c r="J19" s="344"/>
      <c r="K19" s="345"/>
      <c r="L19" s="814"/>
      <c r="M19" s="815" t="s">
        <v>301</v>
      </c>
      <c r="N19" s="816"/>
      <c r="O19" s="816"/>
      <c r="P19" s="817">
        <f>+O19-N19</f>
        <v>0</v>
      </c>
      <c r="Q19" s="345"/>
    </row>
    <row r="20" spans="3:17" ht="13.5" thickBot="1">
      <c r="C20" s="342" t="s">
        <v>41</v>
      </c>
      <c r="D20" s="871">
        <f>IF(+'KPCo True-UP TCOS'!H256=0,'KPCo True-UP TCOS'!G256,'KPCo True-UP TCOS'!H256)</f>
        <v>0</v>
      </c>
      <c r="E20" s="343">
        <f>+'KPCo True-UP TCOS'!J256</f>
        <v>0</v>
      </c>
      <c r="F20" s="569">
        <f>E20*D20</f>
        <v>0</v>
      </c>
      <c r="G20" s="569"/>
      <c r="H20" s="346"/>
      <c r="I20" s="346"/>
      <c r="J20" s="347"/>
      <c r="K20" s="348"/>
      <c r="L20" s="814"/>
      <c r="M20" s="815" t="s">
        <v>42</v>
      </c>
      <c r="N20" s="818">
        <f>+M89</f>
        <v>0</v>
      </c>
      <c r="O20" s="818">
        <f>+N89</f>
        <v>0</v>
      </c>
      <c r="P20" s="819">
        <f>+O20-N20</f>
        <v>0</v>
      </c>
      <c r="Q20" s="348"/>
    </row>
    <row r="21" spans="3:17" ht="12.75">
      <c r="C21" s="349" t="s">
        <v>26</v>
      </c>
      <c r="D21" s="871">
        <f>IF(+'KPCo True-UP TCOS'!H257=0,'KPCo True-UP TCOS'!G257,'KPCo True-UP TCOS'!H257)</f>
        <v>0.46121100498540457</v>
      </c>
      <c r="E21" s="343">
        <f>+F16</f>
        <v>0.1149</v>
      </c>
      <c r="F21" s="570">
        <f>E21*D21</f>
        <v>0.05299314447282299</v>
      </c>
      <c r="G21" s="570"/>
      <c r="H21" s="346"/>
      <c r="I21" s="346"/>
      <c r="J21" s="347"/>
      <c r="K21" s="348"/>
      <c r="L21" s="814"/>
      <c r="M21" s="815" t="str">
        <f>"True-up of ARR For "&amp;'KPCo Historic TCOS'!O1&amp;""</f>
        <v>True-up of ARR For 2009</v>
      </c>
      <c r="N21" s="409">
        <f>+N20-N19</f>
        <v>0</v>
      </c>
      <c r="O21" s="409">
        <f>+O20-O19</f>
        <v>0</v>
      </c>
      <c r="P21" s="820">
        <f>+P20-P19</f>
        <v>0</v>
      </c>
      <c r="Q21" s="348"/>
    </row>
    <row r="22" spans="3:17" ht="12.75">
      <c r="C22" s="333"/>
      <c r="D22"/>
      <c r="E22" s="350" t="s">
        <v>43</v>
      </c>
      <c r="F22" s="569">
        <f>SUM(F19:F21)</f>
        <v>0.08722437229549032</v>
      </c>
      <c r="G22" s="569"/>
      <c r="H22" s="346"/>
      <c r="I22" s="346"/>
      <c r="J22" s="347"/>
      <c r="K22" s="348"/>
      <c r="L22" s="814"/>
      <c r="M22" s="354"/>
      <c r="N22" s="354"/>
      <c r="O22" s="354"/>
      <c r="P22" s="813"/>
      <c r="Q22" s="348"/>
    </row>
    <row r="23" spans="3:17" ht="13.5" thickBot="1">
      <c r="C23" s="756"/>
      <c r="D23" s="351"/>
      <c r="E23" s="351"/>
      <c r="F23" s="346"/>
      <c r="G23" s="346"/>
      <c r="H23" s="346"/>
      <c r="I23" s="346"/>
      <c r="J23" s="346"/>
      <c r="K23" s="352"/>
      <c r="L23" s="821"/>
      <c r="M23" s="822"/>
      <c r="N23" s="823"/>
      <c r="O23" s="823"/>
      <c r="P23" s="819"/>
      <c r="Q23" s="352"/>
    </row>
    <row r="24" spans="3:17" ht="15.75">
      <c r="C24" s="332" t="str">
        <f>"B.   Determine Return using 'R' with hypothetical "&amp;F15&amp;" basis point ROE increase for Identified Projects."</f>
        <v>B.   Determine Return using 'R' with hypothetical 0 basis point ROE increase for Identified Projects.</v>
      </c>
      <c r="D24" s="351"/>
      <c r="E24" s="351"/>
      <c r="F24" s="353"/>
      <c r="G24" s="353"/>
      <c r="H24" s="346"/>
      <c r="I24" s="334"/>
      <c r="J24" s="346"/>
      <c r="K24" s="352"/>
      <c r="L24" s="346"/>
      <c r="M24" s="346"/>
      <c r="N24" s="346"/>
      <c r="O24" s="346"/>
      <c r="P24" s="346"/>
      <c r="Q24" s="352"/>
    </row>
    <row r="25" spans="3:17" ht="12.75">
      <c r="C25" s="336"/>
      <c r="D25" s="351"/>
      <c r="E25" s="351"/>
      <c r="F25" s="352"/>
      <c r="G25" s="352"/>
      <c r="H25" s="352"/>
      <c r="I25" s="352"/>
      <c r="J25" s="352"/>
      <c r="K25" s="352"/>
      <c r="L25" s="352"/>
      <c r="M25" s="352"/>
      <c r="N25" s="352"/>
      <c r="O25" s="352"/>
      <c r="P25" s="352"/>
      <c r="Q25" s="352"/>
    </row>
    <row r="26" spans="3:17" ht="12.75">
      <c r="C26" s="333" t="str">
        <f>"   Rate Base  (True-Up TCOS, ln "&amp;'KPCo True-UP TCOS'!B128&amp;")"</f>
        <v>   Rate Base  (True-Up TCOS, ln 78)</v>
      </c>
      <c r="D26" s="334"/>
      <c r="E26" s="355">
        <f>+'KPCo True-UP TCOS'!L128</f>
        <v>257742155.51357573</v>
      </c>
      <c r="F26" s="356"/>
      <c r="G26" s="356"/>
      <c r="H26" s="352"/>
      <c r="I26" s="352"/>
      <c r="J26" s="352"/>
      <c r="K26" s="352"/>
      <c r="L26" s="352"/>
      <c r="M26" s="352"/>
      <c r="N26" s="352"/>
      <c r="O26" s="352"/>
      <c r="P26" s="356"/>
      <c r="Q26" s="352"/>
    </row>
    <row r="27" spans="3:17" ht="12.75">
      <c r="C27" s="336" t="s">
        <v>566</v>
      </c>
      <c r="D27" s="357"/>
      <c r="E27" s="569">
        <f>F22</f>
        <v>0.08722437229549032</v>
      </c>
      <c r="F27" s="352"/>
      <c r="G27" s="352"/>
      <c r="H27" s="352"/>
      <c r="I27" s="352"/>
      <c r="J27" s="352"/>
      <c r="K27" s="352"/>
      <c r="L27" s="352"/>
      <c r="M27" s="352"/>
      <c r="N27" s="352"/>
      <c r="O27" s="352"/>
      <c r="P27" s="352"/>
      <c r="Q27" s="352"/>
    </row>
    <row r="28" spans="3:17" ht="12.75">
      <c r="C28" s="358" t="s">
        <v>46</v>
      </c>
      <c r="D28" s="358"/>
      <c r="E28" s="347">
        <f>E26*E27</f>
        <v>22481397.728758294</v>
      </c>
      <c r="F28" s="352"/>
      <c r="G28" s="352"/>
      <c r="H28" s="352"/>
      <c r="I28" s="352"/>
      <c r="J28" s="348"/>
      <c r="K28" s="348"/>
      <c r="L28" s="348"/>
      <c r="M28" s="348"/>
      <c r="N28" s="348"/>
      <c r="O28" s="348"/>
      <c r="P28" s="352"/>
      <c r="Q28" s="348"/>
    </row>
    <row r="29" spans="3:17" ht="12.75">
      <c r="C29" s="359"/>
      <c r="D29" s="335"/>
      <c r="E29" s="335"/>
      <c r="F29" s="352"/>
      <c r="G29" s="352"/>
      <c r="H29" s="352"/>
      <c r="I29" s="352"/>
      <c r="J29" s="348"/>
      <c r="K29" s="348"/>
      <c r="L29" s="348"/>
      <c r="M29" s="348"/>
      <c r="N29" s="348"/>
      <c r="O29" s="348"/>
      <c r="P29" s="352"/>
      <c r="Q29" s="348"/>
    </row>
    <row r="30" spans="3:17" ht="15.75">
      <c r="C30" s="332" t="str">
        <f>"C.   Determine Income Taxes using Return with hypothetical "&amp;F15&amp;" basis point ROE increase for Identified Projects."</f>
        <v>C.   Determine Income Taxes using Return with hypothetical 0 basis point ROE increase for Identified Projects.</v>
      </c>
      <c r="D30" s="360"/>
      <c r="E30" s="360"/>
      <c r="F30" s="361"/>
      <c r="G30" s="361"/>
      <c r="H30" s="361"/>
      <c r="I30" s="361"/>
      <c r="J30" s="362"/>
      <c r="K30" s="362"/>
      <c r="L30" s="362"/>
      <c r="M30" s="362"/>
      <c r="N30" s="362"/>
      <c r="O30" s="362"/>
      <c r="P30" s="361"/>
      <c r="Q30" s="362"/>
    </row>
    <row r="31" spans="3:17" ht="12.75">
      <c r="C31" s="333"/>
      <c r="D31" s="335"/>
      <c r="E31" s="335"/>
      <c r="F31" s="352"/>
      <c r="G31" s="352"/>
      <c r="H31" s="352"/>
      <c r="I31" s="352"/>
      <c r="J31" s="348"/>
      <c r="K31" s="348"/>
      <c r="L31" s="348"/>
      <c r="M31" s="348"/>
      <c r="N31" s="348"/>
      <c r="O31" s="348"/>
      <c r="P31" s="352"/>
      <c r="Q31" s="348"/>
    </row>
    <row r="32" spans="3:17" ht="12.75">
      <c r="C32" s="336" t="s">
        <v>47</v>
      </c>
      <c r="D32" s="350"/>
      <c r="E32" s="363">
        <f>E28</f>
        <v>22481397.728758294</v>
      </c>
      <c r="F32" s="352"/>
      <c r="G32" s="352"/>
      <c r="H32" s="352"/>
      <c r="I32" s="352"/>
      <c r="J32" s="352"/>
      <c r="K32" s="352"/>
      <c r="L32" s="352"/>
      <c r="M32" s="352"/>
      <c r="N32" s="352"/>
      <c r="O32" s="352"/>
      <c r="P32" s="352"/>
      <c r="Q32" s="352"/>
    </row>
    <row r="33" spans="3:17" ht="12.75">
      <c r="C33" s="333" t="str">
        <f>"   Effective Tax Rate  (True-Up TCOS, ln "&amp;'KPCo True-UP TCOS'!B195&amp;")"</f>
        <v>   Effective Tax Rate  (True-Up TCOS, ln 126)</v>
      </c>
      <c r="D33" s="364"/>
      <c r="E33" s="383">
        <f>+'KPCo True-UP TCOS'!G195</f>
        <v>0.3756120419454258</v>
      </c>
      <c r="F33" s="100"/>
      <c r="G33" s="100"/>
      <c r="H33" s="100"/>
      <c r="I33" s="365"/>
      <c r="J33" s="100"/>
      <c r="K33" s="354"/>
      <c r="Q33" s="354"/>
    </row>
    <row r="34" spans="3:17" ht="12.75">
      <c r="C34" s="359" t="s">
        <v>48</v>
      </c>
      <c r="D34" s="364"/>
      <c r="E34" s="366">
        <f>E32*E33</f>
        <v>8444283.706686161</v>
      </c>
      <c r="F34" s="100"/>
      <c r="G34" s="100"/>
      <c r="H34" s="100"/>
      <c r="I34" s="365"/>
      <c r="J34" s="100"/>
      <c r="K34" s="354"/>
      <c r="Q34" s="354"/>
    </row>
    <row r="35" spans="3:17" ht="15">
      <c r="C35" s="333" t="s">
        <v>89</v>
      </c>
      <c r="D35" s="69"/>
      <c r="E35" s="367">
        <f>+'KPCo True-UP TCOS'!L202</f>
        <v>-377896.84266097384</v>
      </c>
      <c r="F35" s="69"/>
      <c r="G35" s="69"/>
      <c r="H35" s="69"/>
      <c r="I35" s="69"/>
      <c r="J35" s="69"/>
      <c r="K35" s="69"/>
      <c r="L35" s="69"/>
      <c r="M35" s="69"/>
      <c r="N35" s="69"/>
      <c r="O35" s="69"/>
      <c r="P35" s="39"/>
      <c r="Q35" s="69"/>
    </row>
    <row r="36" spans="3:17" ht="15">
      <c r="C36" s="359" t="s">
        <v>49</v>
      </c>
      <c r="D36" s="69"/>
      <c r="E36" s="367">
        <f>E34+E35</f>
        <v>8066386.864025188</v>
      </c>
      <c r="F36" s="69"/>
      <c r="G36" s="69"/>
      <c r="H36" s="69"/>
      <c r="I36" s="69"/>
      <c r="J36" s="69"/>
      <c r="K36" s="69"/>
      <c r="L36" s="69"/>
      <c r="M36" s="69"/>
      <c r="N36" s="69"/>
      <c r="O36" s="69"/>
      <c r="P36" s="127"/>
      <c r="Q36" s="69"/>
    </row>
    <row r="37" spans="3:17" ht="12.75" customHeight="1">
      <c r="C37" s="58"/>
      <c r="D37" s="69"/>
      <c r="E37" s="69"/>
      <c r="F37" s="69"/>
      <c r="G37" s="69"/>
      <c r="H37" s="69"/>
      <c r="I37" s="69"/>
      <c r="J37" s="69"/>
      <c r="K37" s="69"/>
      <c r="L37" s="69"/>
      <c r="M37" s="69"/>
      <c r="N37" s="69"/>
      <c r="O37" s="69"/>
      <c r="P37" s="127"/>
      <c r="Q37" s="69"/>
    </row>
    <row r="38" spans="2:17" ht="18.75">
      <c r="B38" s="330" t="s">
        <v>780</v>
      </c>
      <c r="C38" s="331" t="str">
        <f>"Calculate Net Plant Carrying Charge Rate (Fixed Charge Rate or FCR) with hypothetical "&amp;F15&amp;""</f>
        <v>Calculate Net Plant Carrying Charge Rate (Fixed Charge Rate or FCR) with hypothetical 0</v>
      </c>
      <c r="D38" s="69"/>
      <c r="E38" s="69"/>
      <c r="F38" s="69"/>
      <c r="G38" s="69"/>
      <c r="H38" s="69"/>
      <c r="I38" s="69"/>
      <c r="J38" s="69"/>
      <c r="K38" s="69"/>
      <c r="L38" s="69"/>
      <c r="M38" s="69"/>
      <c r="N38" s="69"/>
      <c r="O38" s="69"/>
      <c r="P38" s="127"/>
      <c r="Q38" s="69"/>
    </row>
    <row r="39" spans="3:17" ht="18.75" customHeight="1">
      <c r="C39" s="331" t="str">
        <f>"basis point ROE increase."</f>
        <v>basis point ROE increase.</v>
      </c>
      <c r="D39" s="69"/>
      <c r="E39" s="69"/>
      <c r="F39" s="69"/>
      <c r="G39" s="69"/>
      <c r="H39" s="69"/>
      <c r="I39" s="69"/>
      <c r="J39" s="69"/>
      <c r="K39" s="69"/>
      <c r="L39" s="69"/>
      <c r="M39" s="69"/>
      <c r="N39" s="69"/>
      <c r="O39" s="69"/>
      <c r="P39" s="127"/>
      <c r="Q39" s="69"/>
    </row>
    <row r="40" spans="3:17" ht="12.75" customHeight="1">
      <c r="C40" s="331"/>
      <c r="D40" s="69"/>
      <c r="E40" s="69"/>
      <c r="F40" s="69"/>
      <c r="G40" s="69"/>
      <c r="H40" s="69"/>
      <c r="I40" s="69"/>
      <c r="J40" s="69"/>
      <c r="K40" s="69"/>
      <c r="L40" s="69"/>
      <c r="M40" s="69"/>
      <c r="N40" s="69"/>
      <c r="O40" s="69"/>
      <c r="P40" s="127"/>
      <c r="Q40" s="69"/>
    </row>
    <row r="41" spans="3:17" ht="15.75">
      <c r="C41" s="332" t="s">
        <v>316</v>
      </c>
      <c r="D41" s="69"/>
      <c r="E41" s="69"/>
      <c r="F41" s="68"/>
      <c r="G41" s="68"/>
      <c r="H41" s="69"/>
      <c r="I41" s="69"/>
      <c r="J41" s="69"/>
      <c r="K41" s="69"/>
      <c r="L41" s="69"/>
      <c r="M41" s="69"/>
      <c r="N41" s="69"/>
      <c r="O41" s="69"/>
      <c r="P41" s="127"/>
      <c r="Q41" s="69"/>
    </row>
    <row r="42" spans="2:17" ht="12.75">
      <c r="B42" s="100"/>
      <c r="C42" s="368"/>
      <c r="D42" s="369"/>
      <c r="E42" s="369"/>
      <c r="F42" s="369"/>
      <c r="G42" s="369"/>
      <c r="H42" s="369"/>
      <c r="I42" s="369"/>
      <c r="J42" s="369"/>
      <c r="K42" s="369"/>
      <c r="L42" s="369"/>
      <c r="M42" s="369"/>
      <c r="N42" s="369"/>
      <c r="O42" s="369"/>
      <c r="P42" s="367"/>
      <c r="Q42" s="369"/>
    </row>
    <row r="43" spans="2:17" ht="12.75" customHeight="1">
      <c r="B43" s="100"/>
      <c r="C43" s="333" t="str">
        <f>"   Annual Revenue Requirement  (True-Up TCOS, ln "&amp;'KPCo True-UP TCOS'!B11&amp;")"</f>
        <v>   Annual Revenue Requirement  (True-Up TCOS, ln 1)</v>
      </c>
      <c r="D43" s="369"/>
      <c r="E43" s="369"/>
      <c r="F43" s="367">
        <f>+'KPCo True-UP TCOS'!L11</f>
        <v>40476610.23944825</v>
      </c>
      <c r="G43" s="367"/>
      <c r="H43" s="423" t="s">
        <v>722</v>
      </c>
      <c r="I43" s="369"/>
      <c r="J43" s="369"/>
      <c r="K43" s="369"/>
      <c r="L43" s="369"/>
      <c r="M43" s="369"/>
      <c r="N43" s="369"/>
      <c r="O43" s="369"/>
      <c r="P43" s="367"/>
      <c r="Q43" s="369"/>
    </row>
    <row r="44" spans="2:17" ht="12.75" customHeight="1">
      <c r="B44" s="100"/>
      <c r="C44" s="333" t="str">
        <f>"   T.E.A. &amp; Lease Payments (True-Up TCOS, Lns "&amp;'KPCo True-UP TCOS'!B171&amp;" &amp; "&amp;'KPCo True-UP TCOS'!B172&amp;")"</f>
        <v>   T.E.A. &amp; Lease Payments (True-Up TCOS, Lns 105 &amp; 106)</v>
      </c>
      <c r="D44" s="369"/>
      <c r="E44" s="369"/>
      <c r="F44" s="367">
        <f>+'KPCo True-UP TCOS'!L171+'KPCo True-UP TCOS'!L172</f>
        <v>-8835297</v>
      </c>
      <c r="G44" s="367"/>
      <c r="H44" s="423"/>
      <c r="I44" s="369"/>
      <c r="J44" s="369"/>
      <c r="K44" s="369"/>
      <c r="L44" s="369"/>
      <c r="M44" s="369"/>
      <c r="N44" s="369"/>
      <c r="O44" s="369"/>
      <c r="P44" s="367"/>
      <c r="Q44" s="369"/>
    </row>
    <row r="45" spans="2:17" ht="12.75">
      <c r="B45" s="100"/>
      <c r="C45" s="333" t="str">
        <f>"   Return  (True-Up TCOS, ln "&amp;'KPCo True-UP TCOS'!B205&amp;")"</f>
        <v>   Return  (True-Up TCOS, ln 134)</v>
      </c>
      <c r="D45" s="369"/>
      <c r="E45" s="369"/>
      <c r="F45" s="370">
        <f>+'KPCo True-UP TCOS'!L205</f>
        <v>22481397.728758294</v>
      </c>
      <c r="G45" s="370"/>
      <c r="H45" s="371"/>
      <c r="I45" s="371"/>
      <c r="J45" s="371"/>
      <c r="K45" s="371"/>
      <c r="L45" s="371"/>
      <c r="M45" s="371"/>
      <c r="N45" s="371"/>
      <c r="O45" s="371"/>
      <c r="P45" s="367"/>
      <c r="Q45" s="371"/>
    </row>
    <row r="46" spans="2:17" ht="12.75">
      <c r="B46" s="100"/>
      <c r="C46" s="333" t="str">
        <f>"   Income Taxes  (True-Up TCOS, ln "&amp;'KPCo True-UP TCOS'!B203&amp;")"</f>
        <v>   Income Taxes  (True-Up TCOS, ln 133)</v>
      </c>
      <c r="D46" s="369"/>
      <c r="E46" s="369"/>
      <c r="F46" s="372">
        <f>+'KPCo True-UP TCOS'!L203</f>
        <v>8066386.864025188</v>
      </c>
      <c r="G46" s="372"/>
      <c r="H46" s="369"/>
      <c r="I46" s="369"/>
      <c r="J46" s="373"/>
      <c r="K46" s="373"/>
      <c r="L46" s="373"/>
      <c r="M46" s="373"/>
      <c r="N46" s="373"/>
      <c r="O46" s="373"/>
      <c r="P46" s="369"/>
      <c r="Q46" s="373"/>
    </row>
    <row r="47" spans="2:17" ht="12.75">
      <c r="B47" s="100"/>
      <c r="C47" s="1177" t="s">
        <v>315</v>
      </c>
      <c r="D47" s="1143"/>
      <c r="E47" s="369"/>
      <c r="F47" s="370">
        <f>F43-F45-F46-F44</f>
        <v>18764122.64666477</v>
      </c>
      <c r="G47" s="370"/>
      <c r="H47" s="374"/>
      <c r="I47" s="369"/>
      <c r="J47" s="374"/>
      <c r="K47" s="374"/>
      <c r="L47" s="374"/>
      <c r="M47" s="374"/>
      <c r="N47" s="374"/>
      <c r="O47" s="374"/>
      <c r="P47" s="374"/>
      <c r="Q47" s="374"/>
    </row>
    <row r="48" spans="2:17" ht="12.75">
      <c r="B48" s="100"/>
      <c r="C48" s="1143"/>
      <c r="D48" s="1143"/>
      <c r="E48" s="369"/>
      <c r="F48" s="367"/>
      <c r="G48" s="367"/>
      <c r="H48" s="375"/>
      <c r="I48" s="376"/>
      <c r="J48" s="376"/>
      <c r="K48" s="376"/>
      <c r="L48" s="376"/>
      <c r="M48" s="376"/>
      <c r="N48" s="376"/>
      <c r="O48" s="376"/>
      <c r="P48" s="376"/>
      <c r="Q48" s="376"/>
    </row>
    <row r="49" spans="2:17" ht="15.75">
      <c r="B49" s="100"/>
      <c r="C49" s="332" t="str">
        <f>"B.   Determine Annual Revenue Requirement with hypothetical "&amp;F15&amp;" basis point increase in ROE."</f>
        <v>B.   Determine Annual Revenue Requirement with hypothetical 0 basis point increase in ROE.</v>
      </c>
      <c r="D49" s="377"/>
      <c r="E49" s="377"/>
      <c r="F49" s="367"/>
      <c r="G49" s="367"/>
      <c r="H49" s="375"/>
      <c r="I49" s="376"/>
      <c r="J49" s="376"/>
      <c r="K49" s="376"/>
      <c r="L49" s="376"/>
      <c r="M49" s="376"/>
      <c r="N49" s="376"/>
      <c r="O49" s="376"/>
      <c r="P49" s="376"/>
      <c r="Q49" s="376"/>
    </row>
    <row r="50" spans="2:17" ht="12.75">
      <c r="B50" s="100"/>
      <c r="C50" s="368"/>
      <c r="D50" s="377"/>
      <c r="E50" s="377"/>
      <c r="F50" s="367"/>
      <c r="G50" s="367"/>
      <c r="H50" s="375"/>
      <c r="I50" s="376"/>
      <c r="J50" s="376"/>
      <c r="K50" s="376"/>
      <c r="L50" s="376"/>
      <c r="M50" s="376"/>
      <c r="N50" s="376"/>
      <c r="O50" s="376"/>
      <c r="P50" s="376"/>
      <c r="Q50" s="376"/>
    </row>
    <row r="51" spans="2:17" ht="12.75">
      <c r="B51" s="100"/>
      <c r="C51" s="368" t="str">
        <f>C47</f>
        <v>   Annual Revenue Requirement, Less TEA Charges, Return and Taxes</v>
      </c>
      <c r="D51" s="377"/>
      <c r="E51" s="377"/>
      <c r="F51" s="367">
        <f>F47</f>
        <v>18764122.64666477</v>
      </c>
      <c r="G51" s="367"/>
      <c r="H51" s="369"/>
      <c r="I51" s="369"/>
      <c r="J51" s="369"/>
      <c r="K51" s="369"/>
      <c r="L51" s="369"/>
      <c r="M51" s="369"/>
      <c r="N51" s="369"/>
      <c r="O51" s="369"/>
      <c r="P51" s="378"/>
      <c r="Q51" s="369"/>
    </row>
    <row r="52" spans="2:17" ht="12.75">
      <c r="B52" s="100"/>
      <c r="C52" s="336" t="s">
        <v>84</v>
      </c>
      <c r="D52" s="379"/>
      <c r="E52" s="102"/>
      <c r="F52" s="380">
        <f>E28</f>
        <v>22481397.728758294</v>
      </c>
      <c r="G52" s="380"/>
      <c r="H52" s="102"/>
      <c r="I52" s="381"/>
      <c r="J52" s="102"/>
      <c r="K52" s="102"/>
      <c r="L52" s="102"/>
      <c r="M52" s="102"/>
      <c r="N52" s="102"/>
      <c r="O52" s="102"/>
      <c r="P52" s="102"/>
      <c r="Q52" s="102"/>
    </row>
    <row r="53" spans="2:17" ht="12.75" customHeight="1">
      <c r="B53" s="100"/>
      <c r="C53" s="333" t="s">
        <v>50</v>
      </c>
      <c r="D53" s="369"/>
      <c r="E53" s="369"/>
      <c r="F53" s="372">
        <f>E36</f>
        <v>8066386.864025188</v>
      </c>
      <c r="G53" s="372"/>
      <c r="H53" s="100"/>
      <c r="I53" s="365"/>
      <c r="J53" s="100"/>
      <c r="K53" s="354"/>
      <c r="Q53" s="354"/>
    </row>
    <row r="54" spans="2:17" ht="12.75">
      <c r="B54" s="100"/>
      <c r="C54" s="102" t="str">
        <f>"   Annual Revenue Requirement, with "&amp;F15&amp;" Basis Point ROE increase"</f>
        <v>   Annual Revenue Requirement, with 0 Basis Point ROE increase</v>
      </c>
      <c r="D54" s="364"/>
      <c r="E54" s="100"/>
      <c r="F54" s="366">
        <f>SUM(F51:F53)</f>
        <v>49311907.23944825</v>
      </c>
      <c r="G54" s="366"/>
      <c r="H54" s="100"/>
      <c r="I54" s="365"/>
      <c r="J54" s="100"/>
      <c r="K54" s="354"/>
      <c r="Q54" s="354"/>
    </row>
    <row r="55" spans="2:17" ht="12.75">
      <c r="B55" s="100"/>
      <c r="C55" s="333" t="str">
        <f>"   Depreciation  (True-Up TCOS, ln "&amp;'KPCo True-UP TCOS'!B178&amp;")"</f>
        <v>   Depreciation  (True-Up TCOS, ln 111)</v>
      </c>
      <c r="D55" s="364"/>
      <c r="E55" s="100"/>
      <c r="F55" s="382">
        <f>+'KPCo True-UP TCOS'!L178</f>
        <v>7390202.619330131</v>
      </c>
      <c r="G55" s="382"/>
      <c r="H55" s="366"/>
      <c r="I55" s="365"/>
      <c r="J55" s="100"/>
      <c r="K55" s="354"/>
      <c r="Q55" s="354"/>
    </row>
    <row r="56" spans="2:17" ht="12.75">
      <c r="B56" s="100"/>
      <c r="C56" s="1177" t="str">
        <f>"   Annual Rev. Req, w/ "&amp;F15&amp;" Basis Point ROE increase, less Depreciation"</f>
        <v>   Annual Rev. Req, w/ 0 Basis Point ROE increase, less Depreciation</v>
      </c>
      <c r="D56" s="1143"/>
      <c r="E56" s="100"/>
      <c r="F56" s="366">
        <f>F54-F55</f>
        <v>41921704.62011812</v>
      </c>
      <c r="G56" s="366"/>
      <c r="H56" s="100"/>
      <c r="I56" s="365"/>
      <c r="J56" s="100"/>
      <c r="K56" s="354"/>
      <c r="Q56" s="354"/>
    </row>
    <row r="57" spans="2:17" ht="12.75">
      <c r="B57" s="100"/>
      <c r="C57" s="1143"/>
      <c r="D57" s="1143"/>
      <c r="E57" s="100"/>
      <c r="F57" s="100"/>
      <c r="G57" s="100"/>
      <c r="H57" s="100"/>
      <c r="I57" s="365"/>
      <c r="J57" s="100"/>
      <c r="K57" s="354"/>
      <c r="Q57" s="354"/>
    </row>
    <row r="58" spans="2:17" ht="15.75">
      <c r="B58" s="100"/>
      <c r="C58" s="332" t="str">
        <f>"C.   Determine FCR with hypothetical "&amp;F15&amp;" basis point ROE increase."</f>
        <v>C.   Determine FCR with hypothetical 0 basis point ROE increase.</v>
      </c>
      <c r="D58" s="364"/>
      <c r="E58" s="100"/>
      <c r="F58" s="100"/>
      <c r="G58" s="100"/>
      <c r="H58" s="100"/>
      <c r="I58" s="365"/>
      <c r="J58" s="100"/>
      <c r="K58" s="354"/>
      <c r="Q58" s="354"/>
    </row>
    <row r="59" spans="2:17" ht="12.75">
      <c r="B59" s="100"/>
      <c r="C59" s="100"/>
      <c r="D59" s="364"/>
      <c r="E59" s="100"/>
      <c r="F59" s="100"/>
      <c r="G59" s="100"/>
      <c r="H59" s="100"/>
      <c r="I59" s="365"/>
      <c r="J59" s="100"/>
      <c r="K59" s="354"/>
      <c r="Q59" s="354"/>
    </row>
    <row r="60" spans="2:17" ht="12.75">
      <c r="B60" s="100"/>
      <c r="C60" s="333" t="str">
        <f>"   Net Transmission Plant  (True-Up TCOS, ln "&amp;'KPCo True-UP TCOS'!B91&amp;")"</f>
        <v>   Net Transmission Plant  (True-Up TCOS, ln 48)</v>
      </c>
      <c r="D60" s="364"/>
      <c r="E60" s="100"/>
      <c r="F60" s="366">
        <f>+'KPCo True-UP TCOS'!L91</f>
        <v>295620103.5</v>
      </c>
      <c r="G60" s="366"/>
      <c r="H60" s="366"/>
      <c r="I60" s="676"/>
      <c r="J60" s="100"/>
      <c r="K60" s="354"/>
      <c r="Q60" s="354"/>
    </row>
    <row r="61" spans="2:17" ht="12.75">
      <c r="B61" s="100"/>
      <c r="C61" s="102" t="str">
        <f>"   Annual Revenue Requirement, with "&amp;F15&amp;" Basis Point ROE increase"</f>
        <v>   Annual Revenue Requirement, with 0 Basis Point ROE increase</v>
      </c>
      <c r="D61" s="364"/>
      <c r="E61" s="100"/>
      <c r="F61" s="366">
        <f>F54</f>
        <v>49311907.23944825</v>
      </c>
      <c r="G61" s="366"/>
      <c r="H61" s="100"/>
      <c r="I61" s="365"/>
      <c r="J61" s="100"/>
      <c r="K61" s="354"/>
      <c r="Q61" s="354"/>
    </row>
    <row r="62" spans="2:17" ht="12.75">
      <c r="B62" s="100"/>
      <c r="C62" s="102" t="str">
        <f>"   FCR with "&amp;F15&amp;" Basis Point increase in ROE"</f>
        <v>   FCR with 0 Basis Point increase in ROE</v>
      </c>
      <c r="D62" s="364"/>
      <c r="E62" s="100"/>
      <c r="F62" s="383">
        <f>F61/F60</f>
        <v>0.1668083687665993</v>
      </c>
      <c r="G62" s="383"/>
      <c r="H62" s="383"/>
      <c r="I62" s="365"/>
      <c r="J62" s="100"/>
      <c r="K62" s="354"/>
      <c r="Q62" s="354"/>
    </row>
    <row r="63" spans="2:17" ht="12.75">
      <c r="B63" s="100"/>
      <c r="C63" s="756"/>
      <c r="D63" s="364"/>
      <c r="E63" s="100"/>
      <c r="F63" s="99"/>
      <c r="G63" s="99"/>
      <c r="H63" s="100"/>
      <c r="I63" s="365"/>
      <c r="J63" s="100"/>
      <c r="K63" s="354"/>
      <c r="Q63" s="354"/>
    </row>
    <row r="64" spans="2:17" ht="12.75">
      <c r="B64" s="100"/>
      <c r="C64" s="102" t="str">
        <f>"   Annual Rev. Req, w / "&amp;F15&amp;" Basis Point ROE increase, less Dep."</f>
        <v>   Annual Rev. Req, w / 0 Basis Point ROE increase, less Dep.</v>
      </c>
      <c r="D64" s="364"/>
      <c r="E64" s="100"/>
      <c r="F64" s="366">
        <f>F56</f>
        <v>41921704.62011812</v>
      </c>
      <c r="G64" s="366"/>
      <c r="H64" s="100"/>
      <c r="I64" s="365"/>
      <c r="J64" s="100"/>
      <c r="K64" s="354"/>
      <c r="Q64" s="354"/>
    </row>
    <row r="65" spans="2:17" ht="12.75">
      <c r="B65" s="100"/>
      <c r="C65" s="102" t="str">
        <f>"   FCR with "&amp;F15&amp;" Basis Point ROE increase, less Depreciation"</f>
        <v>   FCR with 0 Basis Point ROE increase, less Depreciation</v>
      </c>
      <c r="D65" s="364"/>
      <c r="E65" s="100"/>
      <c r="F65" s="383">
        <f>F64/F60</f>
        <v>0.14180938347488983</v>
      </c>
      <c r="G65" s="383"/>
      <c r="H65" s="100"/>
      <c r="I65" s="365"/>
      <c r="J65" s="100"/>
      <c r="K65" s="354"/>
      <c r="Q65" s="354"/>
    </row>
    <row r="66" spans="2:17" ht="12.75">
      <c r="B66" s="100"/>
      <c r="C66" s="333" t="str">
        <f>"   FCR less Depreciation  (True-Up TCOS, ln "&amp;'KPCo True-UP TCOS'!B27&amp;")"</f>
        <v>   FCR less Depreciation  (True-Up TCOS, ln 9)</v>
      </c>
      <c r="D66" s="364"/>
      <c r="E66" s="100"/>
      <c r="F66" s="384">
        <f>+'KPCo True-UP TCOS'!L27</f>
        <v>0.14180938347488983</v>
      </c>
      <c r="G66" s="384"/>
      <c r="H66" s="100"/>
      <c r="I66" s="365"/>
      <c r="J66" s="100"/>
      <c r="K66" s="354"/>
      <c r="Q66" s="354"/>
    </row>
    <row r="67" spans="2:17" ht="12.75">
      <c r="B67" s="100"/>
      <c r="C67" s="1177" t="str">
        <f>"   Incremental FCR with "&amp;F15&amp;" Basis Point ROE increase, less Depreciation"</f>
        <v>   Incremental FCR with 0 Basis Point ROE increase, less Depreciation</v>
      </c>
      <c r="D67" s="1143"/>
      <c r="E67" s="100"/>
      <c r="F67" s="383">
        <f>F65-F66</f>
        <v>0</v>
      </c>
      <c r="G67" s="383"/>
      <c r="H67" s="100"/>
      <c r="I67" s="365"/>
      <c r="J67" s="100"/>
      <c r="K67" s="354"/>
      <c r="Q67" s="354"/>
    </row>
    <row r="68" spans="2:17" ht="12.75">
      <c r="B68" s="100"/>
      <c r="C68" s="1143"/>
      <c r="D68" s="1143"/>
      <c r="E68" s="100"/>
      <c r="F68" s="383"/>
      <c r="G68" s="383"/>
      <c r="H68" s="100"/>
      <c r="I68" s="365"/>
      <c r="J68" s="100"/>
      <c r="K68" s="354"/>
      <c r="Q68" s="354"/>
    </row>
    <row r="69" spans="2:17" ht="18.75">
      <c r="B69" s="330" t="s">
        <v>781</v>
      </c>
      <c r="C69" s="331" t="s">
        <v>51</v>
      </c>
      <c r="D69" s="364"/>
      <c r="E69" s="100"/>
      <c r="F69" s="383"/>
      <c r="G69" s="383"/>
      <c r="H69" s="100"/>
      <c r="I69" s="365"/>
      <c r="J69" s="100"/>
      <c r="K69" s="354"/>
      <c r="Q69" s="354"/>
    </row>
    <row r="70" spans="2:17" ht="12.75">
      <c r="B70" s="100"/>
      <c r="C70" s="102"/>
      <c r="D70" s="364"/>
      <c r="E70" s="100"/>
      <c r="F70" s="383"/>
      <c r="G70" s="383"/>
      <c r="H70" s="100"/>
      <c r="I70" s="365"/>
      <c r="J70" s="100"/>
      <c r="K70" s="354"/>
      <c r="Q70" s="354"/>
    </row>
    <row r="71" spans="2:17" ht="12.75">
      <c r="B71" s="100"/>
      <c r="C71" s="102" t="str">
        <f>"Transmission Plant @ Beginning of Historic Period ("&amp;'KPCo True-UP TCOS'!N77&amp;") (P.206, ln 58,(b)):"</f>
        <v>Transmission Plant @ Beginning of Historic Period () (P.206, ln 58,(b)):</v>
      </c>
      <c r="D71" s="364"/>
      <c r="H71" s="495">
        <f>+'KPCo WS A  - RB Support '!F18</f>
        <v>431804417</v>
      </c>
      <c r="J71" s="100"/>
      <c r="K71" s="354"/>
      <c r="Q71" s="354"/>
    </row>
    <row r="72" spans="2:17" ht="12.75">
      <c r="B72" s="100"/>
      <c r="C72" s="102" t="str">
        <f>"Transmission Plant @ End of Historic Period ("&amp;'KPCo True-UP TCOS'!N77&amp;") (P.207, ln 58,(g)):"</f>
        <v>Transmission Plant @ End of Historic Period () (P.207, ln 58,(g)):</v>
      </c>
      <c r="D72" s="364"/>
      <c r="H72" s="531">
        <f>+'KPCo WS A  - RB Support '!E18</f>
        <v>438744866</v>
      </c>
      <c r="J72" s="100"/>
      <c r="K72" s="354"/>
      <c r="Q72" s="354"/>
    </row>
    <row r="73" spans="2:17" ht="12.75">
      <c r="B73" s="100"/>
      <c r="C73" s="102" t="s">
        <v>336</v>
      </c>
      <c r="D73" s="364"/>
      <c r="H73" s="365">
        <f>+H72+H71</f>
        <v>870549283</v>
      </c>
      <c r="J73" s="100"/>
      <c r="K73" s="354"/>
      <c r="Q73" s="354"/>
    </row>
    <row r="74" spans="2:17" ht="12.75">
      <c r="B74" s="100"/>
      <c r="C74" s="102" t="str">
        <f>+"Average Transmission Plant Balance for "&amp;'KPCo True-UP TCOS'!O1&amp;""</f>
        <v>Average Transmission Plant Balance for </v>
      </c>
      <c r="D74" s="364"/>
      <c r="H74" s="365">
        <f>+H73/2</f>
        <v>435274641.5</v>
      </c>
      <c r="J74" s="100"/>
      <c r="K74" s="354"/>
      <c r="Q74" s="354"/>
    </row>
    <row r="75" spans="2:17" ht="12.75">
      <c r="B75" s="100"/>
      <c r="C75" s="102" t="str">
        <f>"Annual Depreciation Rate (True-Up TCOS, ln "&amp;'KPCo True-UP TCOS'!B178&amp;")"</f>
        <v>Annual Depreciation Rate (True-Up TCOS, ln 111)</v>
      </c>
      <c r="D75" s="364"/>
      <c r="E75" s="100"/>
      <c r="H75" s="495">
        <f>+'KPCo True-UP TCOS'!G178</f>
        <v>7420678</v>
      </c>
      <c r="I75" s="365"/>
      <c r="J75" s="100"/>
      <c r="K75" s="354"/>
      <c r="Q75" s="354"/>
    </row>
    <row r="76" spans="2:17" ht="12.75">
      <c r="B76" s="100"/>
      <c r="C76" s="102" t="s">
        <v>52</v>
      </c>
      <c r="D76" s="364"/>
      <c r="E76" s="100"/>
      <c r="H76" s="383">
        <f>+H75/H74</f>
        <v>0.017048266295568243</v>
      </c>
      <c r="I76" s="385"/>
      <c r="J76" s="100"/>
      <c r="K76" s="354"/>
      <c r="Q76" s="354"/>
    </row>
    <row r="77" spans="2:17" ht="12.75">
      <c r="B77" s="100"/>
      <c r="C77" s="102" t="s">
        <v>53</v>
      </c>
      <c r="D77" s="364"/>
      <c r="E77" s="100"/>
      <c r="H77" s="385">
        <f>1/H76</f>
        <v>58.6569908436938</v>
      </c>
      <c r="I77" s="365"/>
      <c r="J77" s="100"/>
      <c r="K77" s="354"/>
      <c r="Q77" s="354"/>
    </row>
    <row r="78" spans="2:17" ht="12.75">
      <c r="B78" s="100"/>
      <c r="C78" s="102" t="s">
        <v>54</v>
      </c>
      <c r="D78" s="364"/>
      <c r="E78" s="100"/>
      <c r="H78" s="386">
        <f>ROUND(H77,0)</f>
        <v>59</v>
      </c>
      <c r="I78" s="365"/>
      <c r="J78" s="100"/>
      <c r="K78" s="354"/>
      <c r="Q78" s="354"/>
    </row>
    <row r="79" spans="2:17" ht="12.75">
      <c r="B79" s="100"/>
      <c r="C79" s="102"/>
      <c r="D79" s="364"/>
      <c r="E79" s="100"/>
      <c r="H79" s="386"/>
      <c r="I79" s="365"/>
      <c r="J79" s="100"/>
      <c r="K79" s="354"/>
      <c r="Q79" s="354"/>
    </row>
    <row r="80" spans="3:17" ht="12.75">
      <c r="C80" s="424"/>
      <c r="D80" s="409"/>
      <c r="E80" s="409"/>
      <c r="F80" s="409"/>
      <c r="G80" s="409"/>
      <c r="H80" s="388"/>
      <c r="I80" s="388"/>
      <c r="J80" s="420"/>
      <c r="K80" s="420"/>
      <c r="L80" s="420"/>
      <c r="M80" s="420"/>
      <c r="N80" s="420"/>
      <c r="O80" s="420"/>
      <c r="Q80" s="420"/>
    </row>
    <row r="81" spans="1:17" ht="20.25">
      <c r="A81" s="325" t="s">
        <v>830</v>
      </c>
      <c r="B81" s="100"/>
      <c r="C81" s="102"/>
      <c r="D81" s="364"/>
      <c r="E81" s="100"/>
      <c r="F81" s="383"/>
      <c r="G81" s="383"/>
      <c r="H81" s="100"/>
      <c r="I81" s="365"/>
      <c r="L81" s="131"/>
      <c r="M81" s="131"/>
      <c r="N81" s="131"/>
      <c r="O81" s="327" t="str">
        <f>"Page "&amp;SUM(Q$6:Q81)&amp;" of "</f>
        <v>Page 2 of </v>
      </c>
      <c r="P81" s="328">
        <f>COUNT(Q$6:Q$59668)</f>
        <v>2</v>
      </c>
      <c r="Q81" s="387">
        <v>1</v>
      </c>
    </row>
    <row r="82" spans="2:17" ht="12.75">
      <c r="B82" s="100"/>
      <c r="C82" s="100"/>
      <c r="D82" s="364"/>
      <c r="E82" s="100"/>
      <c r="F82" s="100"/>
      <c r="G82" s="100"/>
      <c r="H82" s="100"/>
      <c r="I82" s="365"/>
      <c r="J82" s="100"/>
      <c r="K82" s="354"/>
      <c r="Q82" s="354"/>
    </row>
    <row r="83" spans="2:17" ht="18">
      <c r="B83" s="330" t="s">
        <v>782</v>
      </c>
      <c r="C83" s="425" t="s">
        <v>75</v>
      </c>
      <c r="D83" s="364"/>
      <c r="E83" s="100"/>
      <c r="F83" s="100"/>
      <c r="G83" s="100"/>
      <c r="H83" s="100"/>
      <c r="I83" s="365"/>
      <c r="J83" s="365"/>
      <c r="K83" s="388"/>
      <c r="L83" s="365"/>
      <c r="M83" s="365"/>
      <c r="N83" s="365"/>
      <c r="O83" s="365"/>
      <c r="Q83" s="388"/>
    </row>
    <row r="84" spans="2:17" ht="7.5" customHeight="1">
      <c r="B84" s="330"/>
      <c r="C84" s="331"/>
      <c r="D84" s="364"/>
      <c r="E84" s="100"/>
      <c r="F84" s="100"/>
      <c r="G84" s="100"/>
      <c r="H84" s="100"/>
      <c r="I84" s="365"/>
      <c r="J84" s="365"/>
      <c r="K84" s="388"/>
      <c r="L84" s="365"/>
      <c r="M84" s="365"/>
      <c r="N84" s="365"/>
      <c r="O84" s="365"/>
      <c r="Q84" s="388"/>
    </row>
    <row r="85" spans="2:17" ht="18.75">
      <c r="B85" s="330"/>
      <c r="C85" s="331" t="s">
        <v>76</v>
      </c>
      <c r="D85" s="364"/>
      <c r="E85" s="100"/>
      <c r="F85" s="100"/>
      <c r="G85" s="100"/>
      <c r="H85" s="100"/>
      <c r="I85" s="365"/>
      <c r="J85" s="365"/>
      <c r="K85" s="388"/>
      <c r="L85" s="365"/>
      <c r="M85" s="365"/>
      <c r="N85" s="365"/>
      <c r="O85" s="365"/>
      <c r="Q85" s="388"/>
    </row>
    <row r="86" spans="3:17" ht="8.25" customHeight="1" thickBot="1">
      <c r="C86" s="58"/>
      <c r="D86" s="364"/>
      <c r="E86" s="100"/>
      <c r="F86" s="100"/>
      <c r="G86" s="100"/>
      <c r="H86" s="100"/>
      <c r="I86" s="365"/>
      <c r="J86" s="365"/>
      <c r="K86" s="388"/>
      <c r="L86" s="365"/>
      <c r="M86" s="365"/>
      <c r="N86" s="365"/>
      <c r="O86" s="365"/>
      <c r="Q86" s="388"/>
    </row>
    <row r="87" spans="3:17" ht="15.75">
      <c r="C87" s="332" t="s">
        <v>77</v>
      </c>
      <c r="D87" s="364"/>
      <c r="E87" s="100"/>
      <c r="F87" s="100"/>
      <c r="G87" s="100"/>
      <c r="H87" s="851"/>
      <c r="I87" s="100" t="s">
        <v>55</v>
      </c>
      <c r="J87" s="100"/>
      <c r="K87" s="354"/>
      <c r="L87" s="731">
        <f>+J93</f>
        <v>2009</v>
      </c>
      <c r="M87" s="338" t="s">
        <v>37</v>
      </c>
      <c r="N87" s="338" t="s">
        <v>38</v>
      </c>
      <c r="O87" s="339" t="s">
        <v>39</v>
      </c>
      <c r="Q87" s="354"/>
    </row>
    <row r="88" spans="3:17" ht="15.75">
      <c r="C88" s="332"/>
      <c r="D88" s="364"/>
      <c r="E88" s="100"/>
      <c r="F88" s="100"/>
      <c r="H88" s="100"/>
      <c r="I88" s="389"/>
      <c r="J88" s="389"/>
      <c r="K88" s="390"/>
      <c r="L88" s="824" t="s">
        <v>303</v>
      </c>
      <c r="M88" s="825">
        <f>VLOOKUP(J93,C100:P159,10)</f>
        <v>0</v>
      </c>
      <c r="N88" s="825">
        <f>VLOOKUP(J93,C100:P159,12)</f>
        <v>0</v>
      </c>
      <c r="O88" s="826">
        <f>+N88-M88</f>
        <v>0</v>
      </c>
      <c r="Q88" s="390"/>
    </row>
    <row r="89" spans="3:17" ht="12.75">
      <c r="C89" s="391" t="s">
        <v>78</v>
      </c>
      <c r="D89" s="426"/>
      <c r="E89" s="100"/>
      <c r="F89" s="100"/>
      <c r="G89" s="100"/>
      <c r="H89" s="100"/>
      <c r="I89" s="365"/>
      <c r="J89" s="365"/>
      <c r="K89" s="388"/>
      <c r="L89" s="824" t="s">
        <v>304</v>
      </c>
      <c r="M89" s="827">
        <f>VLOOKUP(J93,C100:P159,6)</f>
        <v>0</v>
      </c>
      <c r="N89" s="827">
        <f>VLOOKUP(J93,C100:P159,7)</f>
        <v>0</v>
      </c>
      <c r="O89" s="828">
        <f>+N89-M89</f>
        <v>0</v>
      </c>
      <c r="Q89" s="388"/>
    </row>
    <row r="90" spans="3:17" ht="13.5" thickBot="1">
      <c r="C90" s="391"/>
      <c r="D90" s="427"/>
      <c r="E90" s="386"/>
      <c r="F90" s="386"/>
      <c r="G90" s="386"/>
      <c r="H90" s="394"/>
      <c r="I90" s="365"/>
      <c r="J90" s="365"/>
      <c r="K90" s="388"/>
      <c r="L90" s="431" t="s">
        <v>306</v>
      </c>
      <c r="M90" s="829">
        <f>+M89-M88</f>
        <v>0</v>
      </c>
      <c r="N90" s="829">
        <f>+N89-N88</f>
        <v>0</v>
      </c>
      <c r="O90" s="732">
        <f>+O89-O88</f>
        <v>0</v>
      </c>
      <c r="Q90" s="388"/>
    </row>
    <row r="91" spans="3:17" ht="6" customHeight="1" thickBot="1">
      <c r="C91" s="392"/>
      <c r="D91" s="393"/>
      <c r="E91" s="394"/>
      <c r="F91" s="394"/>
      <c r="G91" s="394"/>
      <c r="H91" s="394"/>
      <c r="I91" s="394"/>
      <c r="J91" s="394"/>
      <c r="K91" s="395"/>
      <c r="L91" s="394"/>
      <c r="M91" s="394"/>
      <c r="N91" s="394"/>
      <c r="O91" s="394"/>
      <c r="P91" s="99"/>
      <c r="Q91" s="395"/>
    </row>
    <row r="92" spans="3:17" ht="13.5" thickBot="1">
      <c r="C92" s="428" t="s">
        <v>79</v>
      </c>
      <c r="D92" s="429"/>
      <c r="E92" s="429"/>
      <c r="F92" s="429"/>
      <c r="G92" s="429"/>
      <c r="H92" s="429"/>
      <c r="I92" s="429"/>
      <c r="J92" s="429"/>
      <c r="K92" s="430"/>
      <c r="P92" s="778"/>
      <c r="Q92" s="430"/>
    </row>
    <row r="93" spans="3:17" ht="15">
      <c r="C93" s="397" t="s">
        <v>56</v>
      </c>
      <c r="D93" s="853"/>
      <c r="E93" s="102" t="s">
        <v>57</v>
      </c>
      <c r="H93" s="396"/>
      <c r="I93" s="396"/>
      <c r="J93" s="850">
        <f>+'KPCo Historic TCOS'!O1</f>
        <v>2009</v>
      </c>
      <c r="K93" s="101"/>
      <c r="L93" s="1169" t="s">
        <v>58</v>
      </c>
      <c r="M93" s="1169"/>
      <c r="N93" s="1169"/>
      <c r="O93" s="1169"/>
      <c r="P93" s="354"/>
      <c r="Q93" s="101"/>
    </row>
    <row r="94" spans="3:17" ht="12.75">
      <c r="C94" s="397" t="s">
        <v>59</v>
      </c>
      <c r="D94" s="854">
        <v>2008</v>
      </c>
      <c r="E94" s="397" t="s">
        <v>60</v>
      </c>
      <c r="F94" s="396"/>
      <c r="G94" s="396"/>
      <c r="I94"/>
      <c r="J94" s="852">
        <f>IF(H87="",0,$F$15)</f>
        <v>0</v>
      </c>
      <c r="K94" s="281"/>
      <c r="L94" s="388" t="s">
        <v>567</v>
      </c>
      <c r="P94" s="354"/>
      <c r="Q94" s="281"/>
    </row>
    <row r="95" spans="3:17" ht="12.75">
      <c r="C95" s="397" t="s">
        <v>61</v>
      </c>
      <c r="D95" s="853"/>
      <c r="E95" s="397" t="s">
        <v>62</v>
      </c>
      <c r="F95" s="396"/>
      <c r="G95" s="396"/>
      <c r="I95"/>
      <c r="J95" s="398">
        <f>$F$66</f>
        <v>0.14180938347488983</v>
      </c>
      <c r="K95" s="399"/>
      <c r="L95" s="100" t="str">
        <f>"          INPUT TRUE-UP ARR (WITH &amp; WITHOUT INCENTIVES) FROM EACH PRIOR YEAR"</f>
        <v>          INPUT TRUE-UP ARR (WITH &amp; WITHOUT INCENTIVES) FROM EACH PRIOR YEAR</v>
      </c>
      <c r="P95" s="354"/>
      <c r="Q95" s="399"/>
    </row>
    <row r="96" spans="3:17" ht="12.75">
      <c r="C96" s="397" t="s">
        <v>63</v>
      </c>
      <c r="D96" s="872">
        <f>H$78</f>
        <v>59</v>
      </c>
      <c r="E96" s="397" t="s">
        <v>64</v>
      </c>
      <c r="F96" s="396"/>
      <c r="G96" s="396"/>
      <c r="I96"/>
      <c r="J96" s="398">
        <f>IF(H87="",+J95,$F$65)</f>
        <v>0.14180938347488983</v>
      </c>
      <c r="K96" s="400"/>
      <c r="L96" s="100" t="s">
        <v>184</v>
      </c>
      <c r="M96" s="400"/>
      <c r="N96" s="400"/>
      <c r="O96" s="400"/>
      <c r="P96" s="354"/>
      <c r="Q96" s="400"/>
    </row>
    <row r="97" spans="3:17" ht="13.5" thickBot="1">
      <c r="C97" s="397" t="s">
        <v>65</v>
      </c>
      <c r="D97" s="855" t="s">
        <v>66</v>
      </c>
      <c r="E97" s="431" t="s">
        <v>67</v>
      </c>
      <c r="F97" s="432"/>
      <c r="G97" s="432"/>
      <c r="H97" s="317"/>
      <c r="I97" s="317"/>
      <c r="J97" s="418">
        <f>IF(D93=0,0,D93/D96)</f>
        <v>0</v>
      </c>
      <c r="K97" s="388"/>
      <c r="L97" s="388" t="s">
        <v>185</v>
      </c>
      <c r="M97" s="388"/>
      <c r="N97" s="388"/>
      <c r="O97" s="388"/>
      <c r="P97" s="354"/>
      <c r="Q97" s="388"/>
    </row>
    <row r="98" spans="1:17" ht="38.25">
      <c r="A98" s="136"/>
      <c r="B98" s="136"/>
      <c r="C98" s="433" t="s">
        <v>56</v>
      </c>
      <c r="D98" s="434" t="s">
        <v>68</v>
      </c>
      <c r="E98" s="402" t="s">
        <v>69</v>
      </c>
      <c r="F98" s="434" t="s">
        <v>70</v>
      </c>
      <c r="G98" s="434" t="s">
        <v>307</v>
      </c>
      <c r="H98" s="402" t="s">
        <v>162</v>
      </c>
      <c r="I98" s="435" t="s">
        <v>162</v>
      </c>
      <c r="J98" s="433" t="s">
        <v>80</v>
      </c>
      <c r="K98" s="436"/>
      <c r="L98" s="402" t="s">
        <v>164</v>
      </c>
      <c r="M98" s="402" t="s">
        <v>186</v>
      </c>
      <c r="N98" s="402" t="s">
        <v>164</v>
      </c>
      <c r="O98" s="402" t="s">
        <v>188</v>
      </c>
      <c r="P98" s="402" t="s">
        <v>71</v>
      </c>
      <c r="Q98" s="437"/>
    </row>
    <row r="99" spans="3:17" ht="13.5" thickBot="1">
      <c r="C99" s="403" t="s">
        <v>785</v>
      </c>
      <c r="D99" s="438" t="s">
        <v>786</v>
      </c>
      <c r="E99" s="403" t="s">
        <v>573</v>
      </c>
      <c r="F99" s="438" t="s">
        <v>786</v>
      </c>
      <c r="G99" s="438" t="s">
        <v>786</v>
      </c>
      <c r="H99" s="407" t="s">
        <v>83</v>
      </c>
      <c r="I99" s="404" t="s">
        <v>86</v>
      </c>
      <c r="J99" s="405" t="s">
        <v>85</v>
      </c>
      <c r="K99" s="406"/>
      <c r="L99" s="407" t="s">
        <v>72</v>
      </c>
      <c r="M99" s="407" t="s">
        <v>72</v>
      </c>
      <c r="N99" s="407" t="s">
        <v>323</v>
      </c>
      <c r="O99" s="407" t="s">
        <v>323</v>
      </c>
      <c r="P99" s="407" t="s">
        <v>323</v>
      </c>
      <c r="Q99" s="101"/>
    </row>
    <row r="100" spans="3:17" ht="12.75">
      <c r="C100" s="408">
        <f>IF(D94="","-",D94)</f>
        <v>2008</v>
      </c>
      <c r="D100" s="409">
        <f>+D93</f>
        <v>0</v>
      </c>
      <c r="E100" s="412">
        <f>+J97/12*(12-D95)</f>
        <v>0</v>
      </c>
      <c r="F100" s="733">
        <f aca="true" t="shared" si="0" ref="F100:F140">+D100-E100</f>
        <v>0</v>
      </c>
      <c r="G100" s="409">
        <f>+(D100+F100)/2</f>
        <v>0</v>
      </c>
      <c r="H100" s="555">
        <f>+J95*G100+E100</f>
        <v>0</v>
      </c>
      <c r="I100" s="1074">
        <f>+J96*G100+E100</f>
        <v>0</v>
      </c>
      <c r="J100" s="413">
        <f>+I100-H100</f>
        <v>0</v>
      </c>
      <c r="K100" s="413"/>
      <c r="L100" s="847"/>
      <c r="M100" s="410">
        <f aca="true" t="shared" si="1" ref="M100:M140">IF(L100&lt;&gt;0,+H100-L100,0)</f>
        <v>0</v>
      </c>
      <c r="N100" s="847"/>
      <c r="O100" s="410">
        <f aca="true" t="shared" si="2" ref="O100:O140">IF(N100&lt;&gt;0,+I100-N100,0)</f>
        <v>0</v>
      </c>
      <c r="P100" s="410">
        <f aca="true" t="shared" si="3" ref="P100:P140">+O100-M100</f>
        <v>0</v>
      </c>
      <c r="Q100" s="420"/>
    </row>
    <row r="101" spans="3:17" ht="12.75">
      <c r="C101" s="408">
        <f>IF(D94="","-",+C100+1)</f>
        <v>2009</v>
      </c>
      <c r="D101" s="409">
        <f aca="true" t="shared" si="4" ref="D101:D141">F100</f>
        <v>0</v>
      </c>
      <c r="E101" s="411">
        <f aca="true" t="shared" si="5" ref="E101:E132">IF(D101&gt;$J$97,$J$97,D101)</f>
        <v>0</v>
      </c>
      <c r="F101" s="411">
        <f t="shared" si="0"/>
        <v>0</v>
      </c>
      <c r="G101" s="409">
        <f aca="true" t="shared" si="6" ref="G101:G159">+(D101+F101)/2</f>
        <v>0</v>
      </c>
      <c r="H101" s="412">
        <f>+J95*G101+E101</f>
        <v>0</v>
      </c>
      <c r="I101" s="401">
        <f>+J96*G101+E101</f>
        <v>0</v>
      </c>
      <c r="J101" s="413">
        <f>+I101-H101</f>
        <v>0</v>
      </c>
      <c r="K101" s="413"/>
      <c r="L101" s="848"/>
      <c r="M101" s="413">
        <f t="shared" si="1"/>
        <v>0</v>
      </c>
      <c r="N101" s="848"/>
      <c r="O101" s="413">
        <f t="shared" si="2"/>
        <v>0</v>
      </c>
      <c r="P101" s="413">
        <f t="shared" si="3"/>
        <v>0</v>
      </c>
      <c r="Q101" s="420"/>
    </row>
    <row r="102" spans="3:17" ht="12.75">
      <c r="C102" s="408">
        <f>IF(D94="","-",+C101+1)</f>
        <v>2010</v>
      </c>
      <c r="D102" s="409">
        <f t="shared" si="4"/>
        <v>0</v>
      </c>
      <c r="E102" s="411">
        <f t="shared" si="5"/>
        <v>0</v>
      </c>
      <c r="F102" s="411">
        <f t="shared" si="0"/>
        <v>0</v>
      </c>
      <c r="G102" s="409">
        <f t="shared" si="6"/>
        <v>0</v>
      </c>
      <c r="H102" s="412">
        <f>+J95*G102+E102</f>
        <v>0</v>
      </c>
      <c r="I102" s="401">
        <f>+J96*G102+E102</f>
        <v>0</v>
      </c>
      <c r="J102" s="413">
        <f aca="true" t="shared" si="7" ref="J102:J159">+I102-H102</f>
        <v>0</v>
      </c>
      <c r="K102" s="413"/>
      <c r="L102" s="848"/>
      <c r="M102" s="413">
        <f t="shared" si="1"/>
        <v>0</v>
      </c>
      <c r="N102" s="848"/>
      <c r="O102" s="413">
        <f t="shared" si="2"/>
        <v>0</v>
      </c>
      <c r="P102" s="413">
        <f t="shared" si="3"/>
        <v>0</v>
      </c>
      <c r="Q102" s="420"/>
    </row>
    <row r="103" spans="3:17" ht="12.75">
      <c r="C103" s="408">
        <f>IF(D94="","-",+C102+1)</f>
        <v>2011</v>
      </c>
      <c r="D103" s="409">
        <f t="shared" si="4"/>
        <v>0</v>
      </c>
      <c r="E103" s="411">
        <f t="shared" si="5"/>
        <v>0</v>
      </c>
      <c r="F103" s="411">
        <f t="shared" si="0"/>
        <v>0</v>
      </c>
      <c r="G103" s="409">
        <f t="shared" si="6"/>
        <v>0</v>
      </c>
      <c r="H103" s="412">
        <f>+J95*G103+E103</f>
        <v>0</v>
      </c>
      <c r="I103" s="401">
        <f>+J96*G103+E103</f>
        <v>0</v>
      </c>
      <c r="J103" s="413">
        <f t="shared" si="7"/>
        <v>0</v>
      </c>
      <c r="K103" s="413"/>
      <c r="L103" s="848"/>
      <c r="M103" s="413">
        <f t="shared" si="1"/>
        <v>0</v>
      </c>
      <c r="N103" s="848"/>
      <c r="O103" s="413">
        <f t="shared" si="2"/>
        <v>0</v>
      </c>
      <c r="P103" s="413">
        <f t="shared" si="3"/>
        <v>0</v>
      </c>
      <c r="Q103" s="420"/>
    </row>
    <row r="104" spans="3:17" ht="12.75">
      <c r="C104" s="408">
        <f>IF(D94="","-",+C103+1)</f>
        <v>2012</v>
      </c>
      <c r="D104" s="409">
        <f t="shared" si="4"/>
        <v>0</v>
      </c>
      <c r="E104" s="411">
        <f t="shared" si="5"/>
        <v>0</v>
      </c>
      <c r="F104" s="411">
        <f t="shared" si="0"/>
        <v>0</v>
      </c>
      <c r="G104" s="409">
        <f t="shared" si="6"/>
        <v>0</v>
      </c>
      <c r="H104" s="412">
        <f>+J95*G104+E104</f>
        <v>0</v>
      </c>
      <c r="I104" s="401">
        <f>+J96*G104+E104</f>
        <v>0</v>
      </c>
      <c r="J104" s="413">
        <f t="shared" si="7"/>
        <v>0</v>
      </c>
      <c r="K104" s="413"/>
      <c r="L104" s="848"/>
      <c r="M104" s="413">
        <f t="shared" si="1"/>
        <v>0</v>
      </c>
      <c r="N104" s="848"/>
      <c r="O104" s="413">
        <f t="shared" si="2"/>
        <v>0</v>
      </c>
      <c r="P104" s="413">
        <f t="shared" si="3"/>
        <v>0</v>
      </c>
      <c r="Q104" s="420"/>
    </row>
    <row r="105" spans="3:17" ht="12.75">
      <c r="C105" s="408">
        <f>IF(D94="","-",+C104+1)</f>
        <v>2013</v>
      </c>
      <c r="D105" s="409">
        <f t="shared" si="4"/>
        <v>0</v>
      </c>
      <c r="E105" s="411">
        <f t="shared" si="5"/>
        <v>0</v>
      </c>
      <c r="F105" s="411">
        <f t="shared" si="0"/>
        <v>0</v>
      </c>
      <c r="G105" s="409">
        <f t="shared" si="6"/>
        <v>0</v>
      </c>
      <c r="H105" s="412">
        <f>+J95*G105+E105</f>
        <v>0</v>
      </c>
      <c r="I105" s="401">
        <f>+J96*G105+E105</f>
        <v>0</v>
      </c>
      <c r="J105" s="413">
        <f t="shared" si="7"/>
        <v>0</v>
      </c>
      <c r="K105" s="413"/>
      <c r="L105" s="848"/>
      <c r="M105" s="413">
        <f t="shared" si="1"/>
        <v>0</v>
      </c>
      <c r="N105" s="848"/>
      <c r="O105" s="413">
        <f t="shared" si="2"/>
        <v>0</v>
      </c>
      <c r="P105" s="413">
        <f t="shared" si="3"/>
        <v>0</v>
      </c>
      <c r="Q105" s="420"/>
    </row>
    <row r="106" spans="3:17" ht="12.75">
      <c r="C106" s="408">
        <f>IF(D94="","-",+C105+1)</f>
        <v>2014</v>
      </c>
      <c r="D106" s="409">
        <f t="shared" si="4"/>
        <v>0</v>
      </c>
      <c r="E106" s="411">
        <f t="shared" si="5"/>
        <v>0</v>
      </c>
      <c r="F106" s="411">
        <f t="shared" si="0"/>
        <v>0</v>
      </c>
      <c r="G106" s="409">
        <f t="shared" si="6"/>
        <v>0</v>
      </c>
      <c r="H106" s="412">
        <f>+J95*G106+E106</f>
        <v>0</v>
      </c>
      <c r="I106" s="401">
        <f>+J96*G106+E106</f>
        <v>0</v>
      </c>
      <c r="J106" s="413">
        <f t="shared" si="7"/>
        <v>0</v>
      </c>
      <c r="K106" s="413"/>
      <c r="L106" s="848"/>
      <c r="M106" s="413">
        <f t="shared" si="1"/>
        <v>0</v>
      </c>
      <c r="N106" s="848"/>
      <c r="O106" s="413">
        <f t="shared" si="2"/>
        <v>0</v>
      </c>
      <c r="P106" s="413">
        <f t="shared" si="3"/>
        <v>0</v>
      </c>
      <c r="Q106" s="420"/>
    </row>
    <row r="107" spans="3:17" ht="12.75">
      <c r="C107" s="408">
        <f>IF(D94="","-",+C106+1)</f>
        <v>2015</v>
      </c>
      <c r="D107" s="409">
        <f t="shared" si="4"/>
        <v>0</v>
      </c>
      <c r="E107" s="411">
        <f t="shared" si="5"/>
        <v>0</v>
      </c>
      <c r="F107" s="411">
        <f t="shared" si="0"/>
        <v>0</v>
      </c>
      <c r="G107" s="409">
        <f t="shared" si="6"/>
        <v>0</v>
      </c>
      <c r="H107" s="412">
        <f>+J95*G107+E107</f>
        <v>0</v>
      </c>
      <c r="I107" s="401">
        <f>+J96*G107+E107</f>
        <v>0</v>
      </c>
      <c r="J107" s="413">
        <f t="shared" si="7"/>
        <v>0</v>
      </c>
      <c r="K107" s="413"/>
      <c r="L107" s="848"/>
      <c r="M107" s="413">
        <f t="shared" si="1"/>
        <v>0</v>
      </c>
      <c r="N107" s="848"/>
      <c r="O107" s="413">
        <f t="shared" si="2"/>
        <v>0</v>
      </c>
      <c r="P107" s="413">
        <f t="shared" si="3"/>
        <v>0</v>
      </c>
      <c r="Q107" s="420"/>
    </row>
    <row r="108" spans="3:17" ht="12.75">
      <c r="C108" s="408">
        <f>IF(D94="","-",+C107+1)</f>
        <v>2016</v>
      </c>
      <c r="D108" s="409">
        <f t="shared" si="4"/>
        <v>0</v>
      </c>
      <c r="E108" s="411">
        <f t="shared" si="5"/>
        <v>0</v>
      </c>
      <c r="F108" s="411">
        <f t="shared" si="0"/>
        <v>0</v>
      </c>
      <c r="G108" s="409">
        <f t="shared" si="6"/>
        <v>0</v>
      </c>
      <c r="H108" s="412">
        <f>+J95*G108+E108</f>
        <v>0</v>
      </c>
      <c r="I108" s="401">
        <f>+J96*G108+E108</f>
        <v>0</v>
      </c>
      <c r="J108" s="413">
        <f t="shared" si="7"/>
        <v>0</v>
      </c>
      <c r="K108" s="413"/>
      <c r="L108" s="848"/>
      <c r="M108" s="413">
        <f t="shared" si="1"/>
        <v>0</v>
      </c>
      <c r="N108" s="848"/>
      <c r="O108" s="413">
        <f t="shared" si="2"/>
        <v>0</v>
      </c>
      <c r="P108" s="413">
        <f t="shared" si="3"/>
        <v>0</v>
      </c>
      <c r="Q108" s="420"/>
    </row>
    <row r="109" spans="3:17" ht="12.75">
      <c r="C109" s="408">
        <f>IF(D94="","-",+C108+1)</f>
        <v>2017</v>
      </c>
      <c r="D109" s="409">
        <f t="shared" si="4"/>
        <v>0</v>
      </c>
      <c r="E109" s="411">
        <f t="shared" si="5"/>
        <v>0</v>
      </c>
      <c r="F109" s="411">
        <f t="shared" si="0"/>
        <v>0</v>
      </c>
      <c r="G109" s="409">
        <f t="shared" si="6"/>
        <v>0</v>
      </c>
      <c r="H109" s="412">
        <f>+J95*G109+E109</f>
        <v>0</v>
      </c>
      <c r="I109" s="401">
        <f>+J96*G109+E109</f>
        <v>0</v>
      </c>
      <c r="J109" s="413">
        <f t="shared" si="7"/>
        <v>0</v>
      </c>
      <c r="K109" s="413"/>
      <c r="L109" s="848"/>
      <c r="M109" s="413">
        <f t="shared" si="1"/>
        <v>0</v>
      </c>
      <c r="N109" s="848"/>
      <c r="O109" s="413">
        <f t="shared" si="2"/>
        <v>0</v>
      </c>
      <c r="P109" s="413">
        <f t="shared" si="3"/>
        <v>0</v>
      </c>
      <c r="Q109" s="420"/>
    </row>
    <row r="110" spans="3:17" ht="12.75">
      <c r="C110" s="408">
        <f>IF(D94="","-",+C109+1)</f>
        <v>2018</v>
      </c>
      <c r="D110" s="409">
        <f t="shared" si="4"/>
        <v>0</v>
      </c>
      <c r="E110" s="411">
        <f t="shared" si="5"/>
        <v>0</v>
      </c>
      <c r="F110" s="411">
        <f t="shared" si="0"/>
        <v>0</v>
      </c>
      <c r="G110" s="409">
        <f t="shared" si="6"/>
        <v>0</v>
      </c>
      <c r="H110" s="412">
        <f>+J95*G110+E110</f>
        <v>0</v>
      </c>
      <c r="I110" s="401">
        <f>+J96*G110+E110</f>
        <v>0</v>
      </c>
      <c r="J110" s="413">
        <f t="shared" si="7"/>
        <v>0</v>
      </c>
      <c r="K110" s="413"/>
      <c r="L110" s="848"/>
      <c r="M110" s="413">
        <f t="shared" si="1"/>
        <v>0</v>
      </c>
      <c r="N110" s="848"/>
      <c r="O110" s="413">
        <f t="shared" si="2"/>
        <v>0</v>
      </c>
      <c r="P110" s="413">
        <f t="shared" si="3"/>
        <v>0</v>
      </c>
      <c r="Q110" s="420"/>
    </row>
    <row r="111" spans="3:17" ht="12.75">
      <c r="C111" s="408">
        <f>IF(D94="","-",+C110+1)</f>
        <v>2019</v>
      </c>
      <c r="D111" s="409">
        <f t="shared" si="4"/>
        <v>0</v>
      </c>
      <c r="E111" s="411">
        <f t="shared" si="5"/>
        <v>0</v>
      </c>
      <c r="F111" s="411">
        <f t="shared" si="0"/>
        <v>0</v>
      </c>
      <c r="G111" s="409">
        <f t="shared" si="6"/>
        <v>0</v>
      </c>
      <c r="H111" s="412">
        <f>+J95*G111+E111</f>
        <v>0</v>
      </c>
      <c r="I111" s="401">
        <f>+J96*G111+E111</f>
        <v>0</v>
      </c>
      <c r="J111" s="413">
        <f t="shared" si="7"/>
        <v>0</v>
      </c>
      <c r="K111" s="413"/>
      <c r="L111" s="848"/>
      <c r="M111" s="413">
        <f t="shared" si="1"/>
        <v>0</v>
      </c>
      <c r="N111" s="848"/>
      <c r="O111" s="413">
        <f t="shared" si="2"/>
        <v>0</v>
      </c>
      <c r="P111" s="413">
        <f t="shared" si="3"/>
        <v>0</v>
      </c>
      <c r="Q111" s="420"/>
    </row>
    <row r="112" spans="3:17" ht="12.75">
      <c r="C112" s="408">
        <f>IF(D94="","-",+C111+1)</f>
        <v>2020</v>
      </c>
      <c r="D112" s="409">
        <f t="shared" si="4"/>
        <v>0</v>
      </c>
      <c r="E112" s="411">
        <f t="shared" si="5"/>
        <v>0</v>
      </c>
      <c r="F112" s="411">
        <f t="shared" si="0"/>
        <v>0</v>
      </c>
      <c r="G112" s="409">
        <f t="shared" si="6"/>
        <v>0</v>
      </c>
      <c r="H112" s="412">
        <f>+J95*G112+E112</f>
        <v>0</v>
      </c>
      <c r="I112" s="401">
        <f>+J96*G112+E112</f>
        <v>0</v>
      </c>
      <c r="J112" s="413">
        <f t="shared" si="7"/>
        <v>0</v>
      </c>
      <c r="K112" s="413"/>
      <c r="L112" s="848"/>
      <c r="M112" s="413">
        <f t="shared" si="1"/>
        <v>0</v>
      </c>
      <c r="N112" s="848"/>
      <c r="O112" s="413">
        <f t="shared" si="2"/>
        <v>0</v>
      </c>
      <c r="P112" s="413">
        <f t="shared" si="3"/>
        <v>0</v>
      </c>
      <c r="Q112" s="420"/>
    </row>
    <row r="113" spans="3:17" ht="12.75">
      <c r="C113" s="408">
        <f>IF(D94="","-",+C112+1)</f>
        <v>2021</v>
      </c>
      <c r="D113" s="409">
        <f t="shared" si="4"/>
        <v>0</v>
      </c>
      <c r="E113" s="411">
        <f t="shared" si="5"/>
        <v>0</v>
      </c>
      <c r="F113" s="411">
        <f t="shared" si="0"/>
        <v>0</v>
      </c>
      <c r="G113" s="409">
        <f t="shared" si="6"/>
        <v>0</v>
      </c>
      <c r="H113" s="412">
        <f>+J95*G113+E113</f>
        <v>0</v>
      </c>
      <c r="I113" s="401">
        <f>+J96*G113+E113</f>
        <v>0</v>
      </c>
      <c r="J113" s="413">
        <f t="shared" si="7"/>
        <v>0</v>
      </c>
      <c r="K113" s="413"/>
      <c r="L113" s="848"/>
      <c r="M113" s="413">
        <f t="shared" si="1"/>
        <v>0</v>
      </c>
      <c r="N113" s="848"/>
      <c r="O113" s="413">
        <f t="shared" si="2"/>
        <v>0</v>
      </c>
      <c r="P113" s="413">
        <f t="shared" si="3"/>
        <v>0</v>
      </c>
      <c r="Q113" s="420"/>
    </row>
    <row r="114" spans="3:17" ht="12.75">
      <c r="C114" s="408">
        <f>IF(D94="","-",+C113+1)</f>
        <v>2022</v>
      </c>
      <c r="D114" s="409">
        <f t="shared" si="4"/>
        <v>0</v>
      </c>
      <c r="E114" s="411">
        <f t="shared" si="5"/>
        <v>0</v>
      </c>
      <c r="F114" s="411">
        <f t="shared" si="0"/>
        <v>0</v>
      </c>
      <c r="G114" s="409">
        <f t="shared" si="6"/>
        <v>0</v>
      </c>
      <c r="H114" s="412">
        <f>+J95*G114+E114</f>
        <v>0</v>
      </c>
      <c r="I114" s="401">
        <f>+J96*G114+E114</f>
        <v>0</v>
      </c>
      <c r="J114" s="413">
        <f t="shared" si="7"/>
        <v>0</v>
      </c>
      <c r="K114" s="413"/>
      <c r="L114" s="848"/>
      <c r="M114" s="413">
        <f t="shared" si="1"/>
        <v>0</v>
      </c>
      <c r="N114" s="848"/>
      <c r="O114" s="413">
        <f t="shared" si="2"/>
        <v>0</v>
      </c>
      <c r="P114" s="413">
        <f t="shared" si="3"/>
        <v>0</v>
      </c>
      <c r="Q114" s="420"/>
    </row>
    <row r="115" spans="3:17" ht="12.75">
      <c r="C115" s="408">
        <f>IF(D94="","-",+C114+1)</f>
        <v>2023</v>
      </c>
      <c r="D115" s="409">
        <f t="shared" si="4"/>
        <v>0</v>
      </c>
      <c r="E115" s="411">
        <f t="shared" si="5"/>
        <v>0</v>
      </c>
      <c r="F115" s="411">
        <f t="shared" si="0"/>
        <v>0</v>
      </c>
      <c r="G115" s="409">
        <f t="shared" si="6"/>
        <v>0</v>
      </c>
      <c r="H115" s="412">
        <f>+J95*G115+E115</f>
        <v>0</v>
      </c>
      <c r="I115" s="401">
        <f>+J96*G115+E115</f>
        <v>0</v>
      </c>
      <c r="J115" s="413">
        <f t="shared" si="7"/>
        <v>0</v>
      </c>
      <c r="K115" s="413"/>
      <c r="L115" s="848"/>
      <c r="M115" s="413">
        <f t="shared" si="1"/>
        <v>0</v>
      </c>
      <c r="N115" s="848"/>
      <c r="O115" s="413">
        <f t="shared" si="2"/>
        <v>0</v>
      </c>
      <c r="P115" s="413">
        <f t="shared" si="3"/>
        <v>0</v>
      </c>
      <c r="Q115" s="420"/>
    </row>
    <row r="116" spans="3:17" ht="12.75">
      <c r="C116" s="408">
        <f>IF(D94="","-",+C115+1)</f>
        <v>2024</v>
      </c>
      <c r="D116" s="409">
        <f t="shared" si="4"/>
        <v>0</v>
      </c>
      <c r="E116" s="411">
        <f t="shared" si="5"/>
        <v>0</v>
      </c>
      <c r="F116" s="411">
        <f t="shared" si="0"/>
        <v>0</v>
      </c>
      <c r="G116" s="409">
        <f t="shared" si="6"/>
        <v>0</v>
      </c>
      <c r="H116" s="412">
        <f>+J95*G116+E116</f>
        <v>0</v>
      </c>
      <c r="I116" s="401">
        <f>+J96*G116+E116</f>
        <v>0</v>
      </c>
      <c r="J116" s="413">
        <f t="shared" si="7"/>
        <v>0</v>
      </c>
      <c r="K116" s="413"/>
      <c r="L116" s="848"/>
      <c r="M116" s="413">
        <f t="shared" si="1"/>
        <v>0</v>
      </c>
      <c r="N116" s="848"/>
      <c r="O116" s="413">
        <f t="shared" si="2"/>
        <v>0</v>
      </c>
      <c r="P116" s="413">
        <f t="shared" si="3"/>
        <v>0</v>
      </c>
      <c r="Q116" s="420"/>
    </row>
    <row r="117" spans="3:17" ht="12.75">
      <c r="C117" s="408">
        <f>IF(D94="","-",+C116+1)</f>
        <v>2025</v>
      </c>
      <c r="D117" s="409">
        <f t="shared" si="4"/>
        <v>0</v>
      </c>
      <c r="E117" s="411">
        <f t="shared" si="5"/>
        <v>0</v>
      </c>
      <c r="F117" s="411">
        <f t="shared" si="0"/>
        <v>0</v>
      </c>
      <c r="G117" s="409">
        <f t="shared" si="6"/>
        <v>0</v>
      </c>
      <c r="H117" s="412">
        <f>+J95*G117+E117</f>
        <v>0</v>
      </c>
      <c r="I117" s="401">
        <f>+J96*G117+E117</f>
        <v>0</v>
      </c>
      <c r="J117" s="413">
        <f t="shared" si="7"/>
        <v>0</v>
      </c>
      <c r="K117" s="413"/>
      <c r="L117" s="848"/>
      <c r="M117" s="413">
        <f t="shared" si="1"/>
        <v>0</v>
      </c>
      <c r="N117" s="848"/>
      <c r="O117" s="413">
        <f t="shared" si="2"/>
        <v>0</v>
      </c>
      <c r="P117" s="413">
        <f t="shared" si="3"/>
        <v>0</v>
      </c>
      <c r="Q117" s="420"/>
    </row>
    <row r="118" spans="3:17" ht="12.75">
      <c r="C118" s="408">
        <f>IF(D94="","-",+C117+1)</f>
        <v>2026</v>
      </c>
      <c r="D118" s="409">
        <f t="shared" si="4"/>
        <v>0</v>
      </c>
      <c r="E118" s="411">
        <f t="shared" si="5"/>
        <v>0</v>
      </c>
      <c r="F118" s="411">
        <f t="shared" si="0"/>
        <v>0</v>
      </c>
      <c r="G118" s="409">
        <f t="shared" si="6"/>
        <v>0</v>
      </c>
      <c r="H118" s="412">
        <f>+J95*G118+E118</f>
        <v>0</v>
      </c>
      <c r="I118" s="401">
        <f>+J96*G118+E118</f>
        <v>0</v>
      </c>
      <c r="J118" s="413">
        <f t="shared" si="7"/>
        <v>0</v>
      </c>
      <c r="K118" s="413"/>
      <c r="L118" s="848"/>
      <c r="M118" s="413">
        <f t="shared" si="1"/>
        <v>0</v>
      </c>
      <c r="N118" s="848"/>
      <c r="O118" s="413">
        <f t="shared" si="2"/>
        <v>0</v>
      </c>
      <c r="P118" s="413">
        <f t="shared" si="3"/>
        <v>0</v>
      </c>
      <c r="Q118" s="420"/>
    </row>
    <row r="119" spans="3:17" ht="12.75">
      <c r="C119" s="408">
        <f>IF(D94="","-",+C118+1)</f>
        <v>2027</v>
      </c>
      <c r="D119" s="409">
        <f t="shared" si="4"/>
        <v>0</v>
      </c>
      <c r="E119" s="411">
        <f t="shared" si="5"/>
        <v>0</v>
      </c>
      <c r="F119" s="411">
        <f t="shared" si="0"/>
        <v>0</v>
      </c>
      <c r="G119" s="409">
        <f t="shared" si="6"/>
        <v>0</v>
      </c>
      <c r="H119" s="412">
        <f>+J95*G119+E119</f>
        <v>0</v>
      </c>
      <c r="I119" s="401">
        <f>+J96*G119+E119</f>
        <v>0</v>
      </c>
      <c r="J119" s="413">
        <f t="shared" si="7"/>
        <v>0</v>
      </c>
      <c r="K119" s="413"/>
      <c r="L119" s="848"/>
      <c r="M119" s="413">
        <f t="shared" si="1"/>
        <v>0</v>
      </c>
      <c r="N119" s="848"/>
      <c r="O119" s="413">
        <f t="shared" si="2"/>
        <v>0</v>
      </c>
      <c r="P119" s="413">
        <f t="shared" si="3"/>
        <v>0</v>
      </c>
      <c r="Q119" s="420"/>
    </row>
    <row r="120" spans="3:17" ht="12.75">
      <c r="C120" s="408">
        <f>IF(D94="","-",+C119+1)</f>
        <v>2028</v>
      </c>
      <c r="D120" s="409">
        <f t="shared" si="4"/>
        <v>0</v>
      </c>
      <c r="E120" s="411">
        <f t="shared" si="5"/>
        <v>0</v>
      </c>
      <c r="F120" s="411">
        <f t="shared" si="0"/>
        <v>0</v>
      </c>
      <c r="G120" s="409">
        <f t="shared" si="6"/>
        <v>0</v>
      </c>
      <c r="H120" s="412">
        <f>+J95*G120+E120</f>
        <v>0</v>
      </c>
      <c r="I120" s="401">
        <f>+J96*G120+E120</f>
        <v>0</v>
      </c>
      <c r="J120" s="413">
        <f t="shared" si="7"/>
        <v>0</v>
      </c>
      <c r="K120" s="413"/>
      <c r="L120" s="848"/>
      <c r="M120" s="413">
        <f t="shared" si="1"/>
        <v>0</v>
      </c>
      <c r="N120" s="848"/>
      <c r="O120" s="413">
        <f t="shared" si="2"/>
        <v>0</v>
      </c>
      <c r="P120" s="413">
        <f t="shared" si="3"/>
        <v>0</v>
      </c>
      <c r="Q120" s="420"/>
    </row>
    <row r="121" spans="3:17" ht="12.75">
      <c r="C121" s="408">
        <f>IF(D94="","-",+C120+1)</f>
        <v>2029</v>
      </c>
      <c r="D121" s="409">
        <f t="shared" si="4"/>
        <v>0</v>
      </c>
      <c r="E121" s="411">
        <f t="shared" si="5"/>
        <v>0</v>
      </c>
      <c r="F121" s="411">
        <f t="shared" si="0"/>
        <v>0</v>
      </c>
      <c r="G121" s="409">
        <f t="shared" si="6"/>
        <v>0</v>
      </c>
      <c r="H121" s="412">
        <f>+J95*G121+E121</f>
        <v>0</v>
      </c>
      <c r="I121" s="401">
        <f>+J96*G121+E121</f>
        <v>0</v>
      </c>
      <c r="J121" s="413">
        <f t="shared" si="7"/>
        <v>0</v>
      </c>
      <c r="K121" s="413"/>
      <c r="L121" s="848"/>
      <c r="M121" s="413">
        <f t="shared" si="1"/>
        <v>0</v>
      </c>
      <c r="N121" s="848"/>
      <c r="O121" s="413">
        <f t="shared" si="2"/>
        <v>0</v>
      </c>
      <c r="P121" s="413">
        <f t="shared" si="3"/>
        <v>0</v>
      </c>
      <c r="Q121" s="420"/>
    </row>
    <row r="122" spans="3:17" ht="12.75">
      <c r="C122" s="408">
        <f>IF(D94="","-",+C121+1)</f>
        <v>2030</v>
      </c>
      <c r="D122" s="409">
        <f t="shared" si="4"/>
        <v>0</v>
      </c>
      <c r="E122" s="411">
        <f t="shared" si="5"/>
        <v>0</v>
      </c>
      <c r="F122" s="411">
        <f t="shared" si="0"/>
        <v>0</v>
      </c>
      <c r="G122" s="409">
        <f t="shared" si="6"/>
        <v>0</v>
      </c>
      <c r="H122" s="412">
        <f>+J95*G122+E122</f>
        <v>0</v>
      </c>
      <c r="I122" s="401">
        <f>+J96*G122+E122</f>
        <v>0</v>
      </c>
      <c r="J122" s="413">
        <f t="shared" si="7"/>
        <v>0</v>
      </c>
      <c r="K122" s="413"/>
      <c r="L122" s="848"/>
      <c r="M122" s="413">
        <f t="shared" si="1"/>
        <v>0</v>
      </c>
      <c r="N122" s="848"/>
      <c r="O122" s="413">
        <f t="shared" si="2"/>
        <v>0</v>
      </c>
      <c r="P122" s="413">
        <f t="shared" si="3"/>
        <v>0</v>
      </c>
      <c r="Q122" s="420"/>
    </row>
    <row r="123" spans="3:17" ht="12.75">
      <c r="C123" s="408">
        <f>IF(D94="","-",+C122+1)</f>
        <v>2031</v>
      </c>
      <c r="D123" s="409">
        <f t="shared" si="4"/>
        <v>0</v>
      </c>
      <c r="E123" s="411">
        <f t="shared" si="5"/>
        <v>0</v>
      </c>
      <c r="F123" s="411">
        <f t="shared" si="0"/>
        <v>0</v>
      </c>
      <c r="G123" s="409">
        <f t="shared" si="6"/>
        <v>0</v>
      </c>
      <c r="H123" s="412">
        <f>+J95*G123+E123</f>
        <v>0</v>
      </c>
      <c r="I123" s="401">
        <f>+J96*G123+E123</f>
        <v>0</v>
      </c>
      <c r="J123" s="413">
        <f t="shared" si="7"/>
        <v>0</v>
      </c>
      <c r="K123" s="413"/>
      <c r="L123" s="848"/>
      <c r="M123" s="413">
        <f t="shared" si="1"/>
        <v>0</v>
      </c>
      <c r="N123" s="848"/>
      <c r="O123" s="413">
        <f t="shared" si="2"/>
        <v>0</v>
      </c>
      <c r="P123" s="413">
        <f t="shared" si="3"/>
        <v>0</v>
      </c>
      <c r="Q123" s="420"/>
    </row>
    <row r="124" spans="3:17" ht="12.75">
      <c r="C124" s="408">
        <f>IF(D94="","-",+C123+1)</f>
        <v>2032</v>
      </c>
      <c r="D124" s="409">
        <f t="shared" si="4"/>
        <v>0</v>
      </c>
      <c r="E124" s="411">
        <f t="shared" si="5"/>
        <v>0</v>
      </c>
      <c r="F124" s="411">
        <f t="shared" si="0"/>
        <v>0</v>
      </c>
      <c r="G124" s="409">
        <f t="shared" si="6"/>
        <v>0</v>
      </c>
      <c r="H124" s="412">
        <f>+J95*G124+E124</f>
        <v>0</v>
      </c>
      <c r="I124" s="401">
        <f>+J96*G124+E124</f>
        <v>0</v>
      </c>
      <c r="J124" s="413">
        <f t="shared" si="7"/>
        <v>0</v>
      </c>
      <c r="K124" s="413"/>
      <c r="L124" s="848"/>
      <c r="M124" s="413">
        <f t="shared" si="1"/>
        <v>0</v>
      </c>
      <c r="N124" s="848"/>
      <c r="O124" s="413">
        <f t="shared" si="2"/>
        <v>0</v>
      </c>
      <c r="P124" s="413">
        <f t="shared" si="3"/>
        <v>0</v>
      </c>
      <c r="Q124" s="420"/>
    </row>
    <row r="125" spans="3:17" ht="12.75">
      <c r="C125" s="408">
        <f>IF(D94="","-",+C124+1)</f>
        <v>2033</v>
      </c>
      <c r="D125" s="409">
        <f t="shared" si="4"/>
        <v>0</v>
      </c>
      <c r="E125" s="411">
        <f t="shared" si="5"/>
        <v>0</v>
      </c>
      <c r="F125" s="411">
        <f t="shared" si="0"/>
        <v>0</v>
      </c>
      <c r="G125" s="409">
        <f t="shared" si="6"/>
        <v>0</v>
      </c>
      <c r="H125" s="412">
        <f>+J95*G125+E125</f>
        <v>0</v>
      </c>
      <c r="I125" s="401">
        <f>+J96*G125+E125</f>
        <v>0</v>
      </c>
      <c r="J125" s="413">
        <f t="shared" si="7"/>
        <v>0</v>
      </c>
      <c r="K125" s="413"/>
      <c r="L125" s="848"/>
      <c r="M125" s="413">
        <f t="shared" si="1"/>
        <v>0</v>
      </c>
      <c r="N125" s="848"/>
      <c r="O125" s="413">
        <f t="shared" si="2"/>
        <v>0</v>
      </c>
      <c r="P125" s="413">
        <f t="shared" si="3"/>
        <v>0</v>
      </c>
      <c r="Q125" s="420"/>
    </row>
    <row r="126" spans="3:17" ht="12.75">
      <c r="C126" s="408">
        <f>IF(D94="","-",+C125+1)</f>
        <v>2034</v>
      </c>
      <c r="D126" s="409">
        <f t="shared" si="4"/>
        <v>0</v>
      </c>
      <c r="E126" s="411">
        <f t="shared" si="5"/>
        <v>0</v>
      </c>
      <c r="F126" s="411">
        <f t="shared" si="0"/>
        <v>0</v>
      </c>
      <c r="G126" s="409">
        <f t="shared" si="6"/>
        <v>0</v>
      </c>
      <c r="H126" s="412">
        <f>+J95*G126+E126</f>
        <v>0</v>
      </c>
      <c r="I126" s="401">
        <f>+J96*G126+E126</f>
        <v>0</v>
      </c>
      <c r="J126" s="413">
        <f t="shared" si="7"/>
        <v>0</v>
      </c>
      <c r="K126" s="413"/>
      <c r="L126" s="848"/>
      <c r="M126" s="413">
        <f t="shared" si="1"/>
        <v>0</v>
      </c>
      <c r="N126" s="848"/>
      <c r="O126" s="413">
        <f t="shared" si="2"/>
        <v>0</v>
      </c>
      <c r="P126" s="413">
        <f t="shared" si="3"/>
        <v>0</v>
      </c>
      <c r="Q126" s="420"/>
    </row>
    <row r="127" spans="3:17" ht="12.75">
      <c r="C127" s="408">
        <f>IF(D94="","-",+C126+1)</f>
        <v>2035</v>
      </c>
      <c r="D127" s="409">
        <f t="shared" si="4"/>
        <v>0</v>
      </c>
      <c r="E127" s="411">
        <f t="shared" si="5"/>
        <v>0</v>
      </c>
      <c r="F127" s="411">
        <f t="shared" si="0"/>
        <v>0</v>
      </c>
      <c r="G127" s="409">
        <f t="shared" si="6"/>
        <v>0</v>
      </c>
      <c r="H127" s="412">
        <f>+J95*G127+E127</f>
        <v>0</v>
      </c>
      <c r="I127" s="401">
        <f>+J96*G127+E127</f>
        <v>0</v>
      </c>
      <c r="J127" s="413">
        <f t="shared" si="7"/>
        <v>0</v>
      </c>
      <c r="K127" s="413"/>
      <c r="L127" s="848"/>
      <c r="M127" s="413">
        <f t="shared" si="1"/>
        <v>0</v>
      </c>
      <c r="N127" s="848"/>
      <c r="O127" s="413">
        <f t="shared" si="2"/>
        <v>0</v>
      </c>
      <c r="P127" s="413">
        <f t="shared" si="3"/>
        <v>0</v>
      </c>
      <c r="Q127" s="420"/>
    </row>
    <row r="128" spans="3:17" ht="12.75">
      <c r="C128" s="408">
        <f>IF(D94="","-",+C127+1)</f>
        <v>2036</v>
      </c>
      <c r="D128" s="409">
        <f t="shared" si="4"/>
        <v>0</v>
      </c>
      <c r="E128" s="411">
        <f t="shared" si="5"/>
        <v>0</v>
      </c>
      <c r="F128" s="411">
        <f t="shared" si="0"/>
        <v>0</v>
      </c>
      <c r="G128" s="409">
        <f t="shared" si="6"/>
        <v>0</v>
      </c>
      <c r="H128" s="412">
        <f>+J95*G128+E128</f>
        <v>0</v>
      </c>
      <c r="I128" s="401">
        <f>+J96*G128+E128</f>
        <v>0</v>
      </c>
      <c r="J128" s="413">
        <f t="shared" si="7"/>
        <v>0</v>
      </c>
      <c r="K128" s="413"/>
      <c r="L128" s="848"/>
      <c r="M128" s="413">
        <f t="shared" si="1"/>
        <v>0</v>
      </c>
      <c r="N128" s="848"/>
      <c r="O128" s="413">
        <f t="shared" si="2"/>
        <v>0</v>
      </c>
      <c r="P128" s="413">
        <f t="shared" si="3"/>
        <v>0</v>
      </c>
      <c r="Q128" s="420"/>
    </row>
    <row r="129" spans="3:17" ht="12.75">
      <c r="C129" s="408">
        <f>IF(D94="","-",+C128+1)</f>
        <v>2037</v>
      </c>
      <c r="D129" s="409">
        <f t="shared" si="4"/>
        <v>0</v>
      </c>
      <c r="E129" s="411">
        <f t="shared" si="5"/>
        <v>0</v>
      </c>
      <c r="F129" s="411">
        <f t="shared" si="0"/>
        <v>0</v>
      </c>
      <c r="G129" s="409">
        <f t="shared" si="6"/>
        <v>0</v>
      </c>
      <c r="H129" s="412">
        <f>+J95*G129+E129</f>
        <v>0</v>
      </c>
      <c r="I129" s="401">
        <f>+J96*G129+E129</f>
        <v>0</v>
      </c>
      <c r="J129" s="413">
        <f t="shared" si="7"/>
        <v>0</v>
      </c>
      <c r="K129" s="413"/>
      <c r="L129" s="848"/>
      <c r="M129" s="413">
        <f t="shared" si="1"/>
        <v>0</v>
      </c>
      <c r="N129" s="848"/>
      <c r="O129" s="413">
        <f t="shared" si="2"/>
        <v>0</v>
      </c>
      <c r="P129" s="413">
        <f t="shared" si="3"/>
        <v>0</v>
      </c>
      <c r="Q129" s="420"/>
    </row>
    <row r="130" spans="3:17" ht="12.75">
      <c r="C130" s="408">
        <f>IF(D94="","-",+C129+1)</f>
        <v>2038</v>
      </c>
      <c r="D130" s="409">
        <f t="shared" si="4"/>
        <v>0</v>
      </c>
      <c r="E130" s="411">
        <f t="shared" si="5"/>
        <v>0</v>
      </c>
      <c r="F130" s="411">
        <f t="shared" si="0"/>
        <v>0</v>
      </c>
      <c r="G130" s="409">
        <f t="shared" si="6"/>
        <v>0</v>
      </c>
      <c r="H130" s="412">
        <f>+J95*G130+E130</f>
        <v>0</v>
      </c>
      <c r="I130" s="401">
        <f>+J96*G130+E130</f>
        <v>0</v>
      </c>
      <c r="J130" s="413">
        <f t="shared" si="7"/>
        <v>0</v>
      </c>
      <c r="K130" s="413"/>
      <c r="L130" s="848"/>
      <c r="M130" s="413">
        <f t="shared" si="1"/>
        <v>0</v>
      </c>
      <c r="N130" s="848"/>
      <c r="O130" s="413">
        <f t="shared" si="2"/>
        <v>0</v>
      </c>
      <c r="P130" s="413">
        <f t="shared" si="3"/>
        <v>0</v>
      </c>
      <c r="Q130" s="420"/>
    </row>
    <row r="131" spans="3:17" ht="12.75">
      <c r="C131" s="408">
        <f>IF(D94="","-",+C130+1)</f>
        <v>2039</v>
      </c>
      <c r="D131" s="409">
        <f t="shared" si="4"/>
        <v>0</v>
      </c>
      <c r="E131" s="411">
        <f t="shared" si="5"/>
        <v>0</v>
      </c>
      <c r="F131" s="411">
        <f t="shared" si="0"/>
        <v>0</v>
      </c>
      <c r="G131" s="409">
        <f t="shared" si="6"/>
        <v>0</v>
      </c>
      <c r="H131" s="412">
        <f>+J95*G131+E131</f>
        <v>0</v>
      </c>
      <c r="I131" s="401">
        <f>+J96*G131+E131</f>
        <v>0</v>
      </c>
      <c r="J131" s="413">
        <f t="shared" si="7"/>
        <v>0</v>
      </c>
      <c r="K131" s="413"/>
      <c r="L131" s="848"/>
      <c r="M131" s="413">
        <f t="shared" si="1"/>
        <v>0</v>
      </c>
      <c r="N131" s="848"/>
      <c r="O131" s="413">
        <f t="shared" si="2"/>
        <v>0</v>
      </c>
      <c r="P131" s="413">
        <f t="shared" si="3"/>
        <v>0</v>
      </c>
      <c r="Q131" s="420"/>
    </row>
    <row r="132" spans="3:17" ht="12.75">
      <c r="C132" s="408">
        <f>IF(D94="","-",+C131+1)</f>
        <v>2040</v>
      </c>
      <c r="D132" s="409">
        <f t="shared" si="4"/>
        <v>0</v>
      </c>
      <c r="E132" s="411">
        <f t="shared" si="5"/>
        <v>0</v>
      </c>
      <c r="F132" s="411">
        <f t="shared" si="0"/>
        <v>0</v>
      </c>
      <c r="G132" s="409">
        <f t="shared" si="6"/>
        <v>0</v>
      </c>
      <c r="H132" s="412">
        <f>+J95*G132+E132</f>
        <v>0</v>
      </c>
      <c r="I132" s="401">
        <f>+J96*G132+E132</f>
        <v>0</v>
      </c>
      <c r="J132" s="413">
        <f t="shared" si="7"/>
        <v>0</v>
      </c>
      <c r="K132" s="413"/>
      <c r="L132" s="848"/>
      <c r="M132" s="413">
        <f t="shared" si="1"/>
        <v>0</v>
      </c>
      <c r="N132" s="848"/>
      <c r="O132" s="413">
        <f t="shared" si="2"/>
        <v>0</v>
      </c>
      <c r="P132" s="413">
        <f t="shared" si="3"/>
        <v>0</v>
      </c>
      <c r="Q132" s="420"/>
    </row>
    <row r="133" spans="3:17" ht="12.75">
      <c r="C133" s="408">
        <f>IF(D94="","-",+C132+1)</f>
        <v>2041</v>
      </c>
      <c r="D133" s="409">
        <f t="shared" si="4"/>
        <v>0</v>
      </c>
      <c r="E133" s="411">
        <f aca="true" t="shared" si="8" ref="E133:E159">IF(D133&gt;$J$97,$J$97,D133)</f>
        <v>0</v>
      </c>
      <c r="F133" s="411">
        <f t="shared" si="0"/>
        <v>0</v>
      </c>
      <c r="G133" s="409">
        <f t="shared" si="6"/>
        <v>0</v>
      </c>
      <c r="H133" s="412">
        <f>+J95*G133+E133</f>
        <v>0</v>
      </c>
      <c r="I133" s="401">
        <f>+J96*G133+E133</f>
        <v>0</v>
      </c>
      <c r="J133" s="413">
        <f t="shared" si="7"/>
        <v>0</v>
      </c>
      <c r="K133" s="413"/>
      <c r="L133" s="848"/>
      <c r="M133" s="413">
        <f t="shared" si="1"/>
        <v>0</v>
      </c>
      <c r="N133" s="848"/>
      <c r="O133" s="413">
        <f t="shared" si="2"/>
        <v>0</v>
      </c>
      <c r="P133" s="413">
        <f t="shared" si="3"/>
        <v>0</v>
      </c>
      <c r="Q133" s="420"/>
    </row>
    <row r="134" spans="3:17" ht="12.75">
      <c r="C134" s="408">
        <f>IF(D94="","-",+C133+1)</f>
        <v>2042</v>
      </c>
      <c r="D134" s="409">
        <f t="shared" si="4"/>
        <v>0</v>
      </c>
      <c r="E134" s="411">
        <f t="shared" si="8"/>
        <v>0</v>
      </c>
      <c r="F134" s="411">
        <f t="shared" si="0"/>
        <v>0</v>
      </c>
      <c r="G134" s="409">
        <f t="shared" si="6"/>
        <v>0</v>
      </c>
      <c r="H134" s="412">
        <f>+J95*G134+E134</f>
        <v>0</v>
      </c>
      <c r="I134" s="401">
        <f>+J96*G134+E134</f>
        <v>0</v>
      </c>
      <c r="J134" s="413">
        <f t="shared" si="7"/>
        <v>0</v>
      </c>
      <c r="K134" s="413"/>
      <c r="L134" s="848"/>
      <c r="M134" s="413">
        <f t="shared" si="1"/>
        <v>0</v>
      </c>
      <c r="N134" s="848"/>
      <c r="O134" s="413">
        <f t="shared" si="2"/>
        <v>0</v>
      </c>
      <c r="P134" s="413">
        <f t="shared" si="3"/>
        <v>0</v>
      </c>
      <c r="Q134" s="420"/>
    </row>
    <row r="135" spans="3:17" ht="12.75">
      <c r="C135" s="408">
        <f>IF(D94="","-",+C134+1)</f>
        <v>2043</v>
      </c>
      <c r="D135" s="409">
        <f t="shared" si="4"/>
        <v>0</v>
      </c>
      <c r="E135" s="411">
        <f t="shared" si="8"/>
        <v>0</v>
      </c>
      <c r="F135" s="411">
        <f t="shared" si="0"/>
        <v>0</v>
      </c>
      <c r="G135" s="409">
        <f t="shared" si="6"/>
        <v>0</v>
      </c>
      <c r="H135" s="412">
        <f>+J95*G135+E135</f>
        <v>0</v>
      </c>
      <c r="I135" s="401">
        <f>+J96*G135+E135</f>
        <v>0</v>
      </c>
      <c r="J135" s="413">
        <f t="shared" si="7"/>
        <v>0</v>
      </c>
      <c r="K135" s="413"/>
      <c r="L135" s="848"/>
      <c r="M135" s="413">
        <f t="shared" si="1"/>
        <v>0</v>
      </c>
      <c r="N135" s="848"/>
      <c r="O135" s="413">
        <f t="shared" si="2"/>
        <v>0</v>
      </c>
      <c r="P135" s="413">
        <f t="shared" si="3"/>
        <v>0</v>
      </c>
      <c r="Q135" s="420"/>
    </row>
    <row r="136" spans="3:17" ht="12.75">
      <c r="C136" s="408">
        <f>IF(D94="","-",+C135+1)</f>
        <v>2044</v>
      </c>
      <c r="D136" s="409">
        <f t="shared" si="4"/>
        <v>0</v>
      </c>
      <c r="E136" s="411">
        <f t="shared" si="8"/>
        <v>0</v>
      </c>
      <c r="F136" s="411">
        <f t="shared" si="0"/>
        <v>0</v>
      </c>
      <c r="G136" s="409">
        <f t="shared" si="6"/>
        <v>0</v>
      </c>
      <c r="H136" s="412">
        <f>+J95*G136+E136</f>
        <v>0</v>
      </c>
      <c r="I136" s="401">
        <f>+J96*G136+E136</f>
        <v>0</v>
      </c>
      <c r="J136" s="413">
        <f t="shared" si="7"/>
        <v>0</v>
      </c>
      <c r="K136" s="413"/>
      <c r="L136" s="848"/>
      <c r="M136" s="413">
        <f t="shared" si="1"/>
        <v>0</v>
      </c>
      <c r="N136" s="848"/>
      <c r="O136" s="413">
        <f t="shared" si="2"/>
        <v>0</v>
      </c>
      <c r="P136" s="413">
        <f t="shared" si="3"/>
        <v>0</v>
      </c>
      <c r="Q136" s="420"/>
    </row>
    <row r="137" spans="3:17" ht="12.75">
      <c r="C137" s="408">
        <f>IF(D94="","-",+C136+1)</f>
        <v>2045</v>
      </c>
      <c r="D137" s="409">
        <f t="shared" si="4"/>
        <v>0</v>
      </c>
      <c r="E137" s="411">
        <f t="shared" si="8"/>
        <v>0</v>
      </c>
      <c r="F137" s="411">
        <f t="shared" si="0"/>
        <v>0</v>
      </c>
      <c r="G137" s="409">
        <f t="shared" si="6"/>
        <v>0</v>
      </c>
      <c r="H137" s="412">
        <f>+J95*G137+E137</f>
        <v>0</v>
      </c>
      <c r="I137" s="401">
        <f>+J96*G137+E137</f>
        <v>0</v>
      </c>
      <c r="J137" s="413">
        <f t="shared" si="7"/>
        <v>0</v>
      </c>
      <c r="K137" s="413"/>
      <c r="L137" s="848"/>
      <c r="M137" s="413">
        <f t="shared" si="1"/>
        <v>0</v>
      </c>
      <c r="N137" s="848"/>
      <c r="O137" s="413">
        <f t="shared" si="2"/>
        <v>0</v>
      </c>
      <c r="P137" s="413">
        <f t="shared" si="3"/>
        <v>0</v>
      </c>
      <c r="Q137" s="420"/>
    </row>
    <row r="138" spans="3:17" ht="12.75">
      <c r="C138" s="408">
        <f>IF(D94="","-",+C137+1)</f>
        <v>2046</v>
      </c>
      <c r="D138" s="409">
        <f t="shared" si="4"/>
        <v>0</v>
      </c>
      <c r="E138" s="411">
        <f t="shared" si="8"/>
        <v>0</v>
      </c>
      <c r="F138" s="411">
        <f t="shared" si="0"/>
        <v>0</v>
      </c>
      <c r="G138" s="409">
        <f t="shared" si="6"/>
        <v>0</v>
      </c>
      <c r="H138" s="412">
        <f>+J95*G138+E138</f>
        <v>0</v>
      </c>
      <c r="I138" s="401">
        <f>+J96*G138+E138</f>
        <v>0</v>
      </c>
      <c r="J138" s="413">
        <f t="shared" si="7"/>
        <v>0</v>
      </c>
      <c r="K138" s="413"/>
      <c r="L138" s="848"/>
      <c r="M138" s="413">
        <f t="shared" si="1"/>
        <v>0</v>
      </c>
      <c r="N138" s="848"/>
      <c r="O138" s="413">
        <f t="shared" si="2"/>
        <v>0</v>
      </c>
      <c r="P138" s="413">
        <f t="shared" si="3"/>
        <v>0</v>
      </c>
      <c r="Q138" s="420"/>
    </row>
    <row r="139" spans="3:17" ht="12.75">
      <c r="C139" s="408">
        <f>IF(D94="","-",+C138+1)</f>
        <v>2047</v>
      </c>
      <c r="D139" s="409">
        <f t="shared" si="4"/>
        <v>0</v>
      </c>
      <c r="E139" s="411">
        <f t="shared" si="8"/>
        <v>0</v>
      </c>
      <c r="F139" s="411">
        <f t="shared" si="0"/>
        <v>0</v>
      </c>
      <c r="G139" s="409">
        <f t="shared" si="6"/>
        <v>0</v>
      </c>
      <c r="H139" s="412">
        <f>+J95*G139+E139</f>
        <v>0</v>
      </c>
      <c r="I139" s="401">
        <f>+J96*G139+E139</f>
        <v>0</v>
      </c>
      <c r="J139" s="413">
        <f t="shared" si="7"/>
        <v>0</v>
      </c>
      <c r="K139" s="413"/>
      <c r="L139" s="848"/>
      <c r="M139" s="413">
        <f t="shared" si="1"/>
        <v>0</v>
      </c>
      <c r="N139" s="848"/>
      <c r="O139" s="413">
        <f t="shared" si="2"/>
        <v>0</v>
      </c>
      <c r="P139" s="413">
        <f t="shared" si="3"/>
        <v>0</v>
      </c>
      <c r="Q139" s="420"/>
    </row>
    <row r="140" spans="3:17" ht="12.75">
      <c r="C140" s="408">
        <f>IF(D94="","-",+C139+1)</f>
        <v>2048</v>
      </c>
      <c r="D140" s="409">
        <f t="shared" si="4"/>
        <v>0</v>
      </c>
      <c r="E140" s="411">
        <f t="shared" si="8"/>
        <v>0</v>
      </c>
      <c r="F140" s="411">
        <f t="shared" si="0"/>
        <v>0</v>
      </c>
      <c r="G140" s="409">
        <f t="shared" si="6"/>
        <v>0</v>
      </c>
      <c r="H140" s="412">
        <f>+J95*G140+E140</f>
        <v>0</v>
      </c>
      <c r="I140" s="401">
        <f>+J96*G140+E140</f>
        <v>0</v>
      </c>
      <c r="J140" s="413">
        <f t="shared" si="7"/>
        <v>0</v>
      </c>
      <c r="K140" s="413"/>
      <c r="L140" s="848"/>
      <c r="M140" s="413">
        <f t="shared" si="1"/>
        <v>0</v>
      </c>
      <c r="N140" s="848"/>
      <c r="O140" s="413">
        <f t="shared" si="2"/>
        <v>0</v>
      </c>
      <c r="P140" s="413">
        <f t="shared" si="3"/>
        <v>0</v>
      </c>
      <c r="Q140" s="420"/>
    </row>
    <row r="141" spans="3:17" ht="12.75">
      <c r="C141" s="408">
        <f>IF(D94="","-",+C140+1)</f>
        <v>2049</v>
      </c>
      <c r="D141" s="409">
        <f t="shared" si="4"/>
        <v>0</v>
      </c>
      <c r="E141" s="411">
        <f t="shared" si="8"/>
        <v>0</v>
      </c>
      <c r="F141" s="411">
        <f aca="true" t="shared" si="9" ref="F141:F159">+D141-E141</f>
        <v>0</v>
      </c>
      <c r="G141" s="409">
        <f t="shared" si="6"/>
        <v>0</v>
      </c>
      <c r="H141" s="412">
        <f>+J95*G141+E141</f>
        <v>0</v>
      </c>
      <c r="I141" s="401">
        <f>+J96*G141+E141</f>
        <v>0</v>
      </c>
      <c r="J141" s="413">
        <f t="shared" si="7"/>
        <v>0</v>
      </c>
      <c r="K141" s="413"/>
      <c r="L141" s="848"/>
      <c r="M141" s="413">
        <f aca="true" t="shared" si="10" ref="M141:M159">IF(L141&lt;&gt;0,+H141-L141,0)</f>
        <v>0</v>
      </c>
      <c r="N141" s="848"/>
      <c r="O141" s="413">
        <f aca="true" t="shared" si="11" ref="O141:O159">IF(N141&lt;&gt;0,+I141-N141,0)</f>
        <v>0</v>
      </c>
      <c r="P141" s="413">
        <f aca="true" t="shared" si="12" ref="P141:P159">+O141-M141</f>
        <v>0</v>
      </c>
      <c r="Q141" s="420"/>
    </row>
    <row r="142" spans="3:17" ht="12.75">
      <c r="C142" s="408">
        <f>IF(D94="","-",+C141+1)</f>
        <v>2050</v>
      </c>
      <c r="D142" s="409">
        <f aca="true" t="shared" si="13" ref="D142:D159">F141</f>
        <v>0</v>
      </c>
      <c r="E142" s="411">
        <f t="shared" si="8"/>
        <v>0</v>
      </c>
      <c r="F142" s="411">
        <f t="shared" si="9"/>
        <v>0</v>
      </c>
      <c r="G142" s="409">
        <f t="shared" si="6"/>
        <v>0</v>
      </c>
      <c r="H142" s="412">
        <f>+J95*G142+E142</f>
        <v>0</v>
      </c>
      <c r="I142" s="401">
        <f>+J96*G142+E142</f>
        <v>0</v>
      </c>
      <c r="J142" s="413">
        <f t="shared" si="7"/>
        <v>0</v>
      </c>
      <c r="K142" s="413"/>
      <c r="L142" s="848"/>
      <c r="M142" s="413">
        <f t="shared" si="10"/>
        <v>0</v>
      </c>
      <c r="N142" s="848"/>
      <c r="O142" s="413">
        <f t="shared" si="11"/>
        <v>0</v>
      </c>
      <c r="P142" s="413">
        <f t="shared" si="12"/>
        <v>0</v>
      </c>
      <c r="Q142" s="420"/>
    </row>
    <row r="143" spans="3:17" ht="12.75">
      <c r="C143" s="408">
        <f>IF(D94="","-",+C142+1)</f>
        <v>2051</v>
      </c>
      <c r="D143" s="409">
        <f t="shared" si="13"/>
        <v>0</v>
      </c>
      <c r="E143" s="411">
        <f t="shared" si="8"/>
        <v>0</v>
      </c>
      <c r="F143" s="411">
        <f t="shared" si="9"/>
        <v>0</v>
      </c>
      <c r="G143" s="409">
        <f t="shared" si="6"/>
        <v>0</v>
      </c>
      <c r="H143" s="412">
        <f>+J95*G143+E143</f>
        <v>0</v>
      </c>
      <c r="I143" s="401">
        <f>+J96*G143+E143</f>
        <v>0</v>
      </c>
      <c r="J143" s="413">
        <f t="shared" si="7"/>
        <v>0</v>
      </c>
      <c r="K143" s="413"/>
      <c r="L143" s="848"/>
      <c r="M143" s="413">
        <f t="shared" si="10"/>
        <v>0</v>
      </c>
      <c r="N143" s="848"/>
      <c r="O143" s="413">
        <f t="shared" si="11"/>
        <v>0</v>
      </c>
      <c r="P143" s="413">
        <f t="shared" si="12"/>
        <v>0</v>
      </c>
      <c r="Q143" s="420"/>
    </row>
    <row r="144" spans="3:17" ht="12.75">
      <c r="C144" s="408">
        <f>IF(D94="","-",+C143+1)</f>
        <v>2052</v>
      </c>
      <c r="D144" s="409">
        <f t="shared" si="13"/>
        <v>0</v>
      </c>
      <c r="E144" s="411">
        <f t="shared" si="8"/>
        <v>0</v>
      </c>
      <c r="F144" s="411">
        <f t="shared" si="9"/>
        <v>0</v>
      </c>
      <c r="G144" s="409">
        <f t="shared" si="6"/>
        <v>0</v>
      </c>
      <c r="H144" s="412">
        <f>+J95*G144+E144</f>
        <v>0</v>
      </c>
      <c r="I144" s="401">
        <f>+J96*G144+E144</f>
        <v>0</v>
      </c>
      <c r="J144" s="413">
        <f t="shared" si="7"/>
        <v>0</v>
      </c>
      <c r="K144" s="413"/>
      <c r="L144" s="848"/>
      <c r="M144" s="413">
        <f t="shared" si="10"/>
        <v>0</v>
      </c>
      <c r="N144" s="848"/>
      <c r="O144" s="413">
        <f t="shared" si="11"/>
        <v>0</v>
      </c>
      <c r="P144" s="413">
        <f t="shared" si="12"/>
        <v>0</v>
      </c>
      <c r="Q144" s="420"/>
    </row>
    <row r="145" spans="3:17" ht="12.75">
      <c r="C145" s="408">
        <f>IF(D94="","-",+C144+1)</f>
        <v>2053</v>
      </c>
      <c r="D145" s="409">
        <f t="shared" si="13"/>
        <v>0</v>
      </c>
      <c r="E145" s="411">
        <f t="shared" si="8"/>
        <v>0</v>
      </c>
      <c r="F145" s="411">
        <f t="shared" si="9"/>
        <v>0</v>
      </c>
      <c r="G145" s="409">
        <f t="shared" si="6"/>
        <v>0</v>
      </c>
      <c r="H145" s="412">
        <f>+J95*G145+E145</f>
        <v>0</v>
      </c>
      <c r="I145" s="401">
        <f>+J96*G145+E145</f>
        <v>0</v>
      </c>
      <c r="J145" s="413">
        <f t="shared" si="7"/>
        <v>0</v>
      </c>
      <c r="K145" s="413"/>
      <c r="L145" s="848"/>
      <c r="M145" s="413">
        <f t="shared" si="10"/>
        <v>0</v>
      </c>
      <c r="N145" s="848"/>
      <c r="O145" s="413">
        <f t="shared" si="11"/>
        <v>0</v>
      </c>
      <c r="P145" s="413">
        <f t="shared" si="12"/>
        <v>0</v>
      </c>
      <c r="Q145" s="420"/>
    </row>
    <row r="146" spans="3:17" ht="12.75">
      <c r="C146" s="408">
        <f>IF(D94="","-",+C145+1)</f>
        <v>2054</v>
      </c>
      <c r="D146" s="409">
        <f t="shared" si="13"/>
        <v>0</v>
      </c>
      <c r="E146" s="411">
        <f t="shared" si="8"/>
        <v>0</v>
      </c>
      <c r="F146" s="411">
        <f t="shared" si="9"/>
        <v>0</v>
      </c>
      <c r="G146" s="409">
        <f t="shared" si="6"/>
        <v>0</v>
      </c>
      <c r="H146" s="412">
        <f>+J95*G146+E146</f>
        <v>0</v>
      </c>
      <c r="I146" s="401">
        <f>+J96*G146+E146</f>
        <v>0</v>
      </c>
      <c r="J146" s="413">
        <f t="shared" si="7"/>
        <v>0</v>
      </c>
      <c r="K146" s="413"/>
      <c r="L146" s="848"/>
      <c r="M146" s="413">
        <f t="shared" si="10"/>
        <v>0</v>
      </c>
      <c r="N146" s="848"/>
      <c r="O146" s="413">
        <f t="shared" si="11"/>
        <v>0</v>
      </c>
      <c r="P146" s="413">
        <f t="shared" si="12"/>
        <v>0</v>
      </c>
      <c r="Q146" s="420"/>
    </row>
    <row r="147" spans="3:17" ht="12.75">
      <c r="C147" s="408">
        <f>IF(D94="","-",+C146+1)</f>
        <v>2055</v>
      </c>
      <c r="D147" s="409">
        <f t="shared" si="13"/>
        <v>0</v>
      </c>
      <c r="E147" s="411">
        <f t="shared" si="8"/>
        <v>0</v>
      </c>
      <c r="F147" s="411">
        <f t="shared" si="9"/>
        <v>0</v>
      </c>
      <c r="G147" s="409">
        <f t="shared" si="6"/>
        <v>0</v>
      </c>
      <c r="H147" s="412">
        <f>+J95*G147+E147</f>
        <v>0</v>
      </c>
      <c r="I147" s="401">
        <f>+J96*G147+E147</f>
        <v>0</v>
      </c>
      <c r="J147" s="413">
        <f t="shared" si="7"/>
        <v>0</v>
      </c>
      <c r="K147" s="413"/>
      <c r="L147" s="848"/>
      <c r="M147" s="413">
        <f t="shared" si="10"/>
        <v>0</v>
      </c>
      <c r="N147" s="848"/>
      <c r="O147" s="413">
        <f t="shared" si="11"/>
        <v>0</v>
      </c>
      <c r="P147" s="413">
        <f t="shared" si="12"/>
        <v>0</v>
      </c>
      <c r="Q147" s="420"/>
    </row>
    <row r="148" spans="3:17" ht="12.75">
      <c r="C148" s="408">
        <f>IF(D94="","-",+C147+1)</f>
        <v>2056</v>
      </c>
      <c r="D148" s="409">
        <f t="shared" si="13"/>
        <v>0</v>
      </c>
      <c r="E148" s="411">
        <f t="shared" si="8"/>
        <v>0</v>
      </c>
      <c r="F148" s="411">
        <f t="shared" si="9"/>
        <v>0</v>
      </c>
      <c r="G148" s="409">
        <f t="shared" si="6"/>
        <v>0</v>
      </c>
      <c r="H148" s="412">
        <f>+J95*G148+E148</f>
        <v>0</v>
      </c>
      <c r="I148" s="401">
        <f>+J96*G148+E148</f>
        <v>0</v>
      </c>
      <c r="J148" s="413">
        <f t="shared" si="7"/>
        <v>0</v>
      </c>
      <c r="K148" s="413"/>
      <c r="L148" s="848"/>
      <c r="M148" s="413">
        <f t="shared" si="10"/>
        <v>0</v>
      </c>
      <c r="N148" s="848"/>
      <c r="O148" s="413">
        <f t="shared" si="11"/>
        <v>0</v>
      </c>
      <c r="P148" s="413">
        <f t="shared" si="12"/>
        <v>0</v>
      </c>
      <c r="Q148" s="420"/>
    </row>
    <row r="149" spans="3:17" ht="12.75">
      <c r="C149" s="408">
        <f>IF(D94="","-",+C148+1)</f>
        <v>2057</v>
      </c>
      <c r="D149" s="409">
        <f t="shared" si="13"/>
        <v>0</v>
      </c>
      <c r="E149" s="411">
        <f t="shared" si="8"/>
        <v>0</v>
      </c>
      <c r="F149" s="411">
        <f t="shared" si="9"/>
        <v>0</v>
      </c>
      <c r="G149" s="409">
        <f t="shared" si="6"/>
        <v>0</v>
      </c>
      <c r="H149" s="412">
        <f>+J95*G149+E149</f>
        <v>0</v>
      </c>
      <c r="I149" s="401">
        <f>+J96*G149+E149</f>
        <v>0</v>
      </c>
      <c r="J149" s="413">
        <f t="shared" si="7"/>
        <v>0</v>
      </c>
      <c r="K149" s="413"/>
      <c r="L149" s="848"/>
      <c r="M149" s="413">
        <f t="shared" si="10"/>
        <v>0</v>
      </c>
      <c r="N149" s="848"/>
      <c r="O149" s="413">
        <f t="shared" si="11"/>
        <v>0</v>
      </c>
      <c r="P149" s="413">
        <f t="shared" si="12"/>
        <v>0</v>
      </c>
      <c r="Q149" s="420"/>
    </row>
    <row r="150" spans="3:17" ht="12.75">
      <c r="C150" s="408">
        <f>IF(D94="","-",+C149+1)</f>
        <v>2058</v>
      </c>
      <c r="D150" s="409">
        <f t="shared" si="13"/>
        <v>0</v>
      </c>
      <c r="E150" s="411">
        <f t="shared" si="8"/>
        <v>0</v>
      </c>
      <c r="F150" s="411">
        <f t="shared" si="9"/>
        <v>0</v>
      </c>
      <c r="G150" s="409">
        <f t="shared" si="6"/>
        <v>0</v>
      </c>
      <c r="H150" s="412">
        <f>+J95*G150+E150</f>
        <v>0</v>
      </c>
      <c r="I150" s="401">
        <f>+J96*G150+E150</f>
        <v>0</v>
      </c>
      <c r="J150" s="413">
        <f t="shared" si="7"/>
        <v>0</v>
      </c>
      <c r="K150" s="413"/>
      <c r="L150" s="848"/>
      <c r="M150" s="413">
        <f t="shared" si="10"/>
        <v>0</v>
      </c>
      <c r="N150" s="848"/>
      <c r="O150" s="413">
        <f t="shared" si="11"/>
        <v>0</v>
      </c>
      <c r="P150" s="413">
        <f t="shared" si="12"/>
        <v>0</v>
      </c>
      <c r="Q150" s="420"/>
    </row>
    <row r="151" spans="3:17" ht="12.75">
      <c r="C151" s="408">
        <f>IF(D94="","-",+C150+1)</f>
        <v>2059</v>
      </c>
      <c r="D151" s="409">
        <f t="shared" si="13"/>
        <v>0</v>
      </c>
      <c r="E151" s="411">
        <f t="shared" si="8"/>
        <v>0</v>
      </c>
      <c r="F151" s="411">
        <f t="shared" si="9"/>
        <v>0</v>
      </c>
      <c r="G151" s="409">
        <f t="shared" si="6"/>
        <v>0</v>
      </c>
      <c r="H151" s="412">
        <f>+J95*G151+E151</f>
        <v>0</v>
      </c>
      <c r="I151" s="401">
        <f>+J96*G151+E151</f>
        <v>0</v>
      </c>
      <c r="J151" s="413">
        <f t="shared" si="7"/>
        <v>0</v>
      </c>
      <c r="K151" s="413"/>
      <c r="L151" s="848"/>
      <c r="M151" s="413">
        <f t="shared" si="10"/>
        <v>0</v>
      </c>
      <c r="N151" s="848"/>
      <c r="O151" s="413">
        <f t="shared" si="11"/>
        <v>0</v>
      </c>
      <c r="P151" s="413">
        <f t="shared" si="12"/>
        <v>0</v>
      </c>
      <c r="Q151" s="420"/>
    </row>
    <row r="152" spans="3:17" ht="12.75">
      <c r="C152" s="408">
        <f>IF(D94="","-",+C151+1)</f>
        <v>2060</v>
      </c>
      <c r="D152" s="409">
        <f t="shared" si="13"/>
        <v>0</v>
      </c>
      <c r="E152" s="411">
        <f t="shared" si="8"/>
        <v>0</v>
      </c>
      <c r="F152" s="411">
        <f t="shared" si="9"/>
        <v>0</v>
      </c>
      <c r="G152" s="409">
        <f t="shared" si="6"/>
        <v>0</v>
      </c>
      <c r="H152" s="412">
        <f>+J95*G152+E152</f>
        <v>0</v>
      </c>
      <c r="I152" s="401">
        <f>+J96*G152+E152</f>
        <v>0</v>
      </c>
      <c r="J152" s="413">
        <f t="shared" si="7"/>
        <v>0</v>
      </c>
      <c r="K152" s="413"/>
      <c r="L152" s="848"/>
      <c r="M152" s="413">
        <f t="shared" si="10"/>
        <v>0</v>
      </c>
      <c r="N152" s="848"/>
      <c r="O152" s="413">
        <f t="shared" si="11"/>
        <v>0</v>
      </c>
      <c r="P152" s="413">
        <f t="shared" si="12"/>
        <v>0</v>
      </c>
      <c r="Q152" s="420"/>
    </row>
    <row r="153" spans="3:17" ht="12.75">
      <c r="C153" s="408">
        <f>IF(D94="","-",+C152+1)</f>
        <v>2061</v>
      </c>
      <c r="D153" s="409">
        <f t="shared" si="13"/>
        <v>0</v>
      </c>
      <c r="E153" s="411">
        <f t="shared" si="8"/>
        <v>0</v>
      </c>
      <c r="F153" s="411">
        <f t="shared" si="9"/>
        <v>0</v>
      </c>
      <c r="G153" s="409">
        <f t="shared" si="6"/>
        <v>0</v>
      </c>
      <c r="H153" s="412">
        <f>+J95*G153+E153</f>
        <v>0</v>
      </c>
      <c r="I153" s="401">
        <f>+J96*G153+E153</f>
        <v>0</v>
      </c>
      <c r="J153" s="413">
        <f t="shared" si="7"/>
        <v>0</v>
      </c>
      <c r="K153" s="413"/>
      <c r="L153" s="848"/>
      <c r="M153" s="413">
        <f t="shared" si="10"/>
        <v>0</v>
      </c>
      <c r="N153" s="848"/>
      <c r="O153" s="413">
        <f t="shared" si="11"/>
        <v>0</v>
      </c>
      <c r="P153" s="413">
        <f t="shared" si="12"/>
        <v>0</v>
      </c>
      <c r="Q153" s="420"/>
    </row>
    <row r="154" spans="3:17" ht="12.75">
      <c r="C154" s="408">
        <f>IF(D94="","-",+C153+1)</f>
        <v>2062</v>
      </c>
      <c r="D154" s="409">
        <f>F153</f>
        <v>0</v>
      </c>
      <c r="E154" s="411">
        <f t="shared" si="8"/>
        <v>0</v>
      </c>
      <c r="F154" s="411">
        <f t="shared" si="9"/>
        <v>0</v>
      </c>
      <c r="G154" s="409">
        <f t="shared" si="6"/>
        <v>0</v>
      </c>
      <c r="H154" s="412">
        <f>+J95*G154+E154</f>
        <v>0</v>
      </c>
      <c r="I154" s="401">
        <f>+J96*G154+E154</f>
        <v>0</v>
      </c>
      <c r="J154" s="413">
        <f t="shared" si="7"/>
        <v>0</v>
      </c>
      <c r="K154" s="413"/>
      <c r="L154" s="848"/>
      <c r="M154" s="413">
        <f t="shared" si="10"/>
        <v>0</v>
      </c>
      <c r="N154" s="848"/>
      <c r="O154" s="413">
        <f t="shared" si="11"/>
        <v>0</v>
      </c>
      <c r="P154" s="413">
        <f t="shared" si="12"/>
        <v>0</v>
      </c>
      <c r="Q154" s="420"/>
    </row>
    <row r="155" spans="3:17" ht="12.75">
      <c r="C155" s="408">
        <f>IF(D94="","-",+C154+1)</f>
        <v>2063</v>
      </c>
      <c r="D155" s="409">
        <f t="shared" si="13"/>
        <v>0</v>
      </c>
      <c r="E155" s="411">
        <f t="shared" si="8"/>
        <v>0</v>
      </c>
      <c r="F155" s="411">
        <f t="shared" si="9"/>
        <v>0</v>
      </c>
      <c r="G155" s="409">
        <f t="shared" si="6"/>
        <v>0</v>
      </c>
      <c r="H155" s="412">
        <f>+J95*G155+E155</f>
        <v>0</v>
      </c>
      <c r="I155" s="401">
        <f>+J96*G155+E155</f>
        <v>0</v>
      </c>
      <c r="J155" s="413">
        <f t="shared" si="7"/>
        <v>0</v>
      </c>
      <c r="K155" s="413"/>
      <c r="L155" s="848"/>
      <c r="M155" s="413">
        <f t="shared" si="10"/>
        <v>0</v>
      </c>
      <c r="N155" s="848"/>
      <c r="O155" s="413">
        <f t="shared" si="11"/>
        <v>0</v>
      </c>
      <c r="P155" s="413">
        <f t="shared" si="12"/>
        <v>0</v>
      </c>
      <c r="Q155" s="420"/>
    </row>
    <row r="156" spans="3:17" ht="12.75">
      <c r="C156" s="408">
        <f>IF(D94="","-",+C155+1)</f>
        <v>2064</v>
      </c>
      <c r="D156" s="409">
        <f t="shared" si="13"/>
        <v>0</v>
      </c>
      <c r="E156" s="411">
        <f t="shared" si="8"/>
        <v>0</v>
      </c>
      <c r="F156" s="411">
        <f t="shared" si="9"/>
        <v>0</v>
      </c>
      <c r="G156" s="409">
        <f t="shared" si="6"/>
        <v>0</v>
      </c>
      <c r="H156" s="412">
        <f>+J95*G156+E156</f>
        <v>0</v>
      </c>
      <c r="I156" s="401">
        <f>+J96*G156+E156</f>
        <v>0</v>
      </c>
      <c r="J156" s="413">
        <f t="shared" si="7"/>
        <v>0</v>
      </c>
      <c r="K156" s="413"/>
      <c r="L156" s="848"/>
      <c r="M156" s="413">
        <f t="shared" si="10"/>
        <v>0</v>
      </c>
      <c r="N156" s="848"/>
      <c r="O156" s="413">
        <f t="shared" si="11"/>
        <v>0</v>
      </c>
      <c r="P156" s="413">
        <f t="shared" si="12"/>
        <v>0</v>
      </c>
      <c r="Q156" s="420"/>
    </row>
    <row r="157" spans="3:17" ht="12.75">
      <c r="C157" s="408">
        <f>IF(D94="","-",+C156+1)</f>
        <v>2065</v>
      </c>
      <c r="D157" s="409">
        <f t="shared" si="13"/>
        <v>0</v>
      </c>
      <c r="E157" s="411">
        <f t="shared" si="8"/>
        <v>0</v>
      </c>
      <c r="F157" s="411">
        <f t="shared" si="9"/>
        <v>0</v>
      </c>
      <c r="G157" s="409">
        <f t="shared" si="6"/>
        <v>0</v>
      </c>
      <c r="H157" s="412">
        <f>+J95*G157+E157</f>
        <v>0</v>
      </c>
      <c r="I157" s="401">
        <f>+J96*G157+E157</f>
        <v>0</v>
      </c>
      <c r="J157" s="413">
        <f t="shared" si="7"/>
        <v>0</v>
      </c>
      <c r="K157" s="413"/>
      <c r="L157" s="848"/>
      <c r="M157" s="413">
        <f t="shared" si="10"/>
        <v>0</v>
      </c>
      <c r="N157" s="848"/>
      <c r="O157" s="413">
        <f t="shared" si="11"/>
        <v>0</v>
      </c>
      <c r="P157" s="413">
        <f t="shared" si="12"/>
        <v>0</v>
      </c>
      <c r="Q157" s="420"/>
    </row>
    <row r="158" spans="3:17" ht="12.75">
      <c r="C158" s="408">
        <f>IF(D94="","-",+C157+1)</f>
        <v>2066</v>
      </c>
      <c r="D158" s="409">
        <f t="shared" si="13"/>
        <v>0</v>
      </c>
      <c r="E158" s="411">
        <f t="shared" si="8"/>
        <v>0</v>
      </c>
      <c r="F158" s="411">
        <f t="shared" si="9"/>
        <v>0</v>
      </c>
      <c r="G158" s="409">
        <f t="shared" si="6"/>
        <v>0</v>
      </c>
      <c r="H158" s="412">
        <f>+J95*G158+E158</f>
        <v>0</v>
      </c>
      <c r="I158" s="401">
        <f>+J96*G158+E158</f>
        <v>0</v>
      </c>
      <c r="J158" s="413">
        <f t="shared" si="7"/>
        <v>0</v>
      </c>
      <c r="K158" s="413"/>
      <c r="L158" s="848"/>
      <c r="M158" s="413">
        <f t="shared" si="10"/>
        <v>0</v>
      </c>
      <c r="N158" s="848"/>
      <c r="O158" s="413">
        <f t="shared" si="11"/>
        <v>0</v>
      </c>
      <c r="P158" s="413">
        <f t="shared" si="12"/>
        <v>0</v>
      </c>
      <c r="Q158" s="420"/>
    </row>
    <row r="159" spans="3:17" ht="13.5" thickBot="1">
      <c r="C159" s="414">
        <f>IF(D94="","-",+C158+1)</f>
        <v>2067</v>
      </c>
      <c r="D159" s="415">
        <f t="shared" si="13"/>
        <v>0</v>
      </c>
      <c r="E159" s="416">
        <f t="shared" si="8"/>
        <v>0</v>
      </c>
      <c r="F159" s="416">
        <f t="shared" si="9"/>
        <v>0</v>
      </c>
      <c r="G159" s="415">
        <f t="shared" si="6"/>
        <v>0</v>
      </c>
      <c r="H159" s="417">
        <f>+J95*G159+E159</f>
        <v>0</v>
      </c>
      <c r="I159" s="417">
        <f>+J96*G159+E159</f>
        <v>0</v>
      </c>
      <c r="J159" s="419">
        <f t="shared" si="7"/>
        <v>0</v>
      </c>
      <c r="K159" s="413"/>
      <c r="L159" s="849"/>
      <c r="M159" s="419">
        <f t="shared" si="10"/>
        <v>0</v>
      </c>
      <c r="N159" s="849"/>
      <c r="O159" s="419">
        <f t="shared" si="11"/>
        <v>0</v>
      </c>
      <c r="P159" s="419">
        <f t="shared" si="12"/>
        <v>0</v>
      </c>
      <c r="Q159" s="420"/>
    </row>
    <row r="160" spans="3:17" ht="12.75">
      <c r="C160" s="409" t="s">
        <v>73</v>
      </c>
      <c r="D160" s="388"/>
      <c r="E160" s="388">
        <f>SUM(E100:E159)</f>
        <v>0</v>
      </c>
      <c r="F160" s="388"/>
      <c r="G160" s="388"/>
      <c r="H160" s="388">
        <f>SUM(H100:H159)</f>
        <v>0</v>
      </c>
      <c r="I160" s="388">
        <f>SUM(I100:I159)</f>
        <v>0</v>
      </c>
      <c r="J160" s="388">
        <f>SUM(J100:J159)</f>
        <v>0</v>
      </c>
      <c r="K160" s="388"/>
      <c r="L160" s="388"/>
      <c r="M160" s="388"/>
      <c r="N160" s="388"/>
      <c r="O160" s="388"/>
      <c r="Q160" s="388"/>
    </row>
    <row r="161" spans="4:17" ht="12.75">
      <c r="D161" s="364"/>
      <c r="E161" s="100"/>
      <c r="F161" s="100"/>
      <c r="G161" s="100"/>
      <c r="H161" s="100"/>
      <c r="I161" s="365"/>
      <c r="J161" s="365"/>
      <c r="K161" s="388"/>
      <c r="L161" s="365"/>
      <c r="M161" s="365"/>
      <c r="N161" s="365"/>
      <c r="O161" s="365"/>
      <c r="Q161" s="388"/>
    </row>
    <row r="162" spans="3:17" ht="12.75">
      <c r="C162" s="439" t="s">
        <v>337</v>
      </c>
      <c r="D162" s="364"/>
      <c r="E162" s="100"/>
      <c r="F162" s="100"/>
      <c r="G162" s="100"/>
      <c r="H162" s="100"/>
      <c r="I162" s="365"/>
      <c r="J162" s="365"/>
      <c r="K162" s="388"/>
      <c r="L162" s="365"/>
      <c r="M162" s="365"/>
      <c r="N162" s="365"/>
      <c r="O162" s="365"/>
      <c r="Q162" s="388"/>
    </row>
    <row r="163" spans="4:17" ht="12.75">
      <c r="D163" s="364"/>
      <c r="E163" s="100"/>
      <c r="F163" s="100"/>
      <c r="G163" s="100"/>
      <c r="H163" s="100"/>
      <c r="I163" s="365"/>
      <c r="J163" s="365"/>
      <c r="K163" s="388"/>
      <c r="L163" s="365"/>
      <c r="M163" s="365"/>
      <c r="N163" s="365"/>
      <c r="O163" s="365"/>
      <c r="Q163" s="388"/>
    </row>
    <row r="164" spans="3:17" ht="12.75">
      <c r="C164" s="391" t="s">
        <v>87</v>
      </c>
      <c r="D164" s="409"/>
      <c r="E164" s="409"/>
      <c r="F164" s="409"/>
      <c r="G164" s="409"/>
      <c r="H164" s="388"/>
      <c r="I164" s="388"/>
      <c r="J164" s="420"/>
      <c r="K164" s="420"/>
      <c r="L164" s="420"/>
      <c r="M164" s="420"/>
      <c r="N164" s="420"/>
      <c r="O164" s="420"/>
      <c r="Q164" s="420"/>
    </row>
    <row r="165" spans="3:17" ht="12.75">
      <c r="C165" s="424" t="s">
        <v>338</v>
      </c>
      <c r="D165" s="409"/>
      <c r="E165" s="409"/>
      <c r="F165" s="409"/>
      <c r="G165" s="409"/>
      <c r="H165" s="388"/>
      <c r="I165" s="388"/>
      <c r="J165" s="420"/>
      <c r="K165" s="420"/>
      <c r="L165" s="420"/>
      <c r="M165" s="420"/>
      <c r="N165" s="420"/>
      <c r="O165" s="420"/>
      <c r="Q165" s="420"/>
    </row>
    <row r="166" spans="3:17" ht="12.75">
      <c r="C166" s="424" t="s">
        <v>74</v>
      </c>
      <c r="D166" s="409"/>
      <c r="E166" s="409"/>
      <c r="F166" s="409"/>
      <c r="G166" s="409"/>
      <c r="H166" s="388"/>
      <c r="I166" s="388"/>
      <c r="J166" s="420"/>
      <c r="K166" s="420"/>
      <c r="L166" s="420"/>
      <c r="M166" s="420"/>
      <c r="N166" s="420"/>
      <c r="O166" s="420"/>
      <c r="Q166" s="420"/>
    </row>
    <row r="167" spans="3:17" ht="12.75">
      <c r="C167" s="424"/>
      <c r="D167" s="409"/>
      <c r="E167" s="409"/>
      <c r="F167" s="409"/>
      <c r="G167" s="409"/>
      <c r="H167" s="388"/>
      <c r="I167" s="388"/>
      <c r="J167" s="420"/>
      <c r="K167" s="420"/>
      <c r="L167" s="420"/>
      <c r="M167" s="420"/>
      <c r="N167" s="420"/>
      <c r="O167" s="420"/>
      <c r="Q167" s="420"/>
    </row>
    <row r="299" ht="6" customHeight="1"/>
    <row r="301" ht="6" customHeight="1"/>
    <row r="308" ht="6" customHeight="1"/>
    <row r="310" ht="6" customHeight="1"/>
    <row r="314" ht="6" customHeight="1"/>
    <row r="317" ht="6" customHeight="1"/>
    <row r="322" ht="6" customHeight="1"/>
    <row r="326" ht="6" customHeight="1"/>
    <row r="328" ht="6" customHeight="1"/>
    <row r="337" ht="6" customHeight="1"/>
    <row r="339" ht="6" customHeight="1"/>
    <row r="341" ht="6" customHeight="1"/>
    <row r="343" ht="6" customHeight="1"/>
    <row r="352" ht="6" customHeight="1"/>
    <row r="354" ht="6" customHeight="1"/>
  </sheetData>
  <sheetProtection/>
  <mergeCells count="9">
    <mergeCell ref="L93:O93"/>
    <mergeCell ref="A1:P1"/>
    <mergeCell ref="C9:I10"/>
    <mergeCell ref="A2:P2"/>
    <mergeCell ref="A3:P3"/>
    <mergeCell ref="A4:P4"/>
    <mergeCell ref="C47:D48"/>
    <mergeCell ref="C56:D57"/>
    <mergeCell ref="C67:D68"/>
  </mergeCells>
  <conditionalFormatting sqref="C100:C159">
    <cfRule type="cellIs" priority="1" dxfId="0" operator="equal" stopIfTrue="1">
      <formula>$J$93</formula>
    </cfRule>
  </conditionalFormatting>
  <printOptions/>
  <pageMargins left="0.26" right="1.28" top="1" bottom="0.55" header="0.75" footer="0.5"/>
  <pageSetup fitToHeight="2" horizontalDpi="600" verticalDpi="600" orientation="landscape" scale="44" r:id="rId1"/>
  <headerFooter alignWithMargins="0">
    <oddHeader>&amp;R&amp;"Arial,Bold"Formula Rate 
&amp;A
Page &amp;P of &amp;N</oddHeader>
  </headerFooter>
  <rowBreaks count="1" manualBreakCount="1">
    <brk id="79" max="255" man="1"/>
  </rowBreaks>
</worksheet>
</file>

<file path=xl/worksheets/sheet16.xml><?xml version="1.0" encoding="utf-8"?>
<worksheet xmlns="http://schemas.openxmlformats.org/spreadsheetml/2006/main" xmlns:r="http://schemas.openxmlformats.org/officeDocument/2006/relationships">
  <sheetPr>
    <tabColor indexed="45"/>
    <pageSetUpPr fitToPage="1"/>
  </sheetPr>
  <dimension ref="A1:AD88"/>
  <sheetViews>
    <sheetView zoomScaleSheetLayoutView="100" zoomScalePageLayoutView="0" workbookViewId="0" topLeftCell="A1">
      <selection activeCell="A1" sqref="A1"/>
    </sheetView>
  </sheetViews>
  <sheetFormatPr defaultColWidth="9.140625" defaultRowHeight="12.75"/>
  <cols>
    <col min="1" max="1" width="9.140625" style="162" customWidth="1"/>
    <col min="2" max="2" width="37.57421875" style="561" customWidth="1"/>
    <col min="3" max="3" width="31.57421875" style="558" customWidth="1"/>
    <col min="4" max="4" width="14.8515625" style="558" customWidth="1"/>
    <col min="5" max="5" width="18.00390625" style="558" customWidth="1"/>
    <col min="6" max="6" width="12.00390625" style="558" customWidth="1"/>
    <col min="7" max="7" width="10.7109375" style="558" bestFit="1" customWidth="1"/>
    <col min="8" max="8" width="11.140625" style="920" bestFit="1" customWidth="1"/>
    <col min="9" max="16384" width="9.140625" style="558" customWidth="1"/>
  </cols>
  <sheetData>
    <row r="1" spans="2:16" ht="15">
      <c r="B1" s="1091" t="s">
        <v>230</v>
      </c>
      <c r="C1" s="1091"/>
      <c r="D1" s="1091"/>
      <c r="E1" s="1091"/>
      <c r="F1" s="1091"/>
      <c r="G1" s="172"/>
      <c r="H1" s="916"/>
      <c r="I1" s="172"/>
      <c r="J1" s="172"/>
      <c r="K1" s="172"/>
      <c r="L1" s="172"/>
      <c r="M1" s="172"/>
      <c r="N1" s="172"/>
      <c r="O1" s="172"/>
      <c r="P1" s="172"/>
    </row>
    <row r="2" spans="2:16" ht="15">
      <c r="B2" s="1090" t="str">
        <f>"Cost of Service Formula Rate Using "&amp;'KPCo Historic TCOS'!O1&amp;" FF1 Balances"</f>
        <v>Cost of Service Formula Rate Using 2009 FF1 Balances</v>
      </c>
      <c r="C2" s="1090"/>
      <c r="D2" s="1090"/>
      <c r="E2" s="1090"/>
      <c r="F2" s="1090"/>
      <c r="G2" s="275"/>
      <c r="H2" s="917"/>
      <c r="I2" s="275"/>
      <c r="J2" s="275"/>
      <c r="K2" s="275"/>
      <c r="L2" s="275"/>
      <c r="M2" s="275"/>
      <c r="N2" s="275"/>
      <c r="O2" s="275"/>
      <c r="P2" s="275"/>
    </row>
    <row r="3" spans="2:11" ht="18">
      <c r="B3" s="1091" t="s">
        <v>376</v>
      </c>
      <c r="C3" s="1091"/>
      <c r="D3" s="1091"/>
      <c r="E3" s="1091"/>
      <c r="F3" s="1091"/>
      <c r="G3" s="514"/>
      <c r="H3" s="918"/>
      <c r="I3" s="514"/>
      <c r="J3" s="514"/>
      <c r="K3" s="514"/>
    </row>
    <row r="4" spans="2:11" ht="18">
      <c r="B4" s="1094" t="str">
        <f>+'KPCo Historic TCOS'!F7</f>
        <v>KENTUCKY POWER COMPANY</v>
      </c>
      <c r="C4" s="1091"/>
      <c r="D4" s="1091"/>
      <c r="E4" s="1091"/>
      <c r="F4" s="1091"/>
      <c r="G4" s="532"/>
      <c r="H4" s="919"/>
      <c r="I4" s="532"/>
      <c r="J4" s="532"/>
      <c r="K4" s="532"/>
    </row>
    <row r="6" spans="2:4" ht="18.75" customHeight="1">
      <c r="B6" s="137" t="s">
        <v>707</v>
      </c>
      <c r="C6" s="502"/>
      <c r="D6" s="560"/>
    </row>
    <row r="7" spans="2:4" ht="12.75">
      <c r="B7" s="559"/>
      <c r="C7" s="502"/>
      <c r="D7" s="560"/>
    </row>
    <row r="8" spans="2:30" ht="18">
      <c r="B8" s="108" t="s">
        <v>770</v>
      </c>
      <c r="C8" s="108" t="s">
        <v>771</v>
      </c>
      <c r="D8" s="108" t="s">
        <v>772</v>
      </c>
      <c r="E8" s="108" t="s">
        <v>773</v>
      </c>
      <c r="F8" s="108" t="s">
        <v>588</v>
      </c>
      <c r="R8" s="513"/>
      <c r="S8" s="513"/>
      <c r="T8" s="513"/>
      <c r="U8" s="513"/>
      <c r="V8" s="513"/>
      <c r="W8" s="513"/>
      <c r="X8" s="513"/>
      <c r="Y8" s="513"/>
      <c r="Z8" s="513"/>
      <c r="AA8" s="513"/>
      <c r="AB8" s="608"/>
      <c r="AC8" s="608"/>
      <c r="AD8" s="608"/>
    </row>
    <row r="9" spans="1:3" ht="12.75">
      <c r="A9" s="1093" t="s">
        <v>321</v>
      </c>
      <c r="B9" s="559"/>
      <c r="C9" s="560"/>
    </row>
    <row r="10" spans="1:7" ht="12.75">
      <c r="A10" s="1179"/>
      <c r="B10" s="112" t="s">
        <v>339</v>
      </c>
      <c r="C10" s="1026" t="s">
        <v>701</v>
      </c>
      <c r="D10" s="112" t="s">
        <v>340</v>
      </c>
      <c r="E10" s="112" t="s">
        <v>341</v>
      </c>
      <c r="F10" s="112" t="s">
        <v>783</v>
      </c>
      <c r="G10" s="111"/>
    </row>
    <row r="11" spans="1:7" ht="12.75">
      <c r="A11" s="743"/>
      <c r="B11" s="112"/>
      <c r="C11" s="112"/>
      <c r="D11" s="112"/>
      <c r="E11" s="1178" t="s">
        <v>708</v>
      </c>
      <c r="F11" s="112"/>
      <c r="G11" s="111"/>
    </row>
    <row r="12" spans="1:5" ht="12.75">
      <c r="A12" s="273"/>
      <c r="C12" s="112"/>
      <c r="D12" s="113"/>
      <c r="E12" s="1178"/>
    </row>
    <row r="13" spans="1:9" ht="12.75">
      <c r="A13" s="273">
        <v>1</v>
      </c>
      <c r="B13" s="562" t="s">
        <v>292</v>
      </c>
      <c r="C13" s="560"/>
      <c r="D13" s="560"/>
      <c r="G13" s="109"/>
      <c r="H13" s="915"/>
      <c r="I13" s="109"/>
    </row>
    <row r="14" spans="1:9" ht="12.75">
      <c r="A14" s="273">
        <f>+A13+1</f>
        <v>2</v>
      </c>
      <c r="B14" s="640" t="s">
        <v>851</v>
      </c>
      <c r="C14" s="541">
        <v>20000000</v>
      </c>
      <c r="D14" s="641">
        <v>0.0525</v>
      </c>
      <c r="E14" s="639">
        <f>C14*D14</f>
        <v>1050000</v>
      </c>
      <c r="F14" s="109"/>
      <c r="G14" s="109"/>
      <c r="H14" s="915"/>
      <c r="I14" s="109"/>
    </row>
    <row r="15" spans="1:9" ht="12.75" customHeight="1">
      <c r="A15" s="273">
        <f>+A14+1</f>
        <v>3</v>
      </c>
      <c r="B15" s="647"/>
      <c r="C15" s="648"/>
      <c r="D15" s="649"/>
      <c r="E15" s="645"/>
      <c r="F15" s="109"/>
      <c r="G15" s="1137"/>
      <c r="H15" s="1138"/>
      <c r="I15" s="109"/>
    </row>
    <row r="16" spans="1:9" ht="12.75">
      <c r="A16" s="273"/>
      <c r="B16" s="642"/>
      <c r="C16" s="503"/>
      <c r="D16" s="151"/>
      <c r="E16" s="109"/>
      <c r="F16" s="109"/>
      <c r="G16" s="109"/>
      <c r="H16" s="915"/>
      <c r="I16" s="109"/>
    </row>
    <row r="17" spans="1:9" ht="12.75">
      <c r="A17" s="273">
        <f>+A15+1</f>
        <v>4</v>
      </c>
      <c r="B17" s="642" t="s">
        <v>700</v>
      </c>
      <c r="C17" s="636"/>
      <c r="D17" s="151"/>
      <c r="E17" s="109"/>
      <c r="F17" s="109"/>
      <c r="G17" s="109"/>
      <c r="H17" s="915"/>
      <c r="I17" s="109"/>
    </row>
    <row r="18" spans="1:9" ht="12.75">
      <c r="A18" s="273">
        <f>+A17+1</f>
        <v>5</v>
      </c>
      <c r="B18" s="640" t="s">
        <v>852</v>
      </c>
      <c r="C18" s="541">
        <v>75000000</v>
      </c>
      <c r="D18" s="641">
        <v>0.05625</v>
      </c>
      <c r="E18" s="639">
        <f aca="true" t="shared" si="0" ref="E18:E27">+C18*D18</f>
        <v>4218750</v>
      </c>
      <c r="F18" s="109"/>
      <c r="G18" s="1137"/>
      <c r="H18" s="1138"/>
      <c r="I18" s="109"/>
    </row>
    <row r="19" spans="1:9" ht="12.75">
      <c r="A19" s="273">
        <f aca="true" t="shared" si="1" ref="A19:A40">+A18+1</f>
        <v>6</v>
      </c>
      <c r="B19" s="640" t="s">
        <v>853</v>
      </c>
      <c r="C19" s="541">
        <v>325000000</v>
      </c>
      <c r="D19" s="641">
        <v>0.06</v>
      </c>
      <c r="E19" s="639">
        <f t="shared" si="0"/>
        <v>19500000</v>
      </c>
      <c r="F19" s="109"/>
      <c r="G19" s="1137"/>
      <c r="H19" s="1138"/>
      <c r="I19" s="109"/>
    </row>
    <row r="20" spans="1:9" ht="12.75">
      <c r="A20" s="273">
        <f t="shared" si="1"/>
        <v>7</v>
      </c>
      <c r="B20" s="640" t="s">
        <v>332</v>
      </c>
      <c r="C20" s="541">
        <v>40000000</v>
      </c>
      <c r="D20" s="641">
        <v>0.0725</v>
      </c>
      <c r="E20" s="639">
        <f t="shared" si="0"/>
        <v>2900000</v>
      </c>
      <c r="F20" s="1083"/>
      <c r="G20" s="1137"/>
      <c r="H20" s="1138"/>
      <c r="I20" s="109"/>
    </row>
    <row r="21" spans="1:9" ht="12.75">
      <c r="A21" s="273">
        <f t="shared" si="1"/>
        <v>8</v>
      </c>
      <c r="B21" s="640" t="s">
        <v>333</v>
      </c>
      <c r="C21" s="541">
        <v>30000000</v>
      </c>
      <c r="D21" s="641">
        <v>0.0803</v>
      </c>
      <c r="E21" s="639">
        <f t="shared" si="0"/>
        <v>2409000</v>
      </c>
      <c r="F21" s="1083"/>
      <c r="G21" s="1137"/>
      <c r="H21" s="1138"/>
      <c r="I21" s="109"/>
    </row>
    <row r="22" spans="1:9" ht="12.75">
      <c r="A22" s="273">
        <f t="shared" si="1"/>
        <v>9</v>
      </c>
      <c r="B22" s="640" t="s">
        <v>334</v>
      </c>
      <c r="C22" s="541">
        <v>60000000</v>
      </c>
      <c r="D22" s="641">
        <v>0.0813</v>
      </c>
      <c r="E22" s="639">
        <f t="shared" si="0"/>
        <v>4878000</v>
      </c>
      <c r="F22" s="1083"/>
      <c r="G22" s="1137"/>
      <c r="H22" s="1138"/>
      <c r="I22" s="109"/>
    </row>
    <row r="23" spans="1:9" ht="12.75">
      <c r="A23" s="273">
        <f t="shared" si="1"/>
        <v>10</v>
      </c>
      <c r="B23" s="640"/>
      <c r="C23" s="541"/>
      <c r="D23" s="641"/>
      <c r="E23" s="639">
        <f>+C23*D23</f>
        <v>0</v>
      </c>
      <c r="F23" s="109"/>
      <c r="G23" s="109"/>
      <c r="H23" s="915"/>
      <c r="I23" s="109"/>
    </row>
    <row r="24" spans="1:9" ht="12.75">
      <c r="A24" s="273">
        <f t="shared" si="1"/>
        <v>11</v>
      </c>
      <c r="B24" s="640"/>
      <c r="C24" s="541"/>
      <c r="D24" s="641"/>
      <c r="E24" s="639">
        <f t="shared" si="0"/>
        <v>0</v>
      </c>
      <c r="F24" s="109"/>
      <c r="G24" s="109"/>
      <c r="H24" s="915"/>
      <c r="I24" s="109"/>
    </row>
    <row r="25" spans="1:9" ht="12.75">
      <c r="A25" s="273">
        <f t="shared" si="1"/>
        <v>12</v>
      </c>
      <c r="B25" s="640"/>
      <c r="C25" s="541"/>
      <c r="D25" s="641"/>
      <c r="E25" s="639">
        <f t="shared" si="0"/>
        <v>0</v>
      </c>
      <c r="F25" s="109"/>
      <c r="G25" s="109"/>
      <c r="H25" s="915"/>
      <c r="I25" s="109"/>
    </row>
    <row r="26" spans="1:9" ht="12.75" customHeight="1">
      <c r="A26" s="273">
        <f t="shared" si="1"/>
        <v>13</v>
      </c>
      <c r="B26" s="497"/>
      <c r="C26" s="541"/>
      <c r="D26" s="641"/>
      <c r="E26" s="639">
        <f t="shared" si="0"/>
        <v>0</v>
      </c>
      <c r="F26" s="109"/>
      <c r="G26" s="109"/>
      <c r="H26" s="915"/>
      <c r="I26" s="109"/>
    </row>
    <row r="27" spans="1:9" ht="12.75" customHeight="1">
      <c r="A27" s="273">
        <f t="shared" si="1"/>
        <v>14</v>
      </c>
      <c r="B27" s="497"/>
      <c r="C27" s="541"/>
      <c r="D27" s="641"/>
      <c r="E27" s="639">
        <f t="shared" si="0"/>
        <v>0</v>
      </c>
      <c r="F27" s="109"/>
      <c r="G27" s="109"/>
      <c r="H27" s="915"/>
      <c r="I27" s="109"/>
    </row>
    <row r="28" spans="1:9" ht="12.75" customHeight="1">
      <c r="A28" s="273"/>
      <c r="B28" s="643"/>
      <c r="C28" s="422"/>
      <c r="D28" s="644"/>
      <c r="E28" s="639"/>
      <c r="F28" s="109"/>
      <c r="G28" s="109"/>
      <c r="H28" s="915"/>
      <c r="I28" s="109"/>
    </row>
    <row r="29" spans="1:9" ht="12.75" customHeight="1">
      <c r="A29" s="273">
        <f>+A27+1</f>
        <v>15</v>
      </c>
      <c r="B29" s="647"/>
      <c r="C29" s="648"/>
      <c r="D29" s="650"/>
      <c r="E29" s="639">
        <f aca="true" t="shared" si="2" ref="E29:E39">+C29*D29</f>
        <v>0</v>
      </c>
      <c r="F29" s="109"/>
      <c r="G29" s="109"/>
      <c r="H29" s="915"/>
      <c r="I29" s="109"/>
    </row>
    <row r="30" spans="1:9" ht="12.75" customHeight="1">
      <c r="A30" s="273">
        <f t="shared" si="1"/>
        <v>16</v>
      </c>
      <c r="B30" s="647"/>
      <c r="C30" s="648"/>
      <c r="D30" s="650"/>
      <c r="E30" s="639">
        <f t="shared" si="2"/>
        <v>0</v>
      </c>
      <c r="F30" s="109"/>
      <c r="G30" s="109"/>
      <c r="H30" s="915"/>
      <c r="I30" s="109"/>
    </row>
    <row r="31" spans="1:9" ht="12.75" customHeight="1">
      <c r="A31" s="273">
        <f t="shared" si="1"/>
        <v>17</v>
      </c>
      <c r="B31" s="647"/>
      <c r="C31" s="648"/>
      <c r="D31" s="650"/>
      <c r="E31" s="639">
        <f t="shared" si="2"/>
        <v>0</v>
      </c>
      <c r="F31" s="109"/>
      <c r="G31" s="109"/>
      <c r="H31" s="915"/>
      <c r="I31" s="109"/>
    </row>
    <row r="32" spans="1:9" ht="12.75" customHeight="1">
      <c r="A32" s="273">
        <f t="shared" si="1"/>
        <v>18</v>
      </c>
      <c r="B32" s="647"/>
      <c r="C32" s="648"/>
      <c r="D32" s="650"/>
      <c r="E32" s="639">
        <f t="shared" si="2"/>
        <v>0</v>
      </c>
      <c r="F32" s="109"/>
      <c r="G32" s="109"/>
      <c r="H32" s="915"/>
      <c r="I32" s="109"/>
    </row>
    <row r="33" spans="1:9" ht="12.75" customHeight="1">
      <c r="A33" s="273">
        <f t="shared" si="1"/>
        <v>19</v>
      </c>
      <c r="B33" s="647"/>
      <c r="C33" s="648"/>
      <c r="D33" s="650"/>
      <c r="E33" s="639">
        <f t="shared" si="2"/>
        <v>0</v>
      </c>
      <c r="F33" s="109"/>
      <c r="G33" s="109"/>
      <c r="H33" s="915"/>
      <c r="I33" s="109"/>
    </row>
    <row r="34" spans="1:9" ht="12.75" customHeight="1">
      <c r="A34" s="273">
        <f t="shared" si="1"/>
        <v>20</v>
      </c>
      <c r="B34" s="647"/>
      <c r="C34" s="648"/>
      <c r="D34" s="650"/>
      <c r="E34" s="639">
        <f t="shared" si="2"/>
        <v>0</v>
      </c>
      <c r="F34" s="109"/>
      <c r="G34" s="109"/>
      <c r="H34" s="915"/>
      <c r="I34" s="109"/>
    </row>
    <row r="35" spans="1:9" ht="12.75" customHeight="1">
      <c r="A35" s="273">
        <f t="shared" si="1"/>
        <v>21</v>
      </c>
      <c r="B35" s="647"/>
      <c r="C35" s="648"/>
      <c r="D35" s="650"/>
      <c r="E35" s="639">
        <f t="shared" si="2"/>
        <v>0</v>
      </c>
      <c r="F35" s="109"/>
      <c r="G35" s="109"/>
      <c r="H35" s="915"/>
      <c r="I35" s="109"/>
    </row>
    <row r="36" spans="1:9" ht="12.75" customHeight="1">
      <c r="A36" s="273">
        <f t="shared" si="1"/>
        <v>22</v>
      </c>
      <c r="B36" s="647"/>
      <c r="C36" s="648"/>
      <c r="D36" s="650"/>
      <c r="E36" s="639">
        <f t="shared" si="2"/>
        <v>0</v>
      </c>
      <c r="F36" s="109"/>
      <c r="G36" s="109"/>
      <c r="H36" s="915"/>
      <c r="I36" s="109"/>
    </row>
    <row r="37" spans="1:9" ht="12.75" customHeight="1">
      <c r="A37" s="273">
        <f t="shared" si="1"/>
        <v>23</v>
      </c>
      <c r="B37" s="647"/>
      <c r="C37" s="648"/>
      <c r="D37" s="650"/>
      <c r="E37" s="639">
        <f t="shared" si="2"/>
        <v>0</v>
      </c>
      <c r="F37" s="109"/>
      <c r="G37" s="109"/>
      <c r="H37" s="915"/>
      <c r="I37" s="109"/>
    </row>
    <row r="38" spans="1:9" ht="12.75" customHeight="1">
      <c r="A38" s="273">
        <f t="shared" si="1"/>
        <v>24</v>
      </c>
      <c r="B38" s="647"/>
      <c r="C38" s="648"/>
      <c r="D38" s="641"/>
      <c r="E38" s="639">
        <f t="shared" si="2"/>
        <v>0</v>
      </c>
      <c r="F38" s="109"/>
      <c r="G38" s="109"/>
      <c r="H38" s="915"/>
      <c r="I38" s="109"/>
    </row>
    <row r="39" spans="1:9" ht="12.75" customHeight="1">
      <c r="A39" s="273">
        <f t="shared" si="1"/>
        <v>25</v>
      </c>
      <c r="B39" s="647"/>
      <c r="C39" s="648"/>
      <c r="D39" s="641"/>
      <c r="E39" s="639">
        <f t="shared" si="2"/>
        <v>0</v>
      </c>
      <c r="F39" s="109"/>
      <c r="G39" s="109"/>
      <c r="H39" s="915"/>
      <c r="I39" s="109"/>
    </row>
    <row r="40" spans="1:9" ht="12.75" customHeight="1">
      <c r="A40" s="273">
        <f t="shared" si="1"/>
        <v>26</v>
      </c>
      <c r="B40" s="647"/>
      <c r="C40" s="648"/>
      <c r="D40" s="725">
        <f>IF(E40=0,"",+E40/C40)</f>
      </c>
      <c r="E40" s="646"/>
      <c r="F40" s="109"/>
      <c r="G40" s="109"/>
      <c r="H40" s="915"/>
      <c r="I40" s="109"/>
    </row>
    <row r="41" spans="1:9" ht="12.75" customHeight="1">
      <c r="A41" s="273"/>
      <c r="B41" s="655"/>
      <c r="C41" s="655"/>
      <c r="D41" s="655"/>
      <c r="E41" s="655"/>
      <c r="F41" s="654"/>
      <c r="G41" s="109"/>
      <c r="H41" s="915"/>
      <c r="I41" s="109"/>
    </row>
    <row r="42" spans="1:9" ht="12.75" customHeight="1">
      <c r="A42" s="273">
        <f>+A40+1</f>
        <v>27</v>
      </c>
      <c r="B42" s="638" t="s">
        <v>288</v>
      </c>
      <c r="C42" s="422"/>
      <c r="D42" s="637"/>
      <c r="E42" s="639"/>
      <c r="F42" s="109"/>
      <c r="G42" s="109"/>
      <c r="H42" s="915"/>
      <c r="I42" s="109"/>
    </row>
    <row r="43" spans="1:9" ht="12.75" customHeight="1">
      <c r="A43" s="273">
        <f>+A42+1</f>
        <v>28</v>
      </c>
      <c r="B43" s="643" t="s">
        <v>709</v>
      </c>
      <c r="C43" s="636" t="s">
        <v>710</v>
      </c>
      <c r="D43" s="637"/>
      <c r="E43" s="646">
        <v>0</v>
      </c>
      <c r="F43" s="915"/>
      <c r="G43" s="1139"/>
      <c r="H43" s="915"/>
      <c r="I43" s="109"/>
    </row>
    <row r="44" spans="1:9" ht="12.75" customHeight="1">
      <c r="A44" s="273">
        <f>+A43+1</f>
        <v>29</v>
      </c>
      <c r="B44" s="643" t="str">
        <f>"Allowable Hedge Amortization (See Ln "&amp;A65&amp;" Below)"</f>
        <v>Allowable Hedge Amortization (See Ln 45 Below)</v>
      </c>
      <c r="C44" s="636"/>
      <c r="D44" s="637"/>
      <c r="E44" s="722">
        <f>+E65</f>
        <v>92956</v>
      </c>
      <c r="F44" s="915"/>
      <c r="G44" s="1139"/>
      <c r="H44" s="915"/>
      <c r="I44" s="109"/>
    </row>
    <row r="45" spans="1:9" ht="12.75" customHeight="1">
      <c r="A45" s="273">
        <f>+A44+1</f>
        <v>30</v>
      </c>
      <c r="B45" s="643" t="s">
        <v>342</v>
      </c>
      <c r="C45" s="636" t="s">
        <v>289</v>
      </c>
      <c r="D45" s="637"/>
      <c r="E45" s="646">
        <v>457098</v>
      </c>
      <c r="F45" s="109"/>
      <c r="G45" s="1139"/>
      <c r="H45" s="915"/>
      <c r="I45" s="109"/>
    </row>
    <row r="46" spans="1:9" ht="12.75" customHeight="1">
      <c r="A46" s="273">
        <f>+A45+1</f>
        <v>31</v>
      </c>
      <c r="B46" s="643" t="s">
        <v>309</v>
      </c>
      <c r="C46" s="636" t="s">
        <v>287</v>
      </c>
      <c r="D46" s="637"/>
      <c r="E46" s="646">
        <v>0</v>
      </c>
      <c r="F46" s="109"/>
      <c r="G46" s="109"/>
      <c r="H46" s="915"/>
      <c r="I46" s="109"/>
    </row>
    <row r="47" spans="1:9" ht="12.75" customHeight="1">
      <c r="A47" s="273"/>
      <c r="B47" s="643"/>
      <c r="C47" s="422"/>
      <c r="D47" s="637"/>
      <c r="E47" s="639"/>
      <c r="F47" s="109"/>
      <c r="G47" s="109"/>
      <c r="H47" s="915"/>
      <c r="I47" s="109"/>
    </row>
    <row r="48" spans="1:9" ht="12.75" customHeight="1">
      <c r="A48" s="273">
        <f>+A46+1</f>
        <v>32</v>
      </c>
      <c r="B48" s="638" t="s">
        <v>343</v>
      </c>
      <c r="C48" s="422"/>
      <c r="D48" s="637"/>
      <c r="E48" s="639"/>
      <c r="F48" s="109"/>
      <c r="G48" s="109"/>
      <c r="H48" s="915"/>
      <c r="I48" s="109"/>
    </row>
    <row r="49" spans="1:9" ht="12.75" customHeight="1">
      <c r="A49" s="273">
        <f>+A48+1</f>
        <v>33</v>
      </c>
      <c r="B49" s="643" t="s">
        <v>344</v>
      </c>
      <c r="C49" s="636" t="s">
        <v>290</v>
      </c>
      <c r="D49" s="637"/>
      <c r="E49" s="646">
        <v>33649</v>
      </c>
      <c r="F49" s="109"/>
      <c r="G49" s="109"/>
      <c r="H49" s="915"/>
      <c r="I49" s="109"/>
    </row>
    <row r="50" spans="1:9" ht="12.75" customHeight="1">
      <c r="A50" s="273">
        <f>+A49+1</f>
        <v>34</v>
      </c>
      <c r="B50" s="643" t="s">
        <v>345</v>
      </c>
      <c r="C50" s="636" t="s">
        <v>291</v>
      </c>
      <c r="D50" s="637"/>
      <c r="E50" s="646">
        <v>0</v>
      </c>
      <c r="F50" s="109"/>
      <c r="G50" s="109"/>
      <c r="H50" s="915"/>
      <c r="I50" s="109"/>
    </row>
    <row r="51" spans="1:9" ht="12.75" customHeight="1">
      <c r="A51" s="273"/>
      <c r="B51" s="563" t="s">
        <v>722</v>
      </c>
      <c r="C51" s="560"/>
      <c r="E51" s="564"/>
      <c r="G51" s="109"/>
      <c r="H51" s="915"/>
      <c r="I51" s="109"/>
    </row>
    <row r="52" spans="1:9" ht="12.75" customHeight="1">
      <c r="A52" s="273">
        <f>+A50+1</f>
        <v>35</v>
      </c>
      <c r="B52" s="167" t="s">
        <v>346</v>
      </c>
      <c r="C52" s="651">
        <f>SUM(C14:C50)</f>
        <v>550000000</v>
      </c>
      <c r="D52" s="652">
        <f>+E52/C52</f>
        <v>0.06461718727272728</v>
      </c>
      <c r="E52" s="651">
        <f>SUM(E14:E50)</f>
        <v>35539453</v>
      </c>
      <c r="G52" s="109"/>
      <c r="H52" s="915"/>
      <c r="I52" s="109"/>
    </row>
    <row r="53" spans="1:9" ht="12.75" customHeight="1">
      <c r="A53" s="273"/>
      <c r="B53" s="559"/>
      <c r="C53" s="565"/>
      <c r="E53" s="566"/>
      <c r="G53" s="109"/>
      <c r="H53" s="915"/>
      <c r="I53" s="109"/>
    </row>
    <row r="54" spans="1:9" ht="12.75" customHeight="1">
      <c r="A54" s="273">
        <f>+A52+1</f>
        <v>36</v>
      </c>
      <c r="B54" s="562" t="s">
        <v>293</v>
      </c>
      <c r="C54" s="112" t="s">
        <v>347</v>
      </c>
      <c r="D54" s="560"/>
      <c r="G54" s="109"/>
      <c r="H54" s="915"/>
      <c r="I54" s="109"/>
    </row>
    <row r="55" spans="1:9" ht="12.75">
      <c r="A55" s="273">
        <f>+A54+1</f>
        <v>37</v>
      </c>
      <c r="B55" s="647"/>
      <c r="C55" s="648">
        <v>0</v>
      </c>
      <c r="D55" s="653">
        <v>0</v>
      </c>
      <c r="E55" s="639">
        <f>+C55*D55</f>
        <v>0</v>
      </c>
      <c r="G55" s="109"/>
      <c r="H55" s="915"/>
      <c r="I55" s="109"/>
    </row>
    <row r="56" spans="1:9" ht="12.75">
      <c r="A56" s="273">
        <f>+A55+1</f>
        <v>38</v>
      </c>
      <c r="B56" s="647"/>
      <c r="C56" s="648"/>
      <c r="D56" s="653"/>
      <c r="E56" s="639">
        <f>+C56*D56</f>
        <v>0</v>
      </c>
      <c r="G56" s="109"/>
      <c r="H56" s="915"/>
      <c r="I56" s="109"/>
    </row>
    <row r="57" spans="1:9" ht="12.75">
      <c r="A57" s="273">
        <f>+A56+1</f>
        <v>39</v>
      </c>
      <c r="B57" s="647"/>
      <c r="C57" s="648"/>
      <c r="D57" s="653"/>
      <c r="E57" s="639">
        <f>+C57*D57</f>
        <v>0</v>
      </c>
      <c r="G57" s="109"/>
      <c r="H57" s="915"/>
      <c r="I57" s="109"/>
    </row>
    <row r="58" spans="1:9" ht="12.75">
      <c r="A58" s="273"/>
      <c r="G58" s="109"/>
      <c r="H58" s="915"/>
      <c r="I58" s="109"/>
    </row>
    <row r="59" spans="1:9" ht="12.75">
      <c r="A59" s="273">
        <f>+A57+1</f>
        <v>40</v>
      </c>
      <c r="B59" s="167" t="s">
        <v>348</v>
      </c>
      <c r="C59" s="651">
        <f>SUM(C55:C57)</f>
        <v>0</v>
      </c>
      <c r="D59" s="725">
        <f>IF(E59=0,"",+E59/C59)</f>
      </c>
      <c r="E59" s="651">
        <f>SUM(E55:E57)</f>
        <v>0</v>
      </c>
      <c r="G59" s="109"/>
      <c r="H59" s="915"/>
      <c r="I59" s="109"/>
    </row>
    <row r="60" spans="1:9" ht="12.75">
      <c r="A60" s="990"/>
      <c r="G60" s="109"/>
      <c r="H60" s="915"/>
      <c r="I60" s="109"/>
    </row>
    <row r="61" spans="1:9" ht="12.75" customHeight="1">
      <c r="A61" s="273">
        <f>+A59+1</f>
        <v>41</v>
      </c>
      <c r="B61" s="971" t="str">
        <f>"Net Total Hedge Gains and Losses  (WS M, Ln "&amp;'KPCo WS M - Avg Cap Structure'!A58&amp;", (E))"</f>
        <v>Net Total Hedge Gains and Losses  (WS M, Ln 35, (E))</v>
      </c>
      <c r="C61" s="714"/>
      <c r="D61" s="714"/>
      <c r="E61" s="1084">
        <f>'KPCo WS M - Avg Cap Structure'!E58</f>
        <v>92956</v>
      </c>
      <c r="G61" s="109"/>
      <c r="H61" s="915"/>
      <c r="I61" s="109"/>
    </row>
    <row r="62" spans="1:9" ht="12.75">
      <c r="A62" s="273">
        <f>+A61+1</f>
        <v>42</v>
      </c>
      <c r="B62" s="971" t="str">
        <f>"Total Projected Capital Structure Balance for "&amp;'KPCo Historic TCOS'!O1+1&amp;" (Projected TCOS, Ln "&amp;'KPCo Projected TCOS'!B258&amp;")"</f>
        <v>Total Projected Capital Structure Balance for 2010 (Projected TCOS, Ln 165)</v>
      </c>
      <c r="C62" s="711"/>
      <c r="D62" s="643"/>
      <c r="E62" s="972">
        <f>'KPCo Projected TCOS'!G258</f>
        <v>982384639</v>
      </c>
      <c r="G62" s="109"/>
      <c r="H62" s="915"/>
      <c r="I62" s="109"/>
    </row>
    <row r="63" spans="1:9" ht="12.75">
      <c r="A63" s="273">
        <f>+A62+1</f>
        <v>43</v>
      </c>
      <c r="B63" s="971" t="s">
        <v>370</v>
      </c>
      <c r="C63" s="711"/>
      <c r="D63" s="643"/>
      <c r="E63" s="973">
        <v>0.0005</v>
      </c>
      <c r="G63" s="109"/>
      <c r="H63" s="915"/>
      <c r="I63" s="109"/>
    </row>
    <row r="64" spans="1:9" ht="13.5" thickBot="1">
      <c r="A64" s="273">
        <f>+A63+1</f>
        <v>44</v>
      </c>
      <c r="B64" s="971" t="s">
        <v>371</v>
      </c>
      <c r="C64" s="711"/>
      <c r="D64" s="643"/>
      <c r="E64" s="974">
        <f>+E62*E63</f>
        <v>491192.3195</v>
      </c>
      <c r="G64" s="109"/>
      <c r="H64" s="915"/>
      <c r="I64" s="109"/>
    </row>
    <row r="65" spans="1:9" ht="13.5" thickBot="1">
      <c r="A65" s="273">
        <f>+A64+1</f>
        <v>45</v>
      </c>
      <c r="B65" s="901" t="str">
        <f>"Recoverable Hedge Amortization (Lesser of Ln "&amp;A61&amp;" or Ln "&amp;A64&amp;")"</f>
        <v>Recoverable Hedge Amortization (Lesser of Ln 41 or Ln 44)</v>
      </c>
      <c r="C65" s="711"/>
      <c r="D65" s="643"/>
      <c r="E65" s="904">
        <f>+IF(E64&lt;E61,E64,E61)</f>
        <v>92956</v>
      </c>
      <c r="G65" s="109"/>
      <c r="H65" s="915"/>
      <c r="I65" s="109"/>
    </row>
    <row r="66" spans="7:9" ht="12.75">
      <c r="G66" s="109"/>
      <c r="H66" s="915"/>
      <c r="I66" s="109"/>
    </row>
    <row r="67" spans="7:9" ht="12.75">
      <c r="G67" s="109"/>
      <c r="H67" s="915"/>
      <c r="I67" s="109"/>
    </row>
    <row r="68" spans="7:9" ht="12.75">
      <c r="G68" s="109"/>
      <c r="H68" s="915"/>
      <c r="I68" s="109"/>
    </row>
    <row r="69" spans="7:9" ht="12.75">
      <c r="G69" s="109"/>
      <c r="H69" s="915"/>
      <c r="I69" s="109"/>
    </row>
    <row r="70" spans="7:9" ht="12.75">
      <c r="G70" s="109"/>
      <c r="H70" s="915"/>
      <c r="I70" s="109"/>
    </row>
    <row r="71" spans="7:9" ht="12.75">
      <c r="G71" s="109"/>
      <c r="H71" s="915"/>
      <c r="I71" s="109"/>
    </row>
    <row r="72" spans="7:9" ht="12.75">
      <c r="G72" s="109"/>
      <c r="H72" s="915"/>
      <c r="I72" s="109"/>
    </row>
    <row r="73" spans="7:9" ht="12.75">
      <c r="G73" s="109"/>
      <c r="H73" s="915"/>
      <c r="I73" s="109"/>
    </row>
    <row r="74" spans="7:9" ht="12.75">
      <c r="G74" s="109"/>
      <c r="H74" s="915"/>
      <c r="I74" s="109"/>
    </row>
    <row r="75" spans="7:9" ht="12.75">
      <c r="G75" s="109"/>
      <c r="H75" s="915"/>
      <c r="I75" s="109"/>
    </row>
    <row r="76" spans="7:9" ht="12.75">
      <c r="G76" s="109"/>
      <c r="H76" s="915"/>
      <c r="I76" s="109"/>
    </row>
    <row r="77" spans="7:9" ht="12.75">
      <c r="G77" s="109"/>
      <c r="H77" s="915"/>
      <c r="I77" s="109"/>
    </row>
    <row r="78" spans="7:9" ht="12.75">
      <c r="G78" s="109"/>
      <c r="H78" s="915"/>
      <c r="I78" s="109"/>
    </row>
    <row r="79" spans="7:9" ht="12.75">
      <c r="G79" s="109"/>
      <c r="H79" s="915"/>
      <c r="I79" s="109"/>
    </row>
    <row r="80" spans="7:9" ht="12.75">
      <c r="G80" s="109"/>
      <c r="H80" s="915"/>
      <c r="I80" s="109"/>
    </row>
    <row r="81" spans="7:9" ht="12.75">
      <c r="G81" s="109"/>
      <c r="H81" s="915"/>
      <c r="I81" s="109"/>
    </row>
    <row r="82" spans="7:9" ht="12.75">
      <c r="G82" s="109"/>
      <c r="H82" s="915"/>
      <c r="I82" s="109"/>
    </row>
    <row r="83" spans="7:9" ht="12.75">
      <c r="G83" s="109"/>
      <c r="H83" s="915"/>
      <c r="I83" s="109"/>
    </row>
    <row r="84" spans="7:9" ht="12.75">
      <c r="G84" s="109"/>
      <c r="H84" s="915"/>
      <c r="I84" s="109"/>
    </row>
    <row r="85" spans="7:9" ht="12.75">
      <c r="G85" s="109"/>
      <c r="H85" s="915"/>
      <c r="I85" s="109"/>
    </row>
    <row r="86" spans="7:9" ht="12.75">
      <c r="G86" s="109"/>
      <c r="H86" s="915"/>
      <c r="I86" s="109"/>
    </row>
    <row r="87" spans="7:9" ht="12.75">
      <c r="G87" s="109"/>
      <c r="H87" s="915"/>
      <c r="I87" s="109"/>
    </row>
    <row r="88" spans="7:9" ht="12.75">
      <c r="G88" s="109"/>
      <c r="H88" s="915"/>
      <c r="I88" s="109"/>
    </row>
    <row r="299" ht="6" customHeight="1"/>
    <row r="301" ht="6" customHeight="1"/>
    <row r="308" ht="6" customHeight="1"/>
    <row r="310" ht="6" customHeight="1"/>
    <row r="314" ht="6" customHeight="1"/>
    <row r="317" ht="6" customHeight="1"/>
    <row r="322" ht="6" customHeight="1"/>
    <row r="326" ht="6" customHeight="1"/>
    <row r="328" ht="6" customHeight="1"/>
    <row r="337" ht="6" customHeight="1"/>
    <row r="339" ht="6" customHeight="1"/>
    <row r="341" ht="6" customHeight="1"/>
    <row r="343" ht="6" customHeight="1"/>
    <row r="352" ht="6" customHeight="1"/>
    <row r="354" ht="6" customHeight="1"/>
  </sheetData>
  <sheetProtection/>
  <mergeCells count="6">
    <mergeCell ref="E11:E12"/>
    <mergeCell ref="A9:A10"/>
    <mergeCell ref="B4:F4"/>
    <mergeCell ref="B1:F1"/>
    <mergeCell ref="B2:F2"/>
    <mergeCell ref="B3:F3"/>
  </mergeCells>
  <printOptions/>
  <pageMargins left="0.61" right="0.52" top="1" bottom="1" header="0.75" footer="0.5"/>
  <pageSetup fitToHeight="1" fitToWidth="1" horizontalDpi="600" verticalDpi="600" orientation="portrait" scale="77" r:id="rId1"/>
  <headerFooter alignWithMargins="0">
    <oddHeader>&amp;R&amp;"Arial,Bold"Formula Rate 
&amp;A
Page &amp;P of &amp;N</oddHeader>
  </headerFooter>
</worksheet>
</file>

<file path=xl/worksheets/sheet17.xml><?xml version="1.0" encoding="utf-8"?>
<worksheet xmlns="http://schemas.openxmlformats.org/spreadsheetml/2006/main" xmlns:r="http://schemas.openxmlformats.org/officeDocument/2006/relationships">
  <sheetPr>
    <tabColor indexed="45"/>
    <pageSetUpPr fitToPage="1"/>
  </sheetPr>
  <dimension ref="A1:J88"/>
  <sheetViews>
    <sheetView zoomScaleSheetLayoutView="100" zoomScalePageLayoutView="0" workbookViewId="0" topLeftCell="A1">
      <selection activeCell="A1" sqref="A1:E1"/>
    </sheetView>
  </sheetViews>
  <sheetFormatPr defaultColWidth="9.140625" defaultRowHeight="12.75"/>
  <cols>
    <col min="1" max="1" width="9.140625" style="109" customWidth="1"/>
    <col min="2" max="2" width="46.8515625" style="153" customWidth="1"/>
    <col min="3" max="3" width="21.28125" style="109" customWidth="1"/>
    <col min="4" max="4" width="17.57421875" style="109" customWidth="1"/>
    <col min="5" max="5" width="19.00390625" style="109" bestFit="1" customWidth="1"/>
    <col min="6" max="6" width="14.57421875" style="109" customWidth="1"/>
    <col min="7" max="7" width="14.28125" style="109" customWidth="1"/>
    <col min="8" max="8" width="12.8515625" style="558" bestFit="1" customWidth="1"/>
    <col min="9" max="16384" width="9.140625" style="558" customWidth="1"/>
  </cols>
  <sheetData>
    <row r="1" spans="1:5" ht="15">
      <c r="A1" s="1091" t="s">
        <v>228</v>
      </c>
      <c r="B1" s="1091"/>
      <c r="C1" s="1091"/>
      <c r="D1" s="1091"/>
      <c r="E1" s="1091"/>
    </row>
    <row r="2" spans="1:5" ht="15">
      <c r="A2" s="1090" t="s">
        <v>229</v>
      </c>
      <c r="B2" s="1090"/>
      <c r="C2" s="1090"/>
      <c r="D2" s="1090"/>
      <c r="E2" s="1090"/>
    </row>
    <row r="3" spans="1:5" ht="12.75">
      <c r="A3" s="1186" t="str">
        <f>'KPCo Historic TCOS'!F7</f>
        <v>KENTUCKY POWER COMPANY</v>
      </c>
      <c r="B3" s="1186"/>
      <c r="C3" s="1186"/>
      <c r="D3" s="1186"/>
      <c r="E3" s="1186"/>
    </row>
    <row r="4" spans="1:5" ht="54.75" customHeight="1">
      <c r="A4" s="1182" t="str">
        <f>"Worksheet M Supporting Calculation of Capital Structure and Weighted Average Cost of Capital Based on Average of Balances At 12/31/"&amp;'KPCo Historic TCOS'!O1-1&amp;" &amp; 12/31/"&amp;'KPCo Historic TCOS'!O1&amp;""</f>
        <v>Worksheet M Supporting Calculation of Capital Structure and Weighted Average Cost of Capital Based on Average of Balances At 12/31/2008 &amp; 12/31/2009</v>
      </c>
      <c r="B4" s="1183"/>
      <c r="C4" s="1183"/>
      <c r="D4" s="1183"/>
      <c r="E4" s="1183"/>
    </row>
    <row r="5" spans="1:6" ht="9.75" customHeight="1">
      <c r="A5" s="331"/>
      <c r="B5" s="1090"/>
      <c r="C5" s="1090"/>
      <c r="D5" s="1090"/>
      <c r="E5" s="1090"/>
      <c r="F5" s="1090"/>
    </row>
    <row r="6" spans="1:6" ht="19.5" customHeight="1">
      <c r="A6" s="695" t="s">
        <v>770</v>
      </c>
      <c r="B6" s="695" t="s">
        <v>771</v>
      </c>
      <c r="C6" s="695" t="s">
        <v>463</v>
      </c>
      <c r="D6" s="695" t="s">
        <v>773</v>
      </c>
      <c r="E6" s="695" t="s">
        <v>588</v>
      </c>
      <c r="F6" s="696"/>
    </row>
    <row r="7" spans="1:7" ht="18.75" customHeight="1">
      <c r="A7" s="558"/>
      <c r="B7" s="691"/>
      <c r="C7" s="263" t="s">
        <v>201</v>
      </c>
      <c r="D7" s="263" t="s">
        <v>201</v>
      </c>
      <c r="E7" s="691"/>
      <c r="F7" s="691"/>
      <c r="G7" s="697"/>
    </row>
    <row r="8" spans="1:6" ht="12.75" customHeight="1">
      <c r="A8" s="113" t="s">
        <v>777</v>
      </c>
      <c r="B8" s="691"/>
      <c r="C8" s="490" t="str">
        <f>"12/31/"&amp;'KPCo Historic TCOS'!O1</f>
        <v>12/31/2009</v>
      </c>
      <c r="D8" s="490" t="str">
        <f>"12/31/"&amp;'KPCo Historic TCOS'!O1-1</f>
        <v>12/31/2008</v>
      </c>
      <c r="E8" s="698" t="s">
        <v>399</v>
      </c>
      <c r="F8" s="691"/>
    </row>
    <row r="9" spans="1:9" ht="12.75" customHeight="1">
      <c r="A9" s="699" t="s">
        <v>464</v>
      </c>
      <c r="C9" s="700"/>
      <c r="D9" s="700"/>
      <c r="E9" s="146"/>
      <c r="F9" s="27"/>
      <c r="G9" s="27"/>
      <c r="H9" s="27"/>
      <c r="I9" s="120"/>
    </row>
    <row r="10" spans="1:9" ht="12.75" customHeight="1">
      <c r="A10" s="368"/>
      <c r="B10" s="701"/>
      <c r="C10" s="700"/>
      <c r="D10" s="700"/>
      <c r="E10" s="146"/>
      <c r="F10" s="27"/>
      <c r="G10" s="27"/>
      <c r="H10" s="27"/>
      <c r="I10" s="120"/>
    </row>
    <row r="11" spans="1:8" ht="12.75" customHeight="1">
      <c r="A11" s="368">
        <v>1</v>
      </c>
      <c r="B11" s="700" t="s">
        <v>474</v>
      </c>
      <c r="C11" s="702">
        <v>431783697</v>
      </c>
      <c r="D11" s="702">
        <v>398008673</v>
      </c>
      <c r="E11" s="703">
        <f>AVERAGE(C11:D11)</f>
        <v>414896185</v>
      </c>
      <c r="F11" s="27"/>
      <c r="G11" s="27"/>
      <c r="H11" s="27"/>
    </row>
    <row r="12" spans="1:8" ht="12.75" customHeight="1">
      <c r="A12" s="368">
        <f>+A11+1</f>
        <v>2</v>
      </c>
      <c r="B12" s="700" t="str">
        <f>"Less Preferred Stock (Ln "&amp;A85&amp;" Below)"</f>
        <v>Less Preferred Stock (Ln 55 Below)</v>
      </c>
      <c r="C12" s="700">
        <f>+C85</f>
        <v>0</v>
      </c>
      <c r="D12" s="367">
        <f>+D85</f>
        <v>0</v>
      </c>
      <c r="E12" s="703">
        <f>AVERAGE(C12:D12)</f>
        <v>0</v>
      </c>
      <c r="F12" s="27"/>
      <c r="G12" s="27"/>
      <c r="H12" s="27"/>
    </row>
    <row r="13" spans="1:8" ht="12.75" customHeight="1">
      <c r="A13" s="368">
        <f>+A12+1</f>
        <v>3</v>
      </c>
      <c r="B13" s="700" t="s">
        <v>475</v>
      </c>
      <c r="C13" s="704">
        <v>0</v>
      </c>
      <c r="D13" s="704">
        <v>0</v>
      </c>
      <c r="E13" s="939">
        <f>AVERAGE(C13:D13)</f>
        <v>0</v>
      </c>
      <c r="F13" s="27"/>
      <c r="G13" s="27"/>
      <c r="H13" s="27"/>
    </row>
    <row r="14" spans="1:8" ht="12.75" customHeight="1">
      <c r="A14" s="368">
        <f>+A13+1</f>
        <v>4</v>
      </c>
      <c r="B14" s="700" t="s">
        <v>476</v>
      </c>
      <c r="C14" s="937">
        <v>-600942</v>
      </c>
      <c r="D14" s="937">
        <v>59584</v>
      </c>
      <c r="E14" s="941">
        <f>AVERAGE(C14:D14)</f>
        <v>-270679</v>
      </c>
      <c r="F14" s="27"/>
      <c r="G14" s="27"/>
      <c r="H14" s="27"/>
    </row>
    <row r="15" spans="1:8" ht="12.75" customHeight="1">
      <c r="A15" s="705">
        <f>+A14+1</f>
        <v>5</v>
      </c>
      <c r="B15" s="706" t="s">
        <v>465</v>
      </c>
      <c r="C15" s="353">
        <f>+C11-C12-C13-C14</f>
        <v>432384639</v>
      </c>
      <c r="D15" s="353">
        <f>+D11-D12-D13-D14</f>
        <v>397949089</v>
      </c>
      <c r="E15" s="707">
        <f>+E11-E12-E13-E14</f>
        <v>415166864</v>
      </c>
      <c r="F15" s="24"/>
      <c r="G15" s="24"/>
      <c r="H15" s="24"/>
    </row>
    <row r="16" spans="3:4" ht="12.75" customHeight="1">
      <c r="C16" s="502"/>
      <c r="D16" s="643"/>
    </row>
    <row r="17" spans="1:4" ht="12.75" customHeight="1">
      <c r="A17" s="699" t="s">
        <v>466</v>
      </c>
      <c r="C17" s="502"/>
      <c r="D17" s="503"/>
    </row>
    <row r="18" spans="1:4" ht="12.75" customHeight="1">
      <c r="A18" s="368"/>
      <c r="B18" s="701"/>
      <c r="C18" s="108"/>
      <c r="D18" s="503"/>
    </row>
    <row r="19" spans="1:5" ht="12.75" customHeight="1">
      <c r="A19" s="368">
        <f>+A15+1</f>
        <v>6</v>
      </c>
      <c r="B19" s="708" t="s">
        <v>477</v>
      </c>
      <c r="C19" s="704">
        <v>0</v>
      </c>
      <c r="D19" s="704">
        <v>0</v>
      </c>
      <c r="E19" s="939">
        <f aca="true" t="shared" si="0" ref="E19:E24">IF(C19=D19=0,0,AVERAGE(C19:D19))</f>
        <v>0</v>
      </c>
    </row>
    <row r="20" spans="1:5" ht="12.75" customHeight="1">
      <c r="A20" s="368">
        <f>+A19+1</f>
        <v>7</v>
      </c>
      <c r="B20" s="708" t="s">
        <v>478</v>
      </c>
      <c r="C20" s="704">
        <v>0</v>
      </c>
      <c r="D20" s="704">
        <v>0</v>
      </c>
      <c r="E20" s="939">
        <f t="shared" si="0"/>
        <v>0</v>
      </c>
    </row>
    <row r="21" spans="1:5" ht="12.75" customHeight="1">
      <c r="A21" s="368">
        <f>+A20+1</f>
        <v>8</v>
      </c>
      <c r="B21" s="870" t="s">
        <v>20</v>
      </c>
      <c r="C21" s="1082">
        <v>20000000</v>
      </c>
      <c r="D21" s="1082">
        <v>20000000</v>
      </c>
      <c r="E21" s="703">
        <f t="shared" si="0"/>
        <v>20000000</v>
      </c>
    </row>
    <row r="22" spans="1:5" ht="12.75" customHeight="1">
      <c r="A22" s="368">
        <f>+A21+1</f>
        <v>9</v>
      </c>
      <c r="B22" s="870" t="s">
        <v>479</v>
      </c>
      <c r="C22" s="704">
        <v>530000000</v>
      </c>
      <c r="D22" s="704">
        <v>400000000</v>
      </c>
      <c r="E22" s="939">
        <f t="shared" si="0"/>
        <v>465000000</v>
      </c>
    </row>
    <row r="23" spans="1:5" ht="12.75" customHeight="1" thickBot="1">
      <c r="A23" s="368">
        <f>+A22+1</f>
        <v>10</v>
      </c>
      <c r="B23" s="870" t="str">
        <f>"Less: Fair Value Hedges (See Note on Ln "&amp;A26&amp;" below)"</f>
        <v>Less: Fair Value Hedges (See Note on Ln 12 below)</v>
      </c>
      <c r="C23" s="938">
        <v>0</v>
      </c>
      <c r="D23" s="938">
        <v>0</v>
      </c>
      <c r="E23" s="940">
        <f t="shared" si="0"/>
        <v>0</v>
      </c>
    </row>
    <row r="24" spans="1:5" ht="12.75" customHeight="1">
      <c r="A24" s="705">
        <f>+A23+1</f>
        <v>11</v>
      </c>
      <c r="B24" s="709" t="s">
        <v>467</v>
      </c>
      <c r="C24" s="381">
        <f>+C19-C20+C21+C22-C23</f>
        <v>550000000</v>
      </c>
      <c r="D24" s="381">
        <f>+D19-D20+D21+D22-D23</f>
        <v>420000000</v>
      </c>
      <c r="E24" s="710">
        <f t="shared" si="0"/>
        <v>485000000</v>
      </c>
    </row>
    <row r="25" spans="1:5" ht="12.75" customHeight="1">
      <c r="A25" s="705"/>
      <c r="B25" s="709"/>
      <c r="C25" s="381"/>
      <c r="D25" s="381"/>
      <c r="E25" s="710"/>
    </row>
    <row r="26" spans="1:5" ht="12.75" customHeight="1">
      <c r="A26" s="368">
        <f>+A24+1</f>
        <v>12</v>
      </c>
      <c r="B26" s="1188" t="s">
        <v>456</v>
      </c>
      <c r="C26" s="1185"/>
      <c r="D26" s="1185"/>
      <c r="E26" s="1185"/>
    </row>
    <row r="27" spans="1:5" ht="12.75" customHeight="1">
      <c r="A27" s="705"/>
      <c r="B27" s="1185"/>
      <c r="C27" s="1185"/>
      <c r="D27" s="1185"/>
      <c r="E27" s="1185"/>
    </row>
    <row r="28" spans="1:5" ht="12.75" customHeight="1">
      <c r="A28" s="368"/>
      <c r="B28" s="1185"/>
      <c r="C28" s="1185"/>
      <c r="D28" s="1185"/>
      <c r="E28" s="1185"/>
    </row>
    <row r="29" spans="1:4" ht="12.75" customHeight="1">
      <c r="A29" s="368">
        <f>+A26+1</f>
        <v>13</v>
      </c>
      <c r="B29" s="709" t="str">
        <f>"Annual Interest Expense for "&amp;'KPCo Historic TCOS'!O1</f>
        <v>Annual Interest Expense for 2009</v>
      </c>
      <c r="C29" s="636"/>
      <c r="D29" s="643"/>
    </row>
    <row r="30" spans="1:5" ht="12.75" customHeight="1">
      <c r="A30" s="368">
        <f aca="true" t="shared" si="1" ref="A30:A37">+A29+1</f>
        <v>14</v>
      </c>
      <c r="B30" s="708" t="s">
        <v>480</v>
      </c>
      <c r="C30" s="636"/>
      <c r="D30" s="643"/>
      <c r="E30" s="541">
        <v>30323070</v>
      </c>
    </row>
    <row r="31" spans="1:5" ht="26.25" customHeight="1">
      <c r="A31" s="906">
        <f t="shared" si="1"/>
        <v>15</v>
      </c>
      <c r="B31" s="1187" t="str">
        <f>"Less: Total Hedge Gain/Expense Accumulated from p 256-257, col. (i) of FERC Form 1  included in Ln "&amp;A30&amp;" and shown in Ln "&amp;A56&amp;" below."</f>
        <v>Less: Total Hedge Gain/Expense Accumulated from p 256-257, col. (i) of FERC Form 1  included in Ln 14 and shown in Ln 34 below.</v>
      </c>
      <c r="C31" s="1149"/>
      <c r="D31" s="151"/>
      <c r="E31" s="1027">
        <f>+C56</f>
        <v>92956</v>
      </c>
    </row>
    <row r="32" spans="1:5" ht="12.75" customHeight="1">
      <c r="A32" s="368">
        <f t="shared" si="1"/>
        <v>16</v>
      </c>
      <c r="B32" s="870" t="str">
        <f>"Plus:  Allowed Hedge Recovery From Ln "&amp;A62&amp;"  below."</f>
        <v>Plus:  Allowed Hedge Recovery From Ln 39  below.</v>
      </c>
      <c r="C32" s="495"/>
      <c r="D32" s="151"/>
      <c r="E32" s="636">
        <f>+E62</f>
        <v>92956</v>
      </c>
    </row>
    <row r="33" spans="1:5" ht="12.75" customHeight="1">
      <c r="A33" s="368">
        <f t="shared" si="1"/>
        <v>17</v>
      </c>
      <c r="B33" s="708" t="s">
        <v>468</v>
      </c>
      <c r="C33"/>
      <c r="D33"/>
      <c r="E33" s="541">
        <v>457098</v>
      </c>
    </row>
    <row r="34" spans="1:5" ht="12.75" customHeight="1">
      <c r="A34" s="368">
        <f t="shared" si="1"/>
        <v>18</v>
      </c>
      <c r="B34" s="708" t="s">
        <v>469</v>
      </c>
      <c r="C34" s="711"/>
      <c r="D34" s="643"/>
      <c r="E34" s="541">
        <v>33649</v>
      </c>
    </row>
    <row r="35" spans="1:5" ht="12.75" customHeight="1">
      <c r="A35" s="368">
        <f t="shared" si="1"/>
        <v>19</v>
      </c>
      <c r="B35" s="708" t="s">
        <v>470</v>
      </c>
      <c r="C35" s="711"/>
      <c r="D35" s="643"/>
      <c r="E35" s="716">
        <v>0</v>
      </c>
    </row>
    <row r="36" spans="1:5" ht="12.75" customHeight="1">
      <c r="A36" s="368">
        <f t="shared" si="1"/>
        <v>20</v>
      </c>
      <c r="B36" s="708" t="s">
        <v>471</v>
      </c>
      <c r="C36" s="711"/>
      <c r="D36" s="643"/>
      <c r="E36" s="717">
        <v>0</v>
      </c>
    </row>
    <row r="37" spans="1:5" ht="12.75" customHeight="1">
      <c r="A37" s="705">
        <f t="shared" si="1"/>
        <v>21</v>
      </c>
      <c r="B37" s="709" t="str">
        <f>"Total Interest Expense (Ln "&amp;A30&amp;" + Ln "&amp;A33&amp;" + Ln "&amp;A34&amp;" - Ln "&amp;A35&amp;" - Ln "&amp;A36&amp;")"</f>
        <v>Total Interest Expense (Ln 14 + Ln 17 + Ln 18 - Ln 19 - Ln 20)</v>
      </c>
      <c r="C37" s="712"/>
      <c r="D37" s="701"/>
      <c r="E37" s="713">
        <f>+E30-E31+E32+E33+E34-E35-E36</f>
        <v>30813817</v>
      </c>
    </row>
    <row r="38" spans="1:5" ht="12.75" customHeight="1" thickBot="1">
      <c r="A38" s="368"/>
      <c r="B38" s="708"/>
      <c r="C38" s="711"/>
      <c r="D38" s="643"/>
      <c r="E38" s="714"/>
    </row>
    <row r="39" spans="1:5" ht="12.75" customHeight="1" thickBot="1">
      <c r="A39" s="705">
        <f>+A37+1</f>
        <v>22</v>
      </c>
      <c r="B39" s="709" t="str">
        <f>"Average Cost of Debt for "&amp;'KPCo Historic TCOS'!O1&amp;" (Ln 21/Ln 11)"</f>
        <v>Average Cost of Debt for 2009 (Ln 21/Ln 11)</v>
      </c>
      <c r="C39" s="712"/>
      <c r="D39" s="643"/>
      <c r="E39" s="715">
        <f>+E37/E24</f>
        <v>0.06353364329896907</v>
      </c>
    </row>
    <row r="40" spans="1:5" ht="12.75" customHeight="1">
      <c r="A40" s="861"/>
      <c r="B40" s="708"/>
      <c r="C40" s="711"/>
      <c r="D40" s="643"/>
      <c r="E40" s="711"/>
    </row>
    <row r="41" spans="1:6" ht="28.5" customHeight="1">
      <c r="A41" s="728"/>
      <c r="B41" s="1181" t="s">
        <v>453</v>
      </c>
      <c r="C41" s="1181"/>
      <c r="D41" s="1181"/>
      <c r="E41" s="1181"/>
      <c r="F41" s="862"/>
    </row>
    <row r="42" spans="1:6" ht="107.25" customHeight="1">
      <c r="A42" s="863">
        <f>+A39+1</f>
        <v>23</v>
      </c>
      <c r="B42" s="1184" t="s">
        <v>888</v>
      </c>
      <c r="C42" s="1185"/>
      <c r="D42" s="1185"/>
      <c r="E42" s="1185"/>
      <c r="F42" s="869"/>
    </row>
    <row r="43" spans="1:10" ht="12" customHeight="1">
      <c r="A43" s="728"/>
      <c r="B43" s="859"/>
      <c r="C43" s="859"/>
      <c r="D43" s="859"/>
      <c r="E43" s="859"/>
      <c r="G43" s="1180" t="s">
        <v>12</v>
      </c>
      <c r="H43" s="1180"/>
      <c r="I43"/>
      <c r="J43"/>
    </row>
    <row r="44" spans="1:10" ht="42.75" customHeight="1">
      <c r="A44" s="368"/>
      <c r="B44" s="864" t="s">
        <v>165</v>
      </c>
      <c r="C44" s="865" t="str">
        <f>"Total Hedge (Gain)/Loss for "&amp;'KPCo Historic TCOS'!O1</f>
        <v>Total Hedge (Gain)/Loss for 2009</v>
      </c>
      <c r="D44" s="865" t="str">
        <f>"Less Excludable Amounts (See NOTE on Line "&amp;A42&amp;")"</f>
        <v>Less Excludable Amounts (See NOTE on Line 23)</v>
      </c>
      <c r="E44" s="865" t="s">
        <v>454</v>
      </c>
      <c r="F44" s="865" t="s">
        <v>11</v>
      </c>
      <c r="G44" s="865" t="s">
        <v>68</v>
      </c>
      <c r="H44" s="865" t="s">
        <v>70</v>
      </c>
      <c r="I44"/>
      <c r="J44"/>
    </row>
    <row r="45" spans="1:8" ht="12.75" customHeight="1">
      <c r="A45" s="368">
        <f>+A42+1</f>
        <v>24</v>
      </c>
      <c r="B45" s="647" t="s">
        <v>853</v>
      </c>
      <c r="C45" s="704">
        <v>92956</v>
      </c>
      <c r="D45" s="648">
        <v>0</v>
      </c>
      <c r="E45" s="860">
        <f aca="true" t="shared" si="2" ref="E45:E54">+C45-D45</f>
        <v>92956</v>
      </c>
      <c r="F45" s="704">
        <v>712664</v>
      </c>
      <c r="G45" s="943" t="s">
        <v>854</v>
      </c>
      <c r="H45" s="943" t="s">
        <v>855</v>
      </c>
    </row>
    <row r="46" spans="1:8" ht="12.75" customHeight="1">
      <c r="A46" s="368">
        <f aca="true" t="shared" si="3" ref="A46:A54">+A45+1</f>
        <v>25</v>
      </c>
      <c r="B46" s="647" t="s">
        <v>455</v>
      </c>
      <c r="C46" s="704">
        <v>0</v>
      </c>
      <c r="D46" s="647"/>
      <c r="E46" s="860">
        <f t="shared" si="2"/>
        <v>0</v>
      </c>
      <c r="F46" s="922"/>
      <c r="G46" s="922"/>
      <c r="H46" s="922"/>
    </row>
    <row r="47" spans="1:8" ht="12.75" customHeight="1">
      <c r="A47" s="368">
        <f t="shared" si="3"/>
        <v>26</v>
      </c>
      <c r="B47" s="647" t="s">
        <v>455</v>
      </c>
      <c r="C47" s="704">
        <v>0</v>
      </c>
      <c r="D47" s="647"/>
      <c r="E47" s="860">
        <f t="shared" si="2"/>
        <v>0</v>
      </c>
      <c r="F47" s="922"/>
      <c r="G47" s="922"/>
      <c r="H47" s="922"/>
    </row>
    <row r="48" spans="1:8" ht="12.75" customHeight="1">
      <c r="A48" s="368">
        <f t="shared" si="3"/>
        <v>27</v>
      </c>
      <c r="B48" s="647" t="s">
        <v>455</v>
      </c>
      <c r="C48" s="704">
        <v>0</v>
      </c>
      <c r="D48" s="647"/>
      <c r="E48" s="860">
        <f t="shared" si="2"/>
        <v>0</v>
      </c>
      <c r="F48" s="922"/>
      <c r="G48" s="922"/>
      <c r="H48" s="922"/>
    </row>
    <row r="49" spans="1:8" ht="12.75" customHeight="1">
      <c r="A49" s="368">
        <f t="shared" si="3"/>
        <v>28</v>
      </c>
      <c r="B49" s="647" t="s">
        <v>455</v>
      </c>
      <c r="C49" s="704">
        <v>0</v>
      </c>
      <c r="D49" s="866"/>
      <c r="E49" s="860">
        <f t="shared" si="2"/>
        <v>0</v>
      </c>
      <c r="F49" s="922"/>
      <c r="G49" s="922"/>
      <c r="H49" s="922"/>
    </row>
    <row r="50" spans="1:8" ht="12.75" customHeight="1">
      <c r="A50" s="368">
        <f t="shared" si="3"/>
        <v>29</v>
      </c>
      <c r="B50" s="647" t="s">
        <v>455</v>
      </c>
      <c r="C50" s="704">
        <v>0</v>
      </c>
      <c r="D50" s="647"/>
      <c r="E50" s="860">
        <f t="shared" si="2"/>
        <v>0</v>
      </c>
      <c r="F50" s="922"/>
      <c r="G50" s="922"/>
      <c r="H50" s="922"/>
    </row>
    <row r="51" spans="1:8" ht="12.75" customHeight="1">
      <c r="A51" s="368">
        <f t="shared" si="3"/>
        <v>30</v>
      </c>
      <c r="B51" s="647" t="s">
        <v>455</v>
      </c>
      <c r="C51" s="704">
        <v>0</v>
      </c>
      <c r="D51" s="647"/>
      <c r="E51" s="860">
        <f t="shared" si="2"/>
        <v>0</v>
      </c>
      <c r="F51" s="922"/>
      <c r="G51" s="923"/>
      <c r="H51" s="922"/>
    </row>
    <row r="52" spans="1:8" ht="12.75" customHeight="1">
      <c r="A52" s="368">
        <f t="shared" si="3"/>
        <v>31</v>
      </c>
      <c r="B52" s="647" t="s">
        <v>455</v>
      </c>
      <c r="C52" s="704">
        <v>0</v>
      </c>
      <c r="D52" s="647"/>
      <c r="E52" s="860">
        <f t="shared" si="2"/>
        <v>0</v>
      </c>
      <c r="F52" s="922"/>
      <c r="G52" s="923"/>
      <c r="H52" s="922"/>
    </row>
    <row r="53" spans="1:8" ht="12.75" customHeight="1">
      <c r="A53" s="368">
        <f t="shared" si="3"/>
        <v>32</v>
      </c>
      <c r="B53" s="647" t="s">
        <v>455</v>
      </c>
      <c r="C53" s="704">
        <v>0</v>
      </c>
      <c r="D53" s="867"/>
      <c r="E53" s="860">
        <f t="shared" si="2"/>
        <v>0</v>
      </c>
      <c r="F53" s="922"/>
      <c r="G53" s="922"/>
      <c r="H53" s="924"/>
    </row>
    <row r="54" spans="1:8" ht="12.75" customHeight="1">
      <c r="A54" s="368">
        <f t="shared" si="3"/>
        <v>33</v>
      </c>
      <c r="B54" s="647" t="s">
        <v>455</v>
      </c>
      <c r="C54" s="704">
        <v>0</v>
      </c>
      <c r="D54" s="648">
        <v>0</v>
      </c>
      <c r="E54" s="860">
        <f t="shared" si="2"/>
        <v>0</v>
      </c>
      <c r="F54" s="922"/>
      <c r="G54" s="922"/>
      <c r="H54" s="922"/>
    </row>
    <row r="55" spans="1:5" ht="12.75" customHeight="1">
      <c r="A55" s="368"/>
      <c r="B55" s="794"/>
      <c r="C55" s="896"/>
      <c r="D55" s="896"/>
      <c r="E55" s="868"/>
    </row>
    <row r="56" spans="1:5" ht="12.75" customHeight="1">
      <c r="A56" s="368">
        <f>+A54+1</f>
        <v>34</v>
      </c>
      <c r="B56" s="784" t="s">
        <v>472</v>
      </c>
      <c r="C56" s="897">
        <f>SUM(C45:C54)</f>
        <v>92956</v>
      </c>
      <c r="D56" s="897">
        <f>SUM(D45:D54)</f>
        <v>0</v>
      </c>
      <c r="E56" s="558"/>
    </row>
    <row r="57" spans="1:5" ht="3.75" customHeight="1">
      <c r="A57" s="368"/>
      <c r="B57" s="784"/>
      <c r="C57" s="897"/>
      <c r="D57" s="897"/>
      <c r="E57" s="897"/>
    </row>
    <row r="58" spans="1:5" ht="14.25" customHeight="1">
      <c r="A58" s="368">
        <f>+A56+1</f>
        <v>35</v>
      </c>
      <c r="B58" s="784" t="str">
        <f>"Hedge Gain or Loss Prior to Application of Recovery Limit (Sum of Lines "&amp;A45&amp;" to "&amp;A54&amp;")"</f>
        <v>Hedge Gain or Loss Prior to Application of Recovery Limit (Sum of Lines 24 to 33)</v>
      </c>
      <c r="C58" s="897"/>
      <c r="D58" s="897"/>
      <c r="E58" s="897">
        <f>SUM(E45:E54)</f>
        <v>92956</v>
      </c>
    </row>
    <row r="59" spans="1:5" ht="12.75" customHeight="1">
      <c r="A59" s="368">
        <f>+A58+1</f>
        <v>36</v>
      </c>
      <c r="B59" s="784" t="str">
        <f>"Total Average Capital Structure Balance for "&amp;'KPCo Historic TCOS'!O1&amp;" (True-UP TCOS, Ln "&amp;'KPCo True-UP TCOS'!B258&amp;")"</f>
        <v>Total Average Capital Structure Balance for 2009 (True-UP TCOS, Ln 165)</v>
      </c>
      <c r="C59" s="898"/>
      <c r="D59" s="785"/>
      <c r="E59" s="986">
        <f>+'KPCo True-UP TCOS'!E258</f>
        <v>900166864</v>
      </c>
    </row>
    <row r="60" spans="1:7" ht="12.75" customHeight="1">
      <c r="A60" s="368">
        <f>+A59+1</f>
        <v>37</v>
      </c>
      <c r="B60" s="784" t="s">
        <v>370</v>
      </c>
      <c r="C60" s="898"/>
      <c r="D60" s="785"/>
      <c r="E60" s="899">
        <v>0.0005</v>
      </c>
      <c r="G60" s="637"/>
    </row>
    <row r="61" spans="1:5" ht="12.75" customHeight="1" thickBot="1">
      <c r="A61" s="368">
        <f>+A60+1</f>
        <v>38</v>
      </c>
      <c r="B61" s="784" t="s">
        <v>371</v>
      </c>
      <c r="C61" s="898"/>
      <c r="D61" s="785"/>
      <c r="E61" s="900">
        <f>+E59*E60</f>
        <v>450083.43200000003</v>
      </c>
    </row>
    <row r="62" spans="1:5" ht="12.75" customHeight="1" thickBot="1">
      <c r="A62" s="368">
        <f>+A61+1</f>
        <v>39</v>
      </c>
      <c r="B62" s="901" t="str">
        <f>"Recoverable Hedge Amortization (Lesser of Ln "&amp;A58&amp;" or Ln "&amp;A61&amp;")"</f>
        <v>Recoverable Hedge Amortization (Lesser of Ln 35 or Ln 38)</v>
      </c>
      <c r="C62" s="902"/>
      <c r="D62" s="903"/>
      <c r="E62" s="904">
        <f>+IF(E61&lt;E58,E61,E58)</f>
        <v>92956</v>
      </c>
    </row>
    <row r="63" spans="1:5" ht="12.75" customHeight="1">
      <c r="A63" s="368"/>
      <c r="B63" s="905"/>
      <c r="C63" s="902"/>
      <c r="D63" s="903"/>
      <c r="E63" s="902"/>
    </row>
    <row r="64" spans="1:5" ht="12.75" customHeight="1">
      <c r="A64" s="718" t="s">
        <v>473</v>
      </c>
      <c r="C64" s="711"/>
      <c r="D64" s="643"/>
      <c r="E64" s="711"/>
    </row>
    <row r="65" spans="1:5" ht="12.75" customHeight="1">
      <c r="A65" s="368"/>
      <c r="B65" s="708"/>
      <c r="C65" s="711"/>
      <c r="D65" s="643"/>
      <c r="E65" s="711"/>
    </row>
    <row r="66" spans="1:5" ht="12.75" customHeight="1">
      <c r="A66" s="368"/>
      <c r="B66" s="642" t="s">
        <v>41</v>
      </c>
      <c r="C66" s="719"/>
      <c r="D66" s="503"/>
      <c r="E66" s="719" t="s">
        <v>399</v>
      </c>
    </row>
    <row r="67" spans="1:5" ht="12.75" customHeight="1">
      <c r="A67" s="368">
        <f>+A62+1</f>
        <v>40</v>
      </c>
      <c r="B67" s="643" t="str">
        <f>""&amp;C$67*100&amp;"% Series - "&amp;C$68&amp;" - Dividend Rate (p. 250-251. 7 &amp; 10.a)"</f>
        <v>0% Series - 0 - Dividend Rate (p. 250-251. 7 &amp; 10.a)</v>
      </c>
      <c r="C67" s="720">
        <v>0</v>
      </c>
      <c r="D67" s="720">
        <v>0</v>
      </c>
      <c r="E67" s="719"/>
    </row>
    <row r="68" spans="1:5" ht="12.75" customHeight="1">
      <c r="A68" s="368">
        <f>+A67+1</f>
        <v>41</v>
      </c>
      <c r="B68" s="643" t="str">
        <f>""&amp;C$67*100&amp;"% Series - "&amp;C$68&amp;" - Par Value (p. 250-251. 8.c)"</f>
        <v>0% Series - 0 - Par Value (p. 250-251. 8.c)</v>
      </c>
      <c r="C68" s="721">
        <v>0</v>
      </c>
      <c r="D68" s="721">
        <v>0</v>
      </c>
      <c r="E68" s="719"/>
    </row>
    <row r="69" spans="1:5" ht="12.75" customHeight="1">
      <c r="A69" s="368">
        <f>+A68+1</f>
        <v>42</v>
      </c>
      <c r="B69" s="643" t="str">
        <f>""&amp;C$67*100&amp;"% Series - "&amp;C$68&amp;" - Shares O/S (p.250-251. 8 &amp; 11.e) "</f>
        <v>0% Series - 0 - Shares O/S (p.250-251. 8 &amp; 11.e) </v>
      </c>
      <c r="C69" s="648">
        <v>0</v>
      </c>
      <c r="D69" s="648">
        <v>0</v>
      </c>
      <c r="E69" s="722"/>
    </row>
    <row r="70" spans="1:5" ht="12.75" customHeight="1">
      <c r="A70" s="368">
        <f>+A69+1</f>
        <v>43</v>
      </c>
      <c r="B70" s="643" t="str">
        <f>""&amp;C$67*100&amp;"% Series - "&amp;C$68&amp;" - Monetary Value (Ln "&amp;A68&amp;" * Ln "&amp;A69&amp;")"</f>
        <v>0% Series - 0 - Monetary Value (Ln 41 * Ln 42)</v>
      </c>
      <c r="C70" s="422">
        <f>+C69*C68</f>
        <v>0</v>
      </c>
      <c r="D70" s="422">
        <f>+D69*D68</f>
        <v>0</v>
      </c>
      <c r="E70" s="703">
        <f>IF(C70=D70=0,0,AVERAGE(C70:D70))</f>
        <v>0</v>
      </c>
    </row>
    <row r="71" spans="1:5" ht="12.75" customHeight="1">
      <c r="A71" s="368">
        <f>+A70+1</f>
        <v>44</v>
      </c>
      <c r="B71" s="643" t="str">
        <f>""&amp;C$67*100&amp;"% Series - "&amp;C$68&amp;" -  Dividend Amount (Ln "&amp;A67&amp;" * Ln "&amp;A70&amp;")"</f>
        <v>0% Series - 0 -  Dividend Amount (Ln 40 * Ln 43)</v>
      </c>
      <c r="C71" s="422">
        <f>+C70*C67</f>
        <v>0</v>
      </c>
      <c r="D71" s="422">
        <f>+D70*D67</f>
        <v>0</v>
      </c>
      <c r="E71" s="703">
        <f>IF(C71=D71=0,0,AVERAGE(C71:D71))</f>
        <v>0</v>
      </c>
    </row>
    <row r="72" spans="1:5" ht="12.75" customHeight="1">
      <c r="A72" s="368"/>
      <c r="B72" s="643"/>
      <c r="C72" s="422"/>
      <c r="D72" s="637"/>
      <c r="E72" s="639"/>
    </row>
    <row r="73" spans="1:5" ht="12.75" customHeight="1">
      <c r="A73" s="368">
        <f>+A71+1</f>
        <v>45</v>
      </c>
      <c r="B73" s="643" t="str">
        <f>""&amp;C$73*100&amp;"% Series - "&amp;C$74&amp;" - Dividend Rate (p. 250-251.a)"</f>
        <v>0% Series -  - Dividend Rate (p. 250-251.a)</v>
      </c>
      <c r="C73" s="720"/>
      <c r="D73" s="720"/>
      <c r="E73" s="639"/>
    </row>
    <row r="74" spans="1:5" ht="12.75" customHeight="1">
      <c r="A74" s="368">
        <f>+A73+1</f>
        <v>46</v>
      </c>
      <c r="B74" s="643" t="str">
        <f>""&amp;C$73*100&amp;"% Series - "&amp;C$74&amp;" - Par Value (p. 250-251.c)"</f>
        <v>0% Series -  - Par Value (p. 250-251.c)</v>
      </c>
      <c r="C74" s="721"/>
      <c r="D74" s="721"/>
      <c r="E74" s="639"/>
    </row>
    <row r="75" spans="1:5" ht="12.75" customHeight="1">
      <c r="A75" s="368">
        <f>+A74+1</f>
        <v>47</v>
      </c>
      <c r="B75" s="643" t="str">
        <f>""&amp;C$73*100&amp;"% Series - "&amp;C$74&amp;" - Shares O/S (p.250-251. e) "</f>
        <v>0% Series -  - Shares O/S (p.250-251. e) </v>
      </c>
      <c r="C75" s="648"/>
      <c r="D75" s="648"/>
      <c r="E75" s="639"/>
    </row>
    <row r="76" spans="1:5" ht="12.75" customHeight="1">
      <c r="A76" s="368">
        <f>+A75+1</f>
        <v>48</v>
      </c>
      <c r="B76" s="643" t="str">
        <f>""&amp;C$73*100&amp;"% Series - "&amp;C$74&amp;" - Monetary Value (Ln "&amp;A74&amp;" * Ln "&amp;A75&amp;")"</f>
        <v>0% Series -  - Monetary Value (Ln 46 * Ln 47)</v>
      </c>
      <c r="C76" s="495">
        <f>+C75*C74</f>
        <v>0</v>
      </c>
      <c r="D76" s="495">
        <f>+D75*D74</f>
        <v>0</v>
      </c>
      <c r="E76" s="703">
        <f>IF(C76=D76=0,0,AVERAGE(C76:D76))</f>
        <v>0</v>
      </c>
    </row>
    <row r="77" spans="1:5" ht="12.75" customHeight="1">
      <c r="A77" s="368">
        <f>+A76+1</f>
        <v>49</v>
      </c>
      <c r="B77" s="643" t="str">
        <f>""&amp;C$73*100&amp;"% Series - "&amp;C$74&amp;" -  Dividend Amount (Ln "&amp;A73&amp;" * Ln "&amp;A76&amp;")"</f>
        <v>0% Series -  -  Dividend Amount (Ln 45 * Ln 48)</v>
      </c>
      <c r="C77" s="495">
        <f>+C76*C73</f>
        <v>0</v>
      </c>
      <c r="D77" s="495">
        <f>+D76*D73</f>
        <v>0</v>
      </c>
      <c r="E77" s="703">
        <f>IF(C77=D77=0,0,AVERAGE(C77:D77))</f>
        <v>0</v>
      </c>
    </row>
    <row r="78" spans="1:5" ht="12.75" customHeight="1">
      <c r="A78" s="368"/>
      <c r="B78" s="643"/>
      <c r="C78" s="495"/>
      <c r="D78" s="495"/>
      <c r="E78" s="703"/>
    </row>
    <row r="79" spans="1:5" ht="12.75" customHeight="1">
      <c r="A79" s="368">
        <f>+A77+1</f>
        <v>50</v>
      </c>
      <c r="B79" s="643" t="str">
        <f>""&amp;C$79*100&amp;"% Series - "&amp;C$80&amp;" - Dividend Rate (p. 250-251.a)"</f>
        <v>0% Series -  - Dividend Rate (p. 250-251.a)</v>
      </c>
      <c r="C79" s="720"/>
      <c r="D79" s="653"/>
      <c r="E79" s="703"/>
    </row>
    <row r="80" spans="1:5" ht="12.75" customHeight="1">
      <c r="A80" s="368">
        <f>+A79+1</f>
        <v>51</v>
      </c>
      <c r="B80" s="643" t="str">
        <f>""&amp;C$79*100&amp;"% Series - "&amp;C$80&amp;" - Par Value (p. 250-251.c)"</f>
        <v>0% Series -  - Par Value (p. 250-251.c)</v>
      </c>
      <c r="C80" s="721"/>
      <c r="D80" s="723"/>
      <c r="E80" s="703"/>
    </row>
    <row r="81" spans="1:5" ht="12.75" customHeight="1">
      <c r="A81" s="368">
        <f>+A80+1</f>
        <v>52</v>
      </c>
      <c r="B81" s="643" t="str">
        <f>""&amp;C$79*100&amp;"% Series - "&amp;C$80&amp;" - Shares O/S (p.250-251.e) "</f>
        <v>0% Series -  - Shares O/S (p.250-251.e) </v>
      </c>
      <c r="C81" s="648"/>
      <c r="D81" s="648"/>
      <c r="E81" s="639"/>
    </row>
    <row r="82" spans="1:5" ht="12.75" customHeight="1">
      <c r="A82" s="368">
        <f>+A81+1</f>
        <v>53</v>
      </c>
      <c r="B82" s="643" t="str">
        <f>""&amp;C$79*100&amp;"% Series - "&amp;C$80&amp;" - Monetary Value (Ln "&amp;A80&amp;" * Ln "&amp;A81&amp;")"</f>
        <v>0% Series -  - Monetary Value (Ln 51 * Ln 52)</v>
      </c>
      <c r="C82" s="495">
        <f>+C81*C80</f>
        <v>0</v>
      </c>
      <c r="D82" s="495">
        <f>+D81*D80</f>
        <v>0</v>
      </c>
      <c r="E82" s="703">
        <f>IF(C82=D82=0,0,AVERAGE(C82:D82))</f>
        <v>0</v>
      </c>
    </row>
    <row r="83" spans="1:5" ht="12.75" customHeight="1">
      <c r="A83" s="368">
        <f>+A82+1</f>
        <v>54</v>
      </c>
      <c r="B83" s="643" t="str">
        <f>""&amp;C$79*100&amp;"% Series - "&amp;C$80&amp;" -  Dividend Amount (Ln "&amp;A79&amp;" * Ln "&amp;A82&amp;")"</f>
        <v>0% Series -  -  Dividend Amount (Ln 50 * Ln 53)</v>
      </c>
      <c r="C83" s="495">
        <f>+C82*C79</f>
        <v>0</v>
      </c>
      <c r="D83" s="495">
        <f>+D82*D79</f>
        <v>0</v>
      </c>
      <c r="E83" s="703">
        <f>IF(C83=D83=0,0,AVERAGE(C83:D83))</f>
        <v>0</v>
      </c>
    </row>
    <row r="84" spans="1:4" ht="12.75" customHeight="1">
      <c r="A84" s="368"/>
      <c r="B84" s="643"/>
      <c r="C84" s="495"/>
      <c r="D84" s="495"/>
    </row>
    <row r="85" spans="1:5" ht="12.75" customHeight="1">
      <c r="A85" s="368">
        <f>+A83+1</f>
        <v>55</v>
      </c>
      <c r="B85" s="701" t="str">
        <f>"Balance of Preferred Stock (Lns "&amp;A70&amp;", "&amp;A76&amp;", "&amp;A82&amp;")"</f>
        <v>Balance of Preferred Stock (Lns 43, 48, 53)</v>
      </c>
      <c r="C85" s="495">
        <f>+C70+C76+C82</f>
        <v>0</v>
      </c>
      <c r="D85" s="495">
        <f>+D70+D76+D82</f>
        <v>0</v>
      </c>
      <c r="E85" s="724">
        <f>+E70+E76+E82</f>
        <v>0</v>
      </c>
    </row>
    <row r="86" spans="1:6" ht="12.75" customHeight="1" thickBot="1">
      <c r="A86" s="368">
        <f>+A85+1</f>
        <v>56</v>
      </c>
      <c r="B86" s="701" t="str">
        <f>"Dividends on Preferred Stock (Lns "&amp;A71&amp;", "&amp;A77&amp;", "&amp;A83&amp;")"</f>
        <v>Dividends on Preferred Stock (Lns 44, 49, 54)</v>
      </c>
      <c r="C86" s="725">
        <f>+C77+C71+C83</f>
        <v>0</v>
      </c>
      <c r="D86" s="725">
        <f>+D77+D71+D83</f>
        <v>0</v>
      </c>
      <c r="E86" s="726">
        <f>+E83+E77+E71</f>
        <v>0</v>
      </c>
      <c r="F86" s="151" t="s">
        <v>310</v>
      </c>
    </row>
    <row r="87" spans="1:5" ht="12.75" customHeight="1" thickBot="1">
      <c r="A87" s="368">
        <f>+A86+1</f>
        <v>57</v>
      </c>
      <c r="B87" s="167" t="str">
        <f>"Average Cost of Preferred Stock (Ln "&amp;A86&amp;"/"&amp;A85&amp;")"</f>
        <v>Average Cost of Preferred Stock (Ln 56/55)</v>
      </c>
      <c r="C87" s="727">
        <f>IF(C85=0,0,C86/C85)</f>
        <v>0</v>
      </c>
      <c r="D87" s="727">
        <f>IF(D85=0,0,D86/D85)</f>
        <v>0</v>
      </c>
      <c r="E87" s="715">
        <f>IF(E86=0,"",+E86/E85)</f>
      </c>
    </row>
    <row r="88" spans="1:5" ht="12.75" customHeight="1">
      <c r="A88" s="368"/>
      <c r="B88" s="167"/>
      <c r="C88" s="727"/>
      <c r="D88" s="727"/>
      <c r="E88" s="712"/>
    </row>
    <row r="299" ht="6" customHeight="1"/>
    <row r="301" ht="6" customHeight="1"/>
    <row r="308" ht="6" customHeight="1"/>
    <row r="310" ht="6" customHeight="1"/>
    <row r="314" ht="6" customHeight="1"/>
    <row r="317" ht="6" customHeight="1"/>
    <row r="322" ht="6" customHeight="1"/>
    <row r="326" ht="6" customHeight="1"/>
    <row r="328" ht="6" customHeight="1"/>
    <row r="337" ht="6" customHeight="1"/>
    <row r="339" ht="6" customHeight="1"/>
    <row r="341" ht="6" customHeight="1"/>
    <row r="343" ht="6" customHeight="1"/>
    <row r="352" ht="6" customHeight="1"/>
    <row r="354" ht="6" customHeight="1"/>
  </sheetData>
  <sheetProtection/>
  <mergeCells count="10">
    <mergeCell ref="A1:E1"/>
    <mergeCell ref="A2:E2"/>
    <mergeCell ref="A3:E3"/>
    <mergeCell ref="B31:C31"/>
    <mergeCell ref="B26:E28"/>
    <mergeCell ref="B5:F5"/>
    <mergeCell ref="G43:H43"/>
    <mergeCell ref="B41:E41"/>
    <mergeCell ref="A4:E4"/>
    <mergeCell ref="B42:E42"/>
  </mergeCells>
  <printOptions/>
  <pageMargins left="0.7" right="0.72" top="1" bottom="0.7" header="0.75" footer="0.5"/>
  <pageSetup fitToHeight="1" fitToWidth="1" horizontalDpi="600" verticalDpi="600" orientation="portrait" scale="51" r:id="rId1"/>
  <headerFooter alignWithMargins="0">
    <oddHeader>&amp;R&amp;"Arial,Bold"Formula Rate 
&amp;A
Page &amp;P of &amp;N</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U32"/>
  <sheetViews>
    <sheetView zoomScaleSheetLayoutView="100" zoomScalePageLayoutView="0" workbookViewId="0" topLeftCell="A1">
      <selection activeCell="A1" sqref="A1:O1"/>
    </sheetView>
  </sheetViews>
  <sheetFormatPr defaultColWidth="9.140625" defaultRowHeight="12.75"/>
  <cols>
    <col min="2" max="2" width="11.8515625" style="0" customWidth="1"/>
    <col min="3" max="3" width="0.9921875" style="0" customWidth="1"/>
    <col min="8" max="8" width="1.7109375" style="0" customWidth="1"/>
    <col min="9" max="9" width="9.8515625" style="0" customWidth="1"/>
    <col min="10" max="10" width="1.7109375" style="0" customWidth="1"/>
    <col min="11" max="11" width="12.57421875" style="0" customWidth="1"/>
    <col min="12" max="12" width="1.7109375" style="0" customWidth="1"/>
    <col min="13" max="13" width="13.7109375" style="0" customWidth="1"/>
    <col min="14" max="14" width="1.1484375" style="0" customWidth="1"/>
    <col min="15" max="15" width="14.8515625" style="0" customWidth="1"/>
    <col min="16" max="16" width="2.57421875" style="0" customWidth="1"/>
    <col min="17" max="17" width="12.7109375" style="0" customWidth="1"/>
    <col min="18" max="18" width="1.8515625" style="0" customWidth="1"/>
    <col min="19" max="19" width="17.57421875" style="0" customWidth="1"/>
    <col min="20" max="20" width="1.8515625" style="0" customWidth="1"/>
    <col min="21" max="21" width="12.140625" style="0" customWidth="1"/>
  </cols>
  <sheetData>
    <row r="1" spans="1:15" ht="18">
      <c r="A1" s="1167" t="s">
        <v>230</v>
      </c>
      <c r="B1" s="1167"/>
      <c r="C1" s="1167"/>
      <c r="D1" s="1167"/>
      <c r="E1" s="1167"/>
      <c r="F1" s="1167"/>
      <c r="G1" s="1167"/>
      <c r="H1" s="1167"/>
      <c r="I1" s="1167"/>
      <c r="J1" s="1167"/>
      <c r="K1" s="1167"/>
      <c r="L1" s="1167"/>
      <c r="M1" s="1167"/>
      <c r="N1" s="1167"/>
      <c r="O1" s="1167"/>
    </row>
    <row r="2" spans="1:15" ht="18">
      <c r="A2" s="1166" t="str">
        <f>"Cost of Service Formula Rate Using "&amp;'KPCo Historic TCOS'!O1&amp;" FF1 Balances"</f>
        <v>Cost of Service Formula Rate Using 2009 FF1 Balances</v>
      </c>
      <c r="B2" s="1166"/>
      <c r="C2" s="1166"/>
      <c r="D2" s="1166"/>
      <c r="E2" s="1166"/>
      <c r="F2" s="1166"/>
      <c r="G2" s="1166"/>
      <c r="H2" s="1166"/>
      <c r="I2" s="1166"/>
      <c r="J2" s="1166"/>
      <c r="K2" s="1166"/>
      <c r="L2" s="1166"/>
      <c r="M2" s="1166"/>
      <c r="N2" s="1166"/>
      <c r="O2" s="1166"/>
    </row>
    <row r="3" spans="1:15" ht="18">
      <c r="A3" s="1166" t="s">
        <v>21</v>
      </c>
      <c r="B3" s="1166"/>
      <c r="C3" s="1166"/>
      <c r="D3" s="1166"/>
      <c r="E3" s="1166"/>
      <c r="F3" s="1166"/>
      <c r="G3" s="1166"/>
      <c r="H3" s="1166"/>
      <c r="I3" s="1166"/>
      <c r="J3" s="1166"/>
      <c r="K3" s="1166"/>
      <c r="L3" s="1166"/>
      <c r="M3" s="1166"/>
      <c r="N3" s="1166"/>
      <c r="O3" s="1166"/>
    </row>
    <row r="4" spans="1:15" ht="18">
      <c r="A4" s="1158" t="str">
        <f>+'KPCo Historic TCOS'!F7</f>
        <v>KENTUCKY POWER COMPANY</v>
      </c>
      <c r="B4" s="1158"/>
      <c r="C4" s="1158"/>
      <c r="D4" s="1158"/>
      <c r="E4" s="1158"/>
      <c r="F4" s="1158"/>
      <c r="G4" s="1158"/>
      <c r="H4" s="1158"/>
      <c r="I4" s="1158"/>
      <c r="J4" s="1158"/>
      <c r="K4" s="1158"/>
      <c r="L4" s="1158"/>
      <c r="M4" s="1158"/>
      <c r="N4" s="1158"/>
      <c r="O4" s="1158"/>
    </row>
    <row r="5" spans="1:12" ht="12.75" customHeight="1">
      <c r="A5" s="532"/>
      <c r="B5" s="532"/>
      <c r="C5" s="532"/>
      <c r="D5" s="532"/>
      <c r="E5" s="532"/>
      <c r="F5" s="532"/>
      <c r="G5" s="532"/>
      <c r="H5" s="532"/>
      <c r="I5" s="532"/>
      <c r="J5" s="532"/>
      <c r="K5" s="532"/>
      <c r="L5" s="532"/>
    </row>
    <row r="6" spans="1:15" ht="12.75" customHeight="1">
      <c r="A6" s="1192" t="s">
        <v>210</v>
      </c>
      <c r="B6" s="1192"/>
      <c r="C6" s="1192"/>
      <c r="D6" s="1192"/>
      <c r="E6" s="1192"/>
      <c r="F6" s="1192"/>
      <c r="G6" s="1192"/>
      <c r="H6" s="1192"/>
      <c r="I6" s="1192"/>
      <c r="J6" s="1192"/>
      <c r="K6" s="1192"/>
      <c r="L6" s="1192"/>
      <c r="M6" s="1192"/>
      <c r="N6" s="1192"/>
      <c r="O6" s="1192"/>
    </row>
    <row r="7" spans="1:15" ht="12.75" customHeight="1">
      <c r="A7" s="1192"/>
      <c r="B7" s="1192"/>
      <c r="C7" s="1192"/>
      <c r="D7" s="1192"/>
      <c r="E7" s="1192"/>
      <c r="F7" s="1192"/>
      <c r="G7" s="1192"/>
      <c r="H7" s="1192"/>
      <c r="I7" s="1192"/>
      <c r="J7" s="1192"/>
      <c r="K7" s="1192"/>
      <c r="L7" s="1192"/>
      <c r="M7" s="1192"/>
      <c r="N7" s="1192"/>
      <c r="O7" s="1192"/>
    </row>
    <row r="8" spans="1:15" ht="12.75">
      <c r="A8" s="1192"/>
      <c r="B8" s="1192"/>
      <c r="C8" s="1192"/>
      <c r="D8" s="1192"/>
      <c r="E8" s="1192"/>
      <c r="F8" s="1192"/>
      <c r="G8" s="1192"/>
      <c r="H8" s="1192"/>
      <c r="I8" s="1192"/>
      <c r="J8" s="1192"/>
      <c r="K8" s="1192"/>
      <c r="L8" s="1192"/>
      <c r="M8" s="1192"/>
      <c r="N8" s="1192"/>
      <c r="O8" s="1192"/>
    </row>
    <row r="9" spans="1:15" ht="12.75">
      <c r="A9" s="1192"/>
      <c r="B9" s="1192"/>
      <c r="C9" s="1192"/>
      <c r="D9" s="1192"/>
      <c r="E9" s="1192"/>
      <c r="F9" s="1192"/>
      <c r="G9" s="1192"/>
      <c r="H9" s="1192"/>
      <c r="I9" s="1192"/>
      <c r="J9" s="1192"/>
      <c r="K9" s="1192"/>
      <c r="L9" s="1192"/>
      <c r="M9" s="1192"/>
      <c r="N9" s="1192"/>
      <c r="O9" s="1192"/>
    </row>
    <row r="10" spans="2:21" ht="12.75">
      <c r="B10" s="4" t="s">
        <v>770</v>
      </c>
      <c r="C10" s="4"/>
      <c r="D10" s="1111" t="s">
        <v>771</v>
      </c>
      <c r="E10" s="1111"/>
      <c r="F10" s="1111"/>
      <c r="G10" s="1111"/>
      <c r="H10" s="4"/>
      <c r="I10" s="4" t="s">
        <v>460</v>
      </c>
      <c r="J10" s="4"/>
      <c r="K10" s="4" t="s">
        <v>773</v>
      </c>
      <c r="L10" s="4"/>
      <c r="M10" s="4" t="s">
        <v>588</v>
      </c>
      <c r="N10" s="4"/>
      <c r="O10" s="4" t="s">
        <v>589</v>
      </c>
      <c r="P10" s="4"/>
      <c r="Q10" s="4" t="s">
        <v>553</v>
      </c>
      <c r="R10" s="4"/>
      <c r="S10" s="4" t="s">
        <v>595</v>
      </c>
      <c r="T10" s="4"/>
      <c r="U10" s="964" t="s">
        <v>393</v>
      </c>
    </row>
    <row r="11" spans="9:21" ht="12.75">
      <c r="I11" s="1190" t="s">
        <v>551</v>
      </c>
      <c r="Q11" s="1189" t="s">
        <v>552</v>
      </c>
      <c r="S11" s="1190" t="s">
        <v>554</v>
      </c>
      <c r="U11" s="1028" t="s">
        <v>702</v>
      </c>
    </row>
    <row r="12" spans="1:21" ht="12.75">
      <c r="A12" s="544" t="s">
        <v>550</v>
      </c>
      <c r="B12" s="544" t="s">
        <v>546</v>
      </c>
      <c r="C12" s="544"/>
      <c r="D12" s="659" t="s">
        <v>547</v>
      </c>
      <c r="E12" s="544"/>
      <c r="F12" s="544"/>
      <c r="G12" s="544"/>
      <c r="H12" s="544"/>
      <c r="I12" s="1143"/>
      <c r="J12" s="544"/>
      <c r="K12" s="544" t="s">
        <v>548</v>
      </c>
      <c r="L12" s="544"/>
      <c r="M12" s="544" t="s">
        <v>549</v>
      </c>
      <c r="N12" s="544"/>
      <c r="O12" s="544" t="s">
        <v>375</v>
      </c>
      <c r="Q12" s="1189"/>
      <c r="S12" s="1190"/>
      <c r="U12" s="1028" t="s">
        <v>93</v>
      </c>
    </row>
    <row r="13" spans="1:19" ht="12.75">
      <c r="A13" s="544"/>
      <c r="B13" s="544"/>
      <c r="C13" s="544"/>
      <c r="D13" s="659"/>
      <c r="E13" s="544"/>
      <c r="F13" s="544"/>
      <c r="G13" s="544"/>
      <c r="H13" s="544"/>
      <c r="I13" s="8" t="s">
        <v>373</v>
      </c>
      <c r="J13" s="544"/>
      <c r="K13" s="544"/>
      <c r="L13" s="544"/>
      <c r="M13" s="544"/>
      <c r="N13" s="544"/>
      <c r="O13" s="544"/>
      <c r="Q13" s="767"/>
      <c r="S13" s="544" t="s">
        <v>375</v>
      </c>
    </row>
    <row r="14" ht="12.75">
      <c r="I14" t="s">
        <v>374</v>
      </c>
    </row>
    <row r="15" spans="1:21" ht="12.75">
      <c r="A15" s="4">
        <v>1</v>
      </c>
      <c r="B15" s="763"/>
      <c r="D15" s="1191"/>
      <c r="E15" s="1191"/>
      <c r="F15" s="1191"/>
      <c r="G15" s="1191"/>
      <c r="I15" s="765"/>
      <c r="K15" s="648"/>
      <c r="L15" s="489"/>
      <c r="M15" s="648"/>
      <c r="O15" s="553">
        <f>+K15-M15</f>
        <v>0</v>
      </c>
      <c r="Q15" s="687">
        <f>IF(I15="G",'KPCo True-UP TCOS'!L$241,IF(I15="T",1,0))</f>
        <v>0</v>
      </c>
      <c r="S15" s="553">
        <f>ROUND(O15*Q15,0)</f>
        <v>0</v>
      </c>
      <c r="U15" s="605"/>
    </row>
    <row r="16" spans="1:19" ht="12.75">
      <c r="A16" s="4"/>
      <c r="D16" s="1191"/>
      <c r="E16" s="1191"/>
      <c r="F16" s="1191"/>
      <c r="G16" s="1191"/>
      <c r="K16" s="489"/>
      <c r="L16" s="489"/>
      <c r="M16" s="489"/>
      <c r="O16" s="489"/>
      <c r="Q16" s="687"/>
      <c r="S16" s="489"/>
    </row>
    <row r="17" spans="1:19" ht="12.75">
      <c r="A17" s="4"/>
      <c r="D17" s="1191"/>
      <c r="E17" s="1191"/>
      <c r="F17" s="1191"/>
      <c r="G17" s="1191"/>
      <c r="K17" s="489"/>
      <c r="L17" s="489"/>
      <c r="M17" s="489"/>
      <c r="O17" s="489"/>
      <c r="Q17" s="687"/>
      <c r="S17" s="489"/>
    </row>
    <row r="18" spans="1:19" ht="12.75">
      <c r="A18" s="4"/>
      <c r="K18" s="489"/>
      <c r="L18" s="489"/>
      <c r="M18" s="489"/>
      <c r="O18" s="489"/>
      <c r="Q18" s="687"/>
      <c r="S18" s="489"/>
    </row>
    <row r="19" spans="1:19" ht="12.75">
      <c r="A19" s="4"/>
      <c r="K19" s="489"/>
      <c r="L19" s="489"/>
      <c r="M19" s="489"/>
      <c r="O19" s="489"/>
      <c r="Q19" s="687"/>
      <c r="S19" s="489"/>
    </row>
    <row r="20" spans="1:21" ht="12" customHeight="1">
      <c r="A20" s="4">
        <f>+A15+1</f>
        <v>2</v>
      </c>
      <c r="B20" s="763"/>
      <c r="D20" s="1191"/>
      <c r="E20" s="1191"/>
      <c r="F20" s="1191"/>
      <c r="G20" s="1191"/>
      <c r="I20" s="765"/>
      <c r="K20" s="648"/>
      <c r="L20" s="489"/>
      <c r="M20" s="648"/>
      <c r="O20" s="553">
        <f>+K20-M20</f>
        <v>0</v>
      </c>
      <c r="Q20" s="687">
        <f>IF(I20="G",'KPCo True-UP TCOS'!L$241,IF(I20="T",1,0))</f>
        <v>0</v>
      </c>
      <c r="S20" s="553">
        <f>ROUND(O20*Q20,0)</f>
        <v>0</v>
      </c>
      <c r="U20" s="605"/>
    </row>
    <row r="21" spans="1:19" ht="12.75">
      <c r="A21" s="4"/>
      <c r="D21" s="1191"/>
      <c r="E21" s="1191"/>
      <c r="F21" s="1191"/>
      <c r="G21" s="1191"/>
      <c r="I21" s="4"/>
      <c r="K21" s="489"/>
      <c r="L21" s="489"/>
      <c r="M21" s="489"/>
      <c r="O21" s="489"/>
      <c r="Q21" s="687"/>
      <c r="S21" s="489"/>
    </row>
    <row r="22" spans="1:19" ht="12.75">
      <c r="A22" s="4"/>
      <c r="D22" s="1191"/>
      <c r="E22" s="1191"/>
      <c r="F22" s="1191"/>
      <c r="G22" s="1191"/>
      <c r="I22" s="4"/>
      <c r="K22" s="489"/>
      <c r="L22" s="489"/>
      <c r="M22" s="489"/>
      <c r="O22" s="489"/>
      <c r="Q22" s="687"/>
      <c r="S22" s="489"/>
    </row>
    <row r="23" spans="1:19" ht="12.75">
      <c r="A23" s="4"/>
      <c r="I23" s="4"/>
      <c r="K23" s="489"/>
      <c r="L23" s="489"/>
      <c r="M23" s="489"/>
      <c r="O23" s="489"/>
      <c r="Q23" s="687"/>
      <c r="S23" s="489"/>
    </row>
    <row r="24" spans="1:19" ht="12.75">
      <c r="A24" s="4"/>
      <c r="I24" s="4"/>
      <c r="K24" s="489"/>
      <c r="L24" s="489"/>
      <c r="M24" s="489"/>
      <c r="O24" s="489"/>
      <c r="Q24" s="687"/>
      <c r="S24" s="489"/>
    </row>
    <row r="25" spans="1:21" ht="12.75">
      <c r="A25" s="4">
        <f>+A20+1</f>
        <v>3</v>
      </c>
      <c r="B25" s="763"/>
      <c r="D25" s="1191"/>
      <c r="E25" s="1191"/>
      <c r="F25" s="1191"/>
      <c r="G25" s="1191"/>
      <c r="I25" s="765"/>
      <c r="K25" s="648"/>
      <c r="L25" s="489"/>
      <c r="M25" s="648"/>
      <c r="O25" s="553">
        <f>+K25-M25</f>
        <v>0</v>
      </c>
      <c r="Q25" s="687">
        <f>IF(I25="G",'KPCo True-UP TCOS'!L$241,IF(I25="T",1,0))</f>
        <v>0</v>
      </c>
      <c r="S25" s="553">
        <f>ROUND(O25*Q25,0)</f>
        <v>0</v>
      </c>
      <c r="U25" s="605"/>
    </row>
    <row r="26" spans="1:19" ht="12.75">
      <c r="A26" s="4"/>
      <c r="D26" s="1191"/>
      <c r="E26" s="1191"/>
      <c r="F26" s="1191"/>
      <c r="G26" s="1191"/>
      <c r="I26" s="4"/>
      <c r="O26" s="489"/>
      <c r="Q26" s="687"/>
      <c r="S26" s="489"/>
    </row>
    <row r="27" spans="1:17" ht="12.75">
      <c r="A27" s="4"/>
      <c r="D27" s="1191"/>
      <c r="E27" s="1191"/>
      <c r="F27" s="1191"/>
      <c r="G27" s="1191"/>
      <c r="O27" s="489"/>
      <c r="Q27" s="687"/>
    </row>
    <row r="28" spans="1:17" ht="12.75">
      <c r="A28" s="4"/>
      <c r="O28" s="489"/>
      <c r="Q28" s="687"/>
    </row>
    <row r="29" spans="1:17" ht="12.75">
      <c r="A29" s="4"/>
      <c r="O29" s="489"/>
      <c r="Q29" s="687"/>
    </row>
    <row r="30" spans="1:17" ht="12.75">
      <c r="A30" s="4"/>
      <c r="O30" s="489"/>
      <c r="Q30" s="687"/>
    </row>
    <row r="31" spans="1:19" ht="13.5" thickBot="1">
      <c r="A31" s="4">
        <f>+A25+1</f>
        <v>4</v>
      </c>
      <c r="K31" t="str">
        <f>"Net (Gain) or Loss for "&amp;'KPCo Historic TCOS'!O1&amp;""</f>
        <v>Net (Gain) or Loss for 2009</v>
      </c>
      <c r="O31" s="764">
        <f>SUM(O15:O25)</f>
        <v>0</v>
      </c>
      <c r="Q31" s="766"/>
      <c r="S31" s="764">
        <f>SUM(S15:S25)</f>
        <v>0</v>
      </c>
    </row>
    <row r="32" spans="1:17" ht="13.5" thickTop="1">
      <c r="A32" s="4"/>
      <c r="O32" s="489"/>
      <c r="Q32" s="766"/>
    </row>
    <row r="299" ht="6" customHeight="1"/>
    <row r="301" ht="6" customHeight="1"/>
    <row r="308" ht="6" customHeight="1"/>
    <row r="310" ht="6" customHeight="1"/>
    <row r="314" ht="6" customHeight="1"/>
    <row r="317" ht="6" customHeight="1"/>
    <row r="322" ht="6" customHeight="1"/>
    <row r="326" ht="6" customHeight="1"/>
    <row r="328" ht="6" customHeight="1"/>
    <row r="337" ht="6" customHeight="1"/>
    <row r="339" ht="6" customHeight="1"/>
    <row r="341" ht="6" customHeight="1"/>
    <row r="343" ht="6" customHeight="1"/>
    <row r="352" ht="6" customHeight="1"/>
    <row r="354" ht="6" customHeight="1"/>
  </sheetData>
  <sheetProtection/>
  <mergeCells count="12">
    <mergeCell ref="D25:G27"/>
    <mergeCell ref="A1:O1"/>
    <mergeCell ref="A2:O2"/>
    <mergeCell ref="A3:O3"/>
    <mergeCell ref="I11:I12"/>
    <mergeCell ref="D10:G10"/>
    <mergeCell ref="A4:O4"/>
    <mergeCell ref="A6:O9"/>
    <mergeCell ref="Q11:Q12"/>
    <mergeCell ref="S11:S12"/>
    <mergeCell ref="D15:G17"/>
    <mergeCell ref="D20:G22"/>
  </mergeCells>
  <printOptions/>
  <pageMargins left="0.75" right="0.75" top="1" bottom="1" header="0.75" footer="0.5"/>
  <pageSetup fitToHeight="1" fitToWidth="1" horizontalDpi="600" verticalDpi="600" orientation="landscape" scale="75" r:id="rId1"/>
  <headerFooter alignWithMargins="0">
    <oddHeader>&amp;R&amp;"Arial,Bold"Formula Rate 
&amp;A
Page &amp;P of &amp;N</oddHeader>
  </headerFooter>
</worksheet>
</file>

<file path=xl/worksheets/sheet19.xml><?xml version="1.0" encoding="utf-8"?>
<worksheet xmlns="http://schemas.openxmlformats.org/spreadsheetml/2006/main" xmlns:r="http://schemas.openxmlformats.org/officeDocument/2006/relationships">
  <sheetPr>
    <tabColor indexed="10"/>
  </sheetPr>
  <dimension ref="A1:V288"/>
  <sheetViews>
    <sheetView zoomScale="75" zoomScaleNormal="75" zoomScalePageLayoutView="0" workbookViewId="0" topLeftCell="A1">
      <selection activeCell="A1" sqref="A1"/>
    </sheetView>
  </sheetViews>
  <sheetFormatPr defaultColWidth="9.140625" defaultRowHeight="12.75"/>
  <cols>
    <col min="1" max="1" width="8.140625" style="0" customWidth="1"/>
    <col min="2" max="2" width="28.8515625" style="0" customWidth="1"/>
    <col min="3" max="3" width="21.140625" style="0" customWidth="1"/>
    <col min="4" max="4" width="19.28125" style="0" customWidth="1"/>
    <col min="5" max="6" width="19.8515625" style="0" customWidth="1"/>
    <col min="7" max="7" width="21.421875" style="0" customWidth="1"/>
    <col min="8" max="9" width="19.8515625" style="0" customWidth="1"/>
    <col min="10" max="10" width="21.28125" style="0" customWidth="1"/>
    <col min="11" max="11" width="13.421875" style="0" customWidth="1"/>
    <col min="12" max="12" width="22.421875" style="0" customWidth="1"/>
    <col min="13" max="13" width="22.140625" style="0" customWidth="1"/>
    <col min="14" max="14" width="11.140625" style="0" customWidth="1"/>
    <col min="15" max="15" width="11.28125" style="0" bestFit="1" customWidth="1"/>
    <col min="16" max="16" width="12.421875" style="0" customWidth="1"/>
    <col min="18" max="18" width="10.28125" style="0" bestFit="1" customWidth="1"/>
    <col min="20" max="20" width="12.8515625" style="0" customWidth="1"/>
    <col min="21" max="21" width="13.57421875" style="0" customWidth="1"/>
  </cols>
  <sheetData>
    <row r="1" spans="2:17" ht="15">
      <c r="B1" s="1091" t="s">
        <v>230</v>
      </c>
      <c r="C1" s="1091"/>
      <c r="D1" s="1091"/>
      <c r="E1" s="1091"/>
      <c r="F1" s="1091"/>
      <c r="G1" s="1091"/>
      <c r="H1" s="1091"/>
      <c r="I1" s="1091"/>
      <c r="J1" s="1091"/>
      <c r="K1" s="1091"/>
      <c r="L1" s="1091"/>
      <c r="M1" s="1091"/>
      <c r="N1" s="944"/>
      <c r="O1" s="944"/>
      <c r="P1" s="944"/>
      <c r="Q1" s="944"/>
    </row>
    <row r="2" spans="2:17" ht="15">
      <c r="B2" s="1193" t="s">
        <v>856</v>
      </c>
      <c r="C2" s="1193"/>
      <c r="D2" s="1193"/>
      <c r="E2" s="1193"/>
      <c r="F2" s="1193"/>
      <c r="G2" s="1193"/>
      <c r="H2" s="1193"/>
      <c r="I2" s="1193"/>
      <c r="J2" s="1193"/>
      <c r="K2" s="1193"/>
      <c r="L2" s="1193"/>
      <c r="M2" s="1193"/>
      <c r="N2" s="945"/>
      <c r="O2" s="945"/>
      <c r="P2" s="945"/>
      <c r="Q2" s="945"/>
    </row>
    <row r="3" spans="2:17" ht="15">
      <c r="B3" s="1193" t="s">
        <v>609</v>
      </c>
      <c r="C3" s="1090"/>
      <c r="D3" s="1090"/>
      <c r="E3" s="1090"/>
      <c r="F3" s="1090"/>
      <c r="G3" s="1090"/>
      <c r="H3" s="1090"/>
      <c r="I3" s="1090"/>
      <c r="J3" s="1090"/>
      <c r="K3" s="1090"/>
      <c r="L3" s="1090"/>
      <c r="M3" s="1090"/>
      <c r="N3" s="946"/>
      <c r="O3" s="946"/>
      <c r="P3" s="946"/>
      <c r="Q3" s="946"/>
    </row>
    <row r="4" spans="2:17" ht="15">
      <c r="B4" s="1094" t="s">
        <v>846</v>
      </c>
      <c r="C4" s="1094"/>
      <c r="D4" s="1094"/>
      <c r="E4" s="1094"/>
      <c r="F4" s="1094"/>
      <c r="G4" s="1094"/>
      <c r="H4" s="1094"/>
      <c r="I4" s="1094"/>
      <c r="J4" s="1094"/>
      <c r="K4" s="1094"/>
      <c r="L4" s="1094"/>
      <c r="M4" s="1094"/>
      <c r="N4" s="947"/>
      <c r="O4" s="947"/>
      <c r="P4" s="947"/>
      <c r="Q4" s="947"/>
    </row>
    <row r="7" spans="2:17" ht="12.75">
      <c r="B7" s="1194"/>
      <c r="C7" s="1194"/>
      <c r="D7" s="1194"/>
      <c r="E7" s="1194"/>
      <c r="F7" s="1194"/>
      <c r="G7" s="1194"/>
      <c r="H7" s="1194"/>
      <c r="I7" s="1194"/>
      <c r="J7" s="1194"/>
      <c r="K7" s="1194"/>
      <c r="L7" s="1194"/>
      <c r="M7" s="1194"/>
      <c r="N7" s="859"/>
      <c r="O7" s="859"/>
      <c r="P7" s="859"/>
      <c r="Q7" s="859"/>
    </row>
    <row r="8" spans="9:17" ht="12.75">
      <c r="I8" s="859"/>
      <c r="J8" s="859"/>
      <c r="K8" s="859"/>
      <c r="L8" s="859"/>
      <c r="M8" s="859"/>
      <c r="N8" s="859"/>
      <c r="O8" s="859"/>
      <c r="P8" s="859"/>
      <c r="Q8" s="859"/>
    </row>
    <row r="9" spans="9:17" ht="12.75">
      <c r="I9" s="859"/>
      <c r="J9" s="859"/>
      <c r="K9" s="859"/>
      <c r="L9" s="859"/>
      <c r="M9" s="859"/>
      <c r="N9" s="859"/>
      <c r="O9" s="859"/>
      <c r="P9" s="859"/>
      <c r="Q9" s="859"/>
    </row>
    <row r="10" spans="2:17" ht="12.75">
      <c r="B10" t="s">
        <v>865</v>
      </c>
      <c r="E10" s="648">
        <v>48100000</v>
      </c>
      <c r="I10" s="859"/>
      <c r="J10" s="859"/>
      <c r="K10" s="859"/>
      <c r="L10" s="859"/>
      <c r="M10" s="859"/>
      <c r="N10" s="859"/>
      <c r="O10" s="859"/>
      <c r="P10" s="859"/>
      <c r="Q10" s="859"/>
    </row>
    <row r="11" spans="9:17" ht="12.75">
      <c r="I11" s="859"/>
      <c r="J11" s="859"/>
      <c r="K11" s="859"/>
      <c r="L11" s="859"/>
      <c r="M11" s="859"/>
      <c r="N11" s="859"/>
      <c r="O11" s="859"/>
      <c r="P11" s="859"/>
      <c r="Q11" s="859"/>
    </row>
    <row r="12" spans="2:17" ht="12.75">
      <c r="B12" s="1195" t="s">
        <v>866</v>
      </c>
      <c r="C12" s="1195"/>
      <c r="D12" s="535"/>
      <c r="E12" s="535"/>
      <c r="F12" s="535"/>
      <c r="G12" s="535"/>
      <c r="H12" s="535"/>
      <c r="I12" s="535"/>
      <c r="J12" s="535"/>
      <c r="K12" s="535"/>
      <c r="L12" s="535"/>
      <c r="M12" s="535"/>
      <c r="N12" s="859"/>
      <c r="O12" s="859"/>
      <c r="P12" s="859"/>
      <c r="Q12" s="859"/>
    </row>
    <row r="13" spans="3:17" ht="12.75">
      <c r="C13" s="1194" t="s">
        <v>864</v>
      </c>
      <c r="D13" s="1194"/>
      <c r="E13" s="1194"/>
      <c r="F13" s="544"/>
      <c r="N13" s="859"/>
      <c r="O13" s="859"/>
      <c r="P13" s="859"/>
      <c r="Q13" s="859"/>
    </row>
    <row r="14" spans="2:17" ht="12.75">
      <c r="B14" s="8"/>
      <c r="C14" s="1190" t="s">
        <v>568</v>
      </c>
      <c r="D14" s="1190" t="s">
        <v>870</v>
      </c>
      <c r="E14" s="1190" t="s">
        <v>871</v>
      </c>
      <c r="F14" s="534"/>
      <c r="G14" s="534"/>
      <c r="H14" s="534"/>
      <c r="I14" s="1190" t="s">
        <v>872</v>
      </c>
      <c r="N14" s="859"/>
      <c r="O14" s="859"/>
      <c r="P14" s="859"/>
      <c r="Q14" s="859"/>
    </row>
    <row r="15" spans="3:17" ht="12.75" customHeight="1">
      <c r="C15" s="1143"/>
      <c r="D15" s="1143"/>
      <c r="E15" s="1143"/>
      <c r="F15" s="1190" t="str">
        <f>"Labor Allocator for 2008"</f>
        <v>Labor Allocator for 2008</v>
      </c>
      <c r="G15" s="326"/>
      <c r="H15" s="1196" t="s">
        <v>857</v>
      </c>
      <c r="I15" s="1190"/>
      <c r="N15" s="859"/>
      <c r="O15" s="859"/>
      <c r="P15" s="859"/>
      <c r="Q15" s="859"/>
    </row>
    <row r="16" spans="1:17" ht="12.75">
      <c r="A16" s="949" t="s">
        <v>873</v>
      </c>
      <c r="B16" s="544" t="s">
        <v>811</v>
      </c>
      <c r="C16" s="1143"/>
      <c r="D16" s="1143"/>
      <c r="E16" s="1143"/>
      <c r="F16" s="1190"/>
      <c r="G16" s="950" t="s">
        <v>858</v>
      </c>
      <c r="H16" s="1196"/>
      <c r="I16" s="1190"/>
      <c r="N16" s="859"/>
      <c r="O16" s="859"/>
      <c r="P16" s="859"/>
      <c r="Q16" s="859"/>
    </row>
    <row r="17" spans="2:17" ht="12.75">
      <c r="B17" s="544"/>
      <c r="C17" s="136"/>
      <c r="D17" s="136"/>
      <c r="E17" s="136"/>
      <c r="F17" s="534"/>
      <c r="G17" s="326"/>
      <c r="H17" s="326"/>
      <c r="I17" s="136"/>
      <c r="N17" s="859"/>
      <c r="O17" s="859"/>
      <c r="P17" s="859"/>
      <c r="Q17" s="859"/>
    </row>
    <row r="18" spans="2:17" ht="12.75">
      <c r="B18" s="544"/>
      <c r="C18" s="534" t="s">
        <v>770</v>
      </c>
      <c r="D18" s="534" t="s">
        <v>874</v>
      </c>
      <c r="E18" s="951" t="str">
        <f>"(C )=(B) * "&amp;E10&amp;""</f>
        <v>(C )=(B) * 48100000</v>
      </c>
      <c r="F18" s="534" t="s">
        <v>773</v>
      </c>
      <c r="G18" s="952" t="s">
        <v>875</v>
      </c>
      <c r="H18" s="952" t="s">
        <v>876</v>
      </c>
      <c r="I18" s="951" t="s">
        <v>877</v>
      </c>
      <c r="N18" s="859"/>
      <c r="O18" s="859"/>
      <c r="P18" s="859"/>
      <c r="Q18" s="859"/>
    </row>
    <row r="19" spans="2:17" ht="12.75">
      <c r="B19" s="544"/>
      <c r="C19" s="534" t="str">
        <f>"(Line "&amp;A46&amp;")"</f>
        <v>(Line 14)</v>
      </c>
      <c r="D19" s="534"/>
      <c r="E19" s="951"/>
      <c r="F19" s="534"/>
      <c r="G19" s="326"/>
      <c r="H19" s="948"/>
      <c r="I19" s="951"/>
      <c r="N19" s="859"/>
      <c r="O19" s="859"/>
      <c r="P19" s="859"/>
      <c r="Q19" s="859"/>
    </row>
    <row r="20" spans="1:17" ht="12.75">
      <c r="A20">
        <v>1</v>
      </c>
      <c r="B20" t="s">
        <v>878</v>
      </c>
      <c r="C20" s="953">
        <f>+D46</f>
        <v>18441517.217970528</v>
      </c>
      <c r="D20" s="954">
        <f aca="true" t="shared" si="0" ref="D20:D26">+C20/C$27</f>
        <v>0.29258345486255144</v>
      </c>
      <c r="E20" s="489">
        <f aca="true" t="shared" si="1" ref="E20:E26">ROUND(D20*E$27,0)</f>
        <v>14073264</v>
      </c>
      <c r="F20" s="1085">
        <v>0.07027964659818296</v>
      </c>
      <c r="G20" s="326">
        <f aca="true" t="shared" si="2" ref="G20:G26">+C20*F20</f>
        <v>1296063.312813275</v>
      </c>
      <c r="H20" s="326">
        <f aca="true" t="shared" si="3" ref="H20:H26">+F20*E20</f>
        <v>989064.0204029308</v>
      </c>
      <c r="I20" s="489">
        <f aca="true" t="shared" si="4" ref="I20:I26">+G20-H20</f>
        <v>306999.29241034423</v>
      </c>
      <c r="N20" s="859"/>
      <c r="O20" s="859"/>
      <c r="P20" s="859"/>
      <c r="Q20" s="859"/>
    </row>
    <row r="21" spans="1:17" ht="12.75">
      <c r="A21">
        <f aca="true" t="shared" si="5" ref="A21:A27">+A20+1</f>
        <v>2</v>
      </c>
      <c r="B21" t="s">
        <v>879</v>
      </c>
      <c r="C21" s="953">
        <f>+E46</f>
        <v>10281859.86990701</v>
      </c>
      <c r="D21" s="954">
        <f t="shared" si="0"/>
        <v>0.16312660436737525</v>
      </c>
      <c r="E21" s="489">
        <f t="shared" si="1"/>
        <v>7846390</v>
      </c>
      <c r="F21" s="1085">
        <v>0.04161827892157544</v>
      </c>
      <c r="G21" s="326">
        <f t="shared" si="2"/>
        <v>427913.3118983433</v>
      </c>
      <c r="H21" s="326">
        <f t="shared" si="3"/>
        <v>326553.2475474603</v>
      </c>
      <c r="I21" s="489">
        <f t="shared" si="4"/>
        <v>101360.06435088301</v>
      </c>
      <c r="N21" s="859"/>
      <c r="O21" s="859"/>
      <c r="P21" s="859"/>
      <c r="Q21" s="859"/>
    </row>
    <row r="22" spans="1:17" ht="12.75">
      <c r="A22">
        <f t="shared" si="5"/>
        <v>3</v>
      </c>
      <c r="B22" t="s">
        <v>462</v>
      </c>
      <c r="C22" s="953">
        <f>+F46</f>
        <v>12473803.903198816</v>
      </c>
      <c r="D22" s="954">
        <f t="shared" si="0"/>
        <v>0.19790284053849272</v>
      </c>
      <c r="E22" s="489">
        <f t="shared" si="1"/>
        <v>9519127</v>
      </c>
      <c r="F22" s="1085">
        <v>0.04127065651617212</v>
      </c>
      <c r="G22" s="326">
        <f t="shared" si="2"/>
        <v>514802.07633900543</v>
      </c>
      <c r="H22" s="326">
        <f t="shared" si="3"/>
        <v>392860.62075082</v>
      </c>
      <c r="I22" s="489">
        <f t="shared" si="4"/>
        <v>121941.45558818546</v>
      </c>
      <c r="N22" s="859"/>
      <c r="O22" s="859"/>
      <c r="P22" s="859"/>
      <c r="Q22" s="859"/>
    </row>
    <row r="23" spans="1:17" ht="12.75">
      <c r="A23">
        <f t="shared" si="5"/>
        <v>4</v>
      </c>
      <c r="B23" t="s">
        <v>880</v>
      </c>
      <c r="C23" s="953">
        <f>+G46</f>
        <v>3529519.9856326827</v>
      </c>
      <c r="D23" s="954">
        <f t="shared" si="0"/>
        <v>0.055997515779044924</v>
      </c>
      <c r="E23" s="489">
        <f t="shared" si="1"/>
        <v>2693481</v>
      </c>
      <c r="F23" s="1085">
        <v>0.08594668838210866</v>
      </c>
      <c r="G23" s="326">
        <f t="shared" si="2"/>
        <v>303350.5543435968</v>
      </c>
      <c r="H23" s="326">
        <f t="shared" si="3"/>
        <v>231495.7721701304</v>
      </c>
      <c r="I23" s="489">
        <f t="shared" si="4"/>
        <v>71854.7821734664</v>
      </c>
      <c r="N23" s="859"/>
      <c r="O23" s="859"/>
      <c r="P23" s="859"/>
      <c r="Q23" s="859"/>
    </row>
    <row r="24" spans="1:17" ht="12.75">
      <c r="A24">
        <f t="shared" si="5"/>
        <v>5</v>
      </c>
      <c r="B24" t="s">
        <v>881</v>
      </c>
      <c r="C24" s="953">
        <f>+H46</f>
        <v>544294.8944407371</v>
      </c>
      <c r="D24" s="954">
        <f t="shared" si="0"/>
        <v>0.008635497762859455</v>
      </c>
      <c r="E24" s="489">
        <f t="shared" si="1"/>
        <v>415367</v>
      </c>
      <c r="F24" s="1085">
        <v>0.11148006650909793</v>
      </c>
      <c r="G24" s="326">
        <f t="shared" si="2"/>
        <v>60678.03103281581</v>
      </c>
      <c r="H24" s="326">
        <f t="shared" si="3"/>
        <v>46305.14078568448</v>
      </c>
      <c r="I24" s="489">
        <f t="shared" si="4"/>
        <v>14372.890247131327</v>
      </c>
      <c r="N24" s="859"/>
      <c r="O24" s="859"/>
      <c r="P24" s="859"/>
      <c r="Q24" s="859"/>
    </row>
    <row r="25" spans="1:17" ht="12.75">
      <c r="A25">
        <f t="shared" si="5"/>
        <v>6</v>
      </c>
      <c r="B25" t="s">
        <v>882</v>
      </c>
      <c r="C25" s="953">
        <f>+I46</f>
        <v>17102723.45738244</v>
      </c>
      <c r="D25" s="954">
        <f t="shared" si="0"/>
        <v>0.2713428541467066</v>
      </c>
      <c r="E25" s="489">
        <f t="shared" si="1"/>
        <v>13051591</v>
      </c>
      <c r="F25" s="1085">
        <v>0.07326054669393507</v>
      </c>
      <c r="G25" s="326">
        <f t="shared" si="2"/>
        <v>1252954.870443025</v>
      </c>
      <c r="H25" s="326">
        <f t="shared" si="3"/>
        <v>956166.6918856427</v>
      </c>
      <c r="I25" s="489">
        <f t="shared" si="4"/>
        <v>296788.1785573822</v>
      </c>
      <c r="N25" s="859"/>
      <c r="O25" s="859"/>
      <c r="P25" s="859"/>
      <c r="Q25" s="859"/>
    </row>
    <row r="26" spans="1:17" ht="12.75">
      <c r="A26">
        <f t="shared" si="5"/>
        <v>7</v>
      </c>
      <c r="B26" t="s">
        <v>883</v>
      </c>
      <c r="C26" s="955">
        <f>+J46</f>
        <v>656219.3487381755</v>
      </c>
      <c r="D26" s="954">
        <f t="shared" si="0"/>
        <v>0.010411232542969596</v>
      </c>
      <c r="E26" s="956">
        <f t="shared" si="1"/>
        <v>500780</v>
      </c>
      <c r="F26" s="1085">
        <v>0.041016901078235836</v>
      </c>
      <c r="G26" s="957">
        <f t="shared" si="2"/>
        <v>26916.084112818087</v>
      </c>
      <c r="H26" s="957">
        <f t="shared" si="3"/>
        <v>20540.44372195894</v>
      </c>
      <c r="I26" s="956">
        <f t="shared" si="4"/>
        <v>6375.640390859146</v>
      </c>
      <c r="N26" s="859"/>
      <c r="O26" s="859"/>
      <c r="P26" s="859"/>
      <c r="Q26" s="859"/>
    </row>
    <row r="27" spans="1:17" ht="12.75">
      <c r="A27">
        <f t="shared" si="5"/>
        <v>8</v>
      </c>
      <c r="B27" s="544" t="str">
        <f>"Sum of Lines "&amp;A20&amp;" to "&amp;A26&amp;""</f>
        <v>Sum of Lines 1 to 7</v>
      </c>
      <c r="C27" s="489">
        <f>SUM(C20:C26)</f>
        <v>63029938.67727039</v>
      </c>
      <c r="E27" s="326">
        <f>+E10</f>
        <v>48100000</v>
      </c>
      <c r="F27" s="326"/>
      <c r="G27" s="326">
        <f>SUM(G20:G26)</f>
        <v>3882678.2409828785</v>
      </c>
      <c r="H27" s="326">
        <f>SUM(H20:H26)</f>
        <v>2962985.937264628</v>
      </c>
      <c r="I27" s="326">
        <f>SUM(I20:I26)</f>
        <v>919692.3037182518</v>
      </c>
      <c r="N27" s="859"/>
      <c r="O27" s="859"/>
      <c r="P27" s="859"/>
      <c r="Q27" s="859"/>
    </row>
    <row r="28" spans="3:17" ht="12.75">
      <c r="C28" s="489"/>
      <c r="N28" s="859"/>
      <c r="O28" s="859"/>
      <c r="P28" s="859"/>
      <c r="Q28" s="859"/>
    </row>
    <row r="29" spans="9:17" ht="12.75">
      <c r="I29" s="859"/>
      <c r="N29" s="859"/>
      <c r="O29" s="859"/>
      <c r="P29" s="859"/>
      <c r="Q29" s="859"/>
    </row>
    <row r="30" spans="9:17" ht="12.75">
      <c r="I30" s="859"/>
      <c r="J30" s="859"/>
      <c r="K30" s="859"/>
      <c r="L30" s="859"/>
      <c r="M30" s="859"/>
      <c r="N30" s="859"/>
      <c r="O30" s="859"/>
      <c r="P30" s="859"/>
      <c r="Q30" s="859"/>
    </row>
    <row r="31" spans="9:17" ht="12.75">
      <c r="I31" s="859"/>
      <c r="J31" s="859"/>
      <c r="K31" s="859"/>
      <c r="L31" s="859"/>
      <c r="M31" s="859"/>
      <c r="N31" s="859"/>
      <c r="O31" s="859"/>
      <c r="P31" s="859"/>
      <c r="Q31" s="859"/>
    </row>
    <row r="32" spans="2:17" ht="12.75">
      <c r="B32" s="949" t="s">
        <v>867</v>
      </c>
      <c r="F32" s="686"/>
      <c r="I32" s="859"/>
      <c r="J32" s="859"/>
      <c r="K32" s="859"/>
      <c r="L32" s="859"/>
      <c r="M32" s="859"/>
      <c r="N32" s="859"/>
      <c r="O32" s="859"/>
      <c r="P32" s="859"/>
      <c r="Q32" s="859"/>
    </row>
    <row r="33" spans="5:17" ht="12.75">
      <c r="E33" s="686"/>
      <c r="I33" s="969"/>
      <c r="J33" s="859"/>
      <c r="K33" s="859"/>
      <c r="L33" s="859"/>
      <c r="M33" s="859"/>
      <c r="N33" s="859"/>
      <c r="O33" s="859"/>
      <c r="P33" s="859"/>
      <c r="Q33" s="859"/>
    </row>
    <row r="34" spans="4:17" ht="12.75">
      <c r="D34" s="958" t="s">
        <v>878</v>
      </c>
      <c r="E34" s="958" t="s">
        <v>879</v>
      </c>
      <c r="F34" s="958" t="s">
        <v>462</v>
      </c>
      <c r="G34" s="958" t="s">
        <v>880</v>
      </c>
      <c r="H34" s="958" t="s">
        <v>884</v>
      </c>
      <c r="I34" s="959" t="s">
        <v>882</v>
      </c>
      <c r="J34" s="959" t="s">
        <v>883</v>
      </c>
      <c r="K34" s="959" t="s">
        <v>885</v>
      </c>
      <c r="L34" s="859"/>
      <c r="M34" s="859"/>
      <c r="N34" s="859"/>
      <c r="O34" s="859"/>
      <c r="P34" s="859"/>
      <c r="Q34" s="859"/>
    </row>
    <row r="35" spans="9:17" ht="12.75">
      <c r="I35" s="859"/>
      <c r="J35" s="859"/>
      <c r="K35" s="859"/>
      <c r="L35" s="859"/>
      <c r="M35" s="859"/>
      <c r="N35" s="859"/>
      <c r="O35" s="859"/>
      <c r="P35" s="859"/>
      <c r="Q35" s="859"/>
    </row>
    <row r="36" spans="1:17" ht="12.75">
      <c r="A36">
        <f>+A27+1</f>
        <v>9</v>
      </c>
      <c r="B36" t="s">
        <v>868</v>
      </c>
      <c r="D36" s="960">
        <f>13024193+10359524+1733991</f>
        <v>25117708</v>
      </c>
      <c r="E36" s="960">
        <f>7502045+3625971+726200</f>
        <v>11854216</v>
      </c>
      <c r="F36" s="960">
        <f>7187544+3798575+7141208+1416450</f>
        <v>19543777</v>
      </c>
      <c r="G36" s="960">
        <f>2522261+1227307+349998</f>
        <v>4099566</v>
      </c>
      <c r="H36" s="960">
        <f>525722+94644</f>
        <v>620366</v>
      </c>
      <c r="I36" s="960">
        <f>9837266+8244863+2026817</f>
        <v>20108946</v>
      </c>
      <c r="J36" s="960">
        <f>723028+42939</f>
        <v>765967</v>
      </c>
      <c r="K36" s="961">
        <f>SUM(D36:J36)</f>
        <v>82110546</v>
      </c>
      <c r="L36" s="859"/>
      <c r="M36" s="859"/>
      <c r="N36" s="859"/>
      <c r="O36" s="859"/>
      <c r="P36" s="859"/>
      <c r="Q36" s="859"/>
    </row>
    <row r="38" spans="1:17" ht="12.75">
      <c r="A38">
        <f>+A36+1</f>
        <v>10</v>
      </c>
      <c r="B38" s="1143" t="s">
        <v>886</v>
      </c>
      <c r="C38" s="1143"/>
      <c r="D38" s="960">
        <f>-D36-D40+16823423</f>
        <v>-3087412</v>
      </c>
      <c r="E38" s="960">
        <f>-E36-E40+9484685</f>
        <v>24390</v>
      </c>
      <c r="F38" s="960">
        <f>-F36-F40+11348707</f>
        <v>-4186450</v>
      </c>
      <c r="G38" s="960">
        <f>-G36-G40+3232185</f>
        <v>-1</v>
      </c>
      <c r="H38" s="960">
        <f>-H36-H40+497069</f>
        <v>0</v>
      </c>
      <c r="I38" s="960">
        <f>-I36-I40+15722562</f>
        <v>-210679</v>
      </c>
      <c r="J38" s="960">
        <f>-J36-J40+613650</f>
        <v>0</v>
      </c>
      <c r="K38" s="961"/>
      <c r="L38" s="859"/>
      <c r="M38" s="859"/>
      <c r="N38" s="859"/>
      <c r="O38" s="859"/>
      <c r="P38" s="859"/>
      <c r="Q38" s="859"/>
    </row>
    <row r="39" spans="2:17" ht="12.75">
      <c r="B39" s="1143"/>
      <c r="C39" s="1143"/>
      <c r="D39" s="366"/>
      <c r="E39" s="100"/>
      <c r="F39" s="366"/>
      <c r="G39" s="100"/>
      <c r="H39" s="100"/>
      <c r="I39" s="366"/>
      <c r="J39" s="100"/>
      <c r="K39" s="742"/>
      <c r="L39" s="859"/>
      <c r="M39" s="859"/>
      <c r="N39" s="859"/>
      <c r="O39" s="859"/>
      <c r="P39" s="859"/>
      <c r="Q39" s="859"/>
    </row>
    <row r="40" spans="1:17" ht="12.75">
      <c r="A40">
        <f>+A38+1</f>
        <v>11</v>
      </c>
      <c r="B40" t="s">
        <v>887</v>
      </c>
      <c r="D40" s="960">
        <f>-2663515-2188626-354732</f>
        <v>-5206873</v>
      </c>
      <c r="E40" s="960">
        <f>-1493767-725051-150714-24389</f>
        <v>-2393921</v>
      </c>
      <c r="F40" s="960">
        <f>-1481316-822798-1412009-292497</f>
        <v>-4008620</v>
      </c>
      <c r="G40" s="960">
        <f>-529018-267736-70626</f>
        <v>-867380</v>
      </c>
      <c r="H40" s="960">
        <f>-104303-18994</f>
        <v>-123297</v>
      </c>
      <c r="I40" s="960">
        <f>-1932987-1842592-400126</f>
        <v>-4175705</v>
      </c>
      <c r="J40" s="960">
        <f>-145404-6913</f>
        <v>-152317</v>
      </c>
      <c r="K40" s="961">
        <f>SUM(D40:J40)</f>
        <v>-16928113</v>
      </c>
      <c r="L40" s="859"/>
      <c r="M40" s="859"/>
      <c r="N40" s="859"/>
      <c r="O40" s="859"/>
      <c r="P40" s="859"/>
      <c r="Q40" s="859"/>
    </row>
    <row r="41" spans="4:17" ht="12.75">
      <c r="D41" s="163"/>
      <c r="E41" s="163"/>
      <c r="F41" s="163"/>
      <c r="G41" s="163"/>
      <c r="H41" s="163"/>
      <c r="I41" s="962"/>
      <c r="J41" s="962"/>
      <c r="K41" s="963"/>
      <c r="L41" s="859"/>
      <c r="M41" s="859"/>
      <c r="N41" s="859"/>
      <c r="O41" s="859"/>
      <c r="P41" s="859"/>
      <c r="Q41" s="859"/>
    </row>
    <row r="42" spans="1:17" ht="12.75">
      <c r="A42">
        <f>+A40+1</f>
        <v>12</v>
      </c>
      <c r="B42" t="str">
        <f>"Net Company Expense (Ln "&amp;A36&amp;" + Ln "&amp;A38&amp;" + Ln  "&amp;A40&amp;")"</f>
        <v>Net Company Expense (Ln 9 + Ln 10 + Ln  11)</v>
      </c>
      <c r="D42" s="686">
        <f aca="true" t="shared" si="6" ref="D42:J42">+D36+D40+D38</f>
        <v>16823423</v>
      </c>
      <c r="E42" s="686">
        <f t="shared" si="6"/>
        <v>9484685</v>
      </c>
      <c r="F42" s="686">
        <f t="shared" si="6"/>
        <v>11348707</v>
      </c>
      <c r="G42" s="686">
        <f t="shared" si="6"/>
        <v>3232185</v>
      </c>
      <c r="H42" s="686">
        <f t="shared" si="6"/>
        <v>497069</v>
      </c>
      <c r="I42" s="686">
        <f t="shared" si="6"/>
        <v>15722562</v>
      </c>
      <c r="J42" s="686">
        <f t="shared" si="6"/>
        <v>613650</v>
      </c>
      <c r="K42" s="961">
        <f>SUM(D42:J42)</f>
        <v>57722281</v>
      </c>
      <c r="L42" s="859"/>
      <c r="M42" s="859"/>
      <c r="N42" s="859"/>
      <c r="O42" s="859"/>
      <c r="P42" s="859"/>
      <c r="Q42" s="859"/>
    </row>
    <row r="43" spans="7:17" ht="12.75">
      <c r="G43" s="686">
        <f>+G39+G41</f>
        <v>0</v>
      </c>
      <c r="I43" s="859"/>
      <c r="J43" s="859"/>
      <c r="K43" s="742"/>
      <c r="L43" s="964"/>
      <c r="M43" s="859"/>
      <c r="N43" s="859"/>
      <c r="O43" s="859"/>
      <c r="P43" s="859"/>
      <c r="Q43" s="859"/>
    </row>
    <row r="44" spans="1:17" ht="12.75">
      <c r="A44">
        <f>+A42+1</f>
        <v>13</v>
      </c>
      <c r="B44" s="1143" t="s">
        <v>869</v>
      </c>
      <c r="C44" s="1143"/>
      <c r="D44" s="541">
        <v>1618094.2179705284</v>
      </c>
      <c r="E44" s="541">
        <v>797174.8699070103</v>
      </c>
      <c r="F44" s="541">
        <v>1125096.9031988152</v>
      </c>
      <c r="G44" s="541">
        <v>297334.9856326827</v>
      </c>
      <c r="H44" s="541">
        <v>47225.89444073712</v>
      </c>
      <c r="I44" s="1086">
        <v>1380161.4573824422</v>
      </c>
      <c r="J44" s="1086">
        <v>42569.34873817547</v>
      </c>
      <c r="K44" s="961">
        <f>SUM(D44:J44)</f>
        <v>5307657.677270392</v>
      </c>
      <c r="L44" s="965"/>
      <c r="M44" s="859"/>
      <c r="N44" s="859"/>
      <c r="O44" s="859"/>
      <c r="P44" s="859"/>
      <c r="Q44" s="859"/>
    </row>
    <row r="45" spans="2:17" ht="12.75">
      <c r="B45" s="1143"/>
      <c r="C45" s="1143"/>
      <c r="D45" s="132"/>
      <c r="I45" s="859"/>
      <c r="J45" s="859"/>
      <c r="K45" s="742"/>
      <c r="L45" s="859"/>
      <c r="M45" s="859"/>
      <c r="N45" s="859"/>
      <c r="O45" s="859"/>
      <c r="P45" s="859"/>
      <c r="Q45" s="859"/>
    </row>
    <row r="46" spans="1:17" ht="13.5" thickBot="1">
      <c r="A46">
        <f>+A44+1</f>
        <v>14</v>
      </c>
      <c r="B46" t="str">
        <f>"Company PBOP Expense (Ln "&amp;A42&amp;" + Ln  "&amp;A44&amp;")"</f>
        <v>Company PBOP Expense (Ln 12 + Ln  13)</v>
      </c>
      <c r="D46" s="970">
        <f>+D44+D40+D38+D36</f>
        <v>18441517.217970528</v>
      </c>
      <c r="E46" s="970">
        <f aca="true" t="shared" si="7" ref="E46:J46">+E44+E40+E38+E36</f>
        <v>10281859.86990701</v>
      </c>
      <c r="F46" s="970">
        <f t="shared" si="7"/>
        <v>12473803.903198816</v>
      </c>
      <c r="G46" s="970">
        <f t="shared" si="7"/>
        <v>3529519.9856326827</v>
      </c>
      <c r="H46" s="970">
        <f t="shared" si="7"/>
        <v>544294.8944407371</v>
      </c>
      <c r="I46" s="970">
        <f t="shared" si="7"/>
        <v>17102723.45738244</v>
      </c>
      <c r="J46" s="970">
        <f t="shared" si="7"/>
        <v>656219.3487381755</v>
      </c>
      <c r="K46" s="966">
        <f>SUM(D46:J46)</f>
        <v>63029938.67727039</v>
      </c>
      <c r="L46" s="859"/>
      <c r="M46" s="859"/>
      <c r="N46" s="859"/>
      <c r="O46" s="859"/>
      <c r="P46" s="859"/>
      <c r="Q46" s="859"/>
    </row>
    <row r="47" spans="9:17" ht="13.5" thickTop="1">
      <c r="I47" s="859"/>
      <c r="J47" s="859"/>
      <c r="K47" s="859"/>
      <c r="L47" s="859"/>
      <c r="M47" s="859"/>
      <c r="N47" s="859"/>
      <c r="O47" s="859"/>
      <c r="P47" s="859"/>
      <c r="Q47" s="859"/>
    </row>
    <row r="48" spans="4:17" ht="12.75">
      <c r="D48" s="967"/>
      <c r="E48" s="967"/>
      <c r="F48" s="967"/>
      <c r="G48" s="967"/>
      <c r="H48" s="967"/>
      <c r="I48" s="967"/>
      <c r="J48" s="967"/>
      <c r="K48" s="967"/>
      <c r="L48" s="859"/>
      <c r="M48" s="859"/>
      <c r="N48" s="859"/>
      <c r="O48" s="859"/>
      <c r="P48" s="859"/>
      <c r="Q48" s="859"/>
    </row>
    <row r="49" spans="9:17" ht="12.75">
      <c r="I49" s="859"/>
      <c r="J49" s="859"/>
      <c r="K49" s="859"/>
      <c r="L49" s="859"/>
      <c r="M49" s="859"/>
      <c r="N49" s="859"/>
      <c r="O49" s="859"/>
      <c r="P49" s="859"/>
      <c r="Q49" s="859"/>
    </row>
    <row r="50" spans="9:17" ht="12.75">
      <c r="I50" s="859"/>
      <c r="J50" s="859"/>
      <c r="K50" s="859"/>
      <c r="L50" s="859"/>
      <c r="M50" s="859"/>
      <c r="N50" s="859"/>
      <c r="O50" s="859"/>
      <c r="P50" s="859"/>
      <c r="Q50" s="859"/>
    </row>
    <row r="51" spans="9:17" ht="12.75">
      <c r="I51" s="859"/>
      <c r="J51" s="859"/>
      <c r="K51" s="859"/>
      <c r="L51" s="859"/>
      <c r="M51" s="859"/>
      <c r="N51" s="859"/>
      <c r="O51" s="859"/>
      <c r="P51" s="859"/>
      <c r="Q51" s="859"/>
    </row>
    <row r="52" spans="9:17" ht="12.75">
      <c r="I52" s="859"/>
      <c r="J52" s="859"/>
      <c r="K52" s="859"/>
      <c r="L52" s="859"/>
      <c r="M52" s="859"/>
      <c r="N52" s="859"/>
      <c r="O52" s="859"/>
      <c r="P52" s="859"/>
      <c r="Q52" s="859"/>
    </row>
    <row r="53" ht="12.75">
      <c r="Q53" s="859"/>
    </row>
    <row r="54" ht="12.75">
      <c r="Q54" s="859"/>
    </row>
    <row r="55" ht="12.75">
      <c r="Q55" s="859"/>
    </row>
    <row r="56" ht="12.75">
      <c r="Q56" s="859"/>
    </row>
    <row r="57" ht="12.75">
      <c r="Q57" s="859"/>
    </row>
    <row r="58" ht="12.75">
      <c r="Q58" s="859"/>
    </row>
    <row r="59" ht="12.75">
      <c r="Q59" s="857"/>
    </row>
    <row r="60" ht="18.75" customHeight="1"/>
    <row r="61" spans="17:19" ht="12.75" customHeight="1">
      <c r="Q61" s="551"/>
      <c r="R61" s="551"/>
      <c r="S61" s="551"/>
    </row>
    <row r="62" ht="68.25" customHeight="1"/>
    <row r="73" ht="39.75" customHeight="1"/>
    <row r="82" spans="17:22" ht="15.75" customHeight="1">
      <c r="Q82" s="968"/>
      <c r="R82" s="968"/>
      <c r="S82" s="968"/>
      <c r="T82" s="968"/>
      <c r="U82" s="968"/>
      <c r="V82" s="386"/>
    </row>
    <row r="83" spans="17:22" ht="6" customHeight="1">
      <c r="Q83" s="968"/>
      <c r="R83" s="968"/>
      <c r="S83" s="968"/>
      <c r="T83" s="968"/>
      <c r="U83" s="968"/>
      <c r="V83" s="386"/>
    </row>
    <row r="84" spans="17:22" ht="12.75">
      <c r="Q84" s="968"/>
      <c r="R84" s="968"/>
      <c r="S84" s="968"/>
      <c r="T84" s="968"/>
      <c r="U84" s="968"/>
      <c r="V84" s="386"/>
    </row>
    <row r="85" spans="17:22" ht="6" customHeight="1">
      <c r="Q85" s="968"/>
      <c r="R85" s="968"/>
      <c r="S85" s="968"/>
      <c r="T85" s="968"/>
      <c r="U85" s="968"/>
      <c r="V85" s="386"/>
    </row>
    <row r="86" spans="17:22" ht="12.75">
      <c r="Q86" s="968"/>
      <c r="R86" s="968"/>
      <c r="S86" s="968"/>
      <c r="T86" s="968"/>
      <c r="U86" s="968"/>
      <c r="V86" s="386"/>
    </row>
    <row r="87" spans="17:22" ht="12.75" customHeight="1">
      <c r="Q87" s="968"/>
      <c r="R87" s="968"/>
      <c r="S87" s="968"/>
      <c r="T87" s="968"/>
      <c r="U87" s="968"/>
      <c r="V87" s="386"/>
    </row>
    <row r="88" spans="17:22" ht="6.75" customHeight="1">
      <c r="Q88" s="968"/>
      <c r="R88" s="968"/>
      <c r="S88" s="968"/>
      <c r="T88" s="968"/>
      <c r="U88" s="968"/>
      <c r="V88" s="386"/>
    </row>
    <row r="89" spans="17:22" ht="12.75">
      <c r="Q89" s="968"/>
      <c r="R89" s="968"/>
      <c r="S89" s="968"/>
      <c r="T89" s="968"/>
      <c r="U89" s="968"/>
      <c r="V89" s="386"/>
    </row>
    <row r="90" spans="17:21" ht="12.75">
      <c r="Q90" s="968"/>
      <c r="R90" s="968"/>
      <c r="S90" s="968"/>
      <c r="T90" s="968"/>
      <c r="U90" s="386"/>
    </row>
    <row r="91" spans="17:21" ht="12.75">
      <c r="Q91" s="968"/>
      <c r="R91" s="968"/>
      <c r="S91" s="968"/>
      <c r="T91" s="968"/>
      <c r="U91" s="386"/>
    </row>
    <row r="92" spans="17:21" ht="12.75">
      <c r="Q92" s="968"/>
      <c r="R92" s="968"/>
      <c r="S92" s="968"/>
      <c r="T92" s="968"/>
      <c r="U92" s="386"/>
    </row>
    <row r="93" spans="17:18" ht="12.75">
      <c r="Q93" s="857"/>
      <c r="R93" s="857"/>
    </row>
    <row r="94" ht="12.75">
      <c r="Q94" s="857"/>
    </row>
    <row r="96" ht="12.75" customHeight="1"/>
    <row r="97" ht="12.75" customHeight="1"/>
    <row r="98" ht="12.75" customHeight="1"/>
    <row r="99" ht="12.75" customHeight="1"/>
    <row r="105" ht="14.25" customHeight="1"/>
    <row r="106" ht="14.25" customHeight="1"/>
    <row r="113" ht="12.75" customHeight="1"/>
    <row r="114" ht="12.75" customHeight="1"/>
    <row r="115" ht="12.75" customHeight="1"/>
    <row r="116" ht="12.75" customHeight="1"/>
    <row r="117" ht="15.75" customHeight="1"/>
    <row r="130" ht="12.75" customHeight="1"/>
    <row r="131" ht="12.75" customHeight="1"/>
    <row r="133" ht="12.75" customHeight="1"/>
    <row r="147" ht="12.75" customHeight="1"/>
    <row r="148" ht="12.75" customHeight="1"/>
    <row r="150" ht="12.75" customHeight="1"/>
    <row r="165" ht="12.75" customHeight="1"/>
    <row r="166" ht="12.75" customHeight="1"/>
    <row r="167" ht="12.75" customHeight="1"/>
    <row r="183" ht="12.75">
      <c r="M183" s="489"/>
    </row>
    <row r="184" ht="12.75">
      <c r="M184" s="534"/>
    </row>
    <row r="185" ht="12.75">
      <c r="M185" s="136"/>
    </row>
    <row r="186" ht="12.75" customHeight="1">
      <c r="M186" s="136"/>
    </row>
    <row r="187" ht="12.75">
      <c r="M187" s="136"/>
    </row>
    <row r="188" ht="12.75">
      <c r="M188" s="136"/>
    </row>
    <row r="189" ht="12.75">
      <c r="M189" s="951"/>
    </row>
    <row r="190" ht="12.75">
      <c r="M190" s="951"/>
    </row>
    <row r="191" ht="12.75">
      <c r="M191" s="489"/>
    </row>
    <row r="192" ht="12.75">
      <c r="M192" s="489"/>
    </row>
    <row r="193" ht="12.75">
      <c r="M193" s="489"/>
    </row>
    <row r="194" ht="12.75">
      <c r="M194" s="489"/>
    </row>
    <row r="195" ht="12.75">
      <c r="M195" s="489"/>
    </row>
    <row r="196" ht="12.75">
      <c r="M196" s="489"/>
    </row>
    <row r="197" ht="12.75">
      <c r="M197" s="227"/>
    </row>
    <row r="198" ht="12.75">
      <c r="M198" s="326"/>
    </row>
    <row r="200" ht="12.75">
      <c r="M200" s="489"/>
    </row>
    <row r="205" ht="12.75">
      <c r="M205" s="489"/>
    </row>
    <row r="206" ht="12.75">
      <c r="M206" s="534"/>
    </row>
    <row r="207" ht="12.75">
      <c r="M207" s="136"/>
    </row>
    <row r="208" ht="12.75" customHeight="1">
      <c r="M208" s="136"/>
    </row>
    <row r="209" ht="12.75">
      <c r="M209" s="136"/>
    </row>
    <row r="210" ht="12.75">
      <c r="M210" s="136"/>
    </row>
    <row r="211" ht="12.75">
      <c r="M211" s="951"/>
    </row>
    <row r="212" ht="12.75">
      <c r="M212" s="951"/>
    </row>
    <row r="213" ht="12.75">
      <c r="M213" s="489"/>
    </row>
    <row r="214" ht="12.75">
      <c r="M214" s="489"/>
    </row>
    <row r="215" ht="12.75">
      <c r="M215" s="489"/>
    </row>
    <row r="216" ht="12.75">
      <c r="M216" s="489"/>
    </row>
    <row r="217" ht="12.75">
      <c r="M217" s="489"/>
    </row>
    <row r="218" ht="12.75">
      <c r="M218" s="489"/>
    </row>
    <row r="219" ht="12.75">
      <c r="M219" s="227"/>
    </row>
    <row r="220" ht="12.75">
      <c r="M220" s="326"/>
    </row>
    <row r="222" ht="12.75">
      <c r="M222" s="489"/>
    </row>
    <row r="227" ht="12.75">
      <c r="M227" s="489"/>
    </row>
    <row r="228" ht="12.75">
      <c r="M228" s="534"/>
    </row>
    <row r="229" ht="12.75">
      <c r="M229" s="136"/>
    </row>
    <row r="230" ht="12.75" customHeight="1">
      <c r="M230" s="136"/>
    </row>
    <row r="231" ht="12.75">
      <c r="M231" s="136"/>
    </row>
    <row r="232" ht="12.75">
      <c r="M232" s="136"/>
    </row>
    <row r="233" ht="12.75">
      <c r="M233" s="951"/>
    </row>
    <row r="234" ht="12.75">
      <c r="M234" s="951"/>
    </row>
    <row r="235" ht="12.75">
      <c r="M235" s="489"/>
    </row>
    <row r="236" ht="12.75">
      <c r="M236" s="489"/>
    </row>
    <row r="237" ht="12.75">
      <c r="M237" s="489"/>
    </row>
    <row r="238" ht="12.75">
      <c r="M238" s="489"/>
    </row>
    <row r="239" ht="12.75">
      <c r="M239" s="489"/>
    </row>
    <row r="240" ht="12.75">
      <c r="M240" s="489"/>
    </row>
    <row r="241" ht="12.75">
      <c r="M241" s="227"/>
    </row>
    <row r="242" ht="12.75">
      <c r="M242" s="326"/>
    </row>
    <row r="244" ht="12.75">
      <c r="M244" s="489"/>
    </row>
    <row r="249" ht="12.75">
      <c r="M249" s="489"/>
    </row>
    <row r="250" ht="12.75">
      <c r="M250" s="534"/>
    </row>
    <row r="251" ht="12.75">
      <c r="M251" s="136"/>
    </row>
    <row r="252" ht="12.75" customHeight="1">
      <c r="M252" s="136"/>
    </row>
    <row r="253" ht="12.75">
      <c r="M253" s="136"/>
    </row>
    <row r="254" ht="12.75">
      <c r="M254" s="136"/>
    </row>
    <row r="255" ht="12.75">
      <c r="M255" s="951"/>
    </row>
    <row r="256" ht="12.75">
      <c r="M256" s="951"/>
    </row>
    <row r="257" ht="12.75">
      <c r="M257" s="489"/>
    </row>
    <row r="258" ht="12.75">
      <c r="M258" s="489"/>
    </row>
    <row r="259" ht="12.75">
      <c r="M259" s="489"/>
    </row>
    <row r="260" ht="12.75">
      <c r="M260" s="489"/>
    </row>
    <row r="261" ht="12.75">
      <c r="M261" s="489"/>
    </row>
    <row r="262" ht="12.75">
      <c r="M262" s="489"/>
    </row>
    <row r="263" ht="12.75">
      <c r="M263" s="227"/>
    </row>
    <row r="264" ht="12.75">
      <c r="M264" s="326"/>
    </row>
    <row r="266" ht="12.75">
      <c r="M266" s="489"/>
    </row>
    <row r="271" ht="12.75">
      <c r="M271" s="489"/>
    </row>
    <row r="272" ht="12.75">
      <c r="M272" s="534"/>
    </row>
    <row r="273" ht="12.75" customHeight="1">
      <c r="M273" s="136"/>
    </row>
    <row r="274" ht="12.75" customHeight="1">
      <c r="M274" s="136"/>
    </row>
    <row r="275" ht="12.75">
      <c r="M275" s="136"/>
    </row>
    <row r="276" ht="12.75" customHeight="1">
      <c r="M276" s="136"/>
    </row>
    <row r="277" ht="12.75">
      <c r="M277" s="951"/>
    </row>
    <row r="278" ht="12.75">
      <c r="M278" s="951"/>
    </row>
    <row r="279" ht="12.75">
      <c r="M279" s="489"/>
    </row>
    <row r="280" ht="12.75">
      <c r="M280" s="489"/>
    </row>
    <row r="281" ht="12.75">
      <c r="M281" s="489"/>
    </row>
    <row r="282" ht="12.75">
      <c r="M282" s="489"/>
    </row>
    <row r="283" ht="12.75">
      <c r="M283" s="489"/>
    </row>
    <row r="284" ht="12.75">
      <c r="M284" s="489"/>
    </row>
    <row r="285" ht="12.75">
      <c r="M285" s="227"/>
    </row>
    <row r="286" ht="12.75">
      <c r="M286" s="326"/>
    </row>
    <row r="288" ht="12.75">
      <c r="M288" s="489"/>
    </row>
    <row r="299" ht="6" customHeight="1"/>
    <row r="301" ht="6" customHeight="1"/>
    <row r="308" ht="6" customHeight="1"/>
    <row r="310" ht="6" customHeight="1"/>
    <row r="314" ht="6" customHeight="1"/>
    <row r="317" ht="6" customHeight="1"/>
    <row r="322" ht="6" customHeight="1"/>
    <row r="326" ht="6" customHeight="1"/>
    <row r="328" ht="6" customHeight="1"/>
    <row r="337" ht="6" customHeight="1"/>
    <row r="339" ht="6" customHeight="1"/>
    <row r="341" ht="6" customHeight="1"/>
    <row r="343" ht="6" customHeight="1"/>
    <row r="352" ht="6" customHeight="1"/>
    <row r="354" ht="6" customHeight="1"/>
  </sheetData>
  <sheetProtection/>
  <mergeCells count="15">
    <mergeCell ref="B44:C45"/>
    <mergeCell ref="B38:C39"/>
    <mergeCell ref="B7:M7"/>
    <mergeCell ref="B12:C12"/>
    <mergeCell ref="C13:E13"/>
    <mergeCell ref="F15:F16"/>
    <mergeCell ref="H15:H16"/>
    <mergeCell ref="I14:I16"/>
    <mergeCell ref="C14:C16"/>
    <mergeCell ref="D14:D16"/>
    <mergeCell ref="E14:E16"/>
    <mergeCell ref="B1:M1"/>
    <mergeCell ref="B2:M2"/>
    <mergeCell ref="B3:M3"/>
    <mergeCell ref="B4:M4"/>
  </mergeCells>
  <printOptions/>
  <pageMargins left="0.32" right="0.25" top="1" bottom="0.43" header="0.75" footer="0.17"/>
  <pageSetup horizontalDpi="600" verticalDpi="600" orientation="landscape" scale="60" r:id="rId1"/>
  <headerFooter alignWithMargins="0">
    <oddHeader>&amp;R&amp;"Arial,Bold"Formula Rate 
&amp;A
Page &amp;P of &amp;N</oddHeader>
  </headerFooter>
  <rowBreaks count="4" manualBreakCount="4">
    <brk id="91" max="18" man="1"/>
    <brk id="127" max="18" man="1"/>
    <brk id="161" max="18" man="1"/>
    <brk id="243" min="1" max="6" man="1"/>
  </rowBreaks>
</worksheet>
</file>

<file path=xl/worksheets/sheet2.xml><?xml version="1.0" encoding="utf-8"?>
<worksheet xmlns="http://schemas.openxmlformats.org/spreadsheetml/2006/main" xmlns:r="http://schemas.openxmlformats.org/officeDocument/2006/relationships">
  <sheetPr>
    <tabColor indexed="45"/>
  </sheetPr>
  <dimension ref="B1:U1248"/>
  <sheetViews>
    <sheetView zoomScale="75" zoomScaleNormal="75" zoomScaleSheetLayoutView="85" zoomScalePageLayoutView="0" workbookViewId="0" topLeftCell="A1">
      <selection activeCell="A1" sqref="A1"/>
    </sheetView>
  </sheetViews>
  <sheetFormatPr defaultColWidth="11.421875" defaultRowHeight="12.75"/>
  <cols>
    <col min="1" max="1" width="4.7109375" style="14" customWidth="1"/>
    <col min="2" max="2" width="7.8515625" style="1" customWidth="1"/>
    <col min="3" max="3" width="1.8515625" style="14" customWidth="1"/>
    <col min="4" max="4" width="56.00390625" style="14" customWidth="1"/>
    <col min="5" max="5" width="25.7109375" style="14" customWidth="1"/>
    <col min="6" max="6" width="22.28125" style="14" customWidth="1"/>
    <col min="7" max="7" width="20.7109375" style="14" customWidth="1"/>
    <col min="8" max="8" width="16.140625" style="14" customWidth="1"/>
    <col min="9" max="9" width="9.57421875" style="14" customWidth="1"/>
    <col min="10" max="10" width="21.57421875" style="14" bestFit="1" customWidth="1"/>
    <col min="11" max="11" width="4.7109375" style="14" customWidth="1"/>
    <col min="12" max="12" width="19.7109375" style="14" customWidth="1"/>
    <col min="13" max="13" width="6.57421875" style="14" customWidth="1"/>
    <col min="14" max="14" width="17.57421875" style="14" customWidth="1"/>
    <col min="15" max="15" width="8.140625" style="14" customWidth="1"/>
    <col min="16" max="16" width="21.8515625" style="14" customWidth="1"/>
    <col min="17" max="17" width="11.421875" style="14" customWidth="1"/>
    <col min="18" max="18" width="20.57421875" style="14" bestFit="1" customWidth="1"/>
    <col min="19" max="16384" width="11.421875" style="14" customWidth="1"/>
  </cols>
  <sheetData>
    <row r="1" spans="2:15" ht="15.75">
      <c r="B1" s="89"/>
      <c r="C1" s="11"/>
      <c r="D1" s="132"/>
      <c r="E1" s="63"/>
      <c r="F1" s="63"/>
      <c r="G1" s="64"/>
      <c r="H1" s="11"/>
      <c r="I1" s="12"/>
      <c r="J1" s="12"/>
      <c r="K1" s="12"/>
      <c r="L1" s="13"/>
      <c r="M1" s="11"/>
      <c r="N1" s="14" t="s">
        <v>231</v>
      </c>
      <c r="O1" s="875">
        <v>2009</v>
      </c>
    </row>
    <row r="2" spans="2:15" ht="15">
      <c r="B2" s="89"/>
      <c r="C2" s="11"/>
      <c r="D2" s="11"/>
      <c r="E2" s="11"/>
      <c r="F2" s="11"/>
      <c r="G2" s="11"/>
      <c r="H2" s="11"/>
      <c r="I2" s="11"/>
      <c r="J2" s="11"/>
      <c r="K2" s="11"/>
      <c r="L2" s="11"/>
      <c r="M2" s="11"/>
      <c r="N2" s="14" t="s">
        <v>232</v>
      </c>
      <c r="O2" s="875">
        <v>2010</v>
      </c>
    </row>
    <row r="3" spans="2:15" ht="15">
      <c r="B3" s="89"/>
      <c r="C3" s="11"/>
      <c r="D3" s="15"/>
      <c r="E3" s="15"/>
      <c r="F3" s="9" t="s">
        <v>228</v>
      </c>
      <c r="G3" s="87"/>
      <c r="H3" s="87"/>
      <c r="J3" s="15"/>
      <c r="K3" s="16"/>
      <c r="L3" s="16"/>
      <c r="M3" s="98"/>
      <c r="O3" s="921"/>
    </row>
    <row r="4" spans="2:13" ht="15">
      <c r="B4" s="89"/>
      <c r="C4" s="11"/>
      <c r="D4" s="15"/>
      <c r="E4" s="17"/>
      <c r="F4" s="9" t="s">
        <v>229</v>
      </c>
      <c r="G4" s="87"/>
      <c r="H4" s="87"/>
      <c r="J4" s="17"/>
      <c r="K4" s="16"/>
      <c r="L4" s="16"/>
      <c r="M4" s="98"/>
    </row>
    <row r="5" spans="2:13" ht="15">
      <c r="B5" s="89"/>
      <c r="C5" s="11"/>
      <c r="D5" s="16"/>
      <c r="E5" s="16"/>
      <c r="F5" s="10" t="str">
        <f>"Utilizing  Historic Cost Data for "&amp;O1&amp;" with Year-End Rate Base Balances"</f>
        <v>Utilizing  Historic Cost Data for 2009 with Year-End Rate Base Balances</v>
      </c>
      <c r="G5" s="87"/>
      <c r="H5" s="87"/>
      <c r="J5" s="16"/>
      <c r="K5" s="16"/>
      <c r="L5" s="16"/>
      <c r="M5" s="98"/>
    </row>
    <row r="6" spans="2:13" ht="15">
      <c r="B6" s="90"/>
      <c r="C6" s="18"/>
      <c r="D6" s="16"/>
      <c r="H6" s="19"/>
      <c r="I6" s="19"/>
      <c r="J6" s="19"/>
      <c r="K6" s="19"/>
      <c r="L6" s="16"/>
      <c r="M6" s="16"/>
    </row>
    <row r="7" spans="2:13" ht="15.75">
      <c r="B7" s="90"/>
      <c r="C7" s="18"/>
      <c r="D7"/>
      <c r="E7" s="16"/>
      <c r="F7" s="485" t="s">
        <v>846</v>
      </c>
      <c r="G7" s="20"/>
      <c r="H7" s="16"/>
      <c r="I7" s="16"/>
      <c r="J7" s="16"/>
      <c r="K7" s="16"/>
      <c r="L7"/>
      <c r="M7" s="16"/>
    </row>
    <row r="8" spans="2:13" ht="15">
      <c r="B8" s="90"/>
      <c r="C8" s="18"/>
      <c r="D8" s="16"/>
      <c r="E8" s="16"/>
      <c r="F8" s="212"/>
      <c r="G8" s="20"/>
      <c r="H8" s="16"/>
      <c r="I8" s="16"/>
      <c r="J8" s="16"/>
      <c r="K8" s="16"/>
      <c r="L8"/>
      <c r="M8" s="16"/>
    </row>
    <row r="9" spans="2:13" ht="15">
      <c r="B9" s="90" t="s">
        <v>777</v>
      </c>
      <c r="C9" s="18"/>
      <c r="D9" s="16"/>
      <c r="E9" s="16"/>
      <c r="F9" s="16"/>
      <c r="G9" s="20"/>
      <c r="H9" s="16"/>
      <c r="I9" s="16"/>
      <c r="J9" s="16"/>
      <c r="K9" s="16"/>
      <c r="L9" s="18" t="s">
        <v>723</v>
      </c>
      <c r="M9" s="16"/>
    </row>
    <row r="10" spans="2:13" ht="15.75" thickBot="1">
      <c r="B10" s="91" t="s">
        <v>725</v>
      </c>
      <c r="C10" s="23"/>
      <c r="D10" s="16"/>
      <c r="E10" s="23"/>
      <c r="F10" s="16"/>
      <c r="G10" s="16"/>
      <c r="H10" s="16"/>
      <c r="I10" s="16"/>
      <c r="J10" s="16"/>
      <c r="K10" s="16"/>
      <c r="L10" s="22" t="s">
        <v>778</v>
      </c>
      <c r="M10" s="16"/>
    </row>
    <row r="11" spans="2:13" ht="15">
      <c r="B11" s="90">
        <f>+'KPCo Projected TCOS'!B258+1</f>
        <v>166</v>
      </c>
      <c r="C11" s="18"/>
      <c r="D11" s="85" t="s">
        <v>719</v>
      </c>
      <c r="E11" s="24" t="str">
        <f>"(ln "&amp;B213&amp;")"</f>
        <v>(ln 303)</v>
      </c>
      <c r="F11" s="24"/>
      <c r="G11" s="25"/>
      <c r="H11" s="26"/>
      <c r="I11" s="16"/>
      <c r="J11" s="16"/>
      <c r="K11" s="16"/>
      <c r="L11" s="66">
        <f>+L213</f>
        <v>39760159.178348266</v>
      </c>
      <c r="M11" s="16"/>
    </row>
    <row r="12" spans="2:13" ht="15.75" thickBot="1">
      <c r="B12" s="90"/>
      <c r="C12" s="18"/>
      <c r="E12" s="319"/>
      <c r="F12" s="27"/>
      <c r="G12" s="22" t="s">
        <v>726</v>
      </c>
      <c r="H12" s="17"/>
      <c r="I12" s="28" t="s">
        <v>727</v>
      </c>
      <c r="J12" s="28"/>
      <c r="K12" s="16"/>
      <c r="L12" s="25"/>
      <c r="M12" s="16"/>
    </row>
    <row r="13" spans="2:13" ht="15">
      <c r="B13" s="90">
        <f>+B11+1</f>
        <v>167</v>
      </c>
      <c r="C13" s="18"/>
      <c r="D13" s="86" t="s">
        <v>776</v>
      </c>
      <c r="E13" s="319" t="s">
        <v>111</v>
      </c>
      <c r="F13" s="27"/>
      <c r="G13" s="127">
        <f>+'KPCo WS E Rev Credits'!K25</f>
        <v>2434307</v>
      </c>
      <c r="H13" s="27"/>
      <c r="I13" s="47" t="s">
        <v>737</v>
      </c>
      <c r="J13" s="48">
        <f>VLOOKUP(I13,APCo_Hist_Allocators,2,FALSE)</f>
        <v>1</v>
      </c>
      <c r="K13" s="17"/>
      <c r="L13" s="157">
        <f>+J13*G13</f>
        <v>2434307</v>
      </c>
      <c r="M13" s="16"/>
    </row>
    <row r="14" spans="2:13" ht="15">
      <c r="B14" s="90"/>
      <c r="C14" s="18"/>
      <c r="D14" s="86"/>
      <c r="F14" s="17"/>
      <c r="L14" s="568"/>
      <c r="M14" s="16"/>
    </row>
    <row r="15" spans="2:13" ht="30.75" thickBot="1">
      <c r="B15" s="94">
        <f>+B13+1</f>
        <v>168</v>
      </c>
      <c r="C15" s="78"/>
      <c r="D15" s="138" t="s">
        <v>314</v>
      </c>
      <c r="E15" s="103" t="str">
        <f>"(ln "&amp;B11&amp;" less ln "&amp;B13&amp;")"</f>
        <v>(ln 166 less ln 167)</v>
      </c>
      <c r="F15" s="16"/>
      <c r="H15" s="17"/>
      <c r="I15" s="30"/>
      <c r="J15" s="17"/>
      <c r="K15" s="17"/>
      <c r="L15" s="289">
        <f>+L11-L13</f>
        <v>37325852.178348266</v>
      </c>
      <c r="M15" s="16"/>
    </row>
    <row r="16" spans="2:13" ht="15.75" thickTop="1">
      <c r="B16" s="94"/>
      <c r="C16" s="78"/>
      <c r="D16" s="86"/>
      <c r="E16" s="103"/>
      <c r="F16" s="16"/>
      <c r="H16" s="17"/>
      <c r="I16" s="30"/>
      <c r="J16" s="17"/>
      <c r="K16" s="17"/>
      <c r="L16" s="104"/>
      <c r="M16" s="16"/>
    </row>
    <row r="17" spans="2:9" ht="15" customHeight="1">
      <c r="B17" s="1110" t="str">
        <f>"MEMO:  The Carrying Charge Calculations on lines "&amp;B23&amp;" to "&amp;B30&amp;" below are used in calculating project revenue requirements billed through PJM Schedule 12, Transmission Enhancement Charges.  The total non-incentive revenue requirements for these projects shown on line "&amp;B20&amp;" is included in the total on line "&amp;B15&amp;"."</f>
        <v>MEMO:  The Carrying Charge Calculations on lines 171 to 176 below are used in calculating project revenue requirements billed through PJM Schedule 12, Transmission Enhancement Charges.  The total non-incentive revenue requirements for these projects shown on line 169 is included in the total on line 168.</v>
      </c>
      <c r="C17" s="1110"/>
      <c r="D17" s="1110"/>
      <c r="E17" s="1110"/>
      <c r="F17" s="1110"/>
      <c r="G17" s="1110"/>
      <c r="H17" s="1110"/>
      <c r="I17" s="1110"/>
    </row>
    <row r="18" spans="2:9" ht="35.25" customHeight="1">
      <c r="B18" s="1110"/>
      <c r="C18" s="1110"/>
      <c r="D18" s="1110"/>
      <c r="E18" s="1110"/>
      <c r="F18" s="1110"/>
      <c r="G18" s="1110"/>
      <c r="H18" s="1110"/>
      <c r="I18" s="1110"/>
    </row>
    <row r="19" spans="2:9" ht="15" customHeight="1">
      <c r="B19" s="675"/>
      <c r="C19" s="675"/>
      <c r="D19" s="675"/>
      <c r="E19" s="675"/>
      <c r="F19" s="675"/>
      <c r="G19" s="675"/>
      <c r="H19" s="675"/>
      <c r="I19" s="675"/>
    </row>
    <row r="20" spans="2:13" ht="15">
      <c r="B20" s="90">
        <f>+B15+1</f>
        <v>169</v>
      </c>
      <c r="C20" s="78"/>
      <c r="D20" s="318" t="s">
        <v>197</v>
      </c>
      <c r="E20" s="319"/>
      <c r="F20" s="27"/>
      <c r="G20" s="120"/>
      <c r="H20" s="27"/>
      <c r="I20" s="47"/>
      <c r="J20" s="48"/>
      <c r="K20" s="24"/>
      <c r="L20" s="320"/>
      <c r="M20" s="16"/>
    </row>
    <row r="21" spans="2:13" ht="15">
      <c r="B21" s="90"/>
      <c r="C21" s="78"/>
      <c r="D21" s="318"/>
      <c r="E21" s="103"/>
      <c r="F21" s="27"/>
      <c r="G21" s="120"/>
      <c r="H21" s="27"/>
      <c r="I21" s="27"/>
      <c r="J21" s="48"/>
      <c r="K21" s="24"/>
      <c r="L21" s="320"/>
      <c r="M21" s="16"/>
    </row>
    <row r="22" spans="2:13" ht="15">
      <c r="B22" s="94">
        <f>+B20+1</f>
        <v>170</v>
      </c>
      <c r="C22" s="78"/>
      <c r="D22" s="318" t="s">
        <v>198</v>
      </c>
      <c r="E22" s="319"/>
      <c r="F22" s="16"/>
      <c r="G22" s="321"/>
      <c r="H22" s="16"/>
      <c r="I22" s="11"/>
      <c r="J22" s="16"/>
      <c r="K22" s="16"/>
      <c r="M22" s="16"/>
    </row>
    <row r="23" spans="2:13" ht="15">
      <c r="B23" s="90">
        <f>B22+1</f>
        <v>171</v>
      </c>
      <c r="C23" s="78"/>
      <c r="D23" s="54" t="s">
        <v>33</v>
      </c>
      <c r="E23" s="24" t="str">
        <f>"( (ln "&amp;B11&amp;" - ln "&amp;B171&amp;" - ln "&amp;B172&amp;")/ ln "&amp;B91&amp;" x 100)"</f>
        <v>( (ln 166 - ln 270 - ln 271)/ ln 213 x 100)</v>
      </c>
      <c r="F23" s="18"/>
      <c r="G23" s="18"/>
      <c r="H23" s="18"/>
      <c r="I23" s="322"/>
      <c r="J23" s="322"/>
      <c r="K23" s="322"/>
      <c r="L23" s="323">
        <f>(L11-L171-L172)/L91</f>
        <v>0.16420619038837614</v>
      </c>
      <c r="M23" s="16"/>
    </row>
    <row r="24" spans="2:13" ht="15">
      <c r="B24" s="90">
        <f>B23+1</f>
        <v>172</v>
      </c>
      <c r="C24" s="78"/>
      <c r="D24" s="54" t="s">
        <v>34</v>
      </c>
      <c r="E24" s="24" t="str">
        <f>"(ln "&amp;B23&amp;" / 12)"</f>
        <v>(ln 171 / 12)</v>
      </c>
      <c r="F24" s="18"/>
      <c r="G24" s="18"/>
      <c r="H24" s="18"/>
      <c r="I24" s="322"/>
      <c r="J24" s="322"/>
      <c r="K24" s="322"/>
      <c r="L24" s="324">
        <f>L23/12</f>
        <v>0.013683849199031345</v>
      </c>
      <c r="M24" s="16"/>
    </row>
    <row r="25" spans="2:13" ht="15">
      <c r="B25" s="90"/>
      <c r="C25" s="78"/>
      <c r="D25" s="54"/>
      <c r="E25" s="24"/>
      <c r="F25" s="18"/>
      <c r="G25" s="18"/>
      <c r="H25" s="18"/>
      <c r="I25" s="322"/>
      <c r="J25" s="322"/>
      <c r="K25" s="322"/>
      <c r="L25" s="324"/>
      <c r="M25" s="16"/>
    </row>
    <row r="26" spans="2:13" ht="15">
      <c r="B26" s="90">
        <f>B24+1</f>
        <v>173</v>
      </c>
      <c r="C26" s="78"/>
      <c r="D26" s="318" t="str">
        <f>"NET PLANT CARRYING CHARGE ON LINE "&amp;B23&amp;" , w/o depreciation or ROE incentives (Note B)"</f>
        <v>NET PLANT CARRYING CHARGE ON LINE 171 , w/o depreciation or ROE incentives (Note B)</v>
      </c>
      <c r="E26" s="24"/>
      <c r="F26" s="18"/>
      <c r="G26" s="18"/>
      <c r="H26" s="18"/>
      <c r="I26" s="322"/>
      <c r="J26" s="322"/>
      <c r="K26" s="322"/>
      <c r="L26" s="324"/>
      <c r="M26" s="16"/>
    </row>
    <row r="27" spans="2:13" ht="15">
      <c r="B27" s="90">
        <f>B26+1</f>
        <v>174</v>
      </c>
      <c r="C27" s="78"/>
      <c r="D27" s="54" t="s">
        <v>33</v>
      </c>
      <c r="E27" s="24" t="str">
        <f>"( (ln "&amp;B11&amp;" - ln "&amp;B171&amp;" - ln "&amp;B172&amp;" - ln "&amp;B178&amp;") / ln "&amp;B91&amp;" x 100)"</f>
        <v>( (ln 166 - ln 270 - ln 271 - ln 276) / ln 213 x 100)</v>
      </c>
      <c r="F27" s="18"/>
      <c r="G27" s="18"/>
      <c r="H27" s="18"/>
      <c r="I27" s="322"/>
      <c r="J27" s="322"/>
      <c r="K27" s="322"/>
      <c r="L27" s="323">
        <f>(L11-L171-L172-L178)/L91</f>
        <v>0.13923433374340635</v>
      </c>
      <c r="M27" s="16"/>
    </row>
    <row r="28" spans="2:13" ht="15">
      <c r="B28" s="90"/>
      <c r="C28" s="78"/>
      <c r="D28" s="54"/>
      <c r="E28" s="24"/>
      <c r="F28" s="18"/>
      <c r="G28" s="18"/>
      <c r="H28" s="18"/>
      <c r="I28" s="322"/>
      <c r="J28" s="322"/>
      <c r="K28" s="322"/>
      <c r="L28" s="324"/>
      <c r="M28" s="16"/>
    </row>
    <row r="29" spans="2:13" ht="15">
      <c r="B29" s="90">
        <f>B27+1</f>
        <v>175</v>
      </c>
      <c r="C29" s="78"/>
      <c r="D29" s="318" t="str">
        <f>"NET PLANT CARRYING CHARGE ON LINE "&amp;B27&amp;", w/o Return, income taxes or ROE incentives (Note B)"</f>
        <v>NET PLANT CARRYING CHARGE ON LINE 174, w/o Return, income taxes or ROE incentives (Note B)</v>
      </c>
      <c r="E29" s="24"/>
      <c r="F29" s="756"/>
      <c r="G29" s="756"/>
      <c r="H29" s="756"/>
      <c r="I29" s="756"/>
      <c r="J29" s="756"/>
      <c r="K29" s="756"/>
      <c r="L29" s="756"/>
      <c r="M29"/>
    </row>
    <row r="30" spans="2:13" ht="15">
      <c r="B30" s="90">
        <f>B29+1</f>
        <v>176</v>
      </c>
      <c r="C30" s="78"/>
      <c r="D30" s="15" t="s">
        <v>33</v>
      </c>
      <c r="E30" s="24" t="str">
        <f>"( (ln "&amp;B11&amp;" - ln "&amp;B171&amp;" - ln "&amp;B172&amp;" - ln "&amp;B178&amp;" - ln "&amp;B203&amp;" - ln "&amp;B205&amp;") / ln "&amp;B91&amp;" x 100)"</f>
        <v>( (ln 166 - ln 270 - ln 271 - ln 276 - ln 298 - ln 299) / ln 213 x 100)</v>
      </c>
      <c r="F30" s="756"/>
      <c r="G30" s="756"/>
      <c r="H30" s="756"/>
      <c r="I30" s="756"/>
      <c r="J30" s="756"/>
      <c r="K30" s="756"/>
      <c r="L30" s="609">
        <f>(L11-L171-L172-L178-L203-L205)/L91</f>
        <v>0.038422538617442624</v>
      </c>
      <c r="M30"/>
    </row>
    <row r="31" spans="2:13" ht="15">
      <c r="B31" s="90"/>
      <c r="C31" s="78"/>
      <c r="D31" s="15"/>
      <c r="E31" s="24"/>
      <c r="F31" s="18"/>
      <c r="G31" s="18"/>
      <c r="H31" s="18"/>
      <c r="I31" s="322"/>
      <c r="J31" s="322"/>
      <c r="K31" s="322"/>
      <c r="L31" s="323"/>
      <c r="M31" s="573"/>
    </row>
    <row r="32" spans="2:13" ht="15">
      <c r="B32" s="90">
        <f>B30+1</f>
        <v>177</v>
      </c>
      <c r="C32" s="18"/>
      <c r="D32" s="318" t="s">
        <v>197</v>
      </c>
      <c r="E32" s="24"/>
      <c r="F32" s="18"/>
      <c r="G32" s="18"/>
      <c r="H32" s="18"/>
      <c r="I32" s="322"/>
      <c r="J32" s="322"/>
      <c r="K32" s="322"/>
      <c r="L32" s="567"/>
      <c r="M32" s="16"/>
    </row>
    <row r="33" spans="2:13" ht="15">
      <c r="B33" s="90"/>
      <c r="C33" s="18"/>
      <c r="D33" s="11"/>
      <c r="E33" s="24"/>
      <c r="F33" s="18"/>
      <c r="G33" s="18"/>
      <c r="H33" s="18"/>
      <c r="I33" s="322"/>
      <c r="J33" s="322"/>
      <c r="K33" s="322"/>
      <c r="L33" s="323"/>
      <c r="M33" s="16"/>
    </row>
    <row r="34" spans="2:13" ht="15">
      <c r="B34" s="14"/>
      <c r="C34" s="18"/>
      <c r="D34" s="11"/>
      <c r="E34" s="24"/>
      <c r="F34" s="18"/>
      <c r="G34" s="18"/>
      <c r="H34" s="18"/>
      <c r="I34" s="322"/>
      <c r="J34" s="322"/>
      <c r="K34" s="322"/>
      <c r="L34" s="323"/>
      <c r="M34" s="16"/>
    </row>
    <row r="35" spans="2:16" ht="15.75">
      <c r="B35" s="90">
        <f>+B32+1</f>
        <v>178</v>
      </c>
      <c r="C35" s="18"/>
      <c r="D35" s="1097" t="s">
        <v>255</v>
      </c>
      <c r="E35" s="1097"/>
      <c r="F35" s="1097"/>
      <c r="G35" s="1097"/>
      <c r="H35" s="1097"/>
      <c r="I35" s="1097"/>
      <c r="J35" s="1097"/>
      <c r="K35" s="1097"/>
      <c r="L35" s="1097"/>
      <c r="M35" s="16"/>
      <c r="N35" s="56"/>
      <c r="O35" s="56"/>
      <c r="P35" s="56"/>
    </row>
    <row r="36" spans="2:16" ht="15">
      <c r="B36" s="90"/>
      <c r="C36" s="18"/>
      <c r="D36" s="11"/>
      <c r="E36" s="24"/>
      <c r="F36" s="18"/>
      <c r="G36" s="18"/>
      <c r="H36" s="18"/>
      <c r="I36" s="322"/>
      <c r="J36" s="322"/>
      <c r="K36" s="322"/>
      <c r="L36" s="323"/>
      <c r="M36" s="16"/>
      <c r="N36" s="56"/>
      <c r="O36" s="56"/>
      <c r="P36" s="56"/>
    </row>
    <row r="37" spans="2:16" ht="15">
      <c r="B37" s="90">
        <f>+B35+1</f>
        <v>179</v>
      </c>
      <c r="C37" s="18"/>
      <c r="D37" s="85" t="s">
        <v>257</v>
      </c>
      <c r="E37" s="24" t="str">
        <f>"Line "&amp;B149&amp;" Below"</f>
        <v>Line 250 Below</v>
      </c>
      <c r="F37" s="18"/>
      <c r="H37" s="18"/>
      <c r="I37" s="322"/>
      <c r="J37" s="322"/>
      <c r="K37" s="322"/>
      <c r="L37" s="126">
        <f>+G149</f>
        <v>2102150</v>
      </c>
      <c r="M37" s="16"/>
      <c r="N37" s="56"/>
      <c r="O37" s="56"/>
      <c r="P37" s="56"/>
    </row>
    <row r="38" spans="2:16" ht="15">
      <c r="B38" s="90">
        <f>+B37+1</f>
        <v>180</v>
      </c>
      <c r="C38" s="18"/>
      <c r="D38" s="85" t="s">
        <v>563</v>
      </c>
      <c r="E38" s="16"/>
      <c r="F38" s="18"/>
      <c r="H38" s="18"/>
      <c r="I38" s="322"/>
      <c r="J38" s="322"/>
      <c r="K38" s="322"/>
      <c r="L38" s="1128">
        <v>1089485</v>
      </c>
      <c r="M38" s="16"/>
      <c r="N38" s="1106"/>
      <c r="O38" s="56"/>
      <c r="P38" s="56"/>
    </row>
    <row r="39" spans="2:16" ht="15">
      <c r="B39" s="90">
        <f>+B38+1</f>
        <v>181</v>
      </c>
      <c r="C39" s="18"/>
      <c r="D39" s="85" t="s">
        <v>564</v>
      </c>
      <c r="E39" s="16"/>
      <c r="F39" s="18"/>
      <c r="H39" s="18"/>
      <c r="I39" s="322"/>
      <c r="J39" s="322"/>
      <c r="K39" s="322"/>
      <c r="L39" s="1128">
        <v>205436</v>
      </c>
      <c r="M39" s="16"/>
      <c r="N39" s="1106"/>
      <c r="O39" s="56"/>
      <c r="P39" s="56"/>
    </row>
    <row r="40" spans="2:16" ht="15">
      <c r="B40" s="90"/>
      <c r="C40" s="18"/>
      <c r="E40" s="16"/>
      <c r="F40" s="18"/>
      <c r="H40" s="18"/>
      <c r="I40" s="322"/>
      <c r="J40" s="322"/>
      <c r="K40" s="322"/>
      <c r="L40" s="18"/>
      <c r="M40" s="16"/>
      <c r="N40" s="56"/>
      <c r="O40" s="56"/>
      <c r="P40" s="56"/>
    </row>
    <row r="41" spans="2:16" ht="15.75" thickBot="1">
      <c r="B41" s="90">
        <f>+B39+1</f>
        <v>182</v>
      </c>
      <c r="C41" s="18"/>
      <c r="D41" s="85" t="s">
        <v>256</v>
      </c>
      <c r="E41" s="26" t="str">
        <f>"(Line "&amp;B37&amp;" - Line "&amp;B38&amp;" - Line "&amp;B39&amp;")"</f>
        <v>(Line 179 - Line 180 - Line 181)</v>
      </c>
      <c r="F41" s="18"/>
      <c r="H41" s="18"/>
      <c r="I41" s="322"/>
      <c r="J41" s="322"/>
      <c r="K41" s="322"/>
      <c r="L41" s="635">
        <f>+L37-L38-L39</f>
        <v>807229</v>
      </c>
      <c r="M41" s="16"/>
      <c r="N41" s="56"/>
      <c r="O41" s="56"/>
      <c r="P41" s="56"/>
    </row>
    <row r="42" spans="2:16" ht="15.75" thickTop="1">
      <c r="B42" s="90"/>
      <c r="C42" s="18"/>
      <c r="D42" s="11"/>
      <c r="E42" s="24"/>
      <c r="F42" s="18"/>
      <c r="G42" s="18"/>
      <c r="H42" s="18"/>
      <c r="I42" s="322"/>
      <c r="J42" s="322"/>
      <c r="K42" s="322"/>
      <c r="L42" s="323"/>
      <c r="M42" s="16"/>
      <c r="N42" s="56"/>
      <c r="O42" s="56"/>
      <c r="P42" s="56"/>
    </row>
    <row r="43" spans="2:16" ht="15">
      <c r="B43" s="90"/>
      <c r="C43" s="18"/>
      <c r="D43" s="11"/>
      <c r="E43" s="24"/>
      <c r="F43" s="18"/>
      <c r="G43" s="18"/>
      <c r="H43" s="18"/>
      <c r="I43" s="322"/>
      <c r="J43" s="322"/>
      <c r="K43" s="322"/>
      <c r="L43" s="323"/>
      <c r="M43" s="16"/>
      <c r="N43" s="56"/>
      <c r="O43" s="56"/>
      <c r="P43" s="56"/>
    </row>
    <row r="44" spans="2:16" ht="15">
      <c r="B44" s="90"/>
      <c r="C44" s="18"/>
      <c r="D44" s="11"/>
      <c r="E44" s="24"/>
      <c r="F44" s="18"/>
      <c r="G44" s="18"/>
      <c r="H44" s="18"/>
      <c r="I44" s="322"/>
      <c r="J44" s="322"/>
      <c r="K44" s="322"/>
      <c r="L44" s="323"/>
      <c r="M44" s="16"/>
      <c r="N44" s="56"/>
      <c r="O44" s="56"/>
      <c r="P44" s="56"/>
    </row>
    <row r="45" spans="2:16" ht="15">
      <c r="B45" s="89"/>
      <c r="C45" s="11"/>
      <c r="D45" s="15"/>
      <c r="E45" s="15"/>
      <c r="G45" s="26"/>
      <c r="H45" s="15"/>
      <c r="I45" s="15"/>
      <c r="J45" s="15"/>
      <c r="K45" s="15"/>
      <c r="L45" s="15"/>
      <c r="M45" s="201"/>
      <c r="N45" s="56"/>
      <c r="O45" s="56"/>
      <c r="P45" s="56"/>
    </row>
    <row r="46" spans="2:16" ht="15">
      <c r="B46" s="89"/>
      <c r="C46" s="11"/>
      <c r="D46" s="15"/>
      <c r="E46" s="15"/>
      <c r="F46" s="18"/>
      <c r="G46" s="26"/>
      <c r="H46" s="15"/>
      <c r="I46" s="15"/>
      <c r="J46" s="15"/>
      <c r="K46" s="15"/>
      <c r="L46" s="15"/>
      <c r="M46" s="201"/>
      <c r="N46" s="56"/>
      <c r="O46" s="56"/>
      <c r="P46" s="1107"/>
    </row>
    <row r="47" spans="2:16" ht="15">
      <c r="B47" s="89"/>
      <c r="C47" s="11"/>
      <c r="D47" s="15"/>
      <c r="E47" s="15"/>
      <c r="F47" s="18" t="str">
        <f>F3</f>
        <v>AEP East Companies </v>
      </c>
      <c r="G47" s="26"/>
      <c r="H47" s="15"/>
      <c r="I47" s="15"/>
      <c r="J47" s="15"/>
      <c r="K47" s="15"/>
      <c r="L47" s="15"/>
      <c r="M47" s="201"/>
      <c r="N47" s="56"/>
      <c r="O47" s="56"/>
      <c r="P47" s="1107"/>
    </row>
    <row r="48" spans="2:16" ht="15">
      <c r="B48" s="89"/>
      <c r="C48" s="11"/>
      <c r="D48" s="15"/>
      <c r="E48" s="17"/>
      <c r="F48" s="18" t="str">
        <f>F4</f>
        <v>Transmission Cost of Service Formula Rate</v>
      </c>
      <c r="G48" s="17"/>
      <c r="H48" s="17"/>
      <c r="I48" s="17"/>
      <c r="J48" s="17"/>
      <c r="K48" s="17"/>
      <c r="L48" s="17"/>
      <c r="M48" s="574"/>
      <c r="N48" s="56"/>
      <c r="O48" s="56"/>
      <c r="P48" s="1108"/>
    </row>
    <row r="49" spans="2:16" ht="15">
      <c r="B49" s="89"/>
      <c r="C49" s="11"/>
      <c r="D49" s="15"/>
      <c r="E49" s="17"/>
      <c r="F49" s="30" t="str">
        <f>F5</f>
        <v>Utilizing  Historic Cost Data for 2009 with Year-End Rate Base Balances</v>
      </c>
      <c r="G49" s="17"/>
      <c r="H49" s="17"/>
      <c r="I49" s="17"/>
      <c r="J49" s="17"/>
      <c r="K49" s="17"/>
      <c r="L49" s="17"/>
      <c r="M49" s="145"/>
      <c r="N49" s="56"/>
      <c r="O49" s="56"/>
      <c r="P49" s="1108"/>
    </row>
    <row r="50" spans="2:16" ht="15">
      <c r="B50" s="89"/>
      <c r="C50" s="11"/>
      <c r="D50" s="15"/>
      <c r="E50" s="17"/>
      <c r="F50" s="18"/>
      <c r="G50" s="17"/>
      <c r="H50" s="17"/>
      <c r="I50" s="17"/>
      <c r="J50" s="17"/>
      <c r="K50" s="17"/>
      <c r="L50" s="17"/>
      <c r="M50" s="17"/>
      <c r="N50" s="56"/>
      <c r="O50" s="56"/>
      <c r="P50" s="1108"/>
    </row>
    <row r="51" spans="2:16" ht="15">
      <c r="B51" s="89"/>
      <c r="C51" s="11"/>
      <c r="D51" s="15"/>
      <c r="E51" s="17"/>
      <c r="F51" s="18" t="str">
        <f>F7</f>
        <v>KENTUCKY POWER COMPANY</v>
      </c>
      <c r="G51" s="17"/>
      <c r="H51" s="17"/>
      <c r="I51" s="17"/>
      <c r="J51" s="17"/>
      <c r="K51" s="17"/>
      <c r="L51" s="17"/>
      <c r="M51" s="17"/>
      <c r="N51" s="56"/>
      <c r="O51" s="56"/>
      <c r="P51" s="1108"/>
    </row>
    <row r="52" spans="2:16" ht="15">
      <c r="B52" s="89"/>
      <c r="C52" s="11"/>
      <c r="D52" s="15"/>
      <c r="E52" s="30"/>
      <c r="F52" s="30"/>
      <c r="G52" s="30"/>
      <c r="H52" s="30"/>
      <c r="I52" s="30"/>
      <c r="J52" s="30"/>
      <c r="K52" s="30"/>
      <c r="L52" s="17"/>
      <c r="M52" s="17"/>
      <c r="N52" s="56"/>
      <c r="O52" s="56"/>
      <c r="P52" s="1108"/>
    </row>
    <row r="53" spans="2:16" ht="15">
      <c r="B53" s="89"/>
      <c r="C53" s="11"/>
      <c r="D53" s="18" t="s">
        <v>729</v>
      </c>
      <c r="E53" s="18" t="s">
        <v>730</v>
      </c>
      <c r="F53" s="18"/>
      <c r="G53" s="18" t="s">
        <v>731</v>
      </c>
      <c r="H53" s="17" t="s">
        <v>722</v>
      </c>
      <c r="I53" s="1146" t="s">
        <v>732</v>
      </c>
      <c r="J53" s="1103"/>
      <c r="K53" s="17"/>
      <c r="L53" s="19" t="s">
        <v>733</v>
      </c>
      <c r="M53" s="17"/>
      <c r="N53" s="56"/>
      <c r="O53" s="56"/>
      <c r="P53" s="56"/>
    </row>
    <row r="54" spans="2:16" ht="15">
      <c r="B54" s="14"/>
      <c r="C54" s="11"/>
      <c r="D54" s="756"/>
      <c r="E54" s="756"/>
      <c r="F54" s="756"/>
      <c r="G54" s="126"/>
      <c r="H54" s="17"/>
      <c r="I54" s="17"/>
      <c r="J54" s="32"/>
      <c r="K54" s="17"/>
      <c r="L54" s="11"/>
      <c r="M54" s="17"/>
      <c r="N54" s="56"/>
      <c r="O54" s="56"/>
      <c r="P54" s="56"/>
    </row>
    <row r="55" spans="2:16" ht="15.75">
      <c r="B55" s="92"/>
      <c r="C55" s="18"/>
      <c r="D55" s="756"/>
      <c r="E55" s="33" t="s">
        <v>599</v>
      </c>
      <c r="F55" s="35"/>
      <c r="G55" s="17"/>
      <c r="H55" s="17"/>
      <c r="I55" s="17"/>
      <c r="J55" s="18"/>
      <c r="K55" s="17"/>
      <c r="L55" s="34" t="s">
        <v>726</v>
      </c>
      <c r="M55" s="17"/>
      <c r="N55" s="56"/>
      <c r="O55" s="56"/>
      <c r="P55" s="1107"/>
    </row>
    <row r="56" spans="2:16" ht="15.75">
      <c r="B56" s="14"/>
      <c r="C56" s="23"/>
      <c r="D56" s="52" t="s">
        <v>598</v>
      </c>
      <c r="E56" s="115" t="s">
        <v>720</v>
      </c>
      <c r="F56" s="17"/>
      <c r="G56" s="52" t="s">
        <v>585</v>
      </c>
      <c r="H56" s="37"/>
      <c r="I56" s="1144" t="s">
        <v>727</v>
      </c>
      <c r="J56" s="1145"/>
      <c r="K56" s="37"/>
      <c r="L56" s="52" t="s">
        <v>723</v>
      </c>
      <c r="M56" s="17"/>
      <c r="N56" s="56"/>
      <c r="O56" s="56"/>
      <c r="P56" s="56"/>
    </row>
    <row r="57" spans="2:16" ht="15">
      <c r="B57" s="95" t="str">
        <f>B9</f>
        <v>Line</v>
      </c>
      <c r="C57" s="18"/>
      <c r="D57" s="15"/>
      <c r="E57" s="17"/>
      <c r="F57" s="17"/>
      <c r="G57" s="486" t="s">
        <v>142</v>
      </c>
      <c r="H57" s="17"/>
      <c r="I57" s="17"/>
      <c r="J57" s="17"/>
      <c r="K57" s="17"/>
      <c r="L57" s="17"/>
      <c r="M57" s="17"/>
      <c r="N57" s="56"/>
      <c r="O57" s="56"/>
      <c r="P57" s="56"/>
    </row>
    <row r="58" spans="2:16" ht="15.75" thickBot="1">
      <c r="B58" s="91" t="str">
        <f>B10</f>
        <v>No.</v>
      </c>
      <c r="C58" s="18"/>
      <c r="D58" s="15" t="s">
        <v>586</v>
      </c>
      <c r="E58" s="39"/>
      <c r="F58" s="39"/>
      <c r="G58" s="27"/>
      <c r="H58" s="27"/>
      <c r="I58" s="47"/>
      <c r="J58" s="27"/>
      <c r="K58" s="27"/>
      <c r="L58" s="27"/>
      <c r="M58" s="17"/>
      <c r="N58" s="56"/>
      <c r="O58" s="56"/>
      <c r="P58" s="56"/>
    </row>
    <row r="59" spans="2:16" ht="15">
      <c r="B59" s="90">
        <f>+B41+1</f>
        <v>183</v>
      </c>
      <c r="C59" s="18"/>
      <c r="D59" s="40" t="s">
        <v>734</v>
      </c>
      <c r="E59" s="27" t="str">
        <f>"(Worksheet A ln "&amp;'KPCo WS A  - RB Support '!A14&amp;".C)"</f>
        <v>(Worksheet A ln 1.C)</v>
      </c>
      <c r="F59" s="27"/>
      <c r="G59" s="120">
        <f>+'KPCo WS A  - RB Support '!E14</f>
        <v>540095917</v>
      </c>
      <c r="H59" s="120"/>
      <c r="I59" s="47" t="s">
        <v>735</v>
      </c>
      <c r="J59" s="48">
        <f>VLOOKUP(I59,APCo_Hist_Allocators,2,FALSE)</f>
        <v>0</v>
      </c>
      <c r="K59" s="27"/>
      <c r="L59" s="120">
        <f>+J59*G59</f>
        <v>0</v>
      </c>
      <c r="M59" s="17"/>
      <c r="N59" s="56"/>
      <c r="O59" s="56"/>
      <c r="P59" s="56"/>
    </row>
    <row r="60" spans="2:16" ht="15">
      <c r="B60" s="90">
        <f>+B59+1</f>
        <v>184</v>
      </c>
      <c r="C60" s="18"/>
      <c r="D60" s="40" t="s">
        <v>206</v>
      </c>
      <c r="E60" s="27" t="str">
        <f>"(Worksheet A ln "&amp;'KPCo WS A  - RB Support '!A16&amp;".C)"</f>
        <v>(Worksheet A ln 2.C)</v>
      </c>
      <c r="F60" s="27"/>
      <c r="G60" s="284">
        <f>-'KPCo WS A  - RB Support '!E16</f>
        <v>-3337422</v>
      </c>
      <c r="H60" s="120"/>
      <c r="I60" s="47" t="s">
        <v>735</v>
      </c>
      <c r="J60" s="48">
        <f>VLOOKUP(I60,APCo_Hist_Allocators,2,FALSE)</f>
        <v>0</v>
      </c>
      <c r="K60" s="27"/>
      <c r="L60" s="120">
        <f>+J60*G60</f>
        <v>0</v>
      </c>
      <c r="M60" s="17"/>
      <c r="N60" s="56"/>
      <c r="O60" s="56"/>
      <c r="P60" s="56"/>
    </row>
    <row r="61" spans="2:16" ht="15">
      <c r="B61" s="90">
        <f aca="true" t="shared" si="0" ref="B61:B69">+B60+1</f>
        <v>185</v>
      </c>
      <c r="C61" s="42"/>
      <c r="D61" s="43" t="s">
        <v>736</v>
      </c>
      <c r="E61" s="519" t="str">
        <f>"(Worksheet A ln "&amp;'KPCo WS A  - RB Support '!A18&amp;".C &amp; Ln "&amp;B229&amp;")"</f>
        <v>(Worksheet A ln 3.C &amp; Ln 307)</v>
      </c>
      <c r="F61" s="44"/>
      <c r="G61" s="120">
        <f>+'KPCo WS A  - RB Support '!E18</f>
        <v>438744866</v>
      </c>
      <c r="H61" s="120"/>
      <c r="I61" s="285" t="s">
        <v>737</v>
      </c>
      <c r="J61" s="27"/>
      <c r="K61" s="279"/>
      <c r="L61" s="286">
        <f>+L229</f>
        <v>437139495</v>
      </c>
      <c r="M61" s="45"/>
      <c r="N61" s="56"/>
      <c r="O61" s="56"/>
      <c r="P61" s="56"/>
    </row>
    <row r="62" spans="2:16" ht="15">
      <c r="B62" s="90">
        <f t="shared" si="0"/>
        <v>186</v>
      </c>
      <c r="C62" s="42"/>
      <c r="D62" s="58" t="s">
        <v>207</v>
      </c>
      <c r="E62" s="519" t="str">
        <f>"(Worksheet A ln "&amp;'KPCo WS A  - RB Support '!A20&amp;".C&amp; Ln "&amp;B231&amp;")"</f>
        <v>(Worksheet A ln 4.C&amp; Ln 308)</v>
      </c>
      <c r="F62" s="44"/>
      <c r="G62" s="120">
        <f>-+'KPCo WS A  - RB Support '!E20</f>
        <v>0</v>
      </c>
      <c r="H62" s="120"/>
      <c r="I62" s="285" t="s">
        <v>728</v>
      </c>
      <c r="J62" s="48">
        <f aca="true" t="shared" si="1" ref="J62:J69">VLOOKUP(I62,APCo_Hist_Allocators,2,FALSE)</f>
        <v>0.9963409919422282</v>
      </c>
      <c r="K62" s="279"/>
      <c r="L62" s="286">
        <f>+G62*J62</f>
        <v>0</v>
      </c>
      <c r="M62" s="45"/>
      <c r="N62" s="56"/>
      <c r="O62" s="56"/>
      <c r="P62" s="56"/>
    </row>
    <row r="63" spans="2:16" ht="15.75">
      <c r="B63" s="90">
        <f>+B62+1</f>
        <v>187</v>
      </c>
      <c r="C63" s="42"/>
      <c r="D63" s="480" t="s">
        <v>349</v>
      </c>
      <c r="E63" s="44"/>
      <c r="F63" s="44"/>
      <c r="G63" s="491" t="s">
        <v>203</v>
      </c>
      <c r="H63" s="756"/>
      <c r="I63" s="285" t="s">
        <v>735</v>
      </c>
      <c r="J63" s="48">
        <f t="shared" si="1"/>
        <v>0</v>
      </c>
      <c r="K63" s="279"/>
      <c r="L63" s="491" t="s">
        <v>203</v>
      </c>
      <c r="M63" s="45"/>
      <c r="N63" s="56"/>
      <c r="O63" s="56"/>
      <c r="P63" s="56"/>
    </row>
    <row r="64" spans="2:16" ht="15.75">
      <c r="B64" s="90">
        <f>+B63+1</f>
        <v>188</v>
      </c>
      <c r="C64" s="42"/>
      <c r="D64" s="480" t="s">
        <v>350</v>
      </c>
      <c r="E64" s="39"/>
      <c r="F64" s="27"/>
      <c r="G64" s="491" t="s">
        <v>203</v>
      </c>
      <c r="H64" s="756"/>
      <c r="I64" s="30" t="s">
        <v>735</v>
      </c>
      <c r="J64" s="48">
        <f t="shared" si="1"/>
        <v>0</v>
      </c>
      <c r="K64" s="17"/>
      <c r="L64" s="491" t="s">
        <v>203</v>
      </c>
      <c r="M64" s="45"/>
      <c r="N64" s="56"/>
      <c r="O64" s="56"/>
      <c r="P64" s="1118"/>
    </row>
    <row r="65" spans="2:16" ht="15">
      <c r="B65" s="90">
        <f>+B64+1</f>
        <v>189</v>
      </c>
      <c r="C65" s="42"/>
      <c r="D65" s="15" t="s">
        <v>738</v>
      </c>
      <c r="E65" s="27" t="str">
        <f>"(Worksheet A ln "&amp;'KPCo WS A  - RB Support '!A22&amp;".C)"</f>
        <v>(Worksheet A ln 5.C)</v>
      </c>
      <c r="F65" s="27"/>
      <c r="G65" s="120">
        <f>+'KPCo WS A  - RB Support '!E22</f>
        <v>568761740</v>
      </c>
      <c r="H65" s="120"/>
      <c r="I65" s="47" t="s">
        <v>735</v>
      </c>
      <c r="J65" s="48">
        <f t="shared" si="1"/>
        <v>0</v>
      </c>
      <c r="K65" s="27"/>
      <c r="L65" s="120">
        <f>+J65*G65</f>
        <v>0</v>
      </c>
      <c r="M65" s="17"/>
      <c r="N65" s="56"/>
      <c r="O65" s="56"/>
      <c r="P65" s="56"/>
    </row>
    <row r="66" spans="2:16" ht="15">
      <c r="B66" s="90">
        <f t="shared" si="0"/>
        <v>190</v>
      </c>
      <c r="C66" s="42"/>
      <c r="D66" s="40" t="s">
        <v>204</v>
      </c>
      <c r="E66" s="27" t="str">
        <f>"(Worksheet A ln "&amp;'KPCo WS A  - RB Support '!A24&amp;".C)"</f>
        <v>(Worksheet A ln 6.C)</v>
      </c>
      <c r="F66" s="27"/>
      <c r="G66" s="284">
        <f>-+'KPCo WS A  - RB Support '!E24</f>
        <v>0</v>
      </c>
      <c r="H66" s="120"/>
      <c r="I66" s="47" t="s">
        <v>735</v>
      </c>
      <c r="J66" s="48">
        <f t="shared" si="1"/>
        <v>0</v>
      </c>
      <c r="K66" s="27"/>
      <c r="L66" s="120">
        <f>+G66*J66</f>
        <v>0</v>
      </c>
      <c r="M66" s="17"/>
      <c r="N66" s="56"/>
      <c r="O66" s="56"/>
      <c r="P66" s="56"/>
    </row>
    <row r="67" spans="2:16" ht="15">
      <c r="B67" s="90">
        <f t="shared" si="0"/>
        <v>191</v>
      </c>
      <c r="C67" s="42"/>
      <c r="D67" s="15" t="s">
        <v>739</v>
      </c>
      <c r="E67" s="27" t="str">
        <f>"(Worksheet A ln "&amp;'KPCo WS A  - RB Support '!A26&amp;".C)"</f>
        <v>(Worksheet A ln 7.C)</v>
      </c>
      <c r="F67" s="27"/>
      <c r="G67" s="120">
        <f>+'KPCo WS A  - RB Support '!E26</f>
        <v>33960860</v>
      </c>
      <c r="H67" s="120"/>
      <c r="I67" s="47" t="s">
        <v>740</v>
      </c>
      <c r="J67" s="48">
        <f t="shared" si="1"/>
        <v>0.08594668838210866</v>
      </c>
      <c r="K67" s="27"/>
      <c r="L67" s="120">
        <f>+J67*G67</f>
        <v>2918823.4516084185</v>
      </c>
      <c r="M67" s="17"/>
      <c r="N67" s="56"/>
      <c r="O67" s="56"/>
      <c r="P67" s="56"/>
    </row>
    <row r="68" spans="2:16" ht="15">
      <c r="B68" s="90">
        <f t="shared" si="0"/>
        <v>192</v>
      </c>
      <c r="C68" s="42"/>
      <c r="D68" s="40" t="s">
        <v>205</v>
      </c>
      <c r="E68" s="27" t="str">
        <f>"(Worksheet A ln "&amp;'KPCo WS A  - RB Support '!A28&amp;".C)"</f>
        <v>(Worksheet A ln 8.C)</v>
      </c>
      <c r="F68" s="27"/>
      <c r="G68" s="284">
        <f>-'KPCo WS A  - RB Support '!E28</f>
        <v>0</v>
      </c>
      <c r="H68" s="120"/>
      <c r="I68" s="47" t="s">
        <v>740</v>
      </c>
      <c r="J68" s="48">
        <f t="shared" si="1"/>
        <v>0.08594668838210866</v>
      </c>
      <c r="K68" s="27"/>
      <c r="L68" s="120">
        <f>+G68*J68</f>
        <v>0</v>
      </c>
      <c r="M68" s="17"/>
      <c r="N68" s="56"/>
      <c r="O68" s="56"/>
      <c r="P68" s="56"/>
    </row>
    <row r="69" spans="2:16" ht="15.75" thickBot="1">
      <c r="B69" s="90">
        <f t="shared" si="0"/>
        <v>193</v>
      </c>
      <c r="C69" s="42"/>
      <c r="D69" s="15" t="s">
        <v>741</v>
      </c>
      <c r="E69" s="27" t="str">
        <f>"(Worksheet A ln "&amp;'KPCo WS A  - RB Support '!A30&amp;".C)"</f>
        <v>(Worksheet A ln 9.C)</v>
      </c>
      <c r="F69" s="27"/>
      <c r="G69" s="121">
        <f>+'KPCo WS A  - RB Support '!E30</f>
        <v>16666518</v>
      </c>
      <c r="H69" s="120"/>
      <c r="I69" s="47" t="s">
        <v>740</v>
      </c>
      <c r="J69" s="48">
        <f t="shared" si="1"/>
        <v>0.08594668838210866</v>
      </c>
      <c r="K69" s="27"/>
      <c r="L69" s="121">
        <f>+J69*G69</f>
        <v>1432432.028960805</v>
      </c>
      <c r="M69" s="17"/>
      <c r="N69" s="1119"/>
      <c r="O69" s="1119"/>
      <c r="P69" s="56"/>
    </row>
    <row r="70" spans="2:16" ht="15.75">
      <c r="B70" s="90">
        <f>+B69+1</f>
        <v>194</v>
      </c>
      <c r="C70" s="42"/>
      <c r="D70" s="15" t="s">
        <v>584</v>
      </c>
      <c r="E70" s="18" t="str">
        <f>"(sum lns "&amp;B59&amp;" to "&amp;B69&amp;")"</f>
        <v>(sum lns 183 to 193)</v>
      </c>
      <c r="F70" s="757"/>
      <c r="G70" s="120">
        <f>SUM(G59:G69)</f>
        <v>1594892479</v>
      </c>
      <c r="H70" s="120"/>
      <c r="I70" s="293" t="s">
        <v>414</v>
      </c>
      <c r="J70" s="107">
        <f>+L70/G70</f>
        <v>0.2768153692450695</v>
      </c>
      <c r="K70" s="27"/>
      <c r="L70" s="120">
        <f>SUM(L59:L69)</f>
        <v>441490750.48056924</v>
      </c>
      <c r="M70" s="17"/>
      <c r="N70" s="1119"/>
      <c r="O70" s="1119"/>
      <c r="P70" s="56"/>
    </row>
    <row r="71" spans="2:16" ht="15.75">
      <c r="B71" s="90"/>
      <c r="C71" s="18"/>
      <c r="D71" s="15"/>
      <c r="E71" s="745"/>
      <c r="F71" s="757"/>
      <c r="G71" s="120"/>
      <c r="H71" s="120"/>
      <c r="I71" s="293" t="s">
        <v>914</v>
      </c>
      <c r="J71" s="294">
        <f>+L61/(G65+G61+G66)</f>
        <v>0.4338825099475328</v>
      </c>
      <c r="K71" s="27"/>
      <c r="L71" s="120"/>
      <c r="M71" s="17"/>
      <c r="N71" s="1120"/>
      <c r="O71" s="1119"/>
      <c r="P71" s="56"/>
    </row>
    <row r="72" spans="2:16" ht="15">
      <c r="B72" s="90">
        <f>+B70+1</f>
        <v>195</v>
      </c>
      <c r="C72" s="18"/>
      <c r="D72" s="15" t="s">
        <v>557</v>
      </c>
      <c r="E72" s="39"/>
      <c r="F72" s="39"/>
      <c r="G72" s="120"/>
      <c r="H72" s="295"/>
      <c r="I72" s="47"/>
      <c r="J72" s="296"/>
      <c r="K72" s="27"/>
      <c r="L72" s="120"/>
      <c r="M72" s="17"/>
      <c r="N72" s="6"/>
      <c r="O72" s="6"/>
      <c r="P72" s="56"/>
    </row>
    <row r="73" spans="2:16" ht="15">
      <c r="B73" s="90">
        <f>+B72+1</f>
        <v>196</v>
      </c>
      <c r="C73" s="18"/>
      <c r="D73" s="40" t="str">
        <f>+D59</f>
        <v>  Production</v>
      </c>
      <c r="E73" s="27" t="str">
        <f>"(Worksheet A ln "&amp;'KPCo WS A  - RB Support '!A38&amp;".C)"</f>
        <v>(Worksheet A ln 12.C)</v>
      </c>
      <c r="F73" s="27"/>
      <c r="G73" s="120">
        <f>+'KPCo WS A  - RB Support '!E38</f>
        <v>225725166</v>
      </c>
      <c r="H73" s="120"/>
      <c r="I73" s="47" t="s">
        <v>735</v>
      </c>
      <c r="J73" s="48">
        <f>VLOOKUP(I73,APCo_Hist_Allocators,2,FALSE)</f>
        <v>0</v>
      </c>
      <c r="K73" s="27"/>
      <c r="L73" s="120">
        <f>+J73*G73</f>
        <v>0</v>
      </c>
      <c r="M73" s="17"/>
      <c r="N73" s="6"/>
      <c r="O73" s="6"/>
      <c r="P73" s="56"/>
    </row>
    <row r="74" spans="2:16" ht="15">
      <c r="B74" s="90">
        <f aca="true" t="shared" si="2" ref="B74:B87">+B73+1</f>
        <v>197</v>
      </c>
      <c r="C74" s="18"/>
      <c r="D74" s="40" t="s">
        <v>206</v>
      </c>
      <c r="E74" s="27" t="str">
        <f>"(Worksheet A ln "&amp;'KPCo WS A  - RB Support '!A40&amp;".C)"</f>
        <v>(Worksheet A ln 13.C)</v>
      </c>
      <c r="F74" s="27"/>
      <c r="G74" s="284">
        <f>-+'KPCo WS A  - RB Support '!E40</f>
        <v>-357559</v>
      </c>
      <c r="H74" s="120"/>
      <c r="I74" s="47" t="s">
        <v>735</v>
      </c>
      <c r="J74" s="48">
        <f>VLOOKUP(I74,APCo_Hist_Allocators,2,FALSE)</f>
        <v>0</v>
      </c>
      <c r="K74" s="27"/>
      <c r="L74" s="120">
        <f>+J74*G74</f>
        <v>0</v>
      </c>
      <c r="M74" s="17"/>
      <c r="N74" s="6"/>
      <c r="O74" s="6"/>
      <c r="P74" s="56"/>
    </row>
    <row r="75" spans="2:16" ht="15.75">
      <c r="B75" s="90">
        <f t="shared" si="2"/>
        <v>198</v>
      </c>
      <c r="C75" s="42"/>
      <c r="D75" s="43" t="str">
        <f>D61</f>
        <v>  Transmission</v>
      </c>
      <c r="E75" s="27" t="s">
        <v>493</v>
      </c>
      <c r="F75" s="44"/>
      <c r="G75" s="286">
        <f>+'KPCo WS A  - RB Support '!E42</f>
        <v>141779874</v>
      </c>
      <c r="H75" s="120"/>
      <c r="I75" s="297" t="s">
        <v>560</v>
      </c>
      <c r="J75" s="298">
        <f>L75/G75</f>
        <v>0.9958946147744496</v>
      </c>
      <c r="K75" s="279"/>
      <c r="L75" s="120">
        <f>+'KPCo WS A  - RB Support '!E74</f>
        <v>141197813</v>
      </c>
      <c r="M75" s="45"/>
      <c r="N75" s="6"/>
      <c r="O75" s="6"/>
      <c r="P75" s="56"/>
    </row>
    <row r="76" spans="2:16" ht="15.75">
      <c r="B76" s="90">
        <f t="shared" si="2"/>
        <v>199</v>
      </c>
      <c r="C76" s="42"/>
      <c r="D76" s="40" t="s">
        <v>207</v>
      </c>
      <c r="E76" s="27" t="str">
        <f>"(Worksheet A ln "&amp;'KPCo WS A  - RB Support '!A44&amp;".C)"</f>
        <v>(Worksheet A ln 15.C)</v>
      </c>
      <c r="F76" s="44"/>
      <c r="G76" s="284">
        <f>-'KPCo WS A  - RB Support '!E44</f>
        <v>0</v>
      </c>
      <c r="H76" s="120"/>
      <c r="I76" s="297" t="s">
        <v>560</v>
      </c>
      <c r="J76" s="48">
        <f>+J75</f>
        <v>0.9958946147744496</v>
      </c>
      <c r="K76" s="279"/>
      <c r="L76" s="120">
        <f aca="true" t="shared" si="3" ref="L76:L86">+J76*G76</f>
        <v>0</v>
      </c>
      <c r="M76" s="45"/>
      <c r="N76" s="6"/>
      <c r="O76" s="6"/>
      <c r="P76" s="56"/>
    </row>
    <row r="77" spans="2:16" ht="15.75">
      <c r="B77" s="90">
        <f t="shared" si="2"/>
        <v>200</v>
      </c>
      <c r="C77" s="42"/>
      <c r="D77" s="480" t="s">
        <v>349</v>
      </c>
      <c r="E77" s="44"/>
      <c r="F77" s="44"/>
      <c r="G77" s="491" t="s">
        <v>203</v>
      </c>
      <c r="H77" s="756"/>
      <c r="I77" s="285" t="s">
        <v>737</v>
      </c>
      <c r="J77" s="48">
        <f aca="true" t="shared" si="4" ref="J77:J86">VLOOKUP(I77,APCo_Hist_Allocators,2,FALSE)</f>
        <v>1</v>
      </c>
      <c r="K77" s="279"/>
      <c r="L77" s="491" t="s">
        <v>203</v>
      </c>
      <c r="M77" s="45"/>
      <c r="N77" s="6"/>
      <c r="O77" s="6"/>
      <c r="P77" s="56"/>
    </row>
    <row r="78" spans="2:16" ht="15.75">
      <c r="B78" s="90">
        <f t="shared" si="2"/>
        <v>201</v>
      </c>
      <c r="C78" s="42"/>
      <c r="D78" s="480" t="s">
        <v>352</v>
      </c>
      <c r="E78" s="44"/>
      <c r="F78" s="44"/>
      <c r="G78" s="491" t="s">
        <v>203</v>
      </c>
      <c r="H78" s="756"/>
      <c r="I78" s="285" t="s">
        <v>737</v>
      </c>
      <c r="J78" s="48">
        <f t="shared" si="4"/>
        <v>1</v>
      </c>
      <c r="K78" s="279"/>
      <c r="L78" s="491" t="s">
        <v>203</v>
      </c>
      <c r="M78" s="45"/>
      <c r="N78" s="6"/>
      <c r="O78" s="6"/>
      <c r="P78" s="56"/>
    </row>
    <row r="79" spans="2:16" ht="15.75">
      <c r="B79" s="90">
        <f t="shared" si="2"/>
        <v>202</v>
      </c>
      <c r="C79" s="42"/>
      <c r="D79" s="480" t="str">
        <f>"     Plus: Additional Transmission Depreciation for "&amp;O1+1&amp;"  (ln "&amp;B178&amp;")"</f>
        <v>     Plus: Additional Transmission Depreciation for 2010  (ln 276)</v>
      </c>
      <c r="E79" s="44"/>
      <c r="F79" s="44"/>
      <c r="G79" s="491" t="s">
        <v>203</v>
      </c>
      <c r="H79" s="756"/>
      <c r="I79" s="571" t="s">
        <v>559</v>
      </c>
      <c r="J79" s="48">
        <f t="shared" si="4"/>
        <v>0.9958946147744496</v>
      </c>
      <c r="K79" s="279"/>
      <c r="L79" s="491" t="s">
        <v>203</v>
      </c>
      <c r="M79" s="45"/>
      <c r="N79" s="6"/>
      <c r="O79" s="6"/>
      <c r="P79" s="56"/>
    </row>
    <row r="80" spans="2:16" ht="15.75">
      <c r="B80" s="90">
        <f t="shared" si="2"/>
        <v>203</v>
      </c>
      <c r="C80" s="42"/>
      <c r="D80" s="481" t="str">
        <f>"     Plus: Additional General &amp; Intangible Depreciation for "&amp;O1+1&amp;" (ln "&amp;B177&amp;" + ln "&amp;B178&amp;")"</f>
        <v>     Plus: Additional General &amp; Intangible Depreciation for 2010 (ln 275 + ln 276)</v>
      </c>
      <c r="E80" s="44"/>
      <c r="F80" s="44"/>
      <c r="G80" s="491" t="s">
        <v>203</v>
      </c>
      <c r="H80" s="756"/>
      <c r="I80" s="285" t="s">
        <v>740</v>
      </c>
      <c r="J80" s="48">
        <f t="shared" si="4"/>
        <v>0.08594668838210866</v>
      </c>
      <c r="K80" s="279"/>
      <c r="L80" s="491" t="s">
        <v>203</v>
      </c>
      <c r="M80" s="45"/>
      <c r="N80" s="6"/>
      <c r="O80" s="6"/>
      <c r="P80" s="56"/>
    </row>
    <row r="81" spans="2:16" ht="15.75">
      <c r="B81" s="90">
        <f t="shared" si="2"/>
        <v>204</v>
      </c>
      <c r="C81" s="42"/>
      <c r="D81" s="480" t="s">
        <v>351</v>
      </c>
      <c r="E81" s="44"/>
      <c r="F81" s="44"/>
      <c r="G81" s="491" t="s">
        <v>203</v>
      </c>
      <c r="H81" s="756"/>
      <c r="I81" s="285" t="s">
        <v>737</v>
      </c>
      <c r="J81" s="48">
        <f t="shared" si="4"/>
        <v>1</v>
      </c>
      <c r="K81" s="279"/>
      <c r="L81" s="491" t="s">
        <v>203</v>
      </c>
      <c r="M81" s="45"/>
      <c r="N81" s="6"/>
      <c r="O81" s="6"/>
      <c r="P81" s="56"/>
    </row>
    <row r="82" spans="2:16" ht="15">
      <c r="B82" s="90">
        <f t="shared" si="2"/>
        <v>205</v>
      </c>
      <c r="C82" s="42"/>
      <c r="D82" s="15" t="str">
        <f>+D65</f>
        <v>  Distribution</v>
      </c>
      <c r="E82" s="27" t="str">
        <f>"(Worksheet A ln "&amp;'KPCo WS A  - RB Support '!A46&amp;".C)"</f>
        <v>(Worksheet A ln 16.C)</v>
      </c>
      <c r="F82" s="27"/>
      <c r="G82" s="120">
        <f>+'KPCo WS A  - RB Support '!E46</f>
        <v>139979041</v>
      </c>
      <c r="H82" s="120"/>
      <c r="I82" s="47" t="s">
        <v>735</v>
      </c>
      <c r="J82" s="48">
        <f t="shared" si="4"/>
        <v>0</v>
      </c>
      <c r="K82" s="27"/>
      <c r="L82" s="120">
        <f t="shared" si="3"/>
        <v>0</v>
      </c>
      <c r="M82" s="17"/>
      <c r="N82" s="6"/>
      <c r="O82" s="6"/>
      <c r="P82" s="56"/>
    </row>
    <row r="83" spans="2:16" ht="15">
      <c r="B83" s="90">
        <f t="shared" si="2"/>
        <v>206</v>
      </c>
      <c r="C83" s="42"/>
      <c r="D83" s="40" t="s">
        <v>204</v>
      </c>
      <c r="E83" s="27" t="str">
        <f>"(Worksheet A ln "&amp;'KPCo WS A  - RB Support '!A48&amp;".C)"</f>
        <v>(Worksheet A ln 17.C)</v>
      </c>
      <c r="F83" s="27"/>
      <c r="G83" s="284">
        <f>-'KPCo WS A  - RB Support '!E48</f>
        <v>0</v>
      </c>
      <c r="H83" s="120"/>
      <c r="I83" s="47" t="s">
        <v>735</v>
      </c>
      <c r="J83" s="48">
        <f t="shared" si="4"/>
        <v>0</v>
      </c>
      <c r="K83" s="27"/>
      <c r="L83" s="120">
        <f t="shared" si="3"/>
        <v>0</v>
      </c>
      <c r="M83" s="17"/>
      <c r="N83" s="6"/>
      <c r="O83" s="6"/>
      <c r="P83" s="56"/>
    </row>
    <row r="84" spans="2:16" ht="15">
      <c r="B84" s="90">
        <f t="shared" si="2"/>
        <v>207</v>
      </c>
      <c r="C84" s="208"/>
      <c r="D84" s="54" t="str">
        <f>+D67</f>
        <v>  General Plant   </v>
      </c>
      <c r="E84" s="27" t="str">
        <f>"(Worksheet A ln "&amp;'KPCo WS A  - RB Support '!A50&amp;".C)"</f>
        <v>(Worksheet A ln 18.C)</v>
      </c>
      <c r="F84" s="27"/>
      <c r="G84" s="127">
        <f>+'KPCo WS A  - RB Support '!E50</f>
        <v>7194870</v>
      </c>
      <c r="H84" s="120"/>
      <c r="I84" s="47" t="s">
        <v>740</v>
      </c>
      <c r="J84" s="48">
        <f t="shared" si="4"/>
        <v>0.08594668838210866</v>
      </c>
      <c r="K84" s="27"/>
      <c r="L84" s="120">
        <f t="shared" si="3"/>
        <v>618375.2498397821</v>
      </c>
      <c r="M84" s="17"/>
      <c r="N84" s="6"/>
      <c r="O84" s="6"/>
      <c r="P84" s="56"/>
    </row>
    <row r="85" spans="2:16" ht="15">
      <c r="B85" s="90">
        <f t="shared" si="2"/>
        <v>208</v>
      </c>
      <c r="C85" s="208"/>
      <c r="D85" s="40" t="s">
        <v>205</v>
      </c>
      <c r="E85" s="27" t="str">
        <f>"(Worksheet A ln "&amp;'KPCo WS A  - RB Support '!A52&amp;".C)"</f>
        <v>(Worksheet A ln 19.C)</v>
      </c>
      <c r="F85" s="27"/>
      <c r="G85" s="284">
        <f>-'KPCo WS A  - RB Support '!E52</f>
        <v>0</v>
      </c>
      <c r="H85" s="120"/>
      <c r="I85" s="47" t="s">
        <v>740</v>
      </c>
      <c r="J85" s="48">
        <f t="shared" si="4"/>
        <v>0.08594668838210866</v>
      </c>
      <c r="K85" s="27"/>
      <c r="L85" s="120">
        <f t="shared" si="3"/>
        <v>0</v>
      </c>
      <c r="M85" s="17"/>
      <c r="N85" s="6"/>
      <c r="O85" s="6"/>
      <c r="P85" s="56"/>
    </row>
    <row r="86" spans="2:16" ht="15.75" thickBot="1">
      <c r="B86" s="90">
        <f t="shared" si="2"/>
        <v>209</v>
      </c>
      <c r="C86" s="208"/>
      <c r="D86" s="54" t="str">
        <f>+D69</f>
        <v>  Intangible Plant</v>
      </c>
      <c r="E86" s="27" t="str">
        <f>"(Worksheet A ln "&amp;'KPCo WS A  - RB Support '!A54&amp;".C)"</f>
        <v>(Worksheet A ln 20.C)</v>
      </c>
      <c r="F86" s="27"/>
      <c r="G86" s="121">
        <f>+'KPCo WS A  - RB Support '!E54</f>
        <v>17291094</v>
      </c>
      <c r="H86" s="120"/>
      <c r="I86" s="47" t="s">
        <v>740</v>
      </c>
      <c r="J86" s="48">
        <f t="shared" si="4"/>
        <v>0.08594668838210866</v>
      </c>
      <c r="K86" s="27"/>
      <c r="L86" s="121">
        <f t="shared" si="3"/>
        <v>1486112.2678037486</v>
      </c>
      <c r="M86" s="27"/>
      <c r="N86" s="6"/>
      <c r="O86" s="6"/>
      <c r="P86" s="56"/>
    </row>
    <row r="87" spans="2:16" ht="15">
      <c r="B87" s="90">
        <f t="shared" si="2"/>
        <v>210</v>
      </c>
      <c r="C87" s="208"/>
      <c r="D87" s="54" t="s">
        <v>583</v>
      </c>
      <c r="E87" s="259" t="str">
        <f>"(sum lns "&amp;B73&amp;" to "&amp;B86&amp;")"</f>
        <v>(sum lns 196 to 209)</v>
      </c>
      <c r="F87" s="744"/>
      <c r="G87" s="120">
        <f>SUM(G73:G86)</f>
        <v>531612486</v>
      </c>
      <c r="H87" s="120"/>
      <c r="I87" s="47"/>
      <c r="J87" s="27"/>
      <c r="K87" s="120"/>
      <c r="L87" s="120">
        <f>SUM(L73:L86)</f>
        <v>143302300.51764354</v>
      </c>
      <c r="M87" s="17"/>
      <c r="N87" s="6"/>
      <c r="O87" s="6"/>
      <c r="P87" s="56"/>
    </row>
    <row r="88" spans="2:16" ht="15">
      <c r="B88" s="90"/>
      <c r="C88" s="18"/>
      <c r="D88" s="11"/>
      <c r="E88" s="758"/>
      <c r="F88" s="744"/>
      <c r="G88" s="120"/>
      <c r="H88" s="120"/>
      <c r="I88" s="47"/>
      <c r="J88" s="299"/>
      <c r="K88" s="27"/>
      <c r="L88" s="120"/>
      <c r="M88" s="17"/>
      <c r="N88" s="6"/>
      <c r="O88" s="6"/>
      <c r="P88" s="56"/>
    </row>
    <row r="89" spans="2:16" ht="15">
      <c r="B89" s="90">
        <f>+B87+1</f>
        <v>211</v>
      </c>
      <c r="C89" s="18"/>
      <c r="D89" s="15" t="s">
        <v>587</v>
      </c>
      <c r="E89" s="39"/>
      <c r="F89" s="39"/>
      <c r="G89" s="120"/>
      <c r="H89" s="120"/>
      <c r="I89" s="47"/>
      <c r="J89" s="27"/>
      <c r="K89" s="27"/>
      <c r="L89" s="120"/>
      <c r="M89" s="17"/>
      <c r="N89" s="6"/>
      <c r="O89" s="6"/>
      <c r="P89" s="56"/>
    </row>
    <row r="90" spans="2:16" ht="15">
      <c r="B90" s="90">
        <f aca="true" t="shared" si="5" ref="B90:B100">+B89+1</f>
        <v>212</v>
      </c>
      <c r="C90" s="42"/>
      <c r="D90" s="40" t="str">
        <f>+D73</f>
        <v>  Production</v>
      </c>
      <c r="E90" s="27" t="str">
        <f>" (ln "&amp;B59&amp;" + ln "&amp;B60&amp;" - ln "&amp;B73&amp;" - ln "&amp;B74&amp;")"</f>
        <v> (ln 183 + ln 184 - ln 196 - ln 197)</v>
      </c>
      <c r="F90" s="27"/>
      <c r="G90" s="120">
        <f>G59+G60-G73-G74</f>
        <v>311390888</v>
      </c>
      <c r="H90" s="120"/>
      <c r="I90" s="47"/>
      <c r="J90" s="300"/>
      <c r="K90" s="27"/>
      <c r="L90" s="120">
        <f>L59+L60-L73-L74</f>
        <v>0</v>
      </c>
      <c r="M90" s="17"/>
      <c r="N90" s="6"/>
      <c r="O90" s="6"/>
      <c r="P90" s="56"/>
    </row>
    <row r="91" spans="2:16" ht="15">
      <c r="B91" s="90">
        <f t="shared" si="5"/>
        <v>213</v>
      </c>
      <c r="C91" s="42"/>
      <c r="D91" s="40" t="str">
        <f>+D75</f>
        <v>  Transmission</v>
      </c>
      <c r="E91" s="27" t="str">
        <f>" (ln "&amp;B61&amp;" + ln "&amp;B62&amp;" - ln "&amp;B75&amp;" - ln "&amp;B76&amp;")"</f>
        <v> (ln 185 + ln 186 - ln 198 - ln 199)</v>
      </c>
      <c r="F91" s="27"/>
      <c r="G91" s="120">
        <f>+G61+G62-G75-G76</f>
        <v>296964992</v>
      </c>
      <c r="H91" s="120"/>
      <c r="I91" s="47"/>
      <c r="J91" s="298"/>
      <c r="K91" s="27"/>
      <c r="L91" s="120">
        <f>+L61+L62-L75-L76</f>
        <v>295941682</v>
      </c>
      <c r="M91" s="17"/>
      <c r="N91" s="6"/>
      <c r="O91" s="6"/>
      <c r="P91" s="56"/>
    </row>
    <row r="92" spans="2:16" ht="15.75">
      <c r="B92" s="90">
        <f aca="true" t="shared" si="6" ref="B92:B97">+B91+1</f>
        <v>214</v>
      </c>
      <c r="C92" s="42"/>
      <c r="D92" s="43" t="str">
        <f>"     Plus: Transmission Plant-in-Service Additions (ln "&amp;B63&amp;" - ln "&amp;B77&amp;")"</f>
        <v>     Plus: Transmission Plant-in-Service Additions (ln 187 - ln 200)</v>
      </c>
      <c r="E92" s="27"/>
      <c r="F92" s="27"/>
      <c r="G92" s="491" t="s">
        <v>203</v>
      </c>
      <c r="H92" s="105"/>
      <c r="I92" s="30"/>
      <c r="J92" s="41"/>
      <c r="K92" s="17"/>
      <c r="L92" s="491" t="s">
        <v>203</v>
      </c>
      <c r="M92" s="17"/>
      <c r="N92" s="6"/>
      <c r="O92" s="6"/>
      <c r="P92" s="56"/>
    </row>
    <row r="93" spans="2:16" ht="15.75">
      <c r="B93" s="90">
        <f t="shared" si="6"/>
        <v>215</v>
      </c>
      <c r="C93" s="42"/>
      <c r="D93" s="43" t="str">
        <f>"     Plus: Additional Trans Plant on Transferred Assets  (ln "&amp;B64&amp;" - ln "&amp;B78&amp;")"</f>
        <v>     Plus: Additional Trans Plant on Transferred Assets  (ln 188 - ln 201)</v>
      </c>
      <c r="E93" s="27"/>
      <c r="F93" s="27"/>
      <c r="G93" s="491" t="s">
        <v>203</v>
      </c>
      <c r="H93" s="105"/>
      <c r="I93" s="30"/>
      <c r="J93" s="41"/>
      <c r="K93" s="17"/>
      <c r="L93" s="491" t="s">
        <v>203</v>
      </c>
      <c r="M93" s="17"/>
      <c r="N93" s="6"/>
      <c r="O93" s="6"/>
      <c r="P93" s="56"/>
    </row>
    <row r="94" spans="2:16" ht="15.75">
      <c r="B94" s="90">
        <f t="shared" si="6"/>
        <v>216</v>
      </c>
      <c r="C94" s="42"/>
      <c r="D94" s="480" t="str">
        <f>"     Plus: Additional Transmission Depreciation for "&amp;O1+1&amp;"  (-ln "&amp;B79&amp;")"</f>
        <v>     Plus: Additional Transmission Depreciation for 2010  (-ln 202)</v>
      </c>
      <c r="E94" s="27"/>
      <c r="F94" s="27"/>
      <c r="G94" s="491" t="s">
        <v>203</v>
      </c>
      <c r="H94" s="105"/>
      <c r="I94" s="30"/>
      <c r="J94" s="41"/>
      <c r="K94" s="17"/>
      <c r="L94" s="491" t="s">
        <v>203</v>
      </c>
      <c r="M94" s="17"/>
      <c r="N94" s="6"/>
      <c r="O94" s="6"/>
      <c r="P94" s="56"/>
    </row>
    <row r="95" spans="2:16" ht="15.75">
      <c r="B95" s="90">
        <f t="shared" si="6"/>
        <v>217</v>
      </c>
      <c r="C95" s="42"/>
      <c r="D95" s="481" t="str">
        <f>"     Plus: Additional General &amp; Intangible Depreciation for "&amp;O1+1&amp;" (-ln "&amp;B80&amp;")"</f>
        <v>     Plus: Additional General &amp; Intangible Depreciation for 2010 (-ln 203)</v>
      </c>
      <c r="E95" s="27"/>
      <c r="F95" s="27"/>
      <c r="G95" s="491" t="s">
        <v>203</v>
      </c>
      <c r="H95" s="105"/>
      <c r="I95" s="30"/>
      <c r="J95" s="41"/>
      <c r="K95" s="17"/>
      <c r="L95" s="491" t="s">
        <v>203</v>
      </c>
      <c r="M95" s="17"/>
      <c r="N95" s="6"/>
      <c r="O95" s="6"/>
      <c r="P95" s="56"/>
    </row>
    <row r="96" spans="2:16" ht="15.75">
      <c r="B96" s="90">
        <f t="shared" si="6"/>
        <v>218</v>
      </c>
      <c r="C96" s="42"/>
      <c r="D96" s="480" t="str">
        <f>"     Plus: Additional Accum Deprec on Transferred Assets (Worksheet I) (-ln "&amp;B81&amp;")"</f>
        <v>     Plus: Additional Accum Deprec on Transferred Assets (Worksheet I) (-ln 204)</v>
      </c>
      <c r="E96" s="27"/>
      <c r="F96" s="27"/>
      <c r="G96" s="491" t="s">
        <v>203</v>
      </c>
      <c r="H96" s="105"/>
      <c r="I96" s="30"/>
      <c r="J96" s="41"/>
      <c r="K96" s="17"/>
      <c r="L96" s="491" t="s">
        <v>203</v>
      </c>
      <c r="M96" s="17"/>
      <c r="N96" s="6"/>
      <c r="O96" s="6"/>
      <c r="P96" s="56"/>
    </row>
    <row r="97" spans="2:16" ht="15">
      <c r="B97" s="90">
        <f t="shared" si="6"/>
        <v>219</v>
      </c>
      <c r="C97" s="42"/>
      <c r="D97" s="40" t="str">
        <f>+D82</f>
        <v>  Distribution</v>
      </c>
      <c r="E97" s="27" t="str">
        <f>" (ln "&amp;B65&amp;" + ln "&amp;B66&amp;" - ln "&amp;B82&amp;" - ln "&amp;B83&amp;")"</f>
        <v> (ln 189 + ln 190 - ln 205 - ln 206)</v>
      </c>
      <c r="F97" s="27"/>
      <c r="G97" s="120">
        <f>+G65+G66-G82-G83</f>
        <v>428782699</v>
      </c>
      <c r="H97" s="120"/>
      <c r="I97" s="47"/>
      <c r="J97" s="299"/>
      <c r="K97" s="27"/>
      <c r="L97" s="120">
        <f>+L65+L66-L82-L83</f>
        <v>0</v>
      </c>
      <c r="M97" s="17"/>
      <c r="N97" s="56"/>
      <c r="O97" s="6"/>
      <c r="P97" s="56"/>
    </row>
    <row r="98" spans="2:16" ht="15">
      <c r="B98" s="90">
        <f t="shared" si="5"/>
        <v>220</v>
      </c>
      <c r="C98" s="42"/>
      <c r="D98" s="40" t="str">
        <f>+D84</f>
        <v>  General Plant   </v>
      </c>
      <c r="E98" s="27" t="str">
        <f>" (ln "&amp;B67&amp;" + ln "&amp;B68&amp;" - ln "&amp;B84&amp;" - ln "&amp;B85&amp;")"</f>
        <v> (ln 191 + ln 192 - ln 207 - ln 208)</v>
      </c>
      <c r="F98" s="27"/>
      <c r="G98" s="120">
        <f>+G67+G68-G84-G85</f>
        <v>26765990</v>
      </c>
      <c r="H98" s="120"/>
      <c r="I98" s="47"/>
      <c r="J98" s="299"/>
      <c r="K98" s="27"/>
      <c r="L98" s="120">
        <f>+L67+L68-L84-L85</f>
        <v>2300448.2017686362</v>
      </c>
      <c r="M98" s="17"/>
      <c r="N98" s="6"/>
      <c r="O98" s="6"/>
      <c r="P98" s="56"/>
    </row>
    <row r="99" spans="2:16" ht="15.75" thickBot="1">
      <c r="B99" s="90">
        <f t="shared" si="5"/>
        <v>221</v>
      </c>
      <c r="C99" s="42"/>
      <c r="D99" s="40" t="str">
        <f>+D86</f>
        <v>  Intangible Plant</v>
      </c>
      <c r="E99" s="27" t="str">
        <f>" (ln "&amp;B69&amp;" - ln "&amp;B86&amp;")"</f>
        <v> (ln 193 - ln 209)</v>
      </c>
      <c r="F99" s="27"/>
      <c r="G99" s="121">
        <f>+G69-G86</f>
        <v>-624576</v>
      </c>
      <c r="H99" s="120"/>
      <c r="I99" s="47"/>
      <c r="J99" s="299"/>
      <c r="K99" s="27"/>
      <c r="L99" s="121">
        <f>+L69-L86</f>
        <v>-53680.23884294368</v>
      </c>
      <c r="M99" s="17"/>
      <c r="N99" s="6"/>
      <c r="O99" s="6"/>
      <c r="P99" s="56"/>
    </row>
    <row r="100" spans="2:16" ht="15.75">
      <c r="B100" s="90">
        <f t="shared" si="5"/>
        <v>222</v>
      </c>
      <c r="C100" s="42"/>
      <c r="D100" s="40" t="s">
        <v>582</v>
      </c>
      <c r="E100" s="40" t="str">
        <f>"(sum lns "&amp;B90&amp;" to "&amp;B99&amp;")"</f>
        <v>(sum lns 212 to 221)</v>
      </c>
      <c r="F100" s="27"/>
      <c r="G100" s="120">
        <f>SUM(G90:G99)</f>
        <v>1063279993</v>
      </c>
      <c r="H100" s="120"/>
      <c r="I100" s="258" t="s">
        <v>413</v>
      </c>
      <c r="J100" s="107">
        <f>+L100/G100</f>
        <v>0.28044207727599524</v>
      </c>
      <c r="K100" s="27"/>
      <c r="L100" s="120">
        <f>SUM(L91:L99)</f>
        <v>298188449.9629257</v>
      </c>
      <c r="M100" s="17"/>
      <c r="N100" s="6"/>
      <c r="O100" s="6"/>
      <c r="P100" s="56"/>
    </row>
    <row r="101" spans="2:16" ht="15">
      <c r="B101" s="90"/>
      <c r="C101" s="18"/>
      <c r="D101" s="15"/>
      <c r="E101" s="27"/>
      <c r="F101" s="27"/>
      <c r="G101" s="120"/>
      <c r="H101" s="120"/>
      <c r="I101" s="13"/>
      <c r="J101" s="301"/>
      <c r="K101" s="27"/>
      <c r="L101" s="120"/>
      <c r="M101" s="17"/>
      <c r="N101" s="6"/>
      <c r="O101" s="6"/>
      <c r="P101" s="56"/>
    </row>
    <row r="102" spans="2:16" ht="15">
      <c r="B102" s="90"/>
      <c r="C102" s="18"/>
      <c r="D102" s="11"/>
      <c r="G102" s="756"/>
      <c r="H102" s="756"/>
      <c r="I102" s="756"/>
      <c r="J102" s="756"/>
      <c r="K102" s="756"/>
      <c r="L102" s="756"/>
      <c r="M102"/>
      <c r="N102" s="6"/>
      <c r="O102" s="6"/>
      <c r="P102" s="56"/>
    </row>
    <row r="103" spans="2:16" ht="15">
      <c r="B103" s="90">
        <f>+B100+1</f>
        <v>223</v>
      </c>
      <c r="C103" s="18"/>
      <c r="D103" s="15" t="s">
        <v>112</v>
      </c>
      <c r="E103" s="27" t="s">
        <v>90</v>
      </c>
      <c r="F103" s="47"/>
      <c r="G103" s="756"/>
      <c r="H103" s="756"/>
      <c r="I103" s="756"/>
      <c r="J103" s="756"/>
      <c r="K103" s="756"/>
      <c r="L103" s="756"/>
      <c r="M103"/>
      <c r="N103" s="6"/>
      <c r="O103" s="6"/>
      <c r="P103" s="56"/>
    </row>
    <row r="104" spans="2:16" ht="15">
      <c r="B104" s="90">
        <f aca="true" t="shared" si="7" ref="B104:B109">+B103+1</f>
        <v>224</v>
      </c>
      <c r="C104" s="42"/>
      <c r="D104" s="58" t="s">
        <v>823</v>
      </c>
      <c r="E104" s="27" t="s">
        <v>504</v>
      </c>
      <c r="F104" s="27"/>
      <c r="G104" s="120">
        <f>-'KPCo WS B ADIT &amp; ITC'!E15</f>
        <v>-31362189</v>
      </c>
      <c r="H104" s="120"/>
      <c r="I104" s="47" t="s">
        <v>735</v>
      </c>
      <c r="J104" s="48"/>
      <c r="K104" s="27"/>
      <c r="L104" s="120">
        <f>-'KPCo WS B ADIT &amp; ITC'!E18</f>
        <v>0</v>
      </c>
      <c r="M104" s="17"/>
      <c r="N104" s="6"/>
      <c r="O104" s="6"/>
      <c r="P104" s="56"/>
    </row>
    <row r="105" spans="2:16" ht="15">
      <c r="B105" s="90">
        <f t="shared" si="7"/>
        <v>225</v>
      </c>
      <c r="C105" s="42"/>
      <c r="D105" s="58" t="s">
        <v>825</v>
      </c>
      <c r="E105" s="27" t="s">
        <v>505</v>
      </c>
      <c r="F105" s="27"/>
      <c r="G105" s="120">
        <f>-'KPCo WS B ADIT &amp; ITC'!E23</f>
        <v>-162185880</v>
      </c>
      <c r="H105" s="120"/>
      <c r="I105" s="47" t="s">
        <v>737</v>
      </c>
      <c r="J105" s="48"/>
      <c r="K105" s="27"/>
      <c r="L105" s="120">
        <f>-'KPCo WS B ADIT &amp; ITC'!E26</f>
        <v>-46357239</v>
      </c>
      <c r="M105" s="17"/>
      <c r="N105" s="6"/>
      <c r="O105" s="6"/>
      <c r="P105" s="56"/>
    </row>
    <row r="106" spans="2:16" ht="15">
      <c r="B106" s="90">
        <f t="shared" si="7"/>
        <v>226</v>
      </c>
      <c r="C106" s="42"/>
      <c r="D106" s="58" t="s">
        <v>826</v>
      </c>
      <c r="E106" s="27" t="s">
        <v>506</v>
      </c>
      <c r="F106" s="27"/>
      <c r="G106" s="120">
        <f>-'KPCo WS B ADIT &amp; ITC'!E31</f>
        <v>-21654672</v>
      </c>
      <c r="H106" s="120"/>
      <c r="I106" s="47" t="s">
        <v>737</v>
      </c>
      <c r="J106" s="48"/>
      <c r="K106" s="27"/>
      <c r="L106" s="120">
        <f>-'KPCo WS B ADIT &amp; ITC'!E34</f>
        <v>-1380134</v>
      </c>
      <c r="M106" s="17"/>
      <c r="N106" s="6"/>
      <c r="O106" s="6"/>
      <c r="P106" s="56"/>
    </row>
    <row r="107" spans="2:16" ht="15">
      <c r="B107" s="90">
        <f t="shared" si="7"/>
        <v>227</v>
      </c>
      <c r="C107" s="42"/>
      <c r="D107" s="58" t="s">
        <v>827</v>
      </c>
      <c r="E107" s="27" t="s">
        <v>507</v>
      </c>
      <c r="F107" s="27"/>
      <c r="G107" s="120">
        <f>+'KPCo WS B ADIT &amp; ITC'!E39</f>
        <v>14157012</v>
      </c>
      <c r="H107" s="120"/>
      <c r="I107" s="47" t="s">
        <v>737</v>
      </c>
      <c r="J107" s="48"/>
      <c r="K107" s="27"/>
      <c r="L107" s="120">
        <f>+'KPCo WS B ADIT &amp; ITC'!E42</f>
        <v>3460421</v>
      </c>
      <c r="M107" s="17"/>
      <c r="N107" s="6"/>
      <c r="O107" s="6"/>
      <c r="P107" s="56"/>
    </row>
    <row r="108" spans="2:16" ht="15.75" thickBot="1">
      <c r="B108" s="90">
        <f t="shared" si="7"/>
        <v>228</v>
      </c>
      <c r="C108" s="42"/>
      <c r="D108" s="49" t="s">
        <v>742</v>
      </c>
      <c r="E108" s="27" t="s">
        <v>508</v>
      </c>
      <c r="F108" s="13"/>
      <c r="G108" s="121">
        <f>-+'KPCo WS B ADIT &amp; ITC'!E49</f>
        <v>0</v>
      </c>
      <c r="H108" s="120"/>
      <c r="I108" s="47" t="s">
        <v>737</v>
      </c>
      <c r="J108" s="48"/>
      <c r="K108" s="27"/>
      <c r="L108" s="121">
        <f>-+'KPCo WS B ADIT &amp; ITC'!E50</f>
        <v>0</v>
      </c>
      <c r="M108" s="50"/>
      <c r="N108" s="6"/>
      <c r="O108" s="6"/>
      <c r="P108" s="56"/>
    </row>
    <row r="109" spans="2:16" ht="15">
      <c r="B109" s="90">
        <f t="shared" si="7"/>
        <v>229</v>
      </c>
      <c r="C109" s="42"/>
      <c r="D109" s="40" t="s">
        <v>596</v>
      </c>
      <c r="E109" s="40" t="str">
        <f>"(sum lns "&amp;B104&amp;" to "&amp;B108&amp;")"</f>
        <v>(sum lns 224 to 228)</v>
      </c>
      <c r="F109" s="27"/>
      <c r="G109" s="120">
        <f>SUM(G104:G108)</f>
        <v>-201045729</v>
      </c>
      <c r="H109" s="255"/>
      <c r="I109" s="47"/>
      <c r="J109" s="302"/>
      <c r="K109" s="27"/>
      <c r="L109" s="120">
        <f>SUM(L104:L108)</f>
        <v>-44276952</v>
      </c>
      <c r="M109" s="17"/>
      <c r="N109" s="1121"/>
      <c r="O109" s="56"/>
      <c r="P109" s="56"/>
    </row>
    <row r="110" spans="2:16" ht="15">
      <c r="B110" s="90"/>
      <c r="C110" s="18"/>
      <c r="D110" s="40"/>
      <c r="E110" s="27"/>
      <c r="F110" s="27"/>
      <c r="G110" s="120"/>
      <c r="H110" s="255"/>
      <c r="I110" s="47"/>
      <c r="J110" s="299"/>
      <c r="K110" s="27"/>
      <c r="L110" s="120"/>
      <c r="M110" s="17"/>
      <c r="N110" s="56"/>
      <c r="O110" s="56"/>
      <c r="P110" s="56"/>
    </row>
    <row r="111" spans="2:16" ht="15">
      <c r="B111" s="90">
        <f>+B109+1</f>
        <v>230</v>
      </c>
      <c r="C111" s="18"/>
      <c r="D111" s="40" t="s">
        <v>840</v>
      </c>
      <c r="E111" s="27" t="str">
        <f>"(Worksheet A ln "&amp;'KPCo WS A  - RB Support '!A78&amp;".C &amp; ln "&amp;'KPCo WS A  - RB Support '!A80&amp;".C)"</f>
        <v>(Worksheet A ln 29.C &amp; ln 30.C)</v>
      </c>
      <c r="F111" s="27"/>
      <c r="G111" s="120">
        <f>+'KPCo WS A  - RB Support '!E78</f>
        <v>7436551</v>
      </c>
      <c r="H111" s="255"/>
      <c r="I111" s="47" t="s">
        <v>737</v>
      </c>
      <c r="J111" s="48"/>
      <c r="K111" s="27"/>
      <c r="L111" s="120">
        <f>+'KPCo WS A  - RB Support '!E80</f>
        <v>30592</v>
      </c>
      <c r="M111" s="17"/>
      <c r="N111" s="56"/>
      <c r="O111" s="56"/>
      <c r="P111" s="56"/>
    </row>
    <row r="112" spans="2:16" ht="15">
      <c r="B112" s="90"/>
      <c r="C112" s="18"/>
      <c r="D112" s="40"/>
      <c r="E112" s="27"/>
      <c r="F112" s="27"/>
      <c r="G112" s="120"/>
      <c r="H112" s="255"/>
      <c r="I112" s="47"/>
      <c r="J112" s="48"/>
      <c r="K112" s="27"/>
      <c r="L112" s="120"/>
      <c r="M112" s="17"/>
      <c r="N112" s="56"/>
      <c r="O112" s="56"/>
      <c r="P112" s="56"/>
    </row>
    <row r="113" spans="2:16" ht="15">
      <c r="B113" s="90">
        <f>+B111+1</f>
        <v>231</v>
      </c>
      <c r="C113" s="78"/>
      <c r="D113" s="58" t="s">
        <v>113</v>
      </c>
      <c r="E113" s="27" t="str">
        <f>"(Worksheet A ln "&amp;'KPCo WS A  - RB Support '!A89&amp;". "&amp;'KPCo WS A  - RB Support '!E6&amp;")"</f>
        <v>(Worksheet A ln 36. (C))</v>
      </c>
      <c r="F113" s="27"/>
      <c r="G113" s="120">
        <f>+'KPCo WS A  - RB Support '!E89</f>
        <v>0</v>
      </c>
      <c r="H113" s="255"/>
      <c r="I113" s="47" t="s">
        <v>737</v>
      </c>
      <c r="J113" s="27"/>
      <c r="K113" s="27"/>
      <c r="L113" s="120">
        <f>+G113</f>
        <v>0</v>
      </c>
      <c r="M113" s="27"/>
      <c r="N113" s="56"/>
      <c r="O113" s="56"/>
      <c r="P113" s="56"/>
    </row>
    <row r="114" spans="2:16" ht="15">
      <c r="B114" s="90"/>
      <c r="C114" s="18"/>
      <c r="D114" s="40"/>
      <c r="E114" s="27"/>
      <c r="F114" s="27"/>
      <c r="G114" s="120"/>
      <c r="H114" s="255"/>
      <c r="I114" s="47"/>
      <c r="J114" s="27"/>
      <c r="K114" s="27"/>
      <c r="L114" s="120"/>
      <c r="M114" s="17"/>
      <c r="N114" s="56"/>
      <c r="O114" s="56"/>
      <c r="P114" s="56"/>
    </row>
    <row r="115" spans="2:16" ht="15">
      <c r="B115" s="90">
        <f>+B113+1</f>
        <v>232</v>
      </c>
      <c r="C115" s="18"/>
      <c r="D115" s="40" t="s">
        <v>597</v>
      </c>
      <c r="E115" s="27" t="s">
        <v>388</v>
      </c>
      <c r="F115" s="27"/>
      <c r="G115" s="120"/>
      <c r="H115" s="255"/>
      <c r="I115" s="47"/>
      <c r="J115" s="27"/>
      <c r="K115" s="27"/>
      <c r="L115" s="120"/>
      <c r="M115" s="17"/>
      <c r="N115" s="56"/>
      <c r="O115" s="56"/>
      <c r="P115" s="56"/>
    </row>
    <row r="116" spans="2:16" ht="15">
      <c r="B116" s="90">
        <f aca="true" t="shared" si="8" ref="B116:B124">+B115+1</f>
        <v>233</v>
      </c>
      <c r="C116" s="42"/>
      <c r="D116" s="40" t="s">
        <v>839</v>
      </c>
      <c r="E116" s="13" t="str">
        <f>"(1/8 * ln "&amp;B152&amp;")"</f>
        <v>(1/8 * ln 253)</v>
      </c>
      <c r="F116" s="13"/>
      <c r="G116" s="120">
        <f>+G152/8</f>
        <v>617192.125</v>
      </c>
      <c r="H116" s="27"/>
      <c r="I116" s="47"/>
      <c r="J116" s="299"/>
      <c r="K116" s="27"/>
      <c r="L116" s="120">
        <f>+L152/8</f>
        <v>614933.8140414318</v>
      </c>
      <c r="M116" s="16"/>
      <c r="N116" s="56"/>
      <c r="O116" s="56"/>
      <c r="P116" s="56"/>
    </row>
    <row r="117" spans="2:16" ht="15">
      <c r="B117" s="90">
        <f t="shared" si="8"/>
        <v>234</v>
      </c>
      <c r="C117" s="208"/>
      <c r="D117" s="40" t="s">
        <v>121</v>
      </c>
      <c r="E117" s="27" t="s">
        <v>317</v>
      </c>
      <c r="F117" s="27"/>
      <c r="G117" s="120">
        <f>+'KPCo WS C  - Working Capital'!E15</f>
        <v>103391</v>
      </c>
      <c r="H117" s="756"/>
      <c r="I117" s="30" t="s">
        <v>728</v>
      </c>
      <c r="J117" s="48">
        <f aca="true" t="shared" si="9" ref="J117:J123">VLOOKUP(I117,APCo_Hist_Allocators,2,FALSE)</f>
        <v>0.9963409919422282</v>
      </c>
      <c r="K117" s="17"/>
      <c r="L117" s="105">
        <f>+J117*G117</f>
        <v>103012.69149789892</v>
      </c>
      <c r="M117" s="27"/>
      <c r="N117" s="56"/>
      <c r="O117" s="56"/>
      <c r="P117" s="56"/>
    </row>
    <row r="118" spans="2:16" ht="15">
      <c r="B118" s="90">
        <f t="shared" si="8"/>
        <v>235</v>
      </c>
      <c r="C118" s="208"/>
      <c r="D118" s="40" t="s">
        <v>122</v>
      </c>
      <c r="E118" s="27" t="s">
        <v>318</v>
      </c>
      <c r="F118" s="27"/>
      <c r="G118" s="120">
        <f>+'KPCo WS C  - Working Capital'!E17</f>
        <v>119885</v>
      </c>
      <c r="H118" s="756"/>
      <c r="I118" s="30" t="s">
        <v>740</v>
      </c>
      <c r="J118" s="48">
        <f t="shared" si="9"/>
        <v>0.08594668838210866</v>
      </c>
      <c r="K118" s="17"/>
      <c r="L118" s="105">
        <f>+J118*G118</f>
        <v>10303.718736689096</v>
      </c>
      <c r="M118" s="27"/>
      <c r="N118" s="56"/>
      <c r="O118" s="56"/>
      <c r="P118" s="56"/>
    </row>
    <row r="119" spans="2:16" ht="15">
      <c r="B119" s="90">
        <f t="shared" si="8"/>
        <v>236</v>
      </c>
      <c r="C119" s="208"/>
      <c r="D119" s="40" t="s">
        <v>442</v>
      </c>
      <c r="E119" s="27" t="s">
        <v>509</v>
      </c>
      <c r="F119" s="27"/>
      <c r="G119" s="120">
        <f>+'KPCo WS C  - Working Capital'!E19</f>
        <v>0</v>
      </c>
      <c r="H119" s="756"/>
      <c r="I119" s="30" t="s">
        <v>123</v>
      </c>
      <c r="J119" s="48">
        <f t="shared" si="9"/>
        <v>0.2768153692450695</v>
      </c>
      <c r="K119" s="17"/>
      <c r="L119" s="105">
        <f>+J119*G119</f>
        <v>0</v>
      </c>
      <c r="M119" s="27"/>
      <c r="N119" s="56"/>
      <c r="O119" s="56"/>
      <c r="P119" s="56"/>
    </row>
    <row r="120" spans="2:16" ht="15">
      <c r="B120" s="90">
        <f t="shared" si="8"/>
        <v>237</v>
      </c>
      <c r="C120" s="208"/>
      <c r="D120" s="58" t="s">
        <v>906</v>
      </c>
      <c r="E120" s="27" t="s">
        <v>510</v>
      </c>
      <c r="F120" s="27"/>
      <c r="G120" s="120">
        <f>+'KPCo WS C  - Working Capital'!J27</f>
        <v>14836181</v>
      </c>
      <c r="H120" s="255"/>
      <c r="I120" s="47" t="s">
        <v>740</v>
      </c>
      <c r="J120" s="48">
        <f t="shared" si="9"/>
        <v>0.08594668838210866</v>
      </c>
      <c r="K120" s="27"/>
      <c r="L120" s="120">
        <f>+J120*G120</f>
        <v>1275120.6251875611</v>
      </c>
      <c r="M120" s="27"/>
      <c r="N120" s="56"/>
      <c r="O120" s="56"/>
      <c r="P120" s="56"/>
    </row>
    <row r="121" spans="2:16" ht="15">
      <c r="B121" s="90">
        <f t="shared" si="8"/>
        <v>238</v>
      </c>
      <c r="C121" s="42"/>
      <c r="D121" s="40" t="s">
        <v>907</v>
      </c>
      <c r="E121" s="27" t="s">
        <v>511</v>
      </c>
      <c r="F121" s="27"/>
      <c r="G121" s="120">
        <f>+'KPCo WS C  - Working Capital'!I27</f>
        <v>922254</v>
      </c>
      <c r="H121" s="255"/>
      <c r="I121" s="47" t="s">
        <v>123</v>
      </c>
      <c r="J121" s="48">
        <f t="shared" si="9"/>
        <v>0.2768153692450695</v>
      </c>
      <c r="K121" s="27"/>
      <c r="L121" s="120">
        <f>+G121*J121</f>
        <v>255294.08154774233</v>
      </c>
      <c r="M121" s="27"/>
      <c r="N121" s="56"/>
      <c r="O121" s="56"/>
      <c r="P121" s="56"/>
    </row>
    <row r="122" spans="2:16" ht="15">
      <c r="B122" s="90">
        <f t="shared" si="8"/>
        <v>239</v>
      </c>
      <c r="C122" s="42"/>
      <c r="D122" s="40" t="s">
        <v>92</v>
      </c>
      <c r="E122" s="27" t="s">
        <v>512</v>
      </c>
      <c r="F122" s="27"/>
      <c r="G122" s="120">
        <f>+'KPCo WS C  - Working Capital'!G27</f>
        <v>0</v>
      </c>
      <c r="H122" s="255"/>
      <c r="I122" s="47" t="s">
        <v>737</v>
      </c>
      <c r="J122" s="48">
        <f t="shared" si="9"/>
        <v>1</v>
      </c>
      <c r="K122" s="27"/>
      <c r="L122" s="120">
        <f>+G122</f>
        <v>0</v>
      </c>
      <c r="M122" s="27"/>
      <c r="N122" s="56"/>
      <c r="O122" s="56"/>
      <c r="P122" s="56"/>
    </row>
    <row r="123" spans="2:16" ht="15.75" thickBot="1">
      <c r="B123" s="90">
        <f t="shared" si="8"/>
        <v>240</v>
      </c>
      <c r="C123" s="42"/>
      <c r="D123" s="40" t="s">
        <v>712</v>
      </c>
      <c r="E123" s="27" t="s">
        <v>513</v>
      </c>
      <c r="F123" s="27"/>
      <c r="G123" s="121">
        <f>+'KPCo WS C  - Working Capital'!E27</f>
        <v>-14476581</v>
      </c>
      <c r="H123" s="120"/>
      <c r="I123" s="47" t="s">
        <v>735</v>
      </c>
      <c r="J123" s="48">
        <f t="shared" si="9"/>
        <v>0</v>
      </c>
      <c r="K123" s="27"/>
      <c r="L123" s="121">
        <f>+G123*J123</f>
        <v>0</v>
      </c>
      <c r="M123" s="27"/>
      <c r="N123" s="56"/>
      <c r="O123" s="56"/>
      <c r="P123" s="56"/>
    </row>
    <row r="124" spans="2:16" ht="15">
      <c r="B124" s="90">
        <f t="shared" si="8"/>
        <v>241</v>
      </c>
      <c r="C124" s="42"/>
      <c r="D124" s="40" t="s">
        <v>581</v>
      </c>
      <c r="E124" s="40" t="str">
        <f>"(sum lns "&amp;B116&amp;" to "&amp;B123&amp;")"</f>
        <v>(sum lns 233 to 240)</v>
      </c>
      <c r="F124" s="24"/>
      <c r="G124" s="120">
        <f>SUM(G116:G123)</f>
        <v>2122322.125</v>
      </c>
      <c r="H124" s="24"/>
      <c r="I124" s="78"/>
      <c r="J124" s="24"/>
      <c r="K124" s="24"/>
      <c r="L124" s="120">
        <f>SUM(L116:L123)</f>
        <v>2258664.9310113234</v>
      </c>
      <c r="M124" s="16"/>
      <c r="N124" s="56"/>
      <c r="O124" s="56"/>
      <c r="P124" s="56"/>
    </row>
    <row r="125" spans="2:16" ht="15">
      <c r="B125" s="90"/>
      <c r="C125" s="18"/>
      <c r="D125" s="40"/>
      <c r="E125" s="16"/>
      <c r="F125" s="16"/>
      <c r="G125" s="105"/>
      <c r="H125" s="16"/>
      <c r="I125" s="18"/>
      <c r="J125" s="16"/>
      <c r="K125" s="16"/>
      <c r="L125" s="105"/>
      <c r="M125" s="16"/>
      <c r="N125" s="56"/>
      <c r="O125" s="56"/>
      <c r="P125" s="56"/>
    </row>
    <row r="126" spans="2:16" ht="15">
      <c r="B126" s="90">
        <f>+B124+1</f>
        <v>242</v>
      </c>
      <c r="C126" s="18"/>
      <c r="D126" s="58" t="s">
        <v>562</v>
      </c>
      <c r="E126" s="15" t="s">
        <v>514</v>
      </c>
      <c r="F126" s="16"/>
      <c r="G126" s="105">
        <f>+'KPCo WS D IPP Credits'!C19</f>
        <v>-236193</v>
      </c>
      <c r="H126" s="16"/>
      <c r="I126" s="130" t="s">
        <v>737</v>
      </c>
      <c r="J126" s="48">
        <f>VLOOKUP(I126,APCo_Hist_Allocators,2,FALSE)</f>
        <v>1</v>
      </c>
      <c r="K126" s="17"/>
      <c r="L126" s="105">
        <f>+J126*G126</f>
        <v>-236193</v>
      </c>
      <c r="M126" s="16"/>
      <c r="N126" s="56"/>
      <c r="O126" s="56"/>
      <c r="P126" s="56"/>
    </row>
    <row r="127" spans="2:16" ht="15.75" thickBot="1">
      <c r="B127" s="90"/>
      <c r="C127" s="11"/>
      <c r="D127" s="49"/>
      <c r="E127" s="17"/>
      <c r="F127" s="17"/>
      <c r="G127" s="106"/>
      <c r="H127" s="17"/>
      <c r="I127" s="30"/>
      <c r="J127" s="17"/>
      <c r="K127" s="17"/>
      <c r="L127" s="106"/>
      <c r="M127" s="17"/>
      <c r="N127" s="56"/>
      <c r="O127" s="56"/>
      <c r="P127" s="56"/>
    </row>
    <row r="128" spans="2:16" ht="15.75" thickBot="1">
      <c r="B128" s="90">
        <f>+B126+1</f>
        <v>243</v>
      </c>
      <c r="C128" s="18"/>
      <c r="D128" s="15" t="str">
        <f>"RATE BASE  (sum lns "&amp;B100&amp;", "&amp;B109&amp;", "&amp;B111&amp;", "&amp;B113&amp;", "&amp;B124&amp;", "&amp;B126&amp;")"</f>
        <v>RATE BASE  (sum lns 222, 229, 230, 231, 241, 242)</v>
      </c>
      <c r="E128" s="17"/>
      <c r="F128" s="17"/>
      <c r="G128" s="117">
        <f>+G124+G111+G109+G100+G126+G113</f>
        <v>871556944.125</v>
      </c>
      <c r="H128" s="17"/>
      <c r="I128" s="17"/>
      <c r="J128" s="46"/>
      <c r="K128" s="17"/>
      <c r="L128" s="117">
        <f>+L124+L111+L109+L100+L126+L113</f>
        <v>255964561.893937</v>
      </c>
      <c r="M128" s="17"/>
      <c r="N128" s="56"/>
      <c r="O128" s="56"/>
      <c r="P128" s="56"/>
    </row>
    <row r="129" spans="2:16" ht="16.5" thickTop="1">
      <c r="B129" s="90"/>
      <c r="C129" s="756"/>
      <c r="D129" s="756"/>
      <c r="E129" s="756"/>
      <c r="F129" s="756"/>
      <c r="G129" s="756"/>
      <c r="H129" s="756"/>
      <c r="I129" s="12"/>
      <c r="J129" s="12"/>
      <c r="K129" s="12"/>
      <c r="L129" s="13"/>
      <c r="M129" s="11"/>
      <c r="N129" s="56"/>
      <c r="O129" s="56"/>
      <c r="P129" s="56"/>
    </row>
    <row r="130" spans="2:16" ht="15">
      <c r="B130" s="679"/>
      <c r="C130" s="18"/>
      <c r="D130" s="15"/>
      <c r="E130" s="17"/>
      <c r="F130" s="17"/>
      <c r="G130" s="17"/>
      <c r="H130" s="17"/>
      <c r="I130" s="17"/>
      <c r="J130" s="17"/>
      <c r="K130" s="17"/>
      <c r="L130" s="17"/>
      <c r="M130" s="17"/>
      <c r="N130" s="56"/>
      <c r="O130" s="56"/>
      <c r="P130" s="56"/>
    </row>
    <row r="131" spans="2:16" ht="15">
      <c r="B131" s="679"/>
      <c r="C131" s="18"/>
      <c r="D131" s="15"/>
      <c r="E131" s="17"/>
      <c r="F131" s="30" t="str">
        <f>F47</f>
        <v>AEP East Companies </v>
      </c>
      <c r="G131" s="30"/>
      <c r="H131" s="17"/>
      <c r="I131" s="17"/>
      <c r="J131" s="17"/>
      <c r="K131" s="17"/>
      <c r="L131" s="17"/>
      <c r="M131" s="62"/>
      <c r="N131" s="56"/>
      <c r="O131" s="56"/>
      <c r="P131" s="56"/>
    </row>
    <row r="132" spans="2:16" ht="15">
      <c r="B132" s="679"/>
      <c r="C132" s="18"/>
      <c r="D132" s="15"/>
      <c r="E132" s="17"/>
      <c r="F132" s="30" t="str">
        <f>F48</f>
        <v>Transmission Cost of Service Formula Rate</v>
      </c>
      <c r="G132" s="30"/>
      <c r="H132" s="17"/>
      <c r="I132" s="17"/>
      <c r="J132" s="17"/>
      <c r="K132" s="17"/>
      <c r="L132" s="17"/>
      <c r="M132" s="62"/>
      <c r="N132" s="56"/>
      <c r="O132" s="56"/>
      <c r="P132" s="56"/>
    </row>
    <row r="133" spans="2:16" ht="15">
      <c r="B133" s="679"/>
      <c r="C133" s="18"/>
      <c r="D133" s="11"/>
      <c r="E133" s="17"/>
      <c r="F133" s="30" t="str">
        <f>F49</f>
        <v>Utilizing  Historic Cost Data for 2009 with Year-End Rate Base Balances</v>
      </c>
      <c r="G133" s="17"/>
      <c r="H133" s="17"/>
      <c r="I133" s="17"/>
      <c r="J133" s="17"/>
      <c r="K133" s="17"/>
      <c r="L133" s="17"/>
      <c r="M133" s="145"/>
      <c r="N133" s="56"/>
      <c r="O133" s="56"/>
      <c r="P133" s="56"/>
    </row>
    <row r="134" spans="2:16" ht="15">
      <c r="B134" s="679"/>
      <c r="C134" s="18"/>
      <c r="D134" s="11"/>
      <c r="E134" s="17"/>
      <c r="F134" s="30"/>
      <c r="G134" s="17"/>
      <c r="H134" s="17"/>
      <c r="I134" s="17"/>
      <c r="J134" s="17"/>
      <c r="K134" s="17"/>
      <c r="L134" s="17"/>
      <c r="M134" s="17"/>
      <c r="N134" s="56"/>
      <c r="O134" s="56"/>
      <c r="P134" s="56"/>
    </row>
    <row r="135" spans="2:16" ht="15">
      <c r="B135" s="679"/>
      <c r="C135" s="18"/>
      <c r="D135" s="11"/>
      <c r="E135" s="21"/>
      <c r="F135" s="30" t="str">
        <f>F51</f>
        <v>KENTUCKY POWER COMPANY</v>
      </c>
      <c r="G135" s="21"/>
      <c r="H135" s="83"/>
      <c r="I135" s="21"/>
      <c r="J135" s="21"/>
      <c r="K135" s="21"/>
      <c r="L135" s="11"/>
      <c r="M135" s="17"/>
      <c r="N135" s="56"/>
      <c r="O135" s="56"/>
      <c r="P135" s="56"/>
    </row>
    <row r="136" spans="2:16" ht="15">
      <c r="B136" s="679"/>
      <c r="C136" s="18"/>
      <c r="D136" s="11"/>
      <c r="E136" s="21"/>
      <c r="F136" s="30"/>
      <c r="G136" s="21"/>
      <c r="H136" s="83"/>
      <c r="I136" s="21"/>
      <c r="J136" s="21"/>
      <c r="K136" s="21"/>
      <c r="L136" s="11"/>
      <c r="M136" s="17"/>
      <c r="N136" s="56"/>
      <c r="O136" s="56"/>
      <c r="P136" s="56"/>
    </row>
    <row r="137" spans="2:16" ht="15">
      <c r="B137" s="679"/>
      <c r="C137" s="11"/>
      <c r="D137" s="18" t="s">
        <v>729</v>
      </c>
      <c r="E137" s="18" t="s">
        <v>730</v>
      </c>
      <c r="F137" s="18"/>
      <c r="G137" s="18" t="s">
        <v>731</v>
      </c>
      <c r="H137" s="27"/>
      <c r="I137" s="1146" t="s">
        <v>732</v>
      </c>
      <c r="J137" s="1111"/>
      <c r="K137" s="17"/>
      <c r="L137" s="19" t="s">
        <v>733</v>
      </c>
      <c r="M137" s="17"/>
      <c r="N137" s="1122"/>
      <c r="O137" s="56"/>
      <c r="P137" s="56"/>
    </row>
    <row r="138" spans="2:16" ht="15.75">
      <c r="B138" s="679"/>
      <c r="C138" s="11"/>
      <c r="D138" s="18"/>
      <c r="E138" s="18"/>
      <c r="F138" s="18"/>
      <c r="G138" s="18"/>
      <c r="H138" s="27"/>
      <c r="I138" s="17"/>
      <c r="J138" s="32"/>
      <c r="K138" s="17"/>
      <c r="L138" s="11"/>
      <c r="M138" s="17"/>
      <c r="N138" s="1123"/>
      <c r="O138" s="1124"/>
      <c r="P138" s="56"/>
    </row>
    <row r="139" spans="2:16" ht="15.75">
      <c r="B139" s="679"/>
      <c r="C139" s="18"/>
      <c r="D139" s="36" t="s">
        <v>704</v>
      </c>
      <c r="E139" s="33" t="str">
        <f>E55</f>
        <v>Data Sources</v>
      </c>
      <c r="F139" s="35"/>
      <c r="G139" s="17"/>
      <c r="H139" s="27"/>
      <c r="I139" s="17"/>
      <c r="J139" s="18"/>
      <c r="K139" s="17"/>
      <c r="L139" s="33" t="str">
        <f>L55</f>
        <v>Total</v>
      </c>
      <c r="M139" s="11"/>
      <c r="N139" s="1123"/>
      <c r="O139" s="1124"/>
      <c r="P139" s="56"/>
    </row>
    <row r="140" spans="2:16" ht="15.75">
      <c r="B140" s="679"/>
      <c r="C140" s="23"/>
      <c r="D140" s="52" t="s">
        <v>705</v>
      </c>
      <c r="E140" s="119" t="str">
        <f>E56</f>
        <v>(See "General Notes")</v>
      </c>
      <c r="F140" s="17"/>
      <c r="G140" s="119" t="str">
        <f>G56</f>
        <v>TO Total</v>
      </c>
      <c r="H140" s="292"/>
      <c r="I140" s="1144" t="str">
        <f>I56</f>
        <v>Allocator</v>
      </c>
      <c r="J140" s="1145"/>
      <c r="K140" s="37"/>
      <c r="L140" s="119" t="str">
        <f>L56</f>
        <v>Transmission</v>
      </c>
      <c r="M140" s="17"/>
      <c r="N140" s="1123"/>
      <c r="O140" s="1124"/>
      <c r="P140" s="56"/>
    </row>
    <row r="141" spans="2:16" ht="15.75">
      <c r="B141" s="90" t="str">
        <f>B57</f>
        <v>Line</v>
      </c>
      <c r="C141" s="11"/>
      <c r="D141" s="15"/>
      <c r="E141" s="17"/>
      <c r="F141" s="17"/>
      <c r="G141" s="52"/>
      <c r="H141" s="283"/>
      <c r="I141" s="36"/>
      <c r="J141" s="11"/>
      <c r="K141" s="53"/>
      <c r="L141" s="52"/>
      <c r="M141" s="17"/>
      <c r="N141" s="56"/>
      <c r="O141" s="56"/>
      <c r="P141" s="56"/>
    </row>
    <row r="142" spans="2:16" ht="15">
      <c r="B142" s="90" t="str">
        <f>B58</f>
        <v>No.</v>
      </c>
      <c r="C142" s="18"/>
      <c r="D142" s="15" t="s">
        <v>706</v>
      </c>
      <c r="E142" s="17"/>
      <c r="F142" s="17"/>
      <c r="G142" s="17"/>
      <c r="H142" s="27"/>
      <c r="I142" s="30"/>
      <c r="J142" s="17"/>
      <c r="K142" s="17"/>
      <c r="L142" s="17"/>
      <c r="M142" s="17"/>
      <c r="N142" s="56"/>
      <c r="O142" s="56"/>
      <c r="P142" s="56"/>
    </row>
    <row r="143" spans="2:16" ht="15">
      <c r="B143" s="90">
        <f>+B128+1</f>
        <v>244</v>
      </c>
      <c r="C143" s="18"/>
      <c r="D143" s="15" t="s">
        <v>734</v>
      </c>
      <c r="E143" s="17" t="s">
        <v>515</v>
      </c>
      <c r="F143" s="17"/>
      <c r="G143" s="134">
        <v>457856290</v>
      </c>
      <c r="H143" s="27"/>
      <c r="I143" s="30"/>
      <c r="J143" s="48"/>
      <c r="K143" s="17"/>
      <c r="L143" s="120"/>
      <c r="M143" s="17"/>
      <c r="N143" s="1106"/>
      <c r="O143" s="56"/>
      <c r="P143" s="56"/>
    </row>
    <row r="144" spans="2:16" ht="15">
      <c r="B144" s="90">
        <f>+B143+1</f>
        <v>245</v>
      </c>
      <c r="C144" s="18"/>
      <c r="D144" s="54" t="s">
        <v>738</v>
      </c>
      <c r="E144" s="17" t="s">
        <v>516</v>
      </c>
      <c r="F144" s="27"/>
      <c r="G144" s="134">
        <v>29693612</v>
      </c>
      <c r="H144" s="27"/>
      <c r="I144" s="30"/>
      <c r="J144" s="48"/>
      <c r="K144" s="17"/>
      <c r="L144" s="120"/>
      <c r="M144" s="17"/>
      <c r="N144" s="1106"/>
      <c r="O144" s="56"/>
      <c r="P144" s="56"/>
    </row>
    <row r="145" spans="2:16" ht="15">
      <c r="B145" s="90">
        <f aca="true" t="shared" si="10" ref="B145:B150">+B144+1</f>
        <v>246</v>
      </c>
      <c r="C145" s="18"/>
      <c r="D145" s="54" t="s">
        <v>29</v>
      </c>
      <c r="E145" s="17" t="s">
        <v>927</v>
      </c>
      <c r="F145" s="27"/>
      <c r="G145" s="134">
        <f>6892404+1847874+77</f>
        <v>8740355</v>
      </c>
      <c r="H145" s="27"/>
      <c r="I145" s="47"/>
      <c r="J145" s="48"/>
      <c r="K145" s="27"/>
      <c r="L145" s="120"/>
      <c r="M145" s="17"/>
      <c r="N145" s="1125"/>
      <c r="O145" s="56"/>
      <c r="P145" s="56"/>
    </row>
    <row r="146" spans="2:16" ht="15">
      <c r="B146" s="90">
        <f t="shared" si="10"/>
        <v>247</v>
      </c>
      <c r="C146" s="18"/>
      <c r="D146" s="54" t="s">
        <v>30</v>
      </c>
      <c r="E146" s="17" t="s">
        <v>239</v>
      </c>
      <c r="F146" s="27"/>
      <c r="G146" s="134">
        <v>1168311</v>
      </c>
      <c r="H146" s="27"/>
      <c r="I146" s="47"/>
      <c r="J146" s="48"/>
      <c r="K146" s="27"/>
      <c r="L146" s="120"/>
      <c r="M146" s="17"/>
      <c r="N146" s="1106"/>
      <c r="O146" s="56"/>
      <c r="P146" s="56"/>
    </row>
    <row r="147" spans="2:16" ht="15.75" thickBot="1">
      <c r="B147" s="90">
        <f t="shared" si="10"/>
        <v>248</v>
      </c>
      <c r="C147" s="18"/>
      <c r="D147" s="54" t="s">
        <v>743</v>
      </c>
      <c r="E147" s="17" t="s">
        <v>237</v>
      </c>
      <c r="F147" s="27"/>
      <c r="G147" s="135">
        <v>-821880</v>
      </c>
      <c r="H147" s="120"/>
      <c r="I147" s="756"/>
      <c r="J147" s="756"/>
      <c r="K147"/>
      <c r="L147"/>
      <c r="M147" s="16"/>
      <c r="N147" s="1126"/>
      <c r="O147" s="6"/>
      <c r="P147" s="56"/>
    </row>
    <row r="148" spans="2:16" ht="15">
      <c r="B148" s="90">
        <f t="shared" si="10"/>
        <v>249</v>
      </c>
      <c r="C148" s="18"/>
      <c r="D148" s="54" t="s">
        <v>31</v>
      </c>
      <c r="E148" s="27" t="str">
        <f>"(sum lns "&amp;B143&amp;"  to "&amp;B147&amp;")"</f>
        <v>(sum lns 244  to 248)</v>
      </c>
      <c r="F148" s="27"/>
      <c r="G148" s="120">
        <f>SUM(G143:G147)</f>
        <v>496636688</v>
      </c>
      <c r="H148" s="120"/>
      <c r="I148" s="756"/>
      <c r="J148" s="756"/>
      <c r="K148"/>
      <c r="L148"/>
      <c r="M148" s="16"/>
      <c r="N148" s="6"/>
      <c r="O148" s="6"/>
      <c r="P148" s="56"/>
    </row>
    <row r="149" spans="2:16" ht="15">
      <c r="B149" s="90">
        <f t="shared" si="10"/>
        <v>250</v>
      </c>
      <c r="C149" s="18"/>
      <c r="D149" s="54" t="s">
        <v>114</v>
      </c>
      <c r="E149" s="519" t="str">
        <f>"(Note G) (Worksheet F, ln "&amp;'KPCo WS F Misc Exp'!A31&amp;".C)"</f>
        <v>(Note G) (Worksheet F, ln 14.C)</v>
      </c>
      <c r="F149" s="27"/>
      <c r="G149" s="120">
        <f>'KPCo WS F Misc Exp'!D31</f>
        <v>2102150</v>
      </c>
      <c r="H149" s="120"/>
      <c r="I149" s="756"/>
      <c r="J149" s="756"/>
      <c r="K149"/>
      <c r="L149"/>
      <c r="M149" s="16"/>
      <c r="N149" s="6"/>
      <c r="O149" s="6"/>
      <c r="P149" s="56"/>
    </row>
    <row r="150" spans="2:16" ht="15">
      <c r="B150" s="90">
        <f t="shared" si="10"/>
        <v>251</v>
      </c>
      <c r="C150" s="18"/>
      <c r="D150" s="54" t="s">
        <v>556</v>
      </c>
      <c r="E150" s="27" t="s">
        <v>606</v>
      </c>
      <c r="F150" s="27"/>
      <c r="G150" s="134">
        <v>-7861567</v>
      </c>
      <c r="H150" s="120"/>
      <c r="I150" s="756"/>
      <c r="J150" s="756"/>
      <c r="K150"/>
      <c r="L150"/>
      <c r="M150" s="16"/>
      <c r="N150" s="1126"/>
      <c r="O150" s="6"/>
      <c r="P150" s="56"/>
    </row>
    <row r="151" spans="2:16" ht="15.75" thickBot="1">
      <c r="B151" s="90">
        <f>+B150+1</f>
        <v>252</v>
      </c>
      <c r="C151" s="78"/>
      <c r="D151" s="54" t="s">
        <v>118</v>
      </c>
      <c r="E151" s="27" t="s">
        <v>357</v>
      </c>
      <c r="F151" s="27"/>
      <c r="G151" s="121">
        <f>+'KPCo WS F Misc Exp'!D19</f>
        <v>0</v>
      </c>
      <c r="H151" s="120"/>
      <c r="I151" s="255"/>
      <c r="J151" s="255"/>
      <c r="K151"/>
      <c r="L151"/>
      <c r="M151" s="16"/>
      <c r="N151" s="6"/>
      <c r="O151" s="6"/>
      <c r="P151" s="56"/>
    </row>
    <row r="152" spans="2:16" ht="15">
      <c r="B152" s="90">
        <f>+B151+1</f>
        <v>253</v>
      </c>
      <c r="C152" s="18"/>
      <c r="D152" s="54" t="s">
        <v>227</v>
      </c>
      <c r="E152" s="17" t="str">
        <f>"(lns "&amp;B147&amp;" - "&amp;B149&amp;" - "&amp;B150&amp;" - "&amp;B151&amp;")"</f>
        <v>(lns 248 - 250 - 251 - 252)</v>
      </c>
      <c r="F152" s="54"/>
      <c r="G152" s="120">
        <f>G147-G149-G150-G151</f>
        <v>4937537</v>
      </c>
      <c r="H152" s="27"/>
      <c r="I152" s="30" t="s">
        <v>728</v>
      </c>
      <c r="J152" s="48">
        <f>VLOOKUP(I152,APCo_Hist_Allocators,2,FALSE)</f>
        <v>0.9963409919422282</v>
      </c>
      <c r="K152" s="27"/>
      <c r="L152" s="120">
        <f>+J152*G152</f>
        <v>4919470.512331454</v>
      </c>
      <c r="M152" s="24"/>
      <c r="N152" s="6"/>
      <c r="O152" s="6"/>
      <c r="P152" s="56"/>
    </row>
    <row r="153" spans="2:16" ht="15">
      <c r="B153" s="90"/>
      <c r="C153" s="18"/>
      <c r="D153" s="54"/>
      <c r="E153" s="27"/>
      <c r="F153" s="27"/>
      <c r="G153" s="759"/>
      <c r="H153" s="120"/>
      <c r="I153" s="756"/>
      <c r="J153" s="756"/>
      <c r="K153"/>
      <c r="L153"/>
      <c r="M153" s="16"/>
      <c r="N153" s="6"/>
      <c r="O153" s="6"/>
      <c r="P153" s="56"/>
    </row>
    <row r="154" spans="2:16" ht="15">
      <c r="B154" s="90">
        <f>+B152+1</f>
        <v>254</v>
      </c>
      <c r="C154" s="18"/>
      <c r="D154" s="15" t="s">
        <v>711</v>
      </c>
      <c r="E154" s="17" t="s">
        <v>358</v>
      </c>
      <c r="F154" s="17"/>
      <c r="G154" s="134">
        <v>24046450</v>
      </c>
      <c r="H154" s="120"/>
      <c r="I154" s="41"/>
      <c r="J154" s="41"/>
      <c r="K154" s="17"/>
      <c r="L154" s="105"/>
      <c r="M154" s="17"/>
      <c r="N154" s="1126"/>
      <c r="O154" s="6"/>
      <c r="P154" s="56"/>
    </row>
    <row r="155" spans="2:16" ht="15">
      <c r="B155" s="90">
        <f aca="true" t="shared" si="11" ref="B155:B164">+B154+1</f>
        <v>255</v>
      </c>
      <c r="C155" s="18"/>
      <c r="D155" s="54" t="s">
        <v>116</v>
      </c>
      <c r="E155" s="17" t="s">
        <v>240</v>
      </c>
      <c r="F155" s="17"/>
      <c r="G155" s="134">
        <v>406399</v>
      </c>
      <c r="H155" s="120"/>
      <c r="I155" s="41"/>
      <c r="J155" s="15"/>
      <c r="K155" s="17"/>
      <c r="L155" s="105"/>
      <c r="M155"/>
      <c r="N155" s="1126"/>
      <c r="O155" s="6"/>
      <c r="P155" s="56"/>
    </row>
    <row r="156" spans="2:16" ht="15">
      <c r="B156" s="90">
        <f t="shared" si="11"/>
        <v>256</v>
      </c>
      <c r="C156" s="18"/>
      <c r="D156" s="54" t="s">
        <v>383</v>
      </c>
      <c r="E156" s="17" t="s">
        <v>860</v>
      </c>
      <c r="F156" s="17"/>
      <c r="G156" s="120">
        <f>'KPCo -WS O'!G36+'KPCo -WS O'!G38</f>
        <v>4099565</v>
      </c>
      <c r="H156" s="120"/>
      <c r="I156" s="41"/>
      <c r="J156" s="15"/>
      <c r="K156" s="17"/>
      <c r="L156" s="105"/>
      <c r="M156"/>
      <c r="N156" s="6"/>
      <c r="O156" s="6"/>
      <c r="P156" s="56"/>
    </row>
    <row r="157" spans="2:16" ht="15">
      <c r="B157" s="90">
        <f t="shared" si="11"/>
        <v>257</v>
      </c>
      <c r="C157" s="18"/>
      <c r="D157" s="15" t="s">
        <v>636</v>
      </c>
      <c r="E157" s="17" t="s">
        <v>861</v>
      </c>
      <c r="F157" s="17"/>
      <c r="G157" s="120">
        <f>'KPCo -WS O'!G40</f>
        <v>-867380</v>
      </c>
      <c r="H157" s="120"/>
      <c r="I157" s="41"/>
      <c r="J157" s="15"/>
      <c r="K157" s="17"/>
      <c r="L157" s="105"/>
      <c r="M157"/>
      <c r="N157" s="6"/>
      <c r="O157" s="6"/>
      <c r="P157" s="56"/>
    </row>
    <row r="158" spans="2:16" ht="15">
      <c r="B158" s="90">
        <f t="shared" si="11"/>
        <v>258</v>
      </c>
      <c r="C158" s="18"/>
      <c r="D158" s="15" t="s">
        <v>369</v>
      </c>
      <c r="E158" s="17" t="s">
        <v>862</v>
      </c>
      <c r="F158" s="17"/>
      <c r="G158" s="120">
        <f>'KPCo -WS O'!G44</f>
        <v>297334.9856326827</v>
      </c>
      <c r="H158" s="120"/>
      <c r="I158" s="41"/>
      <c r="J158" s="15"/>
      <c r="K158" s="17"/>
      <c r="L158" s="105"/>
      <c r="M158"/>
      <c r="N158" s="6"/>
      <c r="O158" s="6"/>
      <c r="P158" s="56"/>
    </row>
    <row r="159" spans="2:16" ht="15">
      <c r="B159" s="90">
        <f t="shared" si="11"/>
        <v>259</v>
      </c>
      <c r="C159" s="18"/>
      <c r="D159" s="15" t="s">
        <v>115</v>
      </c>
      <c r="E159" s="17" t="s">
        <v>600</v>
      </c>
      <c r="F159" s="27"/>
      <c r="G159" s="134">
        <v>-496</v>
      </c>
      <c r="H159" s="120"/>
      <c r="I159" s="41"/>
      <c r="J159" s="253"/>
      <c r="K159" s="17"/>
      <c r="L159" s="105"/>
      <c r="M159" s="17"/>
      <c r="N159" s="1126"/>
      <c r="O159" s="6"/>
      <c r="P159" s="56"/>
    </row>
    <row r="160" spans="2:16" ht="15">
      <c r="B160" s="90">
        <f t="shared" si="11"/>
        <v>260</v>
      </c>
      <c r="C160" s="18"/>
      <c r="D160" s="54" t="s">
        <v>715</v>
      </c>
      <c r="E160" s="17" t="s">
        <v>601</v>
      </c>
      <c r="F160" s="27"/>
      <c r="G160" s="134">
        <v>398905</v>
      </c>
      <c r="H160" s="120"/>
      <c r="I160" s="41"/>
      <c r="J160" s="41"/>
      <c r="K160" s="17"/>
      <c r="L160" s="105"/>
      <c r="M160" s="17"/>
      <c r="N160" s="1126"/>
      <c r="O160" s="6"/>
      <c r="P160" s="56"/>
    </row>
    <row r="161" spans="2:16" ht="15.75" thickBot="1">
      <c r="B161" s="90">
        <f t="shared" si="11"/>
        <v>261</v>
      </c>
      <c r="C161" s="18"/>
      <c r="D161" s="54" t="s">
        <v>117</v>
      </c>
      <c r="E161" s="17" t="s">
        <v>602</v>
      </c>
      <c r="F161" s="27"/>
      <c r="G161" s="135">
        <v>507618</v>
      </c>
      <c r="H161" s="120"/>
      <c r="I161" s="41"/>
      <c r="J161" s="41"/>
      <c r="K161" s="17"/>
      <c r="L161" s="105"/>
      <c r="M161" s="17"/>
      <c r="N161" s="1126"/>
      <c r="O161" s="6"/>
      <c r="P161" s="56"/>
    </row>
    <row r="162" spans="2:16" ht="15">
      <c r="B162" s="90">
        <f>+B161+1</f>
        <v>262</v>
      </c>
      <c r="C162" s="18"/>
      <c r="D162" s="15" t="s">
        <v>716</v>
      </c>
      <c r="E162" s="27" t="str">
        <f>"(ln "&amp;B154&amp;" - sum ln "&amp;B155&amp;"  to ln "&amp;B161&amp;")"</f>
        <v>(ln 254 - sum ln 255  to ln 261)</v>
      </c>
      <c r="F162" s="27"/>
      <c r="G162" s="120">
        <f>G154-SUM(G155:G161)</f>
        <v>19204504.01436732</v>
      </c>
      <c r="H162" s="120"/>
      <c r="I162" s="30" t="s">
        <v>740</v>
      </c>
      <c r="J162" s="48">
        <f aca="true" t="shared" si="12" ref="J162:J167">VLOOKUP(I162,APCo_Hist_Allocators,2,FALSE)</f>
        <v>0.08594668838210866</v>
      </c>
      <c r="K162" s="17"/>
      <c r="L162" s="105">
        <f>+J162*G162</f>
        <v>1650563.5220557828</v>
      </c>
      <c r="M162" s="17"/>
      <c r="N162" s="6"/>
      <c r="O162" s="6"/>
      <c r="P162" s="56"/>
    </row>
    <row r="163" spans="2:16" ht="15">
      <c r="B163" s="90">
        <f t="shared" si="11"/>
        <v>263</v>
      </c>
      <c r="C163" s="78"/>
      <c r="D163" s="54" t="s">
        <v>829</v>
      </c>
      <c r="E163" s="27" t="str">
        <f>"(ln "&amp;B155&amp;")"</f>
        <v>(ln 255)</v>
      </c>
      <c r="F163" s="27"/>
      <c r="G163" s="120">
        <f>+G155</f>
        <v>406399</v>
      </c>
      <c r="H163" s="120"/>
      <c r="I163" s="210" t="s">
        <v>123</v>
      </c>
      <c r="J163" s="48">
        <f t="shared" si="12"/>
        <v>0.2768153692450695</v>
      </c>
      <c r="K163" s="27"/>
      <c r="L163" s="120">
        <f>+J163*G163</f>
        <v>112497.489245827</v>
      </c>
      <c r="M163" s="17"/>
      <c r="N163" s="6"/>
      <c r="O163" s="6"/>
      <c r="P163" s="56"/>
    </row>
    <row r="164" spans="2:16" ht="15">
      <c r="B164" s="90">
        <f t="shared" si="11"/>
        <v>264</v>
      </c>
      <c r="C164" s="18"/>
      <c r="D164" s="54" t="s">
        <v>7</v>
      </c>
      <c r="E164" s="27" t="e">
        <f>"Worksheet F ln "&amp;'KPCo WS F Misc Exp'!#REF!&amp;".(E) (Note L)"</f>
        <v>#REF!</v>
      </c>
      <c r="F164" s="27"/>
      <c r="G164" s="120">
        <f>+'KPCo WS F Misc Exp'!F39</f>
        <v>0</v>
      </c>
      <c r="H164" s="120"/>
      <c r="I164" s="30" t="s">
        <v>728</v>
      </c>
      <c r="J164" s="48">
        <f>VLOOKUP(I164,APCo_Proj_Allocators,2,FALSE)</f>
        <v>0.9963409919422282</v>
      </c>
      <c r="K164" s="17"/>
      <c r="L164" s="105">
        <f>J164*G164</f>
        <v>0</v>
      </c>
      <c r="M164" s="17"/>
      <c r="N164" s="6"/>
      <c r="O164" s="6"/>
      <c r="P164" s="56"/>
    </row>
    <row r="165" spans="2:16" ht="15">
      <c r="B165" s="90">
        <f>B164+1</f>
        <v>265</v>
      </c>
      <c r="C165" s="18"/>
      <c r="D165" s="54" t="s">
        <v>22</v>
      </c>
      <c r="E165" s="27" t="str">
        <f>"Worksheet F ln "&amp;'KPCo WS F Misc Exp'!A53&amp;".(E) (Note L)"</f>
        <v>Worksheet F ln 29.(E) (Note L)</v>
      </c>
      <c r="F165" s="27"/>
      <c r="G165" s="127">
        <f>+'KPCo WS F Misc Exp'!F53</f>
        <v>0</v>
      </c>
      <c r="H165" s="27"/>
      <c r="I165" s="47" t="s">
        <v>728</v>
      </c>
      <c r="J165" s="48">
        <f>VLOOKUP(I165,APCo_Proj_Allocators,2,FALSE)</f>
        <v>0.9963409919422282</v>
      </c>
      <c r="K165" s="17"/>
      <c r="L165" s="105">
        <f>+J165*G165</f>
        <v>0</v>
      </c>
      <c r="M165" s="17"/>
      <c r="N165" s="6"/>
      <c r="O165" s="6"/>
      <c r="P165" s="56"/>
    </row>
    <row r="166" spans="2:16" ht="15">
      <c r="B166" s="90">
        <f>+B165+1</f>
        <v>266</v>
      </c>
      <c r="C166" s="18"/>
      <c r="D166" s="54" t="s">
        <v>23</v>
      </c>
      <c r="E166" s="27" t="str">
        <f>"Worksheet F ln "&amp;'KPCo WS F Misc Exp'!A62&amp;".(E) (Note L)"</f>
        <v>Worksheet F ln 35.(E) (Note L)</v>
      </c>
      <c r="F166" s="27"/>
      <c r="G166" s="127">
        <f>+'KPCo WS F Misc Exp'!F62</f>
        <v>83295</v>
      </c>
      <c r="H166" s="747"/>
      <c r="I166" s="47" t="s">
        <v>737</v>
      </c>
      <c r="J166" s="48">
        <f>VLOOKUP(I166,APCo_Proj_Allocators,2,FALSE)</f>
        <v>1</v>
      </c>
      <c r="K166" s="17"/>
      <c r="L166" s="144">
        <f>+J166*G166</f>
        <v>83295</v>
      </c>
      <c r="M166" s="17"/>
      <c r="N166" s="6"/>
      <c r="O166" s="6"/>
      <c r="P166" s="56"/>
    </row>
    <row r="167" spans="2:16" ht="15.75" thickBot="1">
      <c r="B167" s="90">
        <f>+B166+1</f>
        <v>267</v>
      </c>
      <c r="C167" s="18"/>
      <c r="D167" s="54" t="s">
        <v>273</v>
      </c>
      <c r="E167" s="17" t="s">
        <v>863</v>
      </c>
      <c r="F167" s="27"/>
      <c r="G167" s="121">
        <f>'KPCo -WS O'!E23</f>
        <v>2693481</v>
      </c>
      <c r="H167" s="27"/>
      <c r="I167" s="47" t="s">
        <v>740</v>
      </c>
      <c r="J167" s="48">
        <f t="shared" si="12"/>
        <v>0.08594668838210866</v>
      </c>
      <c r="K167" s="27"/>
      <c r="L167" s="121">
        <f>+G167*J167</f>
        <v>231495.7721701304</v>
      </c>
      <c r="M167" s="27"/>
      <c r="N167" s="6"/>
      <c r="O167" s="6"/>
      <c r="P167" s="56"/>
    </row>
    <row r="168" spans="2:16" ht="15">
      <c r="B168" s="90">
        <f>+B167+1</f>
        <v>268</v>
      </c>
      <c r="C168" s="18"/>
      <c r="D168" s="15" t="s">
        <v>717</v>
      </c>
      <c r="E168" s="27" t="str">
        <f>"(sum lns "&amp;B162&amp;"  to "&amp;B167&amp;")"</f>
        <v>(sum lns 262  to 267)</v>
      </c>
      <c r="F168" s="27"/>
      <c r="G168" s="105">
        <f>SUM(G162:G167)</f>
        <v>22387679.01436732</v>
      </c>
      <c r="H168" s="120"/>
      <c r="I168" s="30"/>
      <c r="J168" s="41"/>
      <c r="K168" s="17"/>
      <c r="L168" s="105">
        <f>SUM(L162:L167)</f>
        <v>2077851.7834717403</v>
      </c>
      <c r="M168" s="17"/>
      <c r="N168" s="120"/>
      <c r="O168" s="6"/>
      <c r="P168" s="56"/>
    </row>
    <row r="169" spans="2:16" ht="15.75" thickBot="1">
      <c r="B169" s="90"/>
      <c r="C169" s="18"/>
      <c r="D169" s="54"/>
      <c r="E169" s="27"/>
      <c r="F169" s="27"/>
      <c r="G169" s="121"/>
      <c r="H169" s="27"/>
      <c r="I169" s="30"/>
      <c r="J169" s="41"/>
      <c r="K169" s="17"/>
      <c r="L169" s="106"/>
      <c r="M169" s="17"/>
      <c r="N169" s="6"/>
      <c r="O169" s="6"/>
      <c r="P169" s="56"/>
    </row>
    <row r="170" spans="2:16" ht="15">
      <c r="B170" s="90">
        <f>+B168+1</f>
        <v>269</v>
      </c>
      <c r="C170" s="78"/>
      <c r="D170" s="54" t="s">
        <v>234</v>
      </c>
      <c r="E170" s="27" t="str">
        <f>"(ln "&amp;B152&amp;" + ln "&amp;B168&amp;")"</f>
        <v>(ln 253 + ln 268)</v>
      </c>
      <c r="F170" s="27"/>
      <c r="G170" s="120">
        <f>+G152+G168</f>
        <v>27325216.01436732</v>
      </c>
      <c r="H170" s="120"/>
      <c r="I170" s="47"/>
      <c r="J170" s="27"/>
      <c r="K170" s="27"/>
      <c r="L170" s="120">
        <f>L152+L168</f>
        <v>6997322.295803195</v>
      </c>
      <c r="M170" s="17"/>
      <c r="N170" s="6"/>
      <c r="O170" s="6"/>
      <c r="P170" s="56"/>
    </row>
    <row r="171" spans="2:16" ht="15">
      <c r="B171" s="90">
        <f>+B170+1</f>
        <v>270</v>
      </c>
      <c r="C171" s="78"/>
      <c r="D171" s="54" t="s">
        <v>353</v>
      </c>
      <c r="E171" s="27" t="s">
        <v>362</v>
      </c>
      <c r="F171" s="27"/>
      <c r="G171" s="134">
        <v>-8835297</v>
      </c>
      <c r="H171" s="120"/>
      <c r="I171" s="30" t="s">
        <v>737</v>
      </c>
      <c r="J171" s="48">
        <f>VLOOKUP(I171,APCo_Hist_Allocators,2,FALSE)</f>
        <v>1</v>
      </c>
      <c r="K171" s="27"/>
      <c r="L171" s="105">
        <f>J171*G171</f>
        <v>-8835297</v>
      </c>
      <c r="M171" s="17"/>
      <c r="N171" s="1126"/>
      <c r="O171" s="6"/>
      <c r="P171" s="56"/>
    </row>
    <row r="172" spans="2:16" ht="15.75" thickBot="1">
      <c r="B172" s="90">
        <f>+B171+1</f>
        <v>271</v>
      </c>
      <c r="C172" s="78"/>
      <c r="D172" s="54" t="s">
        <v>363</v>
      </c>
      <c r="E172" s="54"/>
      <c r="F172" s="27"/>
      <c r="G172" s="135">
        <v>0</v>
      </c>
      <c r="H172" s="120"/>
      <c r="I172" s="30" t="s">
        <v>737</v>
      </c>
      <c r="J172" s="48">
        <f>VLOOKUP(I172,APCo_Hist_Allocators,2,FALSE)</f>
        <v>1</v>
      </c>
      <c r="K172" s="27"/>
      <c r="L172" s="106">
        <f>J172*G172</f>
        <v>0</v>
      </c>
      <c r="M172" s="17"/>
      <c r="N172" s="1126"/>
      <c r="O172" s="6"/>
      <c r="P172" s="56"/>
    </row>
    <row r="173" spans="2:16" ht="15">
      <c r="B173" s="90">
        <f>+B172+1</f>
        <v>272</v>
      </c>
      <c r="C173" s="18"/>
      <c r="D173" s="54" t="s">
        <v>718</v>
      </c>
      <c r="E173" s="27" t="str">
        <f>"(ln "&amp;B170&amp;" + ln "&amp;B171&amp;" + ln "&amp;B172&amp;")"</f>
        <v>(ln 269 + ln 270 + ln 271)</v>
      </c>
      <c r="F173" s="27"/>
      <c r="G173" s="120">
        <f>+G170+G171+G172</f>
        <v>18489919.01436732</v>
      </c>
      <c r="H173" s="120"/>
      <c r="I173" s="47"/>
      <c r="J173" s="27"/>
      <c r="K173" s="27"/>
      <c r="L173" s="120">
        <f>+L170+L171+L172</f>
        <v>-1837974.7041968051</v>
      </c>
      <c r="M173" s="17"/>
      <c r="N173" s="6"/>
      <c r="O173" s="6"/>
      <c r="P173" s="56"/>
    </row>
    <row r="174" spans="2:16" ht="15">
      <c r="B174" s="90"/>
      <c r="C174" s="18"/>
      <c r="D174" s="54"/>
      <c r="E174" s="17"/>
      <c r="F174" s="17"/>
      <c r="G174" s="105"/>
      <c r="H174" s="27"/>
      <c r="I174" s="17"/>
      <c r="J174" s="17"/>
      <c r="K174" s="17"/>
      <c r="L174" s="105"/>
      <c r="M174" s="17"/>
      <c r="N174" s="6"/>
      <c r="O174" s="6"/>
      <c r="P174" s="56"/>
    </row>
    <row r="175" spans="2:16" ht="15">
      <c r="B175" s="90">
        <f>+B173+1</f>
        <v>273</v>
      </c>
      <c r="C175" s="18"/>
      <c r="D175" s="40" t="s">
        <v>721</v>
      </c>
      <c r="E175" s="47"/>
      <c r="F175" s="47"/>
      <c r="G175" s="105"/>
      <c r="H175" s="27"/>
      <c r="I175" s="30"/>
      <c r="J175" s="17"/>
      <c r="K175" s="17"/>
      <c r="L175" s="105"/>
      <c r="M175" s="17"/>
      <c r="N175" s="6"/>
      <c r="O175" s="6"/>
      <c r="P175" s="56"/>
    </row>
    <row r="176" spans="2:16" ht="15">
      <c r="B176" s="90">
        <f aca="true" t="shared" si="13" ref="B176:B182">+B175+1</f>
        <v>274</v>
      </c>
      <c r="C176" s="18"/>
      <c r="D176" s="15" t="s">
        <v>734</v>
      </c>
      <c r="E176" s="319" t="s">
        <v>246</v>
      </c>
      <c r="F176" s="47"/>
      <c r="G176" s="1129">
        <f>20344274+0+0+0+0</f>
        <v>20344274</v>
      </c>
      <c r="H176" s="27"/>
      <c r="I176" s="30" t="s">
        <v>735</v>
      </c>
      <c r="J176" s="48">
        <f>VLOOKUP(I176,APCo_Hist_Allocators,2,FALSE)</f>
        <v>0</v>
      </c>
      <c r="K176" s="17"/>
      <c r="L176" s="120">
        <f>+G176*J176</f>
        <v>0</v>
      </c>
      <c r="M176" s="17"/>
      <c r="N176" s="1126"/>
      <c r="O176" s="6"/>
      <c r="P176" s="56"/>
    </row>
    <row r="177" spans="2:16" ht="15">
      <c r="B177" s="90">
        <f t="shared" si="13"/>
        <v>275</v>
      </c>
      <c r="C177" s="18"/>
      <c r="D177" s="54" t="s">
        <v>738</v>
      </c>
      <c r="E177" s="319" t="s">
        <v>245</v>
      </c>
      <c r="F177" s="47"/>
      <c r="G177" s="1129">
        <v>19366762</v>
      </c>
      <c r="H177" s="27"/>
      <c r="I177" s="30" t="s">
        <v>735</v>
      </c>
      <c r="J177" s="48">
        <f>VLOOKUP(I177,APCo_Hist_Allocators,2,FALSE)</f>
        <v>0</v>
      </c>
      <c r="K177" s="17"/>
      <c r="L177" s="120">
        <f>+G177*J177</f>
        <v>0</v>
      </c>
      <c r="M177" s="17"/>
      <c r="N177" s="1126"/>
      <c r="O177" s="6"/>
      <c r="P177" s="56"/>
    </row>
    <row r="178" spans="2:16" ht="15">
      <c r="B178" s="90">
        <f t="shared" si="13"/>
        <v>276</v>
      </c>
      <c r="C178" s="18"/>
      <c r="D178" s="43" t="str">
        <f>+D147</f>
        <v>  Transmission </v>
      </c>
      <c r="E178" s="319" t="s">
        <v>241</v>
      </c>
      <c r="F178" s="55"/>
      <c r="G178" s="1129">
        <v>7420678</v>
      </c>
      <c r="H178" s="741"/>
      <c r="I178" s="748" t="s">
        <v>559</v>
      </c>
      <c r="J178" s="48">
        <f>VLOOKUP(I178,APCo_Hist_Allocators,2,FALSE)</f>
        <v>0.9958946147744496</v>
      </c>
      <c r="K178" s="45"/>
      <c r="L178" s="118">
        <f>J178*G178</f>
        <v>7390213.258175233</v>
      </c>
      <c r="M178" s="45"/>
      <c r="N178" s="1126"/>
      <c r="O178" s="6"/>
      <c r="P178" s="56"/>
    </row>
    <row r="179" spans="2:16" ht="15.75">
      <c r="B179" s="90">
        <f>+B178+1</f>
        <v>277</v>
      </c>
      <c r="C179" s="18"/>
      <c r="D179" s="480" t="s">
        <v>349</v>
      </c>
      <c r="E179" s="44"/>
      <c r="F179" s="44"/>
      <c r="G179" s="491" t="s">
        <v>203</v>
      </c>
      <c r="H179" s="105"/>
      <c r="I179" s="30"/>
      <c r="J179" s="41"/>
      <c r="K179" s="17"/>
      <c r="L179" s="491" t="s">
        <v>203</v>
      </c>
      <c r="M179" s="45"/>
      <c r="N179" s="6"/>
      <c r="O179" s="6"/>
      <c r="P179" s="56"/>
    </row>
    <row r="180" spans="2:16" ht="15">
      <c r="B180" s="90">
        <f>+B179+1</f>
        <v>278</v>
      </c>
      <c r="C180" s="18"/>
      <c r="D180" s="40" t="s">
        <v>744</v>
      </c>
      <c r="E180" s="55" t="s">
        <v>242</v>
      </c>
      <c r="F180" s="17"/>
      <c r="G180" s="134">
        <v>802099</v>
      </c>
      <c r="H180" s="120"/>
      <c r="I180" s="30" t="s">
        <v>740</v>
      </c>
      <c r="J180" s="48">
        <f>VLOOKUP(I180,APCo_Hist_Allocators,2,FALSE)</f>
        <v>0.08594668838210866</v>
      </c>
      <c r="K180" s="17"/>
      <c r="L180" s="105">
        <f>+J180*G180</f>
        <v>68937.75280460097</v>
      </c>
      <c r="M180" s="17"/>
      <c r="N180" s="1126"/>
      <c r="O180" s="6"/>
      <c r="P180" s="56"/>
    </row>
    <row r="181" spans="2:16" ht="15.75" thickBot="1">
      <c r="B181" s="90">
        <f t="shared" si="13"/>
        <v>279</v>
      </c>
      <c r="C181" s="18"/>
      <c r="D181" s="40" t="s">
        <v>745</v>
      </c>
      <c r="E181" s="44" t="s">
        <v>243</v>
      </c>
      <c r="F181" s="27"/>
      <c r="G181" s="135">
        <v>3725967</v>
      </c>
      <c r="H181" s="120"/>
      <c r="I181" s="30" t="s">
        <v>740</v>
      </c>
      <c r="J181" s="48">
        <f>VLOOKUP(I181,APCo_Hist_Allocators,2,FALSE)</f>
        <v>0.08594668838210866</v>
      </c>
      <c r="K181" s="17"/>
      <c r="L181" s="106">
        <f>+J181*G181</f>
        <v>320234.5246710202</v>
      </c>
      <c r="M181" s="17"/>
      <c r="N181" s="1126"/>
      <c r="O181" s="6"/>
      <c r="P181" s="56"/>
    </row>
    <row r="182" spans="2:16" ht="15">
      <c r="B182" s="90">
        <f t="shared" si="13"/>
        <v>280</v>
      </c>
      <c r="C182" s="18"/>
      <c r="D182" s="40" t="s">
        <v>88</v>
      </c>
      <c r="E182" s="1101" t="str">
        <f>"(Ln "&amp;B176&amp;"+"&amp;B177&amp;"+
"&amp;B178&amp;"+"&amp;B179&amp;"+"&amp;B180&amp;"+"&amp;B181&amp;")"</f>
        <v>(Ln 274+275+
276+277+278+279)</v>
      </c>
      <c r="F182" s="17"/>
      <c r="G182" s="120">
        <f>+G176+G177+G178+G180+G181</f>
        <v>51659780</v>
      </c>
      <c r="H182" s="27"/>
      <c r="I182" s="30"/>
      <c r="J182" s="17"/>
      <c r="K182" s="17"/>
      <c r="L182" s="120">
        <f>+L176+L177+L178+L180+L181</f>
        <v>7779385.535650854</v>
      </c>
      <c r="M182" s="17"/>
      <c r="N182" s="6"/>
      <c r="O182" s="6"/>
      <c r="P182" s="56"/>
    </row>
    <row r="183" spans="2:16" ht="15">
      <c r="B183" s="90"/>
      <c r="C183" s="18"/>
      <c r="D183" s="40"/>
      <c r="E183" s="1102"/>
      <c r="F183" s="17"/>
      <c r="G183" s="105"/>
      <c r="H183" s="27"/>
      <c r="I183" s="30"/>
      <c r="J183" s="17"/>
      <c r="K183" s="17"/>
      <c r="L183" s="105"/>
      <c r="M183" s="17"/>
      <c r="N183" s="6"/>
      <c r="O183" s="6"/>
      <c r="P183" s="56"/>
    </row>
    <row r="184" spans="2:16" ht="15">
      <c r="B184" s="90">
        <f>+B182+1</f>
        <v>281</v>
      </c>
      <c r="C184" s="18"/>
      <c r="D184" s="40" t="s">
        <v>569</v>
      </c>
      <c r="E184" s="13" t="s">
        <v>244</v>
      </c>
      <c r="F184" s="11"/>
      <c r="G184" s="105"/>
      <c r="H184" s="27"/>
      <c r="I184" s="30"/>
      <c r="J184" s="17"/>
      <c r="K184" s="17"/>
      <c r="L184" s="105"/>
      <c r="M184" s="17"/>
      <c r="N184" s="630"/>
      <c r="O184" s="6"/>
      <c r="P184" s="56"/>
    </row>
    <row r="185" spans="2:16" ht="15">
      <c r="B185" s="90">
        <f aca="true" t="shared" si="14" ref="B185:B190">+B184+1</f>
        <v>282</v>
      </c>
      <c r="C185" s="18"/>
      <c r="D185" s="40" t="s">
        <v>746</v>
      </c>
      <c r="E185" s="11"/>
      <c r="F185" s="11"/>
      <c r="G185" s="105"/>
      <c r="H185" s="27"/>
      <c r="I185" s="30"/>
      <c r="J185" s="11"/>
      <c r="K185" s="17"/>
      <c r="L185" s="105"/>
      <c r="M185" s="17"/>
      <c r="N185" s="6"/>
      <c r="O185" s="6"/>
      <c r="P185" s="56"/>
    </row>
    <row r="186" spans="2:16" ht="15">
      <c r="B186" s="90">
        <f t="shared" si="14"/>
        <v>283</v>
      </c>
      <c r="C186" s="18"/>
      <c r="D186" s="40" t="s">
        <v>747</v>
      </c>
      <c r="E186" s="27" t="str">
        <f>"Worksheet H ln "&amp;'KPCo WS H Other Taxes'!A39&amp;"."&amp;'KPCo WS H Other Taxes'!I8&amp;""</f>
        <v>Worksheet H ln 21.(D)</v>
      </c>
      <c r="F186" s="17"/>
      <c r="G186" s="120">
        <f>+'KPCo WS H Other Taxes'!I39</f>
        <v>1655606</v>
      </c>
      <c r="H186" s="120"/>
      <c r="I186" s="30" t="s">
        <v>740</v>
      </c>
      <c r="J186" s="48">
        <f>VLOOKUP(I186,APCo_Hist_Allocators,2,FALSE)</f>
        <v>0.08594668838210866</v>
      </c>
      <c r="K186" s="17"/>
      <c r="L186" s="105">
        <f>+J186*G186</f>
        <v>142293.8529655494</v>
      </c>
      <c r="M186" s="50"/>
      <c r="N186" s="6"/>
      <c r="O186" s="6"/>
      <c r="P186" s="56"/>
    </row>
    <row r="187" spans="2:16" ht="15">
      <c r="B187" s="90">
        <f t="shared" si="14"/>
        <v>284</v>
      </c>
      <c r="C187" s="18"/>
      <c r="D187" s="40" t="s">
        <v>748</v>
      </c>
      <c r="E187" s="27" t="s">
        <v>722</v>
      </c>
      <c r="F187" s="17"/>
      <c r="G187" s="120"/>
      <c r="H187" s="120"/>
      <c r="I187" s="30"/>
      <c r="J187" s="11"/>
      <c r="K187" s="17"/>
      <c r="L187" s="105"/>
      <c r="M187" s="27"/>
      <c r="N187" s="6"/>
      <c r="O187" s="6"/>
      <c r="P187" s="56"/>
    </row>
    <row r="188" spans="2:16" ht="15">
      <c r="B188" s="90">
        <f t="shared" si="14"/>
        <v>285</v>
      </c>
      <c r="C188" s="78"/>
      <c r="D188" s="58" t="s">
        <v>749</v>
      </c>
      <c r="E188" s="27" t="str">
        <f>"Worksheet H ln "&amp;'KPCo WS H Other Taxes'!A39&amp;".(C) &amp; ln "&amp;'KPCo WS H Other Taxes'!A60&amp;"."&amp;'KPCo WS H Other Taxes'!G8&amp;""</f>
        <v>Worksheet H ln 21.(C) &amp; ln 35.(C)</v>
      </c>
      <c r="F188" s="27"/>
      <c r="G188" s="120">
        <f>+'KPCo WS H Other Taxes'!G39</f>
        <v>9619712</v>
      </c>
      <c r="H188" s="120"/>
      <c r="I188" s="47" t="s">
        <v>737</v>
      </c>
      <c r="J188" s="48"/>
      <c r="K188" s="27"/>
      <c r="L188" s="630">
        <f>+'KPCo WS H Other Taxes'!G60</f>
        <v>3618146.62857503</v>
      </c>
      <c r="M188" s="685"/>
      <c r="N188" s="630"/>
      <c r="O188" s="6"/>
      <c r="P188" s="56"/>
    </row>
    <row r="189" spans="2:16" ht="15">
      <c r="B189" s="90">
        <f t="shared" si="14"/>
        <v>286</v>
      </c>
      <c r="C189" s="18"/>
      <c r="D189" s="40" t="s">
        <v>833</v>
      </c>
      <c r="E189" s="27" t="str">
        <f>"Worksheet H ln "&amp;'KPCo WS H Other Taxes'!A39&amp;"."&amp;'KPCo WS H Other Taxes'!M8&amp;""</f>
        <v>Worksheet H ln 21.(F)</v>
      </c>
      <c r="F189" s="17"/>
      <c r="G189" s="120">
        <f>+'KPCo WS H Other Taxes'!M39</f>
        <v>-371606</v>
      </c>
      <c r="H189" s="255"/>
      <c r="I189" s="30" t="s">
        <v>735</v>
      </c>
      <c r="J189" s="48">
        <f>VLOOKUP(I189,APCo_Hist_Allocators,2,FALSE)</f>
        <v>0</v>
      </c>
      <c r="K189" s="17"/>
      <c r="L189" s="105">
        <f>+J189*G189</f>
        <v>0</v>
      </c>
      <c r="M189" s="27"/>
      <c r="N189" s="6"/>
      <c r="O189" s="6"/>
      <c r="P189" s="56"/>
    </row>
    <row r="190" spans="2:16" ht="15.75" thickBot="1">
      <c r="B190" s="90">
        <f t="shared" si="14"/>
        <v>287</v>
      </c>
      <c r="C190" s="18"/>
      <c r="D190" s="40" t="s">
        <v>750</v>
      </c>
      <c r="E190" s="27" t="str">
        <f>"Worksheet H ln "&amp;'KPCo WS H Other Taxes'!A39&amp;"."&amp;'KPCo WS H Other Taxes'!K8&amp;""</f>
        <v>Worksheet H ln 21.(E)</v>
      </c>
      <c r="F190" s="17"/>
      <c r="G190" s="121">
        <f>+'KPCo WS H Other Taxes'!K39</f>
        <v>778850</v>
      </c>
      <c r="H190" s="255"/>
      <c r="I190" s="30" t="s">
        <v>123</v>
      </c>
      <c r="J190" s="48">
        <f>VLOOKUP(I190,APCo_Hist_Allocators,2,FALSE)</f>
        <v>0.2768153692450695</v>
      </c>
      <c r="K190" s="17"/>
      <c r="L190" s="106">
        <f>+J190*G190</f>
        <v>215597.65033652238</v>
      </c>
      <c r="M190" s="27"/>
      <c r="N190" s="6"/>
      <c r="O190" s="6"/>
      <c r="P190" s="56"/>
    </row>
    <row r="191" spans="2:16" ht="15">
      <c r="B191" s="90">
        <f>+B190+1</f>
        <v>288</v>
      </c>
      <c r="C191" s="18"/>
      <c r="D191" s="40" t="s">
        <v>570</v>
      </c>
      <c r="E191" s="103" t="str">
        <f>"(sum lns "&amp;B186&amp;" to "&amp;B190&amp;")"</f>
        <v>(sum lns 283 to 287)</v>
      </c>
      <c r="F191" s="17"/>
      <c r="G191" s="120">
        <f>SUM(G186:G190)</f>
        <v>11682562</v>
      </c>
      <c r="H191" s="27"/>
      <c r="I191" s="30"/>
      <c r="J191" s="29"/>
      <c r="K191" s="17"/>
      <c r="L191" s="105">
        <f>SUM(L186:L190)</f>
        <v>3976038.131877102</v>
      </c>
      <c r="M191" s="17"/>
      <c r="N191" s="6"/>
      <c r="O191" s="6"/>
      <c r="P191" s="56"/>
    </row>
    <row r="192" spans="2:16" ht="15">
      <c r="B192" s="90"/>
      <c r="C192" s="18"/>
      <c r="D192" s="40"/>
      <c r="E192" s="17"/>
      <c r="F192" s="17"/>
      <c r="G192" s="17"/>
      <c r="H192" s="27"/>
      <c r="I192" s="30"/>
      <c r="J192" s="29"/>
      <c r="K192" s="17"/>
      <c r="L192" s="17"/>
      <c r="M192" s="482"/>
      <c r="N192" s="6"/>
      <c r="O192" s="6"/>
      <c r="P192" s="56"/>
    </row>
    <row r="193" spans="2:16" ht="15">
      <c r="B193" s="90">
        <f>+B191+1</f>
        <v>289</v>
      </c>
      <c r="C193" s="18"/>
      <c r="D193" s="40" t="s">
        <v>125</v>
      </c>
      <c r="E193" s="27" t="s">
        <v>247</v>
      </c>
      <c r="F193" s="61"/>
      <c r="G193" s="17"/>
      <c r="H193" s="756"/>
      <c r="I193" s="21"/>
      <c r="J193" s="11"/>
      <c r="K193" s="17"/>
      <c r="L193" s="492"/>
      <c r="M193" s="17"/>
      <c r="N193" s="6"/>
      <c r="O193" s="6"/>
      <c r="P193" s="56"/>
    </row>
    <row r="194" spans="2:16" ht="15">
      <c r="B194" s="90">
        <f aca="true" t="shared" si="15" ref="B194:B199">+B193+1</f>
        <v>290</v>
      </c>
      <c r="C194" s="18"/>
      <c r="D194" s="57" t="s">
        <v>126</v>
      </c>
      <c r="E194" s="17"/>
      <c r="F194" s="520"/>
      <c r="G194" s="441">
        <f>IF(F337&gt;0,1-(((1-F338)*(1-F337))/(1-F338*F337*F339)),0)</f>
        <v>0.38204499999999997</v>
      </c>
      <c r="H194" s="760"/>
      <c r="I194" s="760"/>
      <c r="J194" s="11"/>
      <c r="K194" s="493"/>
      <c r="L194" s="492"/>
      <c r="M194" s="17"/>
      <c r="N194" s="6"/>
      <c r="O194" s="6"/>
      <c r="P194" s="56"/>
    </row>
    <row r="195" spans="2:16" ht="15">
      <c r="B195" s="90">
        <f t="shared" si="15"/>
        <v>291</v>
      </c>
      <c r="C195" s="18"/>
      <c r="D195" s="49" t="s">
        <v>127</v>
      </c>
      <c r="E195" s="17"/>
      <c r="F195" s="520"/>
      <c r="G195" s="441">
        <f>IF(L255&gt;0,($G194/(1-$G194))*(1-$L255/$L258),0)</f>
        <v>0.36041606606507814</v>
      </c>
      <c r="H195" s="760"/>
      <c r="I195" s="760"/>
      <c r="J195" s="11"/>
      <c r="K195" s="493"/>
      <c r="L195" s="492"/>
      <c r="M195" s="17"/>
      <c r="N195" s="6"/>
      <c r="O195" s="6"/>
      <c r="P195" s="56"/>
    </row>
    <row r="196" spans="2:16" ht="15">
      <c r="B196" s="90">
        <f t="shared" si="15"/>
        <v>292</v>
      </c>
      <c r="C196" s="18"/>
      <c r="D196" s="58" t="str">
        <f>"       where WCLTD=(ln "&amp;B255&amp;") and WACC = (ln "&amp;B258&amp;")"</f>
        <v>       where WCLTD=(ln 327) and WACC = (ln 330)</v>
      </c>
      <c r="E196" s="27"/>
      <c r="F196" s="749"/>
      <c r="G196" s="17"/>
      <c r="H196" s="760"/>
      <c r="I196" s="760"/>
      <c r="J196" s="750"/>
      <c r="K196" s="493"/>
      <c r="L196" s="483"/>
      <c r="M196" s="17"/>
      <c r="N196" s="6"/>
      <c r="O196" s="6"/>
      <c r="P196" s="56"/>
    </row>
    <row r="197" spans="2:16" ht="15">
      <c r="B197" s="90">
        <f t="shared" si="15"/>
        <v>293</v>
      </c>
      <c r="C197" s="18"/>
      <c r="D197" s="40" t="s">
        <v>251</v>
      </c>
      <c r="E197" s="752"/>
      <c r="F197" s="520"/>
      <c r="G197" s="17"/>
      <c r="H197" s="756"/>
      <c r="I197" s="21"/>
      <c r="J197" s="750"/>
      <c r="K197" s="493"/>
      <c r="L197" s="492"/>
      <c r="M197" s="17"/>
      <c r="N197" s="6"/>
      <c r="O197" s="6"/>
      <c r="P197" s="56"/>
    </row>
    <row r="198" spans="2:16" ht="15">
      <c r="B198" s="90">
        <f t="shared" si="15"/>
        <v>294</v>
      </c>
      <c r="C198" s="18"/>
      <c r="D198" s="59" t="str">
        <f>"      GRCF=1 / (1 - T)  = (from ln "&amp;B194&amp;")"</f>
        <v>      GRCF=1 / (1 - T)  = (from ln 290)</v>
      </c>
      <c r="E198" s="61"/>
      <c r="F198" s="61"/>
      <c r="G198" s="442">
        <f>IF(G194&gt;0,1/(1-G194),0)</f>
        <v>1.6182408104149977</v>
      </c>
      <c r="H198" s="756"/>
      <c r="I198" s="126"/>
      <c r="J198" s="753"/>
      <c r="K198" s="159"/>
      <c r="L198" s="484"/>
      <c r="M198" s="17"/>
      <c r="N198" s="6"/>
      <c r="O198" s="6"/>
      <c r="P198" s="56"/>
    </row>
    <row r="199" spans="2:16" ht="15">
      <c r="B199" s="90">
        <f t="shared" si="15"/>
        <v>295</v>
      </c>
      <c r="C199" s="18"/>
      <c r="D199" s="40" t="s">
        <v>128</v>
      </c>
      <c r="E199" s="41" t="s">
        <v>397</v>
      </c>
      <c r="F199" s="61"/>
      <c r="G199" s="134">
        <v>-821956</v>
      </c>
      <c r="H199" s="756"/>
      <c r="I199" s="126"/>
      <c r="J199" s="754"/>
      <c r="K199" s="159"/>
      <c r="L199" s="160"/>
      <c r="M199" s="30"/>
      <c r="N199" s="1126"/>
      <c r="O199" s="6"/>
      <c r="P199" s="56"/>
    </row>
    <row r="200" spans="2:16" ht="15">
      <c r="B200" s="90"/>
      <c r="C200" s="18"/>
      <c r="D200" s="40"/>
      <c r="E200" s="17"/>
      <c r="F200" s="520"/>
      <c r="G200" s="105"/>
      <c r="H200" s="756"/>
      <c r="I200" s="126"/>
      <c r="J200" s="751"/>
      <c r="K200" s="159"/>
      <c r="L200" s="492"/>
      <c r="M200" s="17"/>
      <c r="N200" s="6"/>
      <c r="O200" s="6"/>
      <c r="P200" s="56"/>
    </row>
    <row r="201" spans="2:16" ht="15">
      <c r="B201" s="90">
        <f>+B199+1</f>
        <v>296</v>
      </c>
      <c r="C201" s="18"/>
      <c r="D201" s="57" t="s">
        <v>129</v>
      </c>
      <c r="E201" s="60" t="str">
        <f>"(ln "&amp;B195&amp;" * ln "&amp;B205&amp;")"</f>
        <v>(ln 291 * ln 299)</v>
      </c>
      <c r="F201" s="161"/>
      <c r="G201" s="105">
        <f>+G195*G205</f>
        <v>27249727.2418636</v>
      </c>
      <c r="H201" s="756"/>
      <c r="I201" s="126"/>
      <c r="J201" s="751"/>
      <c r="K201" s="105"/>
      <c r="L201" s="105">
        <f>+L205*G195</f>
        <v>8002878.689923599</v>
      </c>
      <c r="M201" s="17"/>
      <c r="N201" s="6"/>
      <c r="O201" s="6"/>
      <c r="P201" s="56"/>
    </row>
    <row r="202" spans="2:16" ht="15.75" thickBot="1">
      <c r="B202" s="90">
        <f>+B201+1</f>
        <v>297</v>
      </c>
      <c r="C202" s="18"/>
      <c r="D202" s="49" t="s">
        <v>130</v>
      </c>
      <c r="E202" s="60" t="str">
        <f>"(ln "&amp;B198&amp;" * ln "&amp;B199&amp;")"</f>
        <v>(ln 294 * ln 295)</v>
      </c>
      <c r="F202" s="60"/>
      <c r="G202" s="106">
        <f>G198*G199</f>
        <v>-1330122.7435654697</v>
      </c>
      <c r="H202" s="756"/>
      <c r="I202" s="201" t="s">
        <v>124</v>
      </c>
      <c r="J202" s="48">
        <f>VLOOKUP(I202,APCo_Hist_Allocators,2,FALSE)</f>
        <v>0.28044207727599524</v>
      </c>
      <c r="K202" s="105"/>
      <c r="L202" s="106">
        <f>+G202*J202</f>
        <v>-373022.3852375463</v>
      </c>
      <c r="M202" s="17"/>
      <c r="N202" s="6"/>
      <c r="O202" s="6"/>
      <c r="P202" s="56"/>
    </row>
    <row r="203" spans="2:16" ht="15">
      <c r="B203" s="90">
        <f>+B202+1</f>
        <v>298</v>
      </c>
      <c r="C203" s="18"/>
      <c r="D203" s="57" t="s">
        <v>571</v>
      </c>
      <c r="E203" s="17" t="str">
        <f>"(sum lns "&amp;B201&amp;" to "&amp;B202&amp;")"</f>
        <v>(sum lns 296 to 297)</v>
      </c>
      <c r="F203" s="60"/>
      <c r="G203" s="129">
        <f>SUM(G201:G202)</f>
        <v>25919604.49829813</v>
      </c>
      <c r="H203" s="756"/>
      <c r="I203" s="126" t="s">
        <v>722</v>
      </c>
      <c r="J203" s="755"/>
      <c r="K203" s="105"/>
      <c r="L203" s="129">
        <f>SUM(L201:L202)</f>
        <v>7629856.304686053</v>
      </c>
      <c r="M203" s="17"/>
      <c r="N203" s="6"/>
      <c r="O203" s="6"/>
      <c r="P203" s="56"/>
    </row>
    <row r="204" spans="2:16" ht="15">
      <c r="B204" s="90"/>
      <c r="C204" s="18"/>
      <c r="D204" s="40"/>
      <c r="E204" s="17"/>
      <c r="F204" s="17"/>
      <c r="G204" s="17"/>
      <c r="H204" s="27"/>
      <c r="I204" s="30"/>
      <c r="J204" s="29"/>
      <c r="K204" s="17"/>
      <c r="L204" s="17"/>
      <c r="M204" s="17"/>
      <c r="N204" s="6"/>
      <c r="O204" s="6"/>
      <c r="P204" s="56"/>
    </row>
    <row r="205" spans="2:16" ht="15">
      <c r="B205" s="90">
        <f>+B203+1</f>
        <v>299</v>
      </c>
      <c r="C205" s="18"/>
      <c r="D205" s="59" t="s">
        <v>832</v>
      </c>
      <c r="E205" s="59" t="str">
        <f>"(ln "&amp;B128&amp;" * ln "&amp;B258&amp;")"</f>
        <v>(ln 243 * ln 330)</v>
      </c>
      <c r="F205" s="46"/>
      <c r="G205" s="105">
        <f>+$L258*G128</f>
        <v>75606305.62163475</v>
      </c>
      <c r="H205" s="27"/>
      <c r="I205" s="126"/>
      <c r="J205" s="105"/>
      <c r="K205" s="105"/>
      <c r="L205" s="105">
        <f>+L258*L128</f>
        <v>22204555.910331056</v>
      </c>
      <c r="M205" s="17"/>
      <c r="N205" s="1127"/>
      <c r="O205" s="1127"/>
      <c r="P205" s="56"/>
    </row>
    <row r="206" spans="2:16" ht="15">
      <c r="B206" s="90"/>
      <c r="C206" s="18"/>
      <c r="D206" s="57"/>
      <c r="E206" s="11"/>
      <c r="F206" s="11"/>
      <c r="G206" s="105"/>
      <c r="H206" s="105"/>
      <c r="I206" s="126"/>
      <c r="J206" s="126"/>
      <c r="K206" s="105"/>
      <c r="L206" s="105"/>
      <c r="M206" s="17"/>
      <c r="N206" s="56"/>
      <c r="O206" s="56"/>
      <c r="P206" s="56"/>
    </row>
    <row r="207" spans="2:16" ht="15">
      <c r="B207" s="90">
        <f>+B205+1</f>
        <v>300</v>
      </c>
      <c r="C207" s="18"/>
      <c r="D207" s="740" t="s">
        <v>605</v>
      </c>
      <c r="E207" s="11"/>
      <c r="F207" s="55"/>
      <c r="G207" s="120">
        <f>-'KPCo WS D IPP Credits'!C11</f>
        <v>8298</v>
      </c>
      <c r="H207" s="120"/>
      <c r="I207" s="130" t="s">
        <v>737</v>
      </c>
      <c r="J207" s="48">
        <f>VLOOKUP(I207,APCo_Hist_Allocators,2,FALSE)</f>
        <v>1</v>
      </c>
      <c r="K207" s="118"/>
      <c r="L207" s="105">
        <f>+J207*G207</f>
        <v>8298</v>
      </c>
      <c r="M207" s="45"/>
      <c r="N207" s="56"/>
      <c r="O207" s="56"/>
      <c r="P207" s="56"/>
    </row>
    <row r="208" spans="2:16" ht="15">
      <c r="B208" s="90"/>
      <c r="C208" s="18"/>
      <c r="D208" s="740"/>
      <c r="E208" s="11"/>
      <c r="F208" s="55"/>
      <c r="G208" s="120"/>
      <c r="H208" s="120"/>
      <c r="I208" s="130"/>
      <c r="J208" s="48"/>
      <c r="K208" s="118"/>
      <c r="L208" s="105"/>
      <c r="M208" s="45"/>
      <c r="N208" s="56"/>
      <c r="O208" s="56"/>
      <c r="P208" s="56"/>
    </row>
    <row r="209" spans="2:16" ht="15">
      <c r="B209" s="90">
        <f>+B207+1</f>
        <v>301</v>
      </c>
      <c r="C209" s="18"/>
      <c r="D209" s="740" t="str">
        <f>"(Gains) / Losses on Sales of Plant Held for Future Use (Worksheet N, ln "&amp;'KPCo WS N - Sale of Plant Held'!A31&amp;", Cols. ("&amp;'KPCo WS N - Sale of Plant Held'!O10&amp;" &amp; "&amp;'KPCo WS N - Sale of Plant Held'!S10&amp;")"</f>
        <v>(Gains) / Losses on Sales of Plant Held for Future Use (Worksheet N, ln 4, Cols. ((F) &amp; (H))</v>
      </c>
      <c r="E209" s="13"/>
      <c r="F209" s="44"/>
      <c r="G209" s="120">
        <f>+'KPCo WS N - Sale of Plant Held'!O31</f>
        <v>0</v>
      </c>
      <c r="H209" s="120"/>
      <c r="I209" s="598"/>
      <c r="J209" s="48"/>
      <c r="K209" s="286"/>
      <c r="L209" s="120">
        <f>'KPCo WS N - Sale of Plant Held'!S31</f>
        <v>0</v>
      </c>
      <c r="M209" s="279"/>
      <c r="N209" s="56"/>
      <c r="O209" s="56"/>
      <c r="P209" s="56"/>
    </row>
    <row r="210" spans="2:16" ht="15">
      <c r="B210" s="90"/>
      <c r="C210" s="18"/>
      <c r="D210" s="740"/>
      <c r="E210" s="13"/>
      <c r="F210" s="44"/>
      <c r="G210" s="120"/>
      <c r="H210" s="120"/>
      <c r="I210" s="598"/>
      <c r="J210" s="48"/>
      <c r="K210" s="286"/>
      <c r="L210" s="120"/>
      <c r="M210" s="279"/>
      <c r="N210" s="56"/>
      <c r="O210" s="56"/>
      <c r="P210" s="56"/>
    </row>
    <row r="211" spans="2:16" ht="15">
      <c r="B211" s="90">
        <f>+B209+1</f>
        <v>302</v>
      </c>
      <c r="C211" s="18"/>
      <c r="D211" s="740" t="str">
        <f>" Tax Impact on Net Loss / (Gain) on Sales of Plant Held for Future Use (ln "&amp;B209&amp;" * ln"&amp;B195&amp;")"</f>
        <v> Tax Impact on Net Loss / (Gain) on Sales of Plant Held for Future Use (ln 301 * ln291)</v>
      </c>
      <c r="E211" s="13"/>
      <c r="F211" s="44"/>
      <c r="G211" s="120">
        <f>-+G195*G209</f>
        <v>0</v>
      </c>
      <c r="H211" s="120"/>
      <c r="I211" s="598"/>
      <c r="J211" s="48"/>
      <c r="K211" s="286"/>
      <c r="L211" s="120">
        <f>L209*-G195</f>
        <v>0</v>
      </c>
      <c r="M211" s="279"/>
      <c r="N211" s="56"/>
      <c r="O211" s="56"/>
      <c r="P211" s="56"/>
    </row>
    <row r="212" spans="2:16" ht="15.75" thickBot="1">
      <c r="B212" s="90"/>
      <c r="C212" s="18"/>
      <c r="D212" s="40"/>
      <c r="E212" s="11"/>
      <c r="F212" s="11"/>
      <c r="G212" s="106"/>
      <c r="H212" s="140"/>
      <c r="I212" s="126"/>
      <c r="J212" s="126"/>
      <c r="K212" s="105"/>
      <c r="L212" s="106"/>
      <c r="M212" s="17"/>
      <c r="N212" s="56"/>
      <c r="O212" s="56"/>
      <c r="P212" s="56"/>
    </row>
    <row r="213" spans="2:16" ht="15.75" thickBot="1">
      <c r="B213" s="90">
        <f>+B211+1</f>
        <v>303</v>
      </c>
      <c r="C213" s="18"/>
      <c r="D213" s="11" t="s">
        <v>32</v>
      </c>
      <c r="E213" s="11"/>
      <c r="F213" s="11"/>
      <c r="G213" s="158">
        <f>+G207+G205+G203+G191+G182+G173+G209+G211</f>
        <v>183366469.1343002</v>
      </c>
      <c r="H213" s="11"/>
      <c r="I213" s="11"/>
      <c r="J213" s="11"/>
      <c r="K213" s="11"/>
      <c r="L213" s="158">
        <f>+L207+L205+L203+L191+L182+L173+L209+L211</f>
        <v>39760159.178348266</v>
      </c>
      <c r="M213" s="17"/>
      <c r="N213" s="56"/>
      <c r="O213" s="56"/>
      <c r="P213" s="56"/>
    </row>
    <row r="214" spans="2:16" ht="15.75" thickTop="1">
      <c r="B214" s="90"/>
      <c r="C214" s="18"/>
      <c r="D214" s="15" t="str">
        <f>"    (sum lns "&amp;B173&amp;", "&amp;B182&amp;", "&amp;B191&amp;", "&amp;B203&amp;", "&amp;B205&amp;", "&amp;B207&amp;", "&amp;B209&amp;", "&amp;B211&amp;")"</f>
        <v>    (sum lns 272, 280, 288, 298, 299, 300, 301, 302)</v>
      </c>
      <c r="E214" s="11"/>
      <c r="F214" s="123"/>
      <c r="G214" s="11"/>
      <c r="H214" s="11"/>
      <c r="I214" s="11"/>
      <c r="J214" s="11"/>
      <c r="K214" s="11"/>
      <c r="L214" s="11"/>
      <c r="M214" s="17"/>
      <c r="N214" s="56"/>
      <c r="O214" s="56"/>
      <c r="P214" s="56"/>
    </row>
    <row r="215" spans="2:16" ht="15">
      <c r="B215" s="90"/>
      <c r="C215" s="18"/>
      <c r="D215" s="11"/>
      <c r="E215" s="11"/>
      <c r="F215" s="123"/>
      <c r="G215" s="11"/>
      <c r="H215" s="11"/>
      <c r="I215" s="11"/>
      <c r="J215" s="11"/>
      <c r="K215" s="11"/>
      <c r="L215" s="11"/>
      <c r="M215" s="17"/>
      <c r="N215" s="56"/>
      <c r="O215" s="56"/>
      <c r="P215" s="56"/>
    </row>
    <row r="216" spans="2:16" ht="15">
      <c r="B216" s="90"/>
      <c r="C216" s="18"/>
      <c r="D216" s="15"/>
      <c r="E216" s="11"/>
      <c r="F216" s="21" t="str">
        <f>F131</f>
        <v>AEP East Companies </v>
      </c>
      <c r="G216" s="11"/>
      <c r="H216" s="11"/>
      <c r="I216" s="11"/>
      <c r="J216" s="11"/>
      <c r="K216" s="11"/>
      <c r="L216" s="11"/>
      <c r="M216" s="62"/>
      <c r="N216" s="56"/>
      <c r="O216" s="56"/>
      <c r="P216" s="56"/>
    </row>
    <row r="217" spans="2:16" ht="15">
      <c r="B217" s="90"/>
      <c r="C217" s="18"/>
      <c r="D217" s="15"/>
      <c r="E217" s="11"/>
      <c r="F217" s="21" t="str">
        <f>F132</f>
        <v>Transmission Cost of Service Formula Rate</v>
      </c>
      <c r="G217" s="11"/>
      <c r="H217" s="11"/>
      <c r="I217" s="11"/>
      <c r="J217" s="11"/>
      <c r="K217" s="11"/>
      <c r="L217" s="11"/>
      <c r="M217" s="62"/>
      <c r="N217" s="56"/>
      <c r="O217" s="56"/>
      <c r="P217" s="56"/>
    </row>
    <row r="218" spans="2:16" ht="15">
      <c r="B218" s="11"/>
      <c r="C218" s="18"/>
      <c r="D218" s="11"/>
      <c r="E218" s="11"/>
      <c r="F218" s="21" t="str">
        <f>F133</f>
        <v>Utilizing  Historic Cost Data for 2009 with Year-End Rate Base Balances</v>
      </c>
      <c r="G218" s="11"/>
      <c r="H218" s="11"/>
      <c r="I218" s="11"/>
      <c r="J218" s="11"/>
      <c r="K218" s="11"/>
      <c r="M218" s="145"/>
      <c r="N218" s="56"/>
      <c r="O218" s="56"/>
      <c r="P218" s="56"/>
    </row>
    <row r="219" spans="2:16" ht="15">
      <c r="B219" s="90"/>
      <c r="C219" s="18"/>
      <c r="E219" s="21"/>
      <c r="F219" s="21"/>
      <c r="G219" s="21"/>
      <c r="H219" s="21"/>
      <c r="I219" s="21"/>
      <c r="J219" s="21"/>
      <c r="K219" s="21"/>
      <c r="M219" s="17"/>
      <c r="N219" s="56"/>
      <c r="O219" s="56"/>
      <c r="P219" s="56"/>
    </row>
    <row r="220" spans="2:16" ht="15">
      <c r="B220" s="90"/>
      <c r="C220" s="18"/>
      <c r="D220" s="11"/>
      <c r="E220" s="15"/>
      <c r="F220" s="21" t="str">
        <f>F135</f>
        <v>KENTUCKY POWER COMPANY</v>
      </c>
      <c r="G220" s="15"/>
      <c r="H220" s="15"/>
      <c r="I220" s="15"/>
      <c r="J220" s="15"/>
      <c r="K220" s="15"/>
      <c r="L220" s="15"/>
      <c r="M220" s="15"/>
      <c r="N220" s="56"/>
      <c r="O220" s="56"/>
      <c r="P220" s="56"/>
    </row>
    <row r="221" spans="2:16" ht="15">
      <c r="B221" s="90"/>
      <c r="C221" s="18"/>
      <c r="D221" s="11"/>
      <c r="E221" s="15"/>
      <c r="F221" s="21"/>
      <c r="G221" s="15"/>
      <c r="H221" s="15"/>
      <c r="I221" s="15"/>
      <c r="J221" s="15"/>
      <c r="K221" s="15"/>
      <c r="L221" s="15"/>
      <c r="M221" s="15"/>
      <c r="N221" s="56"/>
      <c r="O221" s="56"/>
      <c r="P221" s="56"/>
    </row>
    <row r="222" spans="2:16" ht="15.75">
      <c r="B222" s="90"/>
      <c r="C222" s="18"/>
      <c r="D222" s="11"/>
      <c r="F222" s="36" t="s">
        <v>576</v>
      </c>
      <c r="G222" s="11"/>
      <c r="H222" s="16"/>
      <c r="I222" s="16"/>
      <c r="J222" s="16"/>
      <c r="K222" s="16"/>
      <c r="L222" s="16"/>
      <c r="M222" s="17"/>
      <c r="N222" s="56"/>
      <c r="O222" s="56"/>
      <c r="P222" s="56"/>
    </row>
    <row r="223" spans="2:16" ht="6.75" customHeight="1">
      <c r="B223" s="90"/>
      <c r="C223" s="18"/>
      <c r="D223" s="38"/>
      <c r="E223" s="16"/>
      <c r="F223" s="16"/>
      <c r="G223" s="16"/>
      <c r="H223" s="16"/>
      <c r="I223" s="16"/>
      <c r="J223" s="16"/>
      <c r="K223" s="16"/>
      <c r="L223" s="16"/>
      <c r="M223" s="17"/>
      <c r="N223" s="56"/>
      <c r="O223" s="56"/>
      <c r="P223" s="56"/>
    </row>
    <row r="224" spans="2:16" ht="15.75">
      <c r="B224" s="90" t="s">
        <v>724</v>
      </c>
      <c r="C224" s="18"/>
      <c r="D224" s="38"/>
      <c r="E224" s="16"/>
      <c r="F224" s="16"/>
      <c r="G224" s="16"/>
      <c r="H224" s="16"/>
      <c r="I224" s="16"/>
      <c r="J224" s="16"/>
      <c r="K224" s="16"/>
      <c r="L224" s="16"/>
      <c r="M224" s="17"/>
      <c r="N224" s="56"/>
      <c r="O224" s="56"/>
      <c r="P224" s="56"/>
    </row>
    <row r="225" spans="2:16" ht="15.75" thickBot="1">
      <c r="B225" s="91" t="s">
        <v>725</v>
      </c>
      <c r="C225" s="23"/>
      <c r="D225" s="54" t="s">
        <v>919</v>
      </c>
      <c r="E225" s="24"/>
      <c r="F225" s="24"/>
      <c r="G225" s="24"/>
      <c r="H225" s="24"/>
      <c r="I225" s="24"/>
      <c r="J225" s="24"/>
      <c r="K225" s="13"/>
      <c r="L225" s="11"/>
      <c r="M225" s="17"/>
      <c r="N225" s="56"/>
      <c r="O225" s="56"/>
      <c r="P225" s="146"/>
    </row>
    <row r="226" spans="2:16" ht="15">
      <c r="B226" s="90">
        <f>+B213+1</f>
        <v>304</v>
      </c>
      <c r="C226" s="18"/>
      <c r="D226" s="24" t="s">
        <v>774</v>
      </c>
      <c r="E226" s="143" t="str">
        <f>"(ln "&amp;B61&amp;")"</f>
        <v>(ln 185)</v>
      </c>
      <c r="F226" s="68"/>
      <c r="H226" s="69"/>
      <c r="I226" s="69"/>
      <c r="J226" s="69"/>
      <c r="K226" s="69"/>
      <c r="L226" s="127">
        <f>+G61</f>
        <v>438744866</v>
      </c>
      <c r="M226" s="17"/>
      <c r="N226" s="56"/>
      <c r="O226" s="56"/>
      <c r="P226" s="146"/>
    </row>
    <row r="227" spans="2:16" ht="15">
      <c r="B227" s="90">
        <f>+B226+1</f>
        <v>305</v>
      </c>
      <c r="C227" s="18"/>
      <c r="D227" s="24" t="s">
        <v>248</v>
      </c>
      <c r="E227" s="70"/>
      <c r="F227" s="70"/>
      <c r="G227" s="71"/>
      <c r="H227" s="70"/>
      <c r="I227" s="70"/>
      <c r="J227" s="70"/>
      <c r="K227" s="70"/>
      <c r="L227" s="673"/>
      <c r="M227" s="17"/>
      <c r="N227" s="56"/>
      <c r="O227" s="56"/>
      <c r="P227" s="146"/>
    </row>
    <row r="228" spans="2:16" ht="15.75" thickBot="1">
      <c r="B228" s="90">
        <f>+B227+1</f>
        <v>306</v>
      </c>
      <c r="C228" s="18"/>
      <c r="D228" s="68" t="str">
        <f>"  Less transmission plant included in OATT Ancillary Services (Worksheet A, ln "&amp;'KPCo WS A  - RB Support '!A62&amp;", Col. "&amp;'KPCo WS A  - RB Support '!E6&amp;")  (Note Q)"</f>
        <v>  Less transmission plant included in OATT Ancillary Services (Worksheet A, ln 23, Col. (C))  (Note Q)</v>
      </c>
      <c r="E228" s="68"/>
      <c r="F228" s="68"/>
      <c r="G228" s="39"/>
      <c r="H228" s="69"/>
      <c r="I228" s="69"/>
      <c r="J228" s="39"/>
      <c r="K228" s="69"/>
      <c r="L228" s="213">
        <f>+'KPCo WS A  - RB Support '!E62</f>
        <v>1605371</v>
      </c>
      <c r="M228" s="17"/>
      <c r="N228" s="56"/>
      <c r="O228" s="56"/>
      <c r="P228" s="146"/>
    </row>
    <row r="229" spans="2:16" ht="15">
      <c r="B229" s="90">
        <f>+B228+1</f>
        <v>307</v>
      </c>
      <c r="C229" s="18"/>
      <c r="D229" s="24" t="s">
        <v>920</v>
      </c>
      <c r="E229" s="122" t="str">
        <f>"(ln "&amp;B226&amp;" - ln "&amp;B227&amp;" - ln "&amp;B228&amp;")"</f>
        <v>(ln 304 - ln 305 - ln 306)</v>
      </c>
      <c r="F229" s="68"/>
      <c r="H229" s="69"/>
      <c r="I229" s="69"/>
      <c r="J229" s="39"/>
      <c r="K229" s="69"/>
      <c r="L229" s="127">
        <f>L226-L227-L228</f>
        <v>437139495</v>
      </c>
      <c r="M229" s="17"/>
      <c r="N229" s="56"/>
      <c r="O229" s="56"/>
      <c r="P229" s="146"/>
    </row>
    <row r="230" spans="2:16" ht="15">
      <c r="B230" s="90"/>
      <c r="C230" s="18"/>
      <c r="D230" s="13"/>
      <c r="E230" s="68"/>
      <c r="F230" s="68"/>
      <c r="G230" s="39"/>
      <c r="H230" s="69"/>
      <c r="I230" s="69"/>
      <c r="J230" s="39"/>
      <c r="K230" s="69"/>
      <c r="L230" s="70"/>
      <c r="M230" s="17"/>
      <c r="N230" s="56"/>
      <c r="O230" s="56"/>
      <c r="P230" s="146"/>
    </row>
    <row r="231" spans="2:16" ht="15.75">
      <c r="B231" s="90">
        <f>+B229+1</f>
        <v>308</v>
      </c>
      <c r="C231" s="18"/>
      <c r="D231" s="24" t="s">
        <v>921</v>
      </c>
      <c r="E231" s="73" t="str">
        <f>"(ln "&amp;B229&amp;" / ln "&amp;B226&amp;")"</f>
        <v>(ln 307 / ln 304)</v>
      </c>
      <c r="F231" s="72"/>
      <c r="H231" s="74"/>
      <c r="I231" s="75"/>
      <c r="J231" s="75"/>
      <c r="K231" s="76" t="s">
        <v>751</v>
      </c>
      <c r="L231" s="77">
        <f>IF(L226&gt;0,L229/L226,0)</f>
        <v>0.9963409919422282</v>
      </c>
      <c r="M231" s="17"/>
      <c r="N231" s="56"/>
      <c r="O231" s="56"/>
      <c r="P231" s="146"/>
    </row>
    <row r="232" spans="2:16" ht="15.75">
      <c r="B232" s="90"/>
      <c r="C232" s="18"/>
      <c r="D232" s="67"/>
      <c r="E232" s="24"/>
      <c r="F232" s="24"/>
      <c r="G232" s="142"/>
      <c r="H232" s="24"/>
      <c r="I232" s="78"/>
      <c r="J232" s="24"/>
      <c r="K232" s="24"/>
      <c r="L232" s="16"/>
      <c r="M232" s="17"/>
      <c r="N232" s="56"/>
      <c r="O232" s="56"/>
      <c r="P232" s="56"/>
    </row>
    <row r="233" spans="2:16" ht="30">
      <c r="B233" s="90">
        <f>B231+1</f>
        <v>309</v>
      </c>
      <c r="C233" s="78"/>
      <c r="D233" s="54" t="s">
        <v>577</v>
      </c>
      <c r="E233" s="47" t="s">
        <v>131</v>
      </c>
      <c r="F233" s="47" t="s">
        <v>813</v>
      </c>
      <c r="G233" s="209" t="s">
        <v>912</v>
      </c>
      <c r="H233" s="204" t="s">
        <v>726</v>
      </c>
      <c r="I233" s="30"/>
      <c r="J233" s="17"/>
      <c r="K233" s="17"/>
      <c r="L233" s="17"/>
      <c r="M233" s="17"/>
      <c r="N233" s="56"/>
      <c r="O233" s="56"/>
      <c r="P233" s="56"/>
    </row>
    <row r="234" spans="2:16" ht="15">
      <c r="B234" s="90">
        <f aca="true" t="shared" si="16" ref="B234:B239">+B233+1</f>
        <v>310</v>
      </c>
      <c r="C234" s="78"/>
      <c r="D234" s="54" t="s">
        <v>734</v>
      </c>
      <c r="E234" s="17" t="s">
        <v>254</v>
      </c>
      <c r="F234" s="602">
        <v>9541025</v>
      </c>
      <c r="G234" s="602">
        <v>2878391</v>
      </c>
      <c r="H234" s="205">
        <f>+F234+G234</f>
        <v>12419416</v>
      </c>
      <c r="I234" s="30" t="s">
        <v>735</v>
      </c>
      <c r="J234" s="48">
        <f>VLOOKUP(I234,APCo_Hist_Allocators,2,FALSE)</f>
        <v>0</v>
      </c>
      <c r="K234" s="80"/>
      <c r="L234" s="105">
        <f>(F234+G234)*J234</f>
        <v>0</v>
      </c>
      <c r="M234" s="17"/>
      <c r="N234" s="1106"/>
      <c r="O234" s="1106"/>
      <c r="P234" s="56"/>
    </row>
    <row r="235" spans="2:16" ht="15">
      <c r="B235" s="90">
        <f t="shared" si="16"/>
        <v>311</v>
      </c>
      <c r="C235" s="78"/>
      <c r="D235" s="58" t="s">
        <v>736</v>
      </c>
      <c r="E235" s="27" t="s">
        <v>518</v>
      </c>
      <c r="F235" s="602">
        <v>1320732</v>
      </c>
      <c r="G235" s="602">
        <v>1123582</v>
      </c>
      <c r="H235" s="205">
        <f>+F235+G235</f>
        <v>2444314</v>
      </c>
      <c r="I235" s="78" t="s">
        <v>728</v>
      </c>
      <c r="J235" s="48">
        <f>VLOOKUP(I235,APCo_Hist_Allocators,2,FALSE)</f>
        <v>0.9963409919422282</v>
      </c>
      <c r="K235" s="80"/>
      <c r="L235" s="105">
        <f>(F235+G235)*J235</f>
        <v>2435370.2353782756</v>
      </c>
      <c r="M235" s="17"/>
      <c r="N235" s="1106"/>
      <c r="O235" s="1106"/>
      <c r="P235" s="56"/>
    </row>
    <row r="236" spans="2:16" ht="15">
      <c r="B236" s="90">
        <f t="shared" si="16"/>
        <v>312</v>
      </c>
      <c r="C236" s="78"/>
      <c r="D236" s="58" t="s">
        <v>930</v>
      </c>
      <c r="E236" s="17" t="s">
        <v>319</v>
      </c>
      <c r="F236" s="602">
        <v>0</v>
      </c>
      <c r="G236" s="602">
        <v>0</v>
      </c>
      <c r="H236" s="205">
        <v>0</v>
      </c>
      <c r="I236" s="30" t="s">
        <v>735</v>
      </c>
      <c r="J236" s="48">
        <f>VLOOKUP(I236,APCo_Proj_Allocators,2,FALSE)</f>
        <v>0</v>
      </c>
      <c r="K236" s="80"/>
      <c r="L236" s="105">
        <f>(F236+G236)*J236</f>
        <v>0</v>
      </c>
      <c r="M236" s="17"/>
      <c r="N236" s="1106"/>
      <c r="O236" s="1106"/>
      <c r="P236" s="56"/>
    </row>
    <row r="237" spans="2:16" ht="15">
      <c r="B237" s="90">
        <f t="shared" si="16"/>
        <v>313</v>
      </c>
      <c r="C237" s="78"/>
      <c r="D237" s="58" t="s">
        <v>738</v>
      </c>
      <c r="E237" s="17" t="s">
        <v>252</v>
      </c>
      <c r="F237" s="602">
        <v>8965083</v>
      </c>
      <c r="G237" s="602">
        <v>782203</v>
      </c>
      <c r="H237" s="205">
        <f>+F237+G237</f>
        <v>9747286</v>
      </c>
      <c r="I237" s="30" t="s">
        <v>735</v>
      </c>
      <c r="J237" s="48">
        <f>VLOOKUP(I237,APCo_Hist_Allocators,2,FALSE)</f>
        <v>0</v>
      </c>
      <c r="K237" s="80"/>
      <c r="L237" s="105">
        <f>(F237+G237)*J237</f>
        <v>0</v>
      </c>
      <c r="M237" s="17"/>
      <c r="N237" s="1106"/>
      <c r="O237" s="1106"/>
      <c r="P237" s="56"/>
    </row>
    <row r="238" spans="2:16" ht="15.75" thickBot="1">
      <c r="B238" s="90">
        <f t="shared" si="16"/>
        <v>314</v>
      </c>
      <c r="C238" s="78"/>
      <c r="D238" s="58" t="s">
        <v>834</v>
      </c>
      <c r="E238" s="17" t="s">
        <v>253</v>
      </c>
      <c r="F238" s="603">
        <f>1433061+395458+0</f>
        <v>1828519</v>
      </c>
      <c r="G238" s="603">
        <v>1896289</v>
      </c>
      <c r="H238" s="206">
        <f>+F238+G238</f>
        <v>3724808</v>
      </c>
      <c r="I238" s="30" t="s">
        <v>735</v>
      </c>
      <c r="J238" s="48">
        <f>VLOOKUP(I238,APCo_Hist_Allocators,2,FALSE)</f>
        <v>0</v>
      </c>
      <c r="K238" s="80"/>
      <c r="L238" s="106">
        <f>(F238+G238)*J238</f>
        <v>0</v>
      </c>
      <c r="M238" s="17"/>
      <c r="N238" s="1106"/>
      <c r="O238" s="1106"/>
      <c r="P238" s="56"/>
    </row>
    <row r="239" spans="2:16" ht="15.75">
      <c r="B239" s="90">
        <f t="shared" si="16"/>
        <v>315</v>
      </c>
      <c r="C239" s="78"/>
      <c r="D239" s="58" t="s">
        <v>726</v>
      </c>
      <c r="E239" s="58" t="str">
        <f>"(sum lns "&amp;B234&amp;" to "&amp;B238&amp;")"</f>
        <v>(sum lns 310 to 314)</v>
      </c>
      <c r="F239" s="27">
        <f>SUM(F234:F238)</f>
        <v>21655359</v>
      </c>
      <c r="G239" s="27">
        <f>SUM(G234:G238)</f>
        <v>6680465</v>
      </c>
      <c r="H239" s="27">
        <f>SUM(H234:H238)</f>
        <v>28335824</v>
      </c>
      <c r="I239" s="30"/>
      <c r="J239" s="17"/>
      <c r="K239" s="17"/>
      <c r="L239" s="105">
        <f>SUM(L234:L238)</f>
        <v>2435370.2353782756</v>
      </c>
      <c r="M239" s="33"/>
      <c r="N239" s="56"/>
      <c r="O239" s="56"/>
      <c r="P239" s="56"/>
    </row>
    <row r="240" spans="2:16" ht="15">
      <c r="B240" s="90"/>
      <c r="C240" s="78"/>
      <c r="D240" s="58" t="s">
        <v>722</v>
      </c>
      <c r="E240" s="27" t="s">
        <v>722</v>
      </c>
      <c r="F240" s="27"/>
      <c r="G240" s="13"/>
      <c r="H240" s="27"/>
      <c r="I240" s="141"/>
      <c r="M240" s="11"/>
      <c r="N240" s="56"/>
      <c r="O240" s="56"/>
      <c r="P240" s="56"/>
    </row>
    <row r="241" spans="2:16" ht="15.75">
      <c r="B241" s="90">
        <f>B239+1</f>
        <v>316</v>
      </c>
      <c r="C241" s="18"/>
      <c r="D241" s="40" t="s">
        <v>579</v>
      </c>
      <c r="E241" s="27"/>
      <c r="F241" s="27"/>
      <c r="G241" s="27"/>
      <c r="H241" s="27"/>
      <c r="I241" s="141"/>
      <c r="K241" s="124" t="s">
        <v>580</v>
      </c>
      <c r="L241" s="125">
        <f>L239/(F239+G239)</f>
        <v>0.08594668838210866</v>
      </c>
      <c r="M241" s="11"/>
      <c r="N241" s="56"/>
      <c r="O241" s="56"/>
      <c r="P241" s="56"/>
    </row>
    <row r="242" spans="2:16" ht="15">
      <c r="B242" s="90"/>
      <c r="C242" s="18"/>
      <c r="D242" s="40"/>
      <c r="E242" s="27"/>
      <c r="F242" s="27"/>
      <c r="G242" s="27"/>
      <c r="H242" s="27"/>
      <c r="I242" s="30"/>
      <c r="J242" s="17"/>
      <c r="K242" s="17"/>
      <c r="L242" s="17"/>
      <c r="M242" s="17"/>
      <c r="N242" s="56"/>
      <c r="O242" s="56"/>
      <c r="P242" s="56"/>
    </row>
    <row r="243" spans="2:16" ht="15.75">
      <c r="B243" s="90"/>
      <c r="C243" s="18"/>
      <c r="D243" s="40"/>
      <c r="E243" s="123"/>
      <c r="F243" s="17"/>
      <c r="G243" s="11"/>
      <c r="H243" s="17"/>
      <c r="I243" s="17"/>
      <c r="J243" s="17"/>
      <c r="K243" s="37"/>
      <c r="L243" s="79"/>
      <c r="M243" s="17"/>
      <c r="N243" s="56"/>
      <c r="O243" s="56"/>
      <c r="P243" s="56"/>
    </row>
    <row r="244" spans="2:16" ht="15.75" thickBot="1">
      <c r="B244" s="90">
        <f>+B241+1</f>
        <v>317</v>
      </c>
      <c r="C244" s="78"/>
      <c r="D244" s="58" t="s">
        <v>831</v>
      </c>
      <c r="E244" s="27"/>
      <c r="F244" s="27"/>
      <c r="G244" s="27"/>
      <c r="H244" s="27"/>
      <c r="I244" s="27"/>
      <c r="J244" s="27"/>
      <c r="K244" s="27"/>
      <c r="L244" s="211" t="s">
        <v>752</v>
      </c>
      <c r="M244" s="17"/>
      <c r="N244" s="56"/>
      <c r="O244" s="56"/>
      <c r="P244" s="56"/>
    </row>
    <row r="245" spans="2:16" ht="15">
      <c r="B245" s="90">
        <f aca="true" t="shared" si="17" ref="B245:B252">+B244+1</f>
        <v>318</v>
      </c>
      <c r="C245" s="78"/>
      <c r="D245" s="27" t="s">
        <v>917</v>
      </c>
      <c r="E245" s="14" t="str">
        <f>"(Worksheet L, ln. "&amp;'KPCo WS L Cost of Debt'!A52&amp;", col. "&amp;'KPCo WS L Cost of Debt'!E8&amp;")"</f>
        <v>(Worksheet L, ln. 35, col. (D))</v>
      </c>
      <c r="F245" s="27"/>
      <c r="G245" s="27"/>
      <c r="H245" s="27"/>
      <c r="I245" s="27"/>
      <c r="J245" s="27"/>
      <c r="K245" s="27"/>
      <c r="L245" s="120">
        <f>+'KPCo WS L Cost of Debt'!E52</f>
        <v>35539453</v>
      </c>
      <c r="M245" s="17"/>
      <c r="N245" s="56"/>
      <c r="O245" s="56"/>
      <c r="P245" s="56"/>
    </row>
    <row r="246" spans="2:16" ht="15">
      <c r="B246" s="90">
        <f t="shared" si="17"/>
        <v>319</v>
      </c>
      <c r="C246" s="78"/>
      <c r="D246" s="27" t="s">
        <v>918</v>
      </c>
      <c r="E246" s="14" t="str">
        <f>"(Worksheet L, ln. "&amp;'KPCo WS L Cost of Debt'!A59&amp;", col. "&amp;'KPCo WS L Cost of Debt'!E8&amp;")"</f>
        <v>(Worksheet L, ln. 40, col. (D))</v>
      </c>
      <c r="F246" s="27"/>
      <c r="G246" s="27"/>
      <c r="H246" s="27"/>
      <c r="I246" s="27"/>
      <c r="J246" s="27"/>
      <c r="K246" s="27"/>
      <c r="L246" s="120">
        <f>+'KPCo WS L Cost of Debt'!E59</f>
        <v>0</v>
      </c>
      <c r="M246" s="17"/>
      <c r="N246" s="56"/>
      <c r="O246" s="56"/>
      <c r="P246" s="56"/>
    </row>
    <row r="247" spans="2:16" ht="15">
      <c r="B247" s="90">
        <f t="shared" si="17"/>
        <v>320</v>
      </c>
      <c r="C247" s="78"/>
      <c r="D247" s="291" t="s">
        <v>24</v>
      </c>
      <c r="E247" s="27"/>
      <c r="F247" s="27"/>
      <c r="G247" s="27"/>
      <c r="H247" s="146"/>
      <c r="I247" s="27"/>
      <c r="J247" s="27"/>
      <c r="K247" s="27"/>
      <c r="L247" s="120"/>
      <c r="M247" s="17"/>
      <c r="N247" s="56"/>
      <c r="O247" s="56"/>
      <c r="P247" s="56"/>
    </row>
    <row r="248" spans="2:16" ht="15">
      <c r="B248" s="90">
        <f t="shared" si="17"/>
        <v>321</v>
      </c>
      <c r="C248" s="78"/>
      <c r="D248" s="27" t="s">
        <v>25</v>
      </c>
      <c r="E248" s="14" t="s">
        <v>390</v>
      </c>
      <c r="F248" s="27"/>
      <c r="G248" s="24"/>
      <c r="H248" s="255"/>
      <c r="I248" s="27"/>
      <c r="J248" s="27"/>
      <c r="K248" s="27"/>
      <c r="L248" s="134">
        <v>431783697</v>
      </c>
      <c r="M248" s="17"/>
      <c r="N248" s="1106"/>
      <c r="O248" s="56"/>
      <c r="P248" s="56"/>
    </row>
    <row r="249" spans="2:16" ht="15">
      <c r="B249" s="90">
        <f t="shared" si="17"/>
        <v>322</v>
      </c>
      <c r="C249" s="78"/>
      <c r="D249" s="27" t="s">
        <v>192</v>
      </c>
      <c r="E249" s="14" t="s">
        <v>391</v>
      </c>
      <c r="F249" s="27"/>
      <c r="G249" s="27"/>
      <c r="H249" s="255"/>
      <c r="I249" s="27"/>
      <c r="J249" s="27"/>
      <c r="K249" s="27"/>
      <c r="L249" s="134">
        <v>0</v>
      </c>
      <c r="M249" s="17"/>
      <c r="N249" s="1106"/>
      <c r="O249" s="56"/>
      <c r="P249" s="56"/>
    </row>
    <row r="250" spans="2:16" ht="15">
      <c r="B250" s="90">
        <f>+B249+1</f>
        <v>323</v>
      </c>
      <c r="C250" s="78"/>
      <c r="D250" s="27" t="s">
        <v>183</v>
      </c>
      <c r="E250" s="14" t="s">
        <v>520</v>
      </c>
      <c r="F250" s="27"/>
      <c r="G250" s="27"/>
      <c r="H250" s="255"/>
      <c r="I250" s="27"/>
      <c r="J250" s="27"/>
      <c r="K250" s="27"/>
      <c r="L250" s="134">
        <v>0</v>
      </c>
      <c r="M250" s="17"/>
      <c r="N250" s="1106"/>
      <c r="O250" s="56"/>
      <c r="P250" s="56"/>
    </row>
    <row r="251" spans="2:16" ht="15.75" thickBot="1">
      <c r="B251" s="90">
        <f t="shared" si="17"/>
        <v>324</v>
      </c>
      <c r="C251" s="78"/>
      <c r="D251" s="27" t="s">
        <v>189</v>
      </c>
      <c r="E251" s="14" t="s">
        <v>392</v>
      </c>
      <c r="F251" s="27"/>
      <c r="G251" s="27"/>
      <c r="H251" s="255"/>
      <c r="I251" s="27"/>
      <c r="J251" s="302"/>
      <c r="K251" s="27"/>
      <c r="L251" s="135">
        <v>-600942</v>
      </c>
      <c r="M251" s="17"/>
      <c r="N251" s="1106"/>
      <c r="O251" s="56"/>
      <c r="P251" s="56"/>
    </row>
    <row r="252" spans="2:16" ht="15">
      <c r="B252" s="90">
        <f t="shared" si="17"/>
        <v>325</v>
      </c>
      <c r="C252" s="78"/>
      <c r="D252" s="14" t="s">
        <v>26</v>
      </c>
      <c r="E252" s="27" t="str">
        <f>"(ln "&amp;B248&amp;" - ln "&amp;B249&amp;" - ln "&amp;B250&amp;" - ln "&amp;B251&amp;")"</f>
        <v>(ln 321 - ln 322 - ln 323 - ln 324)</v>
      </c>
      <c r="F252" s="256"/>
      <c r="G252" s="56"/>
      <c r="H252" s="24"/>
      <c r="I252" s="24"/>
      <c r="J252" s="24"/>
      <c r="K252" s="24"/>
      <c r="L252" s="120">
        <f>+L248-L249-L250-L251</f>
        <v>432384639</v>
      </c>
      <c r="M252" s="17"/>
      <c r="N252" s="56"/>
      <c r="O252" s="56"/>
      <c r="P252" s="56"/>
    </row>
    <row r="253" spans="2:16" ht="15.75">
      <c r="B253" s="90"/>
      <c r="C253" s="78"/>
      <c r="D253" s="58"/>
      <c r="E253" s="27"/>
      <c r="F253" s="27"/>
      <c r="G253" s="1115"/>
      <c r="H253" s="1115"/>
      <c r="I253" s="519"/>
      <c r="J253" s="876" t="s">
        <v>753</v>
      </c>
      <c r="K253" s="27"/>
      <c r="L253" s="27"/>
      <c r="M253" s="17"/>
      <c r="N253" s="56"/>
      <c r="O253" s="56"/>
      <c r="P253" s="56"/>
    </row>
    <row r="254" spans="2:21" ht="15.75" thickBot="1">
      <c r="B254" s="90">
        <f>+B252+1</f>
        <v>326</v>
      </c>
      <c r="C254" s="78"/>
      <c r="D254" s="58"/>
      <c r="F254" s="27"/>
      <c r="G254" s="257" t="s">
        <v>752</v>
      </c>
      <c r="H254" s="257" t="s">
        <v>754</v>
      </c>
      <c r="I254" s="519"/>
      <c r="J254" s="878" t="s">
        <v>250</v>
      </c>
      <c r="K254" s="27"/>
      <c r="L254" s="257" t="s">
        <v>755</v>
      </c>
      <c r="M254" s="17"/>
      <c r="N254" s="1119"/>
      <c r="O254" s="1119"/>
      <c r="P254" s="1119"/>
      <c r="Q254" s="31"/>
      <c r="R254" s="31"/>
      <c r="S254" s="31"/>
      <c r="T254" s="31"/>
      <c r="U254" s="31"/>
    </row>
    <row r="255" spans="2:21" ht="15">
      <c r="B255" s="90">
        <f>+B254+1</f>
        <v>327</v>
      </c>
      <c r="C255" s="78"/>
      <c r="D255" s="58" t="str">
        <f>"  Long Term Debt  (Note T) Worksheet L, ln "&amp;'KPCo WS L Cost of Debt'!A52&amp;", col. "&amp;'KPCo WS L Cost of Debt'!C8&amp;")"</f>
        <v>  Long Term Debt  (Note T) Worksheet L, ln 35, col. (B))</v>
      </c>
      <c r="F255" s="27"/>
      <c r="G255" s="120">
        <f>+'KPCo WS L Cost of Debt'!C52</f>
        <v>550000000</v>
      </c>
      <c r="H255" s="879">
        <f>IF($G$258&gt;0,G255/$G$258,0)</f>
        <v>0.5598621743107284</v>
      </c>
      <c r="I255" s="780"/>
      <c r="J255" s="882">
        <f>IF(G255&gt;0,L245/G255,0)</f>
        <v>0.06461718727272728</v>
      </c>
      <c r="K255" s="13"/>
      <c r="L255" s="883">
        <f>J255*H255</f>
        <v>0.036176718964352615</v>
      </c>
      <c r="M255" s="81"/>
      <c r="N255" s="1119"/>
      <c r="O255" s="1119"/>
      <c r="P255" s="1119"/>
      <c r="Q255" s="31"/>
      <c r="R255" s="31"/>
      <c r="S255" s="31"/>
      <c r="T255" s="31"/>
      <c r="U255" s="31"/>
    </row>
    <row r="256" spans="2:16" ht="15">
      <c r="B256" s="90">
        <f>+B255+1</f>
        <v>328</v>
      </c>
      <c r="C256" s="78"/>
      <c r="D256" s="58" t="str">
        <f>"  Preferred Stock (ln "&amp;B249&amp;")"</f>
        <v>  Preferred Stock (ln 322)</v>
      </c>
      <c r="F256" s="13"/>
      <c r="G256" s="120">
        <f>+L249</f>
        <v>0</v>
      </c>
      <c r="H256" s="879">
        <f>IF($G$258&gt;0,G256/$G$258,0)</f>
        <v>0</v>
      </c>
      <c r="I256" s="780"/>
      <c r="J256" s="882">
        <f>IF(G256&gt;0,L246/G256,0)</f>
        <v>0</v>
      </c>
      <c r="K256" s="13"/>
      <c r="L256" s="884">
        <f>J256*H256</f>
        <v>0</v>
      </c>
      <c r="M256" s="17"/>
      <c r="N256" s="56"/>
      <c r="O256" s="56"/>
      <c r="P256" s="56"/>
    </row>
    <row r="257" spans="2:16" ht="15.75" thickBot="1">
      <c r="B257" s="90">
        <f>+B256+1</f>
        <v>329</v>
      </c>
      <c r="C257" s="78"/>
      <c r="D257" s="58" t="str">
        <f>"  Common Stock (ln "&amp;B252&amp;")"</f>
        <v>  Common Stock (ln 325)</v>
      </c>
      <c r="F257" s="13"/>
      <c r="G257" s="121">
        <f>+L252</f>
        <v>432384639</v>
      </c>
      <c r="H257" s="879">
        <f>IF($G$258&gt;0,G257/$G$258,0)</f>
        <v>0.44013782568927157</v>
      </c>
      <c r="I257" s="780"/>
      <c r="J257" s="587">
        <v>0.1149</v>
      </c>
      <c r="K257" s="13"/>
      <c r="L257" s="885">
        <f>J257*H257</f>
        <v>0.050571836171697304</v>
      </c>
      <c r="M257" s="17"/>
      <c r="N257" s="56"/>
      <c r="O257" s="56"/>
      <c r="P257" s="56"/>
    </row>
    <row r="258" spans="2:16" ht="15.75">
      <c r="B258" s="90">
        <f>+B257+1</f>
        <v>330</v>
      </c>
      <c r="C258" s="78"/>
      <c r="D258" s="58" t="str">
        <f>" Total (Sum lns "&amp;B255&amp;" to "&amp;B257&amp;")"</f>
        <v> Total (Sum lns 327 to 329)</v>
      </c>
      <c r="F258" s="13"/>
      <c r="G258" s="120">
        <f>G257+G256+G255</f>
        <v>982384639</v>
      </c>
      <c r="I258" s="519"/>
      <c r="J258" s="782"/>
      <c r="K258" s="258" t="s">
        <v>558</v>
      </c>
      <c r="L258" s="887">
        <f>SUM(L255:L257)</f>
        <v>0.08674855513604993</v>
      </c>
      <c r="M258" s="82"/>
      <c r="N258" s="56"/>
      <c r="O258" s="56"/>
      <c r="P258" s="56"/>
    </row>
    <row r="259" spans="2:21" ht="15">
      <c r="B259" s="90"/>
      <c r="C259" s="756"/>
      <c r="D259" s="100"/>
      <c r="E259" s="255"/>
      <c r="F259" s="146"/>
      <c r="G259" s="146"/>
      <c r="H259" s="146"/>
      <c r="I259" s="146"/>
      <c r="J259" s="139"/>
      <c r="K259" s="139"/>
      <c r="L259" s="139"/>
      <c r="M259" s="5"/>
      <c r="N259" s="84"/>
      <c r="O259" s="84"/>
      <c r="P259" s="84"/>
      <c r="Q259" s="84"/>
      <c r="R259" s="84"/>
      <c r="S259" s="84"/>
      <c r="T259" s="84"/>
      <c r="U259" s="84"/>
    </row>
    <row r="260" spans="2:21" ht="15.75">
      <c r="B260" s="679"/>
      <c r="C260" s="18"/>
      <c r="D260" s="63"/>
      <c r="E260" s="63"/>
      <c r="F260" s="21" t="str">
        <f>F216</f>
        <v>AEP East Companies </v>
      </c>
      <c r="G260" s="64"/>
      <c r="H260" s="17"/>
      <c r="I260" s="17"/>
      <c r="J260" s="17"/>
      <c r="K260" s="16"/>
      <c r="L260" s="17"/>
      <c r="M260" s="145"/>
      <c r="N260" s="84"/>
      <c r="O260" s="84"/>
      <c r="P260" s="84"/>
      <c r="Q260" s="84"/>
      <c r="R260" s="84"/>
      <c r="S260" s="84"/>
      <c r="T260" s="84"/>
      <c r="U260" s="84"/>
    </row>
    <row r="261" spans="2:21" ht="15">
      <c r="B261" s="679"/>
      <c r="C261" s="18"/>
      <c r="D261" s="65"/>
      <c r="E261" s="18"/>
      <c r="F261" s="21" t="str">
        <f>F217</f>
        <v>Transmission Cost of Service Formula Rate</v>
      </c>
      <c r="G261" s="17"/>
      <c r="H261" s="17"/>
      <c r="I261" s="17"/>
      <c r="J261" s="17"/>
      <c r="K261" s="16"/>
      <c r="L261" s="66"/>
      <c r="M261" s="128"/>
      <c r="N261" s="84"/>
      <c r="O261" s="84"/>
      <c r="P261" s="84"/>
      <c r="Q261" s="84"/>
      <c r="R261" s="84"/>
      <c r="S261" s="84"/>
      <c r="T261" s="84"/>
      <c r="U261" s="84"/>
    </row>
    <row r="262" spans="2:21" ht="15.75">
      <c r="B262" s="679"/>
      <c r="C262" s="18"/>
      <c r="D262" s="65"/>
      <c r="E262" s="36"/>
      <c r="F262" s="21" t="str">
        <f>F218</f>
        <v>Utilizing  Historic Cost Data for 2009 with Year-End Rate Base Balances</v>
      </c>
      <c r="G262" s="17"/>
      <c r="H262" s="17"/>
      <c r="I262" s="17"/>
      <c r="J262" s="17"/>
      <c r="K262" s="16"/>
      <c r="L262" s="66"/>
      <c r="M262" s="145"/>
      <c r="N262" s="84"/>
      <c r="O262" s="84"/>
      <c r="P262" s="84"/>
      <c r="Q262" s="84"/>
      <c r="R262" s="84"/>
      <c r="S262" s="84"/>
      <c r="T262" s="84"/>
      <c r="U262" s="84"/>
    </row>
    <row r="263" spans="2:21" ht="15.75">
      <c r="B263" s="90"/>
      <c r="C263" s="18"/>
      <c r="D263" s="65"/>
      <c r="E263" s="36"/>
      <c r="F263" s="21"/>
      <c r="G263" s="17"/>
      <c r="H263" s="17"/>
      <c r="I263" s="17"/>
      <c r="J263" s="17"/>
      <c r="K263" s="16"/>
      <c r="L263" s="66"/>
      <c r="M263" s="13"/>
      <c r="N263" s="84"/>
      <c r="O263" s="84"/>
      <c r="P263" s="84"/>
      <c r="Q263" s="84"/>
      <c r="R263" s="84"/>
      <c r="S263" s="84"/>
      <c r="T263" s="84"/>
      <c r="U263" s="84"/>
    </row>
    <row r="264" spans="2:21" ht="15.75">
      <c r="B264" s="90"/>
      <c r="C264" s="18"/>
      <c r="D264" s="65"/>
      <c r="E264" s="36"/>
      <c r="F264" s="21" t="str">
        <f>F220</f>
        <v>KENTUCKY POWER COMPANY</v>
      </c>
      <c r="G264" s="17"/>
      <c r="H264" s="17"/>
      <c r="I264" s="17"/>
      <c r="J264" s="17"/>
      <c r="K264" s="16"/>
      <c r="L264" s="66"/>
      <c r="M264" s="13"/>
      <c r="N264" s="84"/>
      <c r="O264" s="84"/>
      <c r="P264" s="84"/>
      <c r="Q264" s="84"/>
      <c r="R264" s="84"/>
      <c r="S264" s="84"/>
      <c r="T264" s="84"/>
      <c r="U264" s="84"/>
    </row>
    <row r="265" spans="2:21" ht="15.75">
      <c r="B265" s="90"/>
      <c r="C265" s="18"/>
      <c r="D265" s="65"/>
      <c r="E265" s="36"/>
      <c r="F265" s="21"/>
      <c r="G265" s="17"/>
      <c r="H265" s="17"/>
      <c r="I265" s="17"/>
      <c r="J265" s="17"/>
      <c r="K265" s="16"/>
      <c r="L265" s="66"/>
      <c r="M265" s="13"/>
      <c r="N265" s="84"/>
      <c r="O265" s="84"/>
      <c r="P265" s="84"/>
      <c r="Q265" s="84"/>
      <c r="R265" s="84"/>
      <c r="S265" s="84"/>
      <c r="T265" s="84"/>
      <c r="U265" s="84"/>
    </row>
    <row r="266" spans="2:21" ht="15.75">
      <c r="B266" s="200" t="s">
        <v>784</v>
      </c>
      <c r="C266" s="23"/>
      <c r="D266" s="54"/>
      <c r="E266" s="24"/>
      <c r="F266" s="200" t="s">
        <v>783</v>
      </c>
      <c r="G266" s="27"/>
      <c r="H266" s="27"/>
      <c r="I266" s="27"/>
      <c r="J266" s="27"/>
      <c r="K266" s="24"/>
      <c r="L266" s="27"/>
      <c r="M266" s="13"/>
      <c r="N266" s="84"/>
      <c r="O266" s="84"/>
      <c r="P266" s="84"/>
      <c r="Q266" s="84"/>
      <c r="R266" s="84"/>
      <c r="S266" s="84"/>
      <c r="T266" s="84"/>
      <c r="U266" s="84"/>
    </row>
    <row r="267" spans="3:21" ht="15">
      <c r="C267" s="23"/>
      <c r="L267" s="66"/>
      <c r="M267" s="13"/>
      <c r="N267" s="84"/>
      <c r="O267" s="84"/>
      <c r="P267" s="84"/>
      <c r="Q267" s="84"/>
      <c r="R267" s="84"/>
      <c r="S267" s="84"/>
      <c r="T267" s="84"/>
      <c r="U267" s="84"/>
    </row>
    <row r="268" spans="2:21" ht="15">
      <c r="B268" s="90"/>
      <c r="C268" s="18"/>
      <c r="D268" s="15" t="s">
        <v>461</v>
      </c>
      <c r="E268" s="78"/>
      <c r="F268" s="78"/>
      <c r="G268" s="27"/>
      <c r="H268" s="27"/>
      <c r="I268" s="27"/>
      <c r="J268" s="27"/>
      <c r="K268" s="24"/>
      <c r="L268" s="27"/>
      <c r="M268" s="24"/>
      <c r="N268" s="84"/>
      <c r="O268" s="84"/>
      <c r="P268" s="84"/>
      <c r="Q268" s="84"/>
      <c r="R268" s="84"/>
      <c r="S268" s="84"/>
      <c r="T268" s="84"/>
      <c r="U268" s="84"/>
    </row>
    <row r="269" spans="2:21" ht="15">
      <c r="B269" s="14"/>
      <c r="D269" s="54"/>
      <c r="E269" s="24"/>
      <c r="F269" s="24"/>
      <c r="G269" s="27"/>
      <c r="H269" s="27"/>
      <c r="I269" s="27"/>
      <c r="J269" s="27"/>
      <c r="K269" s="24"/>
      <c r="L269" s="27"/>
      <c r="M269" s="24"/>
      <c r="N269" s="84"/>
      <c r="O269" s="84"/>
      <c r="P269" s="84"/>
      <c r="Q269" s="84"/>
      <c r="R269" s="84"/>
      <c r="S269" s="84"/>
      <c r="T269" s="84"/>
      <c r="U269" s="84"/>
    </row>
    <row r="270" spans="2:21" ht="15">
      <c r="B270" s="14"/>
      <c r="D270" s="54"/>
      <c r="E270" s="24"/>
      <c r="F270" s="24"/>
      <c r="G270" s="27"/>
      <c r="H270" s="27"/>
      <c r="I270" s="27"/>
      <c r="J270" s="27"/>
      <c r="K270" s="24"/>
      <c r="L270" s="27"/>
      <c r="M270" s="24"/>
      <c r="N270" s="84"/>
      <c r="O270" s="84"/>
      <c r="P270" s="84"/>
      <c r="Q270" s="84"/>
      <c r="R270" s="84"/>
      <c r="S270" s="84"/>
      <c r="T270" s="84"/>
      <c r="U270" s="84"/>
    </row>
    <row r="271" spans="2:21" ht="15">
      <c r="B271" s="96" t="s">
        <v>756</v>
      </c>
      <c r="C271" s="23"/>
      <c r="D271" s="54" t="s">
        <v>354</v>
      </c>
      <c r="E271" s="24"/>
      <c r="F271" s="24"/>
      <c r="G271" s="27"/>
      <c r="H271" s="27"/>
      <c r="I271" s="27"/>
      <c r="J271" s="27"/>
      <c r="K271" s="24"/>
      <c r="L271" s="27"/>
      <c r="M271" s="24"/>
      <c r="N271" s="84"/>
      <c r="O271" s="84"/>
      <c r="P271" s="84"/>
      <c r="Q271" s="84"/>
      <c r="R271" s="84"/>
      <c r="S271" s="84"/>
      <c r="T271" s="84"/>
      <c r="U271" s="84"/>
    </row>
    <row r="272" spans="2:21" ht="15">
      <c r="B272" s="96"/>
      <c r="C272" s="83"/>
      <c r="D272" s="54" t="s">
        <v>193</v>
      </c>
      <c r="E272" s="24"/>
      <c r="F272" s="24"/>
      <c r="G272" s="24"/>
      <c r="H272" s="24"/>
      <c r="I272" s="24"/>
      <c r="J272" s="24"/>
      <c r="K272" s="24"/>
      <c r="L272" s="24"/>
      <c r="M272" s="24"/>
      <c r="N272" s="84"/>
      <c r="O272" s="84"/>
      <c r="P272" s="84"/>
      <c r="Q272" s="84"/>
      <c r="R272" s="84"/>
      <c r="S272" s="84"/>
      <c r="T272" s="84"/>
      <c r="U272" s="84"/>
    </row>
    <row r="273" spans="2:21" ht="15">
      <c r="B273" s="97"/>
      <c r="C273" s="13"/>
      <c r="D273" s="14" t="s">
        <v>194</v>
      </c>
      <c r="E273" s="88"/>
      <c r="F273" s="88"/>
      <c r="G273" s="24"/>
      <c r="H273" s="24"/>
      <c r="I273" s="24"/>
      <c r="J273" s="24"/>
      <c r="K273" s="24"/>
      <c r="L273" s="24"/>
      <c r="M273" s="24"/>
      <c r="N273" s="84"/>
      <c r="O273" s="84"/>
      <c r="P273" s="84"/>
      <c r="Q273" s="84"/>
      <c r="R273" s="84"/>
      <c r="S273" s="84"/>
      <c r="T273" s="84"/>
      <c r="U273" s="84"/>
    </row>
    <row r="274" spans="2:21" ht="15">
      <c r="B274" s="97"/>
      <c r="C274" s="13"/>
      <c r="D274" s="54" t="s">
        <v>355</v>
      </c>
      <c r="E274" s="24"/>
      <c r="F274" s="24"/>
      <c r="G274" s="24"/>
      <c r="H274" s="24"/>
      <c r="I274" s="24"/>
      <c r="J274" s="24"/>
      <c r="K274" s="24"/>
      <c r="L274" s="24"/>
      <c r="M274" s="24"/>
      <c r="N274" s="84"/>
      <c r="O274" s="84"/>
      <c r="P274" s="84"/>
      <c r="Q274" s="84"/>
      <c r="R274" s="84"/>
      <c r="S274" s="84"/>
      <c r="T274" s="84"/>
      <c r="U274" s="84"/>
    </row>
    <row r="275" spans="2:21" ht="15">
      <c r="B275" s="94"/>
      <c r="C275" s="78"/>
      <c r="D275" s="54" t="s">
        <v>356</v>
      </c>
      <c r="E275" s="24"/>
      <c r="F275" s="24"/>
      <c r="G275" s="24"/>
      <c r="H275" s="24"/>
      <c r="I275" s="24"/>
      <c r="J275" s="24"/>
      <c r="K275" s="24"/>
      <c r="L275" s="24"/>
      <c r="M275" s="24"/>
      <c r="N275" s="84"/>
      <c r="O275" s="84"/>
      <c r="P275" s="84"/>
      <c r="Q275" s="84"/>
      <c r="R275" s="84"/>
      <c r="S275" s="84"/>
      <c r="T275" s="84"/>
      <c r="U275" s="84"/>
    </row>
    <row r="276" spans="2:21" ht="15">
      <c r="B276" s="94"/>
      <c r="C276" s="78"/>
      <c r="D276" s="54" t="s">
        <v>195</v>
      </c>
      <c r="E276" s="24"/>
      <c r="F276" s="24"/>
      <c r="G276" s="24"/>
      <c r="H276" s="24"/>
      <c r="I276" s="24"/>
      <c r="J276" s="24"/>
      <c r="K276" s="24"/>
      <c r="L276" s="24"/>
      <c r="M276" s="24"/>
      <c r="N276" s="84"/>
      <c r="O276" s="84"/>
      <c r="P276" s="84"/>
      <c r="Q276" s="84"/>
      <c r="R276" s="84"/>
      <c r="S276" s="84"/>
      <c r="T276" s="84"/>
      <c r="U276" s="84"/>
    </row>
    <row r="277" spans="2:21" ht="15">
      <c r="B277" s="94"/>
      <c r="C277" s="78"/>
      <c r="D277" s="54" t="s">
        <v>196</v>
      </c>
      <c r="E277" s="24"/>
      <c r="F277" s="24"/>
      <c r="G277" s="24"/>
      <c r="H277" s="24"/>
      <c r="I277" s="24"/>
      <c r="J277" s="24"/>
      <c r="K277" s="24"/>
      <c r="L277" s="24"/>
      <c r="M277" s="24"/>
      <c r="N277" s="84"/>
      <c r="O277" s="84"/>
      <c r="P277" s="84"/>
      <c r="Q277" s="84"/>
      <c r="R277" s="84"/>
      <c r="S277" s="84"/>
      <c r="T277" s="84"/>
      <c r="U277" s="84"/>
    </row>
    <row r="278" spans="2:21" ht="15">
      <c r="B278" s="94"/>
      <c r="C278" s="78"/>
      <c r="D278" s="54" t="s">
        <v>364</v>
      </c>
      <c r="E278" s="24"/>
      <c r="F278" s="24"/>
      <c r="G278" s="24"/>
      <c r="H278" s="24"/>
      <c r="I278" s="24"/>
      <c r="J278" s="24"/>
      <c r="K278" s="24"/>
      <c r="L278" s="24"/>
      <c r="M278" s="24"/>
      <c r="N278" s="84"/>
      <c r="O278" s="84"/>
      <c r="P278" s="84"/>
      <c r="Q278" s="84"/>
      <c r="R278" s="84"/>
      <c r="S278" s="84"/>
      <c r="T278" s="84"/>
      <c r="U278" s="84"/>
    </row>
    <row r="279" spans="2:21" ht="15">
      <c r="B279" s="94"/>
      <c r="C279" s="78"/>
      <c r="D279" s="139"/>
      <c r="E279" s="24"/>
      <c r="F279" s="24"/>
      <c r="G279" s="24"/>
      <c r="H279" s="24"/>
      <c r="I279" s="24"/>
      <c r="J279" s="24"/>
      <c r="K279" s="24"/>
      <c r="L279" s="54"/>
      <c r="M279" s="24"/>
      <c r="N279" s="84"/>
      <c r="O279" s="84"/>
      <c r="P279" s="84"/>
      <c r="Q279" s="84"/>
      <c r="R279" s="84"/>
      <c r="S279" s="84"/>
      <c r="T279" s="84"/>
      <c r="U279" s="84"/>
    </row>
    <row r="280" spans="2:21" ht="15" customHeight="1">
      <c r="B280" s="94" t="s">
        <v>757</v>
      </c>
      <c r="C280" s="78"/>
      <c r="D280" s="1148" t="s">
        <v>236</v>
      </c>
      <c r="E280" s="1149"/>
      <c r="F280" s="1149"/>
      <c r="G280" s="1149"/>
      <c r="H280" s="1149"/>
      <c r="I280" s="1149"/>
      <c r="J280" s="1149"/>
      <c r="K280" s="1149"/>
      <c r="L280" s="54"/>
      <c r="M280" s="24"/>
      <c r="N280" s="84"/>
      <c r="O280" s="84"/>
      <c r="P280" s="84"/>
      <c r="Q280" s="84"/>
      <c r="R280" s="84"/>
      <c r="S280" s="84"/>
      <c r="T280" s="84"/>
      <c r="U280" s="84"/>
    </row>
    <row r="281" spans="2:21" ht="15">
      <c r="B281" s="94"/>
      <c r="C281" s="78"/>
      <c r="D281" s="1149"/>
      <c r="E281" s="1149"/>
      <c r="F281" s="1149"/>
      <c r="G281" s="1149"/>
      <c r="H281" s="1149"/>
      <c r="I281" s="1149"/>
      <c r="J281" s="1149"/>
      <c r="K281" s="1149"/>
      <c r="L281" s="54"/>
      <c r="M281" s="24"/>
      <c r="N281" s="84"/>
      <c r="O281" s="84"/>
      <c r="P281" s="84"/>
      <c r="Q281" s="84"/>
      <c r="R281" s="84"/>
      <c r="S281" s="84"/>
      <c r="T281" s="84"/>
      <c r="U281" s="84"/>
    </row>
    <row r="282" spans="5:21" ht="15">
      <c r="E282" s="24"/>
      <c r="F282" s="24"/>
      <c r="G282" s="24"/>
      <c r="H282" s="24"/>
      <c r="I282" s="24"/>
      <c r="J282" s="24"/>
      <c r="K282" s="24"/>
      <c r="L282" s="24"/>
      <c r="M282" s="24"/>
      <c r="N282" s="84"/>
      <c r="O282" s="84"/>
      <c r="P282" s="84"/>
      <c r="Q282" s="84"/>
      <c r="R282" s="84"/>
      <c r="S282" s="84"/>
      <c r="T282" s="84"/>
      <c r="U282" s="84"/>
    </row>
    <row r="283" spans="2:21" ht="15">
      <c r="B283" s="94" t="s">
        <v>758</v>
      </c>
      <c r="C283" s="78"/>
      <c r="D283" s="1073" t="str">
        <f>"Transmission Plant balances in this study are projected as of December 31, "&amp;'KPCo Historic TCOS'!O1&amp;"."</f>
        <v>Transmission Plant balances in this study are projected as of December 31, 2009.</v>
      </c>
      <c r="E283" s="24"/>
      <c r="F283" s="24"/>
      <c r="G283" s="24"/>
      <c r="H283" s="24"/>
      <c r="I283" s="24"/>
      <c r="J283" s="24"/>
      <c r="K283" s="24"/>
      <c r="L283" s="24"/>
      <c r="M283" s="24"/>
      <c r="N283" s="84"/>
      <c r="O283" s="84"/>
      <c r="P283" s="84"/>
      <c r="Q283" s="84"/>
      <c r="R283" s="84"/>
      <c r="S283" s="84"/>
      <c r="T283" s="84"/>
      <c r="U283" s="84"/>
    </row>
    <row r="284" spans="2:21" ht="15">
      <c r="B284" s="94"/>
      <c r="C284" s="78"/>
      <c r="D284" s="5"/>
      <c r="E284" s="24"/>
      <c r="F284" s="24"/>
      <c r="G284" s="24"/>
      <c r="H284" s="24"/>
      <c r="I284" s="24"/>
      <c r="J284" s="24"/>
      <c r="K284" s="24"/>
      <c r="L284" s="24"/>
      <c r="M284" s="24"/>
      <c r="N284" s="84"/>
      <c r="O284" s="84"/>
      <c r="P284" s="84"/>
      <c r="Q284" s="84"/>
      <c r="R284" s="84"/>
      <c r="S284" s="84"/>
      <c r="T284" s="84"/>
      <c r="U284" s="84"/>
    </row>
    <row r="285" spans="2:21" ht="15">
      <c r="B285" s="94" t="s">
        <v>759</v>
      </c>
      <c r="C285" s="78"/>
      <c r="D285" s="54" t="s">
        <v>27</v>
      </c>
      <c r="E285" s="24"/>
      <c r="F285" s="24"/>
      <c r="G285" s="24"/>
      <c r="H285" s="24"/>
      <c r="I285" s="24"/>
      <c r="J285" s="24"/>
      <c r="K285" s="24"/>
      <c r="L285" s="24"/>
      <c r="M285" s="24"/>
      <c r="N285" s="84"/>
      <c r="O285" s="84"/>
      <c r="P285" s="54"/>
      <c r="Q285" s="54"/>
      <c r="R285" s="84"/>
      <c r="S285" s="84"/>
      <c r="T285" s="84"/>
      <c r="U285" s="84"/>
    </row>
    <row r="286" spans="2:21" ht="15">
      <c r="B286" s="94"/>
      <c r="C286" s="78"/>
      <c r="D286" s="54" t="s">
        <v>372</v>
      </c>
      <c r="E286" s="24"/>
      <c r="F286" s="24"/>
      <c r="G286" s="24"/>
      <c r="H286" s="24"/>
      <c r="I286" s="24"/>
      <c r="J286" s="24"/>
      <c r="K286" s="24"/>
      <c r="L286" s="24"/>
      <c r="M286" s="24"/>
      <c r="N286" s="84"/>
      <c r="O286" s="84"/>
      <c r="P286" s="54"/>
      <c r="Q286" s="54"/>
      <c r="R286" s="84"/>
      <c r="S286" s="84"/>
      <c r="T286" s="84"/>
      <c r="U286" s="84"/>
    </row>
    <row r="287" spans="2:21" ht="15">
      <c r="B287" s="94"/>
      <c r="C287" s="78"/>
      <c r="D287" s="54" t="s">
        <v>386</v>
      </c>
      <c r="E287" s="24"/>
      <c r="F287" s="24"/>
      <c r="G287" s="24"/>
      <c r="H287" s="24"/>
      <c r="I287" s="24"/>
      <c r="J287" s="24"/>
      <c r="K287" s="24"/>
      <c r="L287" s="68"/>
      <c r="M287" s="24"/>
      <c r="N287" s="84"/>
      <c r="O287" s="84"/>
      <c r="P287" s="54"/>
      <c r="Q287" s="54"/>
      <c r="R287" s="84"/>
      <c r="S287" s="84"/>
      <c r="T287" s="84"/>
      <c r="U287" s="84"/>
    </row>
    <row r="288" spans="2:21" ht="15">
      <c r="B288" s="94"/>
      <c r="C288" s="78"/>
      <c r="D288" s="54" t="s">
        <v>181</v>
      </c>
      <c r="E288" s="24"/>
      <c r="F288" s="24"/>
      <c r="G288" s="24"/>
      <c r="H288" s="24"/>
      <c r="I288" s="24"/>
      <c r="J288" s="24"/>
      <c r="K288" s="24"/>
      <c r="L288" s="68"/>
      <c r="M288" s="24"/>
      <c r="N288" s="84"/>
      <c r="O288" s="84"/>
      <c r="P288" s="54"/>
      <c r="Q288" s="84"/>
      <c r="R288" s="84"/>
      <c r="S288" s="84"/>
      <c r="T288" s="84"/>
      <c r="U288" s="84"/>
    </row>
    <row r="289" spans="2:21" ht="15">
      <c r="B289" s="94"/>
      <c r="C289" s="78"/>
      <c r="D289" s="1068" t="s">
        <v>44</v>
      </c>
      <c r="E289" s="24"/>
      <c r="F289" s="24"/>
      <c r="G289" s="24"/>
      <c r="H289" s="24"/>
      <c r="I289" s="24"/>
      <c r="J289" s="24"/>
      <c r="K289" s="24"/>
      <c r="L289" s="68"/>
      <c r="M289" s="24"/>
      <c r="N289" s="84"/>
      <c r="O289" s="84"/>
      <c r="P289" s="54"/>
      <c r="Q289" s="84"/>
      <c r="R289" s="84"/>
      <c r="S289" s="84"/>
      <c r="T289" s="84"/>
      <c r="U289" s="84"/>
    </row>
    <row r="290" spans="2:21" ht="7.5" customHeight="1">
      <c r="B290" s="94"/>
      <c r="C290" s="78"/>
      <c r="D290" s="54"/>
      <c r="E290" s="24"/>
      <c r="F290" s="24"/>
      <c r="G290" s="24"/>
      <c r="H290" s="24"/>
      <c r="I290" s="24"/>
      <c r="J290" s="24"/>
      <c r="K290" s="24"/>
      <c r="L290" s="68"/>
      <c r="M290" s="24"/>
      <c r="N290" s="84"/>
      <c r="O290" s="84"/>
      <c r="P290" s="84"/>
      <c r="Q290" s="84"/>
      <c r="R290" s="84"/>
      <c r="S290" s="84"/>
      <c r="T290" s="84"/>
      <c r="U290" s="84"/>
    </row>
    <row r="291" spans="2:21" ht="15">
      <c r="B291" s="94" t="s">
        <v>760</v>
      </c>
      <c r="C291" s="54"/>
      <c r="D291" s="54" t="str">
        <f>"Cash Working Capital assigned to transmission is one-eighth of O&amp;M allocated to transmission, as shown on line "&amp;B152&amp;". It excludes:"</f>
        <v>Cash Working Capital assigned to transmission is one-eighth of O&amp;M allocated to transmission, as shown on line 253. It excludes:</v>
      </c>
      <c r="E291" s="8"/>
      <c r="F291" s="8"/>
      <c r="G291" s="8"/>
      <c r="H291" s="8"/>
      <c r="I291" s="8"/>
      <c r="J291" s="8"/>
      <c r="K291" s="859"/>
      <c r="L291" s="859"/>
      <c r="M291" s="24"/>
      <c r="N291" s="84"/>
      <c r="O291" s="84"/>
      <c r="P291" s="84"/>
      <c r="Q291" s="84"/>
      <c r="R291" s="84"/>
      <c r="S291" s="84"/>
      <c r="T291" s="84"/>
      <c r="U291" s="84"/>
    </row>
    <row r="292" spans="2:21" ht="15">
      <c r="B292" s="94"/>
      <c r="C292" s="54"/>
      <c r="D292" s="54" t="str">
        <f>+"1)  Load Scheduling &amp; Dispatch Charges in account 561 that are collected in the OATT Ancilliary Services Revenue, as shown on line "&amp;B149&amp;"."</f>
        <v>1)  Load Scheduling &amp; Dispatch Charges in account 561 that are collected in the OATT Ancilliary Services Revenue, as shown on line 250.</v>
      </c>
      <c r="E292" s="8"/>
      <c r="F292" s="8"/>
      <c r="G292" s="8"/>
      <c r="H292" s="8"/>
      <c r="I292" s="8"/>
      <c r="J292" s="8"/>
      <c r="K292" s="859"/>
      <c r="L292" s="859"/>
      <c r="M292" s="24"/>
      <c r="N292" s="84"/>
      <c r="O292" s="84"/>
      <c r="P292" s="84"/>
      <c r="Q292" s="84"/>
      <c r="R292" s="84"/>
      <c r="S292" s="84"/>
      <c r="T292" s="84"/>
      <c r="U292" s="84"/>
    </row>
    <row r="293" spans="2:21" ht="15">
      <c r="B293" s="94"/>
      <c r="C293" s="54"/>
      <c r="D293" s="54" t="str">
        <f>+"2)  AEP transmission equalization transfers, as shown on line "&amp;B150&amp;""</f>
        <v>2)  AEP transmission equalization transfers, as shown on line 251</v>
      </c>
      <c r="E293" s="8"/>
      <c r="F293" s="8"/>
      <c r="G293" s="8"/>
      <c r="H293" s="8"/>
      <c r="I293" s="8"/>
      <c r="J293" s="8"/>
      <c r="K293" s="859"/>
      <c r="L293" s="859"/>
      <c r="M293" s="24"/>
      <c r="N293" s="84"/>
      <c r="O293" s="84"/>
      <c r="P293" s="84"/>
      <c r="Q293" s="84"/>
      <c r="R293" s="84"/>
      <c r="S293" s="84"/>
      <c r="T293" s="84"/>
      <c r="U293" s="84"/>
    </row>
    <row r="294" spans="2:21" ht="15">
      <c r="B294" s="94"/>
      <c r="C294" s="54"/>
      <c r="D294" s="54" t="str">
        <f>+"3)  The impact of state regulatory deferrals and amortizations, as shown on line  "&amp;B151&amp;""</f>
        <v>3)  The impact of state regulatory deferrals and amortizations, as shown on line  252</v>
      </c>
      <c r="E294" s="8"/>
      <c r="F294" s="8"/>
      <c r="G294" s="8"/>
      <c r="H294" s="8"/>
      <c r="I294" s="8"/>
      <c r="J294" s="8"/>
      <c r="K294" s="859"/>
      <c r="L294" s="859"/>
      <c r="M294" s="24"/>
      <c r="N294" s="84"/>
      <c r="O294" s="84"/>
      <c r="P294" s="84"/>
      <c r="Q294" s="84"/>
      <c r="R294" s="84"/>
      <c r="S294" s="84"/>
      <c r="T294" s="84"/>
      <c r="U294" s="84"/>
    </row>
    <row r="295" spans="2:21" ht="15">
      <c r="B295" s="94"/>
      <c r="C295" s="757"/>
      <c r="D295" s="54" t="str">
        <f>"4) All A&amp;G Expenses, as shown on line "&amp;B168&amp;"."</f>
        <v>4) All A&amp;G Expenses, as shown on line 268.</v>
      </c>
      <c r="E295" s="8"/>
      <c r="F295" s="8"/>
      <c r="G295" s="8"/>
      <c r="H295" s="8"/>
      <c r="I295" s="8"/>
      <c r="J295" s="8"/>
      <c r="K295" s="859"/>
      <c r="L295" s="859"/>
      <c r="M295" s="24"/>
      <c r="N295" s="84"/>
      <c r="O295" s="84"/>
      <c r="P295" s="84"/>
      <c r="Q295" s="84"/>
      <c r="R295" s="84"/>
      <c r="S295" s="84"/>
      <c r="T295" s="84"/>
      <c r="U295" s="84"/>
    </row>
    <row r="296" spans="2:21" ht="15">
      <c r="B296" s="94"/>
      <c r="C296" s="78"/>
      <c r="D296" s="54"/>
      <c r="E296" s="24"/>
      <c r="F296" s="24"/>
      <c r="G296" s="24"/>
      <c r="H296" s="24"/>
      <c r="I296" s="24"/>
      <c r="J296" s="24"/>
      <c r="K296" s="24"/>
      <c r="L296" s="24"/>
      <c r="M296" s="24"/>
      <c r="N296" s="84"/>
      <c r="O296" s="84"/>
      <c r="P296" s="84"/>
      <c r="Q296" s="84"/>
      <c r="R296" s="84"/>
      <c r="S296" s="84"/>
      <c r="T296" s="84"/>
      <c r="U296" s="84"/>
    </row>
    <row r="297" spans="2:21" ht="15">
      <c r="B297" s="96" t="s">
        <v>761</v>
      </c>
      <c r="C297" s="83"/>
      <c r="D297" s="13" t="str">
        <f>"Consistent with Paragraph 657 of Order 2003-A, the amount on line "&amp;B126&amp;" is equal to the balance of IPP System Upgrade Credits owed to transmission customers that"</f>
        <v>Consistent with Paragraph 657 of Order 2003-A, the amount on line 242 is equal to the balance of IPP System Upgrade Credits owed to transmission customers that</v>
      </c>
      <c r="E297" s="13"/>
      <c r="F297" s="13"/>
      <c r="G297" s="13"/>
      <c r="H297" s="13"/>
      <c r="I297" s="13"/>
      <c r="J297" s="13"/>
      <c r="K297" s="13"/>
      <c r="L297" s="13"/>
      <c r="M297" s="24"/>
      <c r="N297" s="84"/>
      <c r="O297" s="84"/>
      <c r="P297" s="84"/>
      <c r="Q297" s="84"/>
      <c r="R297" s="84"/>
      <c r="S297" s="84"/>
      <c r="T297" s="84"/>
      <c r="U297" s="84"/>
    </row>
    <row r="298" spans="2:21" ht="15">
      <c r="B298" s="97"/>
      <c r="C298" s="13"/>
      <c r="D298" s="13" t="s">
        <v>916</v>
      </c>
      <c r="E298" s="13"/>
      <c r="F298" s="13"/>
      <c r="G298" s="13"/>
      <c r="H298" s="13"/>
      <c r="I298" s="13"/>
      <c r="J298" s="13"/>
      <c r="K298" s="13"/>
      <c r="L298" s="13"/>
      <c r="M298" s="24"/>
      <c r="N298" s="84"/>
      <c r="O298" s="84"/>
      <c r="P298" s="84"/>
      <c r="Q298" s="84"/>
      <c r="R298" s="84"/>
      <c r="S298" s="84"/>
      <c r="T298" s="84"/>
      <c r="U298" s="84"/>
    </row>
    <row r="299" spans="2:21" ht="15">
      <c r="B299" s="97"/>
      <c r="C299" s="13"/>
      <c r="D299" s="13" t="str">
        <f>"expense is included on line "&amp;B207&amp;"."</f>
        <v>expense is included on line 300.</v>
      </c>
      <c r="E299" s="13"/>
      <c r="F299" s="13"/>
      <c r="G299" s="13"/>
      <c r="H299" s="13"/>
      <c r="I299" s="13"/>
      <c r="J299" s="13"/>
      <c r="K299" s="13"/>
      <c r="L299" s="13"/>
      <c r="M299" s="24"/>
      <c r="N299" s="84"/>
      <c r="O299" s="84"/>
      <c r="P299" s="84"/>
      <c r="Q299" s="84"/>
      <c r="R299" s="84"/>
      <c r="S299" s="84"/>
      <c r="T299" s="84"/>
      <c r="U299" s="84"/>
    </row>
    <row r="300" spans="2:21" ht="15">
      <c r="B300" s="97"/>
      <c r="C300" s="13"/>
      <c r="D300" s="13"/>
      <c r="E300" s="13"/>
      <c r="F300" s="13"/>
      <c r="G300" s="13"/>
      <c r="H300" s="13"/>
      <c r="I300" s="13"/>
      <c r="J300" s="13"/>
      <c r="K300" s="13"/>
      <c r="L300" s="13"/>
      <c r="M300" s="13"/>
      <c r="N300" s="84"/>
      <c r="O300" s="84"/>
      <c r="P300" s="84"/>
      <c r="Q300" s="84"/>
      <c r="R300" s="84"/>
      <c r="S300" s="84"/>
      <c r="T300" s="84"/>
      <c r="U300" s="84"/>
    </row>
    <row r="301" spans="2:21" ht="15">
      <c r="B301" s="96" t="s">
        <v>762</v>
      </c>
      <c r="C301" s="13"/>
      <c r="D301" s="1109" t="str">
        <f>"Removes from the cost of service the Load Scheduling and Dispatch expenses booked to accounts 561.1 through 561.8.  Expenses recorded in these accounts, with the exception of 561.4 &amp; 561.8 (lines "&amp;B38&amp;" &amp; "&amp;B39&amp;" above) are recovered in Schedule 1A, OATT ancillary services rates. See Worksheet F, lines "&amp;'KPCo WS F Misc Exp'!A22&amp;" through "&amp;'KPCo WS F Misc Exp'!A31&amp;", for descriptions and the Form 1 Source of these accounts' balances."</f>
        <v>Removes from the cost of service the Load Scheduling and Dispatch expenses booked to accounts 561.1 through 561.8.  Expenses recorded in these accounts, with the exception of 561.4 &amp; 561.8 (lines 180 &amp; 181 above) are recovered in Schedule 1A, OATT ancillary services rates. See Worksheet F, lines 5 through 14, for descriptions and the Form 1 Source of these accounts' balances.</v>
      </c>
      <c r="E301" s="1109"/>
      <c r="F301" s="1109"/>
      <c r="G301" s="1109"/>
      <c r="H301" s="1109"/>
      <c r="I301" s="1109"/>
      <c r="J301" s="1109"/>
      <c r="K301" s="1109"/>
      <c r="L301" s="13"/>
      <c r="M301" s="13"/>
      <c r="N301" s="84"/>
      <c r="O301" s="84"/>
      <c r="P301" s="84"/>
      <c r="Q301" s="84"/>
      <c r="R301" s="84"/>
      <c r="S301" s="84"/>
      <c r="T301" s="84"/>
      <c r="U301" s="84"/>
    </row>
    <row r="302" spans="2:21" ht="15">
      <c r="B302" s="96"/>
      <c r="C302" s="13"/>
      <c r="D302" s="1109"/>
      <c r="E302" s="1109"/>
      <c r="F302" s="1109"/>
      <c r="G302" s="1109"/>
      <c r="H302" s="1109"/>
      <c r="I302" s="1109"/>
      <c r="J302" s="1109"/>
      <c r="K302" s="1109"/>
      <c r="L302" s="13"/>
      <c r="M302" s="13"/>
      <c r="N302" s="84"/>
      <c r="O302" s="84"/>
      <c r="P302" s="84"/>
      <c r="Q302" s="84"/>
      <c r="R302" s="84"/>
      <c r="S302" s="84"/>
      <c r="T302" s="84"/>
      <c r="U302" s="84"/>
    </row>
    <row r="303" spans="2:21" ht="15">
      <c r="B303" s="96"/>
      <c r="C303" s="13"/>
      <c r="D303" s="1109"/>
      <c r="E303" s="1109"/>
      <c r="F303" s="1109"/>
      <c r="G303" s="1109"/>
      <c r="H303" s="1109"/>
      <c r="I303" s="1109"/>
      <c r="J303" s="1109"/>
      <c r="K303" s="1109"/>
      <c r="L303" s="13"/>
      <c r="M303" s="13"/>
      <c r="N303" s="84"/>
      <c r="O303" s="84"/>
      <c r="P303" s="84"/>
      <c r="Q303" s="84"/>
      <c r="R303" s="84"/>
      <c r="S303" s="84"/>
      <c r="T303" s="84"/>
      <c r="U303" s="84"/>
    </row>
    <row r="304" spans="2:21" ht="15">
      <c r="B304" s="96"/>
      <c r="C304" s="13"/>
      <c r="D304" s="54"/>
      <c r="E304" s="13"/>
      <c r="F304" s="13"/>
      <c r="G304" s="13"/>
      <c r="H304" s="13"/>
      <c r="I304" s="13"/>
      <c r="J304" s="13"/>
      <c r="K304" s="13"/>
      <c r="L304" s="13"/>
      <c r="M304" s="13"/>
      <c r="N304" s="84"/>
      <c r="O304" s="84"/>
      <c r="P304" s="84"/>
      <c r="Q304" s="84"/>
      <c r="R304" s="84"/>
      <c r="S304" s="84"/>
      <c r="T304" s="84"/>
      <c r="U304" s="84"/>
    </row>
    <row r="305" spans="2:21" ht="15">
      <c r="B305" s="96" t="s">
        <v>763</v>
      </c>
      <c r="C305" s="13"/>
      <c r="D305" s="1095" t="str">
        <f>"Removes cost of transmission service provided by others to determine the basis of cash working capital on line "&amp;B152&amp;". To the extent such service is incurred to provide the PJM service at issue, e.g. transmission equalization agreement, such costs are added back on lines "&amp;B171&amp;" and "&amp;B172&amp;" to determine the total O&amp;M collected in the formula.  The amounts on lines "&amp;B171&amp;" and "&amp;B172&amp;" are also excluded in the calculation of the FCR percentage calculated on lines "&amp;B22&amp;" through "&amp;B30&amp;"."</f>
        <v>Removes cost of transmission service provided by others to determine the basis of cash working capital on line 253. To the extent such service is incurred to provide the PJM service at issue, e.g. transmission equalization agreement, such costs are added back on lines 270 and 271 to determine the total O&amp;M collected in the formula.  The amounts on lines 270 and 271 are also excluded in the calculation of the FCR percentage calculated on lines 170 through 176.</v>
      </c>
      <c r="E305" s="1095"/>
      <c r="F305" s="1095"/>
      <c r="G305" s="1095"/>
      <c r="H305" s="1095"/>
      <c r="I305" s="1095"/>
      <c r="J305" s="1095"/>
      <c r="K305" s="1095"/>
      <c r="L305" s="13"/>
      <c r="M305" s="13"/>
      <c r="N305" s="84"/>
      <c r="O305" s="84"/>
      <c r="P305" s="84"/>
      <c r="Q305" s="84"/>
      <c r="R305" s="84"/>
      <c r="S305" s="84"/>
      <c r="T305" s="84"/>
      <c r="U305" s="84"/>
    </row>
    <row r="306" spans="2:21" ht="15">
      <c r="B306" s="96"/>
      <c r="C306" s="13"/>
      <c r="D306" s="1095"/>
      <c r="E306" s="1095"/>
      <c r="F306" s="1095"/>
      <c r="G306" s="1095"/>
      <c r="H306" s="1095"/>
      <c r="I306" s="1095"/>
      <c r="J306" s="1095"/>
      <c r="K306" s="1095"/>
      <c r="L306" s="13"/>
      <c r="M306" s="13"/>
      <c r="N306" s="84"/>
      <c r="O306" s="84"/>
      <c r="P306" s="84"/>
      <c r="Q306" s="84"/>
      <c r="R306" s="84"/>
      <c r="S306" s="84"/>
      <c r="T306" s="84"/>
      <c r="U306" s="84"/>
    </row>
    <row r="307" spans="2:21" ht="15">
      <c r="B307" s="96"/>
      <c r="C307" s="13"/>
      <c r="D307" s="1096"/>
      <c r="E307" s="1096"/>
      <c r="F307" s="1096"/>
      <c r="G307" s="1096"/>
      <c r="H307" s="1096"/>
      <c r="I307" s="1096"/>
      <c r="J307" s="1096"/>
      <c r="K307" s="1096"/>
      <c r="L307" s="13"/>
      <c r="M307" s="13"/>
      <c r="N307" s="84"/>
      <c r="O307" s="84"/>
      <c r="P307" s="84"/>
      <c r="Q307" s="84"/>
      <c r="R307" s="84"/>
      <c r="S307" s="84"/>
      <c r="T307" s="84"/>
      <c r="U307" s="84"/>
    </row>
    <row r="308" spans="2:21" ht="15">
      <c r="B308" s="96"/>
      <c r="C308" s="13"/>
      <c r="D308" s="1098" t="str">
        <f>"The addbacks  on lines "&amp;B171&amp;" and "&amp;B172&amp;" of activity recorded in 565 represents inter-company sales or purchases of transmission capacity necessary to meet each AEP company's transmission load relative to their available transmission capacity."</f>
        <v>The addbacks  on lines 270 and 271 of activity recorded in 565 represents inter-company sales or purchases of transmission capacity necessary to meet each AEP company's transmission load relative to their available transmission capacity.</v>
      </c>
      <c r="E308" s="1098"/>
      <c r="F308" s="1098"/>
      <c r="G308" s="1098"/>
      <c r="H308" s="1098"/>
      <c r="I308" s="1098"/>
      <c r="J308" s="1098"/>
      <c r="K308" s="792"/>
      <c r="L308" s="13"/>
      <c r="M308" s="13"/>
      <c r="N308" s="84"/>
      <c r="O308" s="84"/>
      <c r="P308" s="84"/>
      <c r="Q308" s="84"/>
      <c r="R308" s="84"/>
      <c r="S308" s="84"/>
      <c r="T308" s="84"/>
      <c r="U308" s="84"/>
    </row>
    <row r="309" spans="2:21" ht="15">
      <c r="B309" s="96"/>
      <c r="C309" s="13"/>
      <c r="D309" s="1098"/>
      <c r="E309" s="1098"/>
      <c r="F309" s="1098"/>
      <c r="G309" s="1098"/>
      <c r="H309" s="1098"/>
      <c r="I309" s="1098"/>
      <c r="J309" s="1098"/>
      <c r="K309" s="792"/>
      <c r="L309" s="13"/>
      <c r="M309" s="13"/>
      <c r="N309" s="84"/>
      <c r="O309" s="84"/>
      <c r="P309" s="84"/>
      <c r="Q309" s="84"/>
      <c r="R309" s="84"/>
      <c r="S309" s="84"/>
      <c r="T309" s="84"/>
      <c r="U309" s="84"/>
    </row>
    <row r="310" spans="2:21" ht="15">
      <c r="B310" s="96"/>
      <c r="C310" s="13"/>
      <c r="D310" s="781" t="str">
        <f>"The company records referenced on lines "&amp;B171&amp;" and "&amp;B172&amp;" is the "&amp;F7&amp;" general ledger."</f>
        <v>The company records referenced on lines 270 and 271 is the KENTUCKY POWER COMPANY general ledger.</v>
      </c>
      <c r="E310" s="607"/>
      <c r="F310" s="607"/>
      <c r="G310" s="607"/>
      <c r="H310" s="607"/>
      <c r="I310" s="607"/>
      <c r="J310" s="607"/>
      <c r="K310" s="607"/>
      <c r="L310" s="13"/>
      <c r="M310" s="13"/>
      <c r="N310" s="84"/>
      <c r="O310" s="84"/>
      <c r="P310" s="84"/>
      <c r="Q310" s="84"/>
      <c r="R310" s="84"/>
      <c r="S310" s="84"/>
      <c r="T310" s="84"/>
      <c r="U310" s="84"/>
    </row>
    <row r="311" spans="2:21" ht="15">
      <c r="B311" s="96"/>
      <c r="C311" s="13"/>
      <c r="D311" s="781"/>
      <c r="E311" s="607"/>
      <c r="F311" s="607"/>
      <c r="G311" s="607"/>
      <c r="H311" s="607"/>
      <c r="I311" s="607"/>
      <c r="J311" s="607"/>
      <c r="K311" s="607"/>
      <c r="L311" s="13"/>
      <c r="M311" s="13"/>
      <c r="N311" s="84"/>
      <c r="O311" s="84"/>
      <c r="P311" s="84"/>
      <c r="Q311" s="84"/>
      <c r="R311" s="84"/>
      <c r="S311" s="84"/>
      <c r="T311" s="84"/>
      <c r="U311" s="84"/>
    </row>
    <row r="312" spans="2:21" ht="15">
      <c r="B312" s="96" t="s">
        <v>764</v>
      </c>
      <c r="C312" s="13"/>
      <c r="D312" s="13" t="s">
        <v>13</v>
      </c>
      <c r="E312" s="100"/>
      <c r="F312" s="100"/>
      <c r="G312" s="100"/>
      <c r="H312" s="100"/>
      <c r="I312" s="100"/>
      <c r="J312" s="100"/>
      <c r="K312" s="100"/>
      <c r="L312" s="13"/>
      <c r="M312" s="13"/>
      <c r="N312" s="84"/>
      <c r="O312" s="84"/>
      <c r="P312" s="84"/>
      <c r="Q312" s="84"/>
      <c r="R312" s="84"/>
      <c r="S312" s="84"/>
      <c r="T312" s="84"/>
      <c r="U312" s="84"/>
    </row>
    <row r="313" spans="2:21" ht="15">
      <c r="B313" s="96"/>
      <c r="C313" s="13"/>
      <c r="D313" s="13"/>
      <c r="E313" s="13"/>
      <c r="F313" s="13"/>
      <c r="G313" s="13"/>
      <c r="H313" s="13"/>
      <c r="I313" s="13"/>
      <c r="J313" s="13"/>
      <c r="K313" s="13"/>
      <c r="L313" s="13"/>
      <c r="M313" s="13"/>
      <c r="N313" s="84"/>
      <c r="O313" s="84"/>
      <c r="P313" s="84"/>
      <c r="Q313" s="84"/>
      <c r="R313" s="84"/>
      <c r="S313" s="84"/>
      <c r="T313" s="84"/>
      <c r="U313" s="84"/>
    </row>
    <row r="314" spans="2:21" ht="15">
      <c r="B314" s="96" t="s">
        <v>765</v>
      </c>
      <c r="C314" s="13"/>
      <c r="D314" s="1099" t="s">
        <v>607</v>
      </c>
      <c r="E314" s="1142"/>
      <c r="F314" s="1142"/>
      <c r="G314" s="1142"/>
      <c r="H314" s="1142"/>
      <c r="I314" s="1142"/>
      <c r="J314" s="1142"/>
      <c r="K314" s="13"/>
      <c r="L314" s="13"/>
      <c r="M314" s="13"/>
      <c r="N314" s="84"/>
      <c r="O314" s="84"/>
      <c r="P314" s="84"/>
      <c r="Q314" s="84"/>
      <c r="R314" s="84"/>
      <c r="S314" s="84"/>
      <c r="T314" s="84"/>
      <c r="U314" s="84"/>
    </row>
    <row r="315" spans="2:21" ht="15">
      <c r="B315" s="96"/>
      <c r="C315" s="13"/>
      <c r="D315" s="1142"/>
      <c r="E315" s="1142"/>
      <c r="F315" s="1142"/>
      <c r="G315" s="1142"/>
      <c r="H315" s="1142"/>
      <c r="I315" s="1142"/>
      <c r="J315" s="1142"/>
      <c r="K315" s="13"/>
      <c r="L315" s="13"/>
      <c r="M315" s="13"/>
      <c r="N315" s="84"/>
      <c r="O315" s="84"/>
      <c r="P315" s="84"/>
      <c r="Q315" s="84"/>
      <c r="R315" s="84"/>
      <c r="S315" s="84"/>
      <c r="T315" s="84"/>
      <c r="U315" s="84"/>
    </row>
    <row r="316" spans="2:21" ht="15">
      <c r="B316" s="96"/>
      <c r="C316" s="13"/>
      <c r="D316" s="1142"/>
      <c r="E316" s="1142"/>
      <c r="F316" s="1142"/>
      <c r="G316" s="1142"/>
      <c r="H316" s="1142"/>
      <c r="I316" s="1142"/>
      <c r="J316" s="1142"/>
      <c r="K316" s="13"/>
      <c r="L316" s="13"/>
      <c r="M316" s="13"/>
      <c r="N316" s="84"/>
      <c r="O316" s="84"/>
      <c r="P316" s="84"/>
      <c r="Q316" s="84"/>
      <c r="R316" s="84"/>
      <c r="S316" s="84"/>
      <c r="T316" s="84"/>
      <c r="U316" s="84"/>
    </row>
    <row r="317" spans="2:21" ht="15">
      <c r="B317" s="96"/>
      <c r="C317" s="13"/>
      <c r="D317" s="13"/>
      <c r="E317" s="13"/>
      <c r="F317" s="13"/>
      <c r="G317" s="13"/>
      <c r="H317" s="13"/>
      <c r="I317" s="13"/>
      <c r="J317" s="13"/>
      <c r="K317" s="13"/>
      <c r="L317" s="13"/>
      <c r="M317" s="13"/>
      <c r="N317" s="84"/>
      <c r="O317" s="84"/>
      <c r="P317" s="84"/>
      <c r="Q317" s="84"/>
      <c r="R317" s="84"/>
      <c r="S317" s="84"/>
      <c r="T317" s="84"/>
      <c r="U317" s="84"/>
    </row>
    <row r="318" spans="2:21" ht="15">
      <c r="B318" s="94" t="s">
        <v>766</v>
      </c>
      <c r="C318" s="13"/>
      <c r="D318" s="1100" t="str">
        <f>"These deductions on lines "&amp;B156&amp;" through "&amp;B158&amp;" are to remove from the cost of service the expenses recorded by the company for Postemployment Benefits Other than Pensions (PBOP). See Note M below for the recoverable PBOP expense."</f>
        <v>These deductions on lines 256 through 258 are to remove from the cost of service the expenses recorded by the company for Postemployment Benefits Other than Pensions (PBOP). See Note M below for the recoverable PBOP expense.</v>
      </c>
      <c r="E318" s="1149"/>
      <c r="F318" s="1149"/>
      <c r="G318" s="1149"/>
      <c r="H318" s="1149"/>
      <c r="I318" s="1149"/>
      <c r="J318" s="1149"/>
      <c r="K318" s="1149"/>
      <c r="L318" s="13"/>
      <c r="M318" s="13"/>
      <c r="N318" s="84"/>
      <c r="O318" s="84"/>
      <c r="P318" s="84"/>
      <c r="Q318" s="84"/>
      <c r="R318" s="84"/>
      <c r="S318" s="84"/>
      <c r="T318" s="84"/>
      <c r="U318" s="84"/>
    </row>
    <row r="319" spans="2:21" ht="15">
      <c r="B319" s="94"/>
      <c r="C319" s="13"/>
      <c r="D319" s="1149"/>
      <c r="E319" s="1149"/>
      <c r="F319" s="1149"/>
      <c r="G319" s="1149"/>
      <c r="H319" s="1149"/>
      <c r="I319" s="1149"/>
      <c r="J319" s="1149"/>
      <c r="K319" s="1149"/>
      <c r="L319" s="13"/>
      <c r="M319" s="13"/>
      <c r="N319" s="84"/>
      <c r="O319" s="84"/>
      <c r="P319" s="84"/>
      <c r="Q319" s="84"/>
      <c r="R319" s="84"/>
      <c r="S319" s="84"/>
      <c r="T319" s="84"/>
      <c r="U319" s="84"/>
    </row>
    <row r="320" spans="2:21" ht="15">
      <c r="B320" s="96"/>
      <c r="C320" s="13"/>
      <c r="D320" s="13"/>
      <c r="E320" s="13"/>
      <c r="F320" s="13"/>
      <c r="G320" s="13"/>
      <c r="H320" s="13"/>
      <c r="I320" s="13"/>
      <c r="J320" s="13"/>
      <c r="K320" s="13"/>
      <c r="L320" s="13"/>
      <c r="M320" s="13"/>
      <c r="N320" s="84"/>
      <c r="O320" s="84"/>
      <c r="P320" s="84"/>
      <c r="Q320" s="84"/>
      <c r="R320" s="84"/>
      <c r="S320" s="84"/>
      <c r="T320" s="84"/>
      <c r="U320" s="84"/>
    </row>
    <row r="321" spans="2:21" ht="15">
      <c r="B321" s="94" t="s">
        <v>767</v>
      </c>
      <c r="C321" s="78"/>
      <c r="D321" s="54" t="s">
        <v>157</v>
      </c>
      <c r="E321" s="24"/>
      <c r="F321" s="24"/>
      <c r="G321" s="24"/>
      <c r="H321" s="24"/>
      <c r="I321" s="24"/>
      <c r="J321" s="24"/>
      <c r="K321" s="24"/>
      <c r="L321" s="24"/>
      <c r="M321" s="13"/>
      <c r="N321" s="84"/>
      <c r="O321" s="84"/>
      <c r="P321" s="84"/>
      <c r="Q321" s="84"/>
      <c r="R321" s="84"/>
      <c r="S321" s="84"/>
      <c r="T321" s="84"/>
      <c r="U321" s="84"/>
    </row>
    <row r="322" spans="2:21" ht="15">
      <c r="B322" s="94"/>
      <c r="C322" s="78"/>
      <c r="D322" s="54" t="s">
        <v>359</v>
      </c>
      <c r="E322" s="24"/>
      <c r="F322" s="24"/>
      <c r="G322" s="24"/>
      <c r="H322" s="24"/>
      <c r="I322" s="24"/>
      <c r="J322" s="24"/>
      <c r="K322" s="24"/>
      <c r="L322" s="24"/>
      <c r="M322" s="13"/>
      <c r="N322" s="84"/>
      <c r="O322" s="84"/>
      <c r="P322" s="84"/>
      <c r="Q322" s="84"/>
      <c r="R322" s="84"/>
      <c r="S322" s="84"/>
      <c r="T322" s="84"/>
      <c r="U322" s="84"/>
    </row>
    <row r="323" spans="2:21" ht="15">
      <c r="B323" s="94"/>
      <c r="C323" s="78"/>
      <c r="D323" s="54" t="s">
        <v>360</v>
      </c>
      <c r="E323" s="24"/>
      <c r="F323" s="24"/>
      <c r="G323" s="24"/>
      <c r="H323" s="24"/>
      <c r="I323" s="24"/>
      <c r="J323" s="24"/>
      <c r="K323" s="24"/>
      <c r="L323" s="24"/>
      <c r="M323" s="13"/>
      <c r="N323" s="84"/>
      <c r="O323" s="84"/>
      <c r="P323" s="84"/>
      <c r="Q323" s="84"/>
      <c r="R323" s="84"/>
      <c r="S323" s="84"/>
      <c r="T323" s="84"/>
      <c r="U323" s="84"/>
    </row>
    <row r="324" spans="2:21" ht="15">
      <c r="B324" s="94"/>
      <c r="C324" s="78"/>
      <c r="D324" s="13" t="s">
        <v>361</v>
      </c>
      <c r="E324" s="24"/>
      <c r="F324" s="24"/>
      <c r="G324" s="24"/>
      <c r="H324" s="24"/>
      <c r="I324" s="24"/>
      <c r="J324" s="24"/>
      <c r="K324" s="24"/>
      <c r="L324" s="24"/>
      <c r="M324" s="13"/>
      <c r="N324" s="84"/>
      <c r="O324" s="84"/>
      <c r="P324" s="84"/>
      <c r="Q324" s="84"/>
      <c r="R324" s="84"/>
      <c r="S324" s="84"/>
      <c r="T324" s="84"/>
      <c r="U324" s="84"/>
    </row>
    <row r="325" spans="2:21" ht="15">
      <c r="B325" s="94"/>
      <c r="C325" s="78"/>
      <c r="D325" s="13"/>
      <c r="E325" s="24"/>
      <c r="F325" s="24"/>
      <c r="G325" s="24"/>
      <c r="H325" s="24"/>
      <c r="I325" s="24"/>
      <c r="J325" s="24"/>
      <c r="K325" s="24"/>
      <c r="L325" s="24"/>
      <c r="M325" s="13"/>
      <c r="N325" s="84"/>
      <c r="O325" s="84"/>
      <c r="P325" s="84"/>
      <c r="Q325" s="84"/>
      <c r="R325" s="84"/>
      <c r="S325" s="84"/>
      <c r="T325" s="84"/>
      <c r="U325" s="84"/>
    </row>
    <row r="326" spans="2:21" ht="15" customHeight="1">
      <c r="B326" s="94" t="s">
        <v>768</v>
      </c>
      <c r="C326" s="78"/>
      <c r="D326" s="1112" t="s">
        <v>859</v>
      </c>
      <c r="E326" s="1113"/>
      <c r="F326" s="1113"/>
      <c r="G326" s="1113"/>
      <c r="H326" s="1113"/>
      <c r="I326" s="1113"/>
      <c r="J326" s="1113"/>
      <c r="K326" s="1113"/>
      <c r="L326" s="1114"/>
      <c r="M326" s="13"/>
      <c r="N326" s="84"/>
      <c r="O326" s="84"/>
      <c r="P326" s="84"/>
      <c r="Q326" s="84"/>
      <c r="R326" s="84"/>
      <c r="S326" s="84"/>
      <c r="T326" s="84"/>
      <c r="U326" s="84"/>
    </row>
    <row r="327" spans="2:21" ht="15">
      <c r="B327" s="94"/>
      <c r="C327" s="78"/>
      <c r="D327" s="1113"/>
      <c r="E327" s="1113"/>
      <c r="F327" s="1113"/>
      <c r="G327" s="1113"/>
      <c r="H327" s="1113"/>
      <c r="I327" s="1113"/>
      <c r="J327" s="1113"/>
      <c r="K327" s="1113"/>
      <c r="L327" s="1114"/>
      <c r="M327" s="13"/>
      <c r="N327" s="84"/>
      <c r="O327" s="84"/>
      <c r="P327" s="84"/>
      <c r="Q327" s="84"/>
      <c r="R327" s="84"/>
      <c r="S327" s="84"/>
      <c r="T327" s="84"/>
      <c r="U327" s="84"/>
    </row>
    <row r="328" spans="2:21" ht="15">
      <c r="B328" s="94"/>
      <c r="C328" s="78"/>
      <c r="D328" s="1114"/>
      <c r="E328" s="1114"/>
      <c r="F328" s="1114"/>
      <c r="G328" s="1114"/>
      <c r="H328" s="1114"/>
      <c r="I328" s="1114"/>
      <c r="J328" s="1114"/>
      <c r="K328" s="1114"/>
      <c r="L328" s="1114"/>
      <c r="M328" s="13"/>
      <c r="N328" s="84"/>
      <c r="O328" s="84"/>
      <c r="P328" s="84"/>
      <c r="Q328" s="84"/>
      <c r="R328" s="84"/>
      <c r="S328" s="84"/>
      <c r="T328" s="84"/>
      <c r="U328" s="84"/>
    </row>
    <row r="329" spans="2:21" ht="15">
      <c r="B329" s="94"/>
      <c r="C329" s="78"/>
      <c r="D329" s="781"/>
      <c r="E329" s="24"/>
      <c r="F329" s="24"/>
      <c r="G329" s="24"/>
      <c r="H329" s="24"/>
      <c r="I329" s="24"/>
      <c r="J329" s="24"/>
      <c r="K329" s="24"/>
      <c r="L329" s="24"/>
      <c r="M329" s="13"/>
      <c r="N329" s="84"/>
      <c r="O329" s="84"/>
      <c r="P329" s="84"/>
      <c r="Q329" s="84"/>
      <c r="R329" s="84"/>
      <c r="S329" s="84"/>
      <c r="T329" s="84"/>
      <c r="U329" s="84"/>
    </row>
    <row r="330" spans="2:21" ht="15">
      <c r="B330" s="141" t="s">
        <v>28</v>
      </c>
      <c r="C330" s="78"/>
      <c r="D330" s="54" t="s">
        <v>158</v>
      </c>
      <c r="E330" s="87"/>
      <c r="F330" s="87"/>
      <c r="G330" s="87"/>
      <c r="H330" s="87"/>
      <c r="I330" s="87"/>
      <c r="J330" s="87"/>
      <c r="K330" s="13"/>
      <c r="L330" s="13"/>
      <c r="M330" s="13"/>
      <c r="N330" s="84"/>
      <c r="O330" s="84"/>
      <c r="P330" s="84"/>
      <c r="Q330" s="84"/>
      <c r="R330" s="84"/>
      <c r="S330" s="84"/>
      <c r="T330" s="84"/>
      <c r="U330" s="84"/>
    </row>
    <row r="331" spans="2:21" ht="15">
      <c r="B331" s="141"/>
      <c r="C331" s="78"/>
      <c r="D331" s="87"/>
      <c r="E331" s="87"/>
      <c r="F331" s="87"/>
      <c r="G331" s="87"/>
      <c r="H331" s="87"/>
      <c r="I331" s="87"/>
      <c r="J331" s="87"/>
      <c r="K331" s="13"/>
      <c r="L331" s="13"/>
      <c r="M331" s="13"/>
      <c r="N331" s="84"/>
      <c r="O331" s="84"/>
      <c r="P331" s="84"/>
      <c r="Q331" s="84"/>
      <c r="R331" s="84"/>
      <c r="S331" s="84"/>
      <c r="T331" s="84"/>
      <c r="U331" s="84"/>
    </row>
    <row r="332" spans="2:21" ht="15">
      <c r="B332" s="94" t="s">
        <v>91</v>
      </c>
      <c r="C332" s="78"/>
      <c r="D332" s="54" t="s">
        <v>132</v>
      </c>
      <c r="E332" s="13"/>
      <c r="F332" s="13"/>
      <c r="G332" s="13"/>
      <c r="H332" s="13"/>
      <c r="I332" s="13"/>
      <c r="J332" s="13"/>
      <c r="K332" s="13"/>
      <c r="L332" s="13"/>
      <c r="M332" s="13"/>
      <c r="N332" s="84"/>
      <c r="O332" s="84"/>
      <c r="P332" s="84"/>
      <c r="Q332" s="84"/>
      <c r="R332" s="84"/>
      <c r="S332" s="84"/>
      <c r="T332" s="84"/>
      <c r="U332" s="84"/>
    </row>
    <row r="333" spans="2:21" ht="15">
      <c r="B333" s="141"/>
      <c r="C333" s="78"/>
      <c r="D333" s="54" t="s">
        <v>14</v>
      </c>
      <c r="E333" s="13"/>
      <c r="F333" s="13"/>
      <c r="G333" s="13"/>
      <c r="H333" s="13"/>
      <c r="I333" s="13"/>
      <c r="J333" s="13"/>
      <c r="K333" s="13"/>
      <c r="L333" s="13"/>
      <c r="M333" s="13"/>
      <c r="N333" s="84"/>
      <c r="O333" s="84"/>
      <c r="P333" s="84"/>
      <c r="Q333" s="84"/>
      <c r="R333" s="84"/>
      <c r="S333" s="84"/>
      <c r="T333" s="84"/>
      <c r="U333" s="84"/>
    </row>
    <row r="334" spans="2:21" ht="15">
      <c r="B334" s="141"/>
      <c r="C334" s="78"/>
      <c r="D334" s="54" t="s">
        <v>15</v>
      </c>
      <c r="E334" s="13"/>
      <c r="F334" s="13"/>
      <c r="G334" s="13"/>
      <c r="H334" s="13"/>
      <c r="I334" s="13"/>
      <c r="J334" s="13"/>
      <c r="K334" s="13"/>
      <c r="L334" s="13"/>
      <c r="M334" s="13"/>
      <c r="N334" s="84"/>
      <c r="O334" s="84"/>
      <c r="P334" s="84"/>
      <c r="Q334" s="84"/>
      <c r="R334" s="84"/>
      <c r="S334" s="84"/>
      <c r="T334" s="84"/>
      <c r="U334" s="84"/>
    </row>
    <row r="335" spans="2:21" ht="15">
      <c r="B335" s="141"/>
      <c r="C335" s="78"/>
      <c r="D335" s="54" t="s">
        <v>16</v>
      </c>
      <c r="E335" s="13"/>
      <c r="F335" s="13"/>
      <c r="G335" s="13"/>
      <c r="H335" s="13"/>
      <c r="I335" s="13"/>
      <c r="J335" s="13"/>
      <c r="K335" s="13"/>
      <c r="L335" s="13"/>
      <c r="M335" s="13"/>
      <c r="N335" s="84"/>
      <c r="O335" s="84"/>
      <c r="P335" s="84"/>
      <c r="Q335" s="84"/>
      <c r="R335" s="84"/>
      <c r="S335" s="84"/>
      <c r="T335" s="84"/>
      <c r="U335" s="84"/>
    </row>
    <row r="336" spans="2:21" ht="15">
      <c r="B336" s="94"/>
      <c r="C336" s="78"/>
      <c r="D336" s="54" t="str">
        <f>"(ln "&amp;B199&amp;") multiplied by (1/1-T) .  If the applicable tax rates are zero enter 0."</f>
        <v>(ln 295) multiplied by (1/1-T) .  If the applicable tax rates are zero enter 0.</v>
      </c>
      <c r="H336" s="13"/>
      <c r="I336" s="13"/>
      <c r="J336" s="13"/>
      <c r="K336" s="13"/>
      <c r="L336" s="13"/>
      <c r="M336" s="13"/>
      <c r="N336" s="84"/>
      <c r="O336" s="84"/>
      <c r="P336" s="84"/>
      <c r="Q336" s="84"/>
      <c r="R336" s="84"/>
      <c r="S336" s="84"/>
      <c r="T336" s="84"/>
      <c r="U336" s="84"/>
    </row>
    <row r="337" spans="2:21" ht="15">
      <c r="B337" s="3"/>
      <c r="C337" s="84"/>
      <c r="D337" s="54" t="s">
        <v>133</v>
      </c>
      <c r="E337" s="24" t="s">
        <v>134</v>
      </c>
      <c r="F337" s="521">
        <v>0.35</v>
      </c>
      <c r="G337" s="24"/>
      <c r="H337" s="13"/>
      <c r="I337" s="13"/>
      <c r="J337" s="13"/>
      <c r="K337" s="13"/>
      <c r="L337" s="13"/>
      <c r="M337" s="13"/>
      <c r="N337" s="84"/>
      <c r="O337" s="84"/>
      <c r="P337" s="84"/>
      <c r="Q337" s="84"/>
      <c r="R337" s="84"/>
      <c r="S337" s="84"/>
      <c r="T337" s="84"/>
      <c r="U337" s="84"/>
    </row>
    <row r="338" spans="2:21" ht="15">
      <c r="B338" s="3"/>
      <c r="C338" s="84"/>
      <c r="D338" s="54"/>
      <c r="E338" s="24" t="s">
        <v>135</v>
      </c>
      <c r="F338" s="522">
        <f>+'KPCo WS G  State Tax Rate'!F28</f>
        <v>0.0493</v>
      </c>
      <c r="G338" s="24" t="s">
        <v>398</v>
      </c>
      <c r="H338" s="13"/>
      <c r="I338" s="13"/>
      <c r="J338" s="13"/>
      <c r="K338" s="13"/>
      <c r="L338" s="13"/>
      <c r="M338" s="13"/>
      <c r="N338" s="84"/>
      <c r="O338" s="84"/>
      <c r="P338" s="84"/>
      <c r="Q338" s="84"/>
      <c r="R338" s="84"/>
      <c r="S338" s="84"/>
      <c r="T338" s="84"/>
      <c r="U338" s="84"/>
    </row>
    <row r="339" spans="2:21" ht="15">
      <c r="B339" s="3"/>
      <c r="C339" s="84"/>
      <c r="D339" s="54"/>
      <c r="E339" s="24" t="s">
        <v>136</v>
      </c>
      <c r="F339" s="521">
        <f>+H215</f>
        <v>0</v>
      </c>
      <c r="G339" s="24" t="s">
        <v>137</v>
      </c>
      <c r="H339" s="13"/>
      <c r="I339" s="13"/>
      <c r="J339" s="13"/>
      <c r="K339" s="13"/>
      <c r="L339" s="13"/>
      <c r="M339" s="13"/>
      <c r="N339" s="84"/>
      <c r="O339" s="84"/>
      <c r="P339" s="84"/>
      <c r="Q339" s="84"/>
      <c r="R339" s="84"/>
      <c r="S339" s="84"/>
      <c r="T339" s="84"/>
      <c r="U339" s="84"/>
    </row>
    <row r="340" spans="2:21" ht="15">
      <c r="B340" s="141"/>
      <c r="C340" s="78"/>
      <c r="D340" s="54"/>
      <c r="E340" s="13"/>
      <c r="F340" s="13"/>
      <c r="G340" s="13"/>
      <c r="H340" s="13"/>
      <c r="I340" s="13"/>
      <c r="J340" s="13"/>
      <c r="K340" s="13"/>
      <c r="L340" s="13"/>
      <c r="M340" s="24"/>
      <c r="N340" s="84"/>
      <c r="O340" s="84"/>
      <c r="P340" s="84"/>
      <c r="Q340" s="84"/>
      <c r="R340" s="84"/>
      <c r="S340" s="84"/>
      <c r="T340" s="84"/>
      <c r="U340" s="84"/>
    </row>
    <row r="341" spans="2:21" ht="15">
      <c r="B341" s="94" t="s">
        <v>138</v>
      </c>
      <c r="C341" s="78"/>
      <c r="D341" s="54" t="s">
        <v>922</v>
      </c>
      <c r="E341" s="13"/>
      <c r="F341" s="13"/>
      <c r="G341" s="13"/>
      <c r="H341" s="13"/>
      <c r="I341" s="13"/>
      <c r="J341" s="13"/>
      <c r="K341" s="13"/>
      <c r="L341" s="13"/>
      <c r="M341" s="13"/>
      <c r="N341" s="84"/>
      <c r="O341" s="84"/>
      <c r="P341" s="84"/>
      <c r="Q341" s="84"/>
      <c r="R341" s="84"/>
      <c r="S341" s="84"/>
      <c r="T341" s="84"/>
      <c r="U341" s="84"/>
    </row>
    <row r="342" spans="2:21" ht="15">
      <c r="B342" s="14"/>
      <c r="D342" s="54"/>
      <c r="E342" s="13"/>
      <c r="F342" s="13"/>
      <c r="G342" s="13"/>
      <c r="H342" s="13"/>
      <c r="I342" s="13"/>
      <c r="J342" s="13"/>
      <c r="K342" s="13"/>
      <c r="L342" s="13"/>
      <c r="M342" s="13"/>
      <c r="N342" s="84"/>
      <c r="O342" s="84"/>
      <c r="P342" s="84"/>
      <c r="Q342" s="84"/>
      <c r="R342" s="84"/>
      <c r="S342" s="84"/>
      <c r="T342" s="84"/>
      <c r="U342" s="84"/>
    </row>
    <row r="343" spans="2:21" ht="15">
      <c r="B343" s="94" t="s">
        <v>139</v>
      </c>
      <c r="C343" s="78"/>
      <c r="D343" s="54" t="s">
        <v>555</v>
      </c>
      <c r="E343" s="13"/>
      <c r="F343" s="13"/>
      <c r="G343" s="13"/>
      <c r="H343" s="13"/>
      <c r="I343" s="13"/>
      <c r="J343" s="13"/>
      <c r="K343" s="13"/>
      <c r="L343" s="13"/>
      <c r="M343" s="13"/>
      <c r="N343" s="84"/>
      <c r="O343" s="84"/>
      <c r="P343" s="84"/>
      <c r="Q343" s="84"/>
      <c r="R343" s="84"/>
      <c r="S343" s="84"/>
      <c r="T343" s="84"/>
      <c r="U343" s="84"/>
    </row>
    <row r="344" spans="2:21" ht="15">
      <c r="B344" s="94"/>
      <c r="C344" s="78"/>
      <c r="D344" s="54"/>
      <c r="E344" s="24"/>
      <c r="F344" s="24"/>
      <c r="G344" s="24"/>
      <c r="H344" s="24"/>
      <c r="I344" s="24"/>
      <c r="J344" s="24"/>
      <c r="K344" s="24"/>
      <c r="L344" s="24"/>
      <c r="M344" s="24"/>
      <c r="N344" s="84"/>
      <c r="O344" s="84"/>
      <c r="P344" s="84"/>
      <c r="Q344" s="84"/>
      <c r="R344" s="84"/>
      <c r="S344" s="84"/>
      <c r="T344" s="84"/>
      <c r="U344" s="84"/>
    </row>
    <row r="345" spans="2:21" ht="15">
      <c r="B345" s="94" t="s">
        <v>140</v>
      </c>
      <c r="C345" s="78"/>
      <c r="D345" s="54" t="s">
        <v>235</v>
      </c>
      <c r="E345" s="24"/>
      <c r="F345" s="24"/>
      <c r="G345" s="24"/>
      <c r="H345" s="24"/>
      <c r="I345" s="24"/>
      <c r="J345" s="24"/>
      <c r="K345" s="24"/>
      <c r="L345" s="24"/>
      <c r="M345" s="24"/>
      <c r="N345" s="84"/>
      <c r="O345" s="84"/>
      <c r="P345" s="84"/>
      <c r="Q345" s="84"/>
      <c r="R345" s="84"/>
      <c r="S345" s="84"/>
      <c r="T345" s="84"/>
      <c r="U345" s="84"/>
    </row>
    <row r="346" spans="2:21" ht="15">
      <c r="B346" s="94"/>
      <c r="C346" s="78"/>
      <c r="D346" s="54"/>
      <c r="E346" s="24"/>
      <c r="F346" s="24"/>
      <c r="G346" s="24"/>
      <c r="H346" s="24"/>
      <c r="I346" s="24"/>
      <c r="J346" s="24"/>
      <c r="K346" s="24"/>
      <c r="L346" s="24"/>
      <c r="M346" s="24"/>
      <c r="N346" s="84"/>
      <c r="O346" s="84"/>
      <c r="P346" s="84"/>
      <c r="Q346" s="84"/>
      <c r="R346" s="84"/>
      <c r="S346" s="84"/>
      <c r="T346" s="84"/>
      <c r="U346" s="84"/>
    </row>
    <row r="347" spans="2:21" ht="15">
      <c r="B347" s="96" t="s">
        <v>141</v>
      </c>
      <c r="C347" s="83"/>
      <c r="D347" s="54" t="str">
        <f>"Long Term Debt cost rate = long-term interest (ln "&amp;B245&amp;") / long term debt (ln "&amp;B255&amp;").  Preferred Stock cost rate = preferred dividends (ln "&amp;B246&amp;") / preferred outstanding (ln "&amp;B256&amp;")."</f>
        <v>Long Term Debt cost rate = long-term interest (ln 318) / long term debt (ln 327).  Preferred Stock cost rate = preferred dividends (ln 319) / preferred outstanding (ln 328).</v>
      </c>
      <c r="M347" s="24"/>
      <c r="N347" s="84"/>
      <c r="O347" s="84"/>
      <c r="P347" s="84"/>
      <c r="Q347" s="84"/>
      <c r="R347" s="84"/>
      <c r="S347" s="84"/>
      <c r="T347" s="84"/>
      <c r="U347" s="84"/>
    </row>
    <row r="348" spans="2:21" ht="15">
      <c r="B348" s="97"/>
      <c r="C348" s="13"/>
      <c r="D348" s="54" t="str">
        <f>"Common Stock cost rate (ROE) = "&amp;J257*100&amp;"%, the rate accepted by FERC in Docket No. ER08-1329.  It includes an additional 50 basis points for remaining a member of the PJM RTO."</f>
        <v>Common Stock cost rate (ROE) = 11.49%, the rate accepted by FERC in Docket No. ER08-1329.  It includes an additional 50 basis points for remaining a member of the PJM RTO.</v>
      </c>
      <c r="M348" s="24"/>
      <c r="N348" s="84"/>
      <c r="O348" s="84"/>
      <c r="P348" s="84"/>
      <c r="Q348" s="84"/>
      <c r="R348" s="84"/>
      <c r="S348" s="84"/>
      <c r="T348" s="84"/>
      <c r="U348" s="84"/>
    </row>
    <row r="349" spans="2:21" ht="15">
      <c r="B349" s="97"/>
      <c r="C349" s="13"/>
      <c r="D349" s="1140" t="s">
        <v>635</v>
      </c>
      <c r="E349" s="1141"/>
      <c r="F349" s="1141"/>
      <c r="G349" s="1141"/>
      <c r="H349" s="1141"/>
      <c r="I349" s="1141"/>
      <c r="J349" s="1141"/>
      <c r="M349" s="24"/>
      <c r="N349" s="84"/>
      <c r="O349" s="84"/>
      <c r="P349" s="84"/>
      <c r="Q349" s="84"/>
      <c r="R349" s="84"/>
      <c r="S349" s="84"/>
      <c r="T349" s="84"/>
      <c r="U349" s="84"/>
    </row>
    <row r="350" spans="2:21" ht="15">
      <c r="B350" s="97"/>
      <c r="C350" s="13"/>
      <c r="D350" s="1141"/>
      <c r="E350" s="1141"/>
      <c r="F350" s="1141"/>
      <c r="G350" s="1141"/>
      <c r="H350" s="1141"/>
      <c r="I350" s="1141"/>
      <c r="J350" s="1141"/>
      <c r="M350" s="24"/>
      <c r="N350" s="84"/>
      <c r="O350" s="84"/>
      <c r="P350" s="84"/>
      <c r="Q350" s="84"/>
      <c r="R350" s="84"/>
      <c r="S350" s="84"/>
      <c r="T350" s="84"/>
      <c r="U350" s="84"/>
    </row>
    <row r="351" spans="2:21" ht="15">
      <c r="B351" s="97"/>
      <c r="C351" s="13"/>
      <c r="D351" s="1142"/>
      <c r="E351" s="1142"/>
      <c r="F351" s="1142"/>
      <c r="G351" s="1142"/>
      <c r="H351" s="1142"/>
      <c r="I351" s="1142"/>
      <c r="J351" s="1142"/>
      <c r="M351" s="24"/>
      <c r="N351" s="84"/>
      <c r="O351" s="84"/>
      <c r="P351" s="84"/>
      <c r="Q351" s="84"/>
      <c r="R351" s="84"/>
      <c r="S351" s="84"/>
      <c r="T351" s="84"/>
      <c r="U351" s="84"/>
    </row>
    <row r="352" spans="2:21" ht="15">
      <c r="B352" s="97"/>
      <c r="C352" s="13"/>
      <c r="D352" s="1142"/>
      <c r="E352" s="1142"/>
      <c r="F352" s="1142"/>
      <c r="G352" s="1142"/>
      <c r="H352" s="1142"/>
      <c r="I352" s="1142"/>
      <c r="J352" s="1142"/>
      <c r="M352" s="24"/>
      <c r="N352" s="84"/>
      <c r="O352" s="84"/>
      <c r="P352" s="84"/>
      <c r="Q352" s="84"/>
      <c r="R352" s="84"/>
      <c r="S352" s="84"/>
      <c r="T352" s="84"/>
      <c r="U352" s="84"/>
    </row>
    <row r="353" spans="2:21" ht="15">
      <c r="B353" s="97"/>
      <c r="C353" s="13"/>
      <c r="D353" s="1143"/>
      <c r="E353" s="1143"/>
      <c r="F353" s="1143"/>
      <c r="G353" s="1143"/>
      <c r="H353" s="1143"/>
      <c r="I353" s="1143"/>
      <c r="J353" s="1143"/>
      <c r="M353" s="24"/>
      <c r="N353" s="84"/>
      <c r="O353" s="84"/>
      <c r="P353" s="84"/>
      <c r="Q353" s="84"/>
      <c r="R353" s="84"/>
      <c r="S353" s="84"/>
      <c r="T353" s="84"/>
      <c r="U353" s="84"/>
    </row>
    <row r="354" spans="2:21" ht="15">
      <c r="B354" s="97"/>
      <c r="C354" s="13"/>
      <c r="D354" s="1143"/>
      <c r="E354" s="1143"/>
      <c r="F354" s="1143"/>
      <c r="G354" s="1143"/>
      <c r="H354" s="1143"/>
      <c r="I354" s="1143"/>
      <c r="J354" s="1143"/>
      <c r="M354" s="24"/>
      <c r="N354" s="84"/>
      <c r="O354" s="84"/>
      <c r="P354" s="84"/>
      <c r="Q354" s="84"/>
      <c r="R354" s="84"/>
      <c r="S354" s="84"/>
      <c r="T354" s="84"/>
      <c r="U354" s="84"/>
    </row>
    <row r="355" spans="2:21" ht="15">
      <c r="B355" s="97"/>
      <c r="C355" s="13"/>
      <c r="D355" s="54"/>
      <c r="M355" s="24"/>
      <c r="N355" s="84"/>
      <c r="O355" s="84"/>
      <c r="P355" s="84"/>
      <c r="Q355" s="84"/>
      <c r="R355" s="84"/>
      <c r="S355" s="84"/>
      <c r="T355" s="84"/>
      <c r="U355" s="84"/>
    </row>
    <row r="356" spans="2:21" ht="15">
      <c r="B356" s="94" t="s">
        <v>249</v>
      </c>
      <c r="C356" s="78"/>
      <c r="D356" s="14" t="s">
        <v>294</v>
      </c>
      <c r="M356" s="24"/>
      <c r="N356" s="84"/>
      <c r="O356" s="84"/>
      <c r="P356" s="84"/>
      <c r="Q356" s="84"/>
      <c r="R356" s="84"/>
      <c r="S356" s="84"/>
      <c r="T356" s="84"/>
      <c r="U356" s="84"/>
    </row>
    <row r="357" spans="2:21" ht="6" customHeight="1">
      <c r="B357" s="94"/>
      <c r="C357" s="78"/>
      <c r="M357" s="24"/>
      <c r="N357" s="84"/>
      <c r="O357" s="84"/>
      <c r="P357" s="84"/>
      <c r="Q357" s="84"/>
      <c r="R357" s="84"/>
      <c r="S357" s="84"/>
      <c r="T357" s="84"/>
      <c r="U357" s="84"/>
    </row>
    <row r="358" spans="2:21" ht="15">
      <c r="B358" s="977" t="s">
        <v>380</v>
      </c>
      <c r="C358" s="978"/>
      <c r="D358" s="160" t="s">
        <v>608</v>
      </c>
      <c r="M358" s="24"/>
      <c r="N358" s="84"/>
      <c r="O358" s="84"/>
      <c r="P358" s="84"/>
      <c r="Q358" s="84"/>
      <c r="R358" s="84"/>
      <c r="S358" s="84"/>
      <c r="T358" s="84"/>
      <c r="U358" s="84"/>
    </row>
    <row r="359" spans="2:21" ht="15">
      <c r="B359" s="94"/>
      <c r="C359" s="78"/>
      <c r="M359" s="24"/>
      <c r="N359" s="84"/>
      <c r="O359" s="84"/>
      <c r="P359" s="84"/>
      <c r="Q359" s="84"/>
      <c r="R359" s="84"/>
      <c r="S359" s="84"/>
      <c r="T359" s="84"/>
      <c r="U359" s="84"/>
    </row>
    <row r="360" spans="2:21" ht="15">
      <c r="B360" s="94"/>
      <c r="C360" s="78"/>
      <c r="M360" s="24"/>
      <c r="N360" s="84"/>
      <c r="O360" s="84"/>
      <c r="P360" s="84"/>
      <c r="Q360" s="84"/>
      <c r="R360" s="84"/>
      <c r="S360" s="84"/>
      <c r="T360" s="84"/>
      <c r="U360" s="84"/>
    </row>
    <row r="361" spans="2:21" ht="15">
      <c r="B361" s="94"/>
      <c r="C361" s="78"/>
      <c r="M361" s="24"/>
      <c r="N361" s="84"/>
      <c r="O361" s="84"/>
      <c r="P361" s="84"/>
      <c r="Q361" s="84"/>
      <c r="R361" s="84"/>
      <c r="S361" s="84"/>
      <c r="T361" s="84"/>
      <c r="U361" s="84"/>
    </row>
    <row r="362" spans="2:21" ht="15">
      <c r="B362" s="94"/>
      <c r="C362" s="78"/>
      <c r="M362" s="24"/>
      <c r="N362" s="84"/>
      <c r="O362" s="84"/>
      <c r="P362" s="84"/>
      <c r="Q362" s="84"/>
      <c r="R362" s="84"/>
      <c r="S362" s="84"/>
      <c r="T362" s="84"/>
      <c r="U362" s="84"/>
    </row>
    <row r="363" spans="2:21" ht="15">
      <c r="B363" s="94"/>
      <c r="C363" s="78"/>
      <c r="M363" s="24"/>
      <c r="N363" s="84"/>
      <c r="O363" s="84"/>
      <c r="P363" s="84"/>
      <c r="Q363" s="84"/>
      <c r="R363" s="84"/>
      <c r="S363" s="84"/>
      <c r="T363" s="84"/>
      <c r="U363" s="84"/>
    </row>
    <row r="364" spans="2:21" ht="15">
      <c r="B364" s="94"/>
      <c r="C364" s="78"/>
      <c r="M364" s="24"/>
      <c r="N364" s="84"/>
      <c r="O364" s="84"/>
      <c r="P364" s="84"/>
      <c r="Q364" s="84"/>
      <c r="R364" s="84"/>
      <c r="S364" s="84"/>
      <c r="T364" s="84"/>
      <c r="U364" s="84"/>
    </row>
    <row r="365" spans="2:21" ht="15">
      <c r="B365" s="94"/>
      <c r="C365" s="78"/>
      <c r="M365" s="24"/>
      <c r="N365" s="84"/>
      <c r="O365" s="84"/>
      <c r="P365" s="84"/>
      <c r="Q365" s="84"/>
      <c r="R365" s="84"/>
      <c r="S365" s="84"/>
      <c r="T365" s="84"/>
      <c r="U365" s="84"/>
    </row>
    <row r="366" spans="2:21" ht="15">
      <c r="B366"/>
      <c r="C366"/>
      <c r="D366"/>
      <c r="E366"/>
      <c r="F366"/>
      <c r="G366"/>
      <c r="H366"/>
      <c r="M366" s="24"/>
      <c r="N366" s="84"/>
      <c r="O366" s="84"/>
      <c r="P366" s="84"/>
      <c r="Q366" s="84"/>
      <c r="R366" s="84"/>
      <c r="S366" s="84"/>
      <c r="T366" s="84"/>
      <c r="U366" s="84"/>
    </row>
    <row r="367" spans="2:21" ht="15">
      <c r="B367"/>
      <c r="C367"/>
      <c r="D367"/>
      <c r="E367"/>
      <c r="F367"/>
      <c r="G367"/>
      <c r="H367"/>
      <c r="M367" s="24"/>
      <c r="N367" s="84"/>
      <c r="O367" s="84"/>
      <c r="P367" s="84"/>
      <c r="Q367" s="84"/>
      <c r="R367" s="84"/>
      <c r="S367" s="84"/>
      <c r="T367" s="84"/>
      <c r="U367" s="84"/>
    </row>
    <row r="368" spans="2:21" ht="15">
      <c r="B368"/>
      <c r="C368"/>
      <c r="D368"/>
      <c r="E368"/>
      <c r="F368"/>
      <c r="G368"/>
      <c r="H368"/>
      <c r="M368" s="24"/>
      <c r="N368" s="84"/>
      <c r="O368" s="84"/>
      <c r="P368" s="84"/>
      <c r="Q368" s="84"/>
      <c r="R368" s="84"/>
      <c r="S368" s="84"/>
      <c r="T368" s="84"/>
      <c r="U368" s="84"/>
    </row>
    <row r="369" spans="2:21" ht="15">
      <c r="B369"/>
      <c r="C369"/>
      <c r="D369"/>
      <c r="E369"/>
      <c r="F369"/>
      <c r="G369"/>
      <c r="H369"/>
      <c r="M369" s="24"/>
      <c r="N369" s="84"/>
      <c r="O369" s="84"/>
      <c r="P369" s="84"/>
      <c r="Q369" s="84"/>
      <c r="R369" s="84"/>
      <c r="S369" s="84"/>
      <c r="T369" s="84"/>
      <c r="U369" s="84"/>
    </row>
    <row r="370" spans="2:21" ht="15">
      <c r="B370"/>
      <c r="C370"/>
      <c r="D370" s="1143"/>
      <c r="E370" s="1143"/>
      <c r="F370" s="1143"/>
      <c r="G370" s="1143"/>
      <c r="H370" s="1143"/>
      <c r="I370" s="1143"/>
      <c r="J370" s="1143"/>
      <c r="M370" s="24"/>
      <c r="N370" s="84"/>
      <c r="O370" s="84"/>
      <c r="P370" s="84"/>
      <c r="Q370" s="84"/>
      <c r="R370" s="84"/>
      <c r="S370" s="84"/>
      <c r="T370" s="84"/>
      <c r="U370" s="84"/>
    </row>
    <row r="371" spans="2:21" ht="15">
      <c r="B371"/>
      <c r="C371"/>
      <c r="D371" s="1143"/>
      <c r="E371" s="1143"/>
      <c r="F371" s="1143"/>
      <c r="G371" s="1143"/>
      <c r="H371" s="1143"/>
      <c r="I371" s="1143"/>
      <c r="J371" s="1143"/>
      <c r="M371" s="24"/>
      <c r="N371" s="84"/>
      <c r="O371" s="84"/>
      <c r="P371" s="84"/>
      <c r="Q371" s="84"/>
      <c r="R371" s="84"/>
      <c r="S371" s="84"/>
      <c r="T371" s="84"/>
      <c r="U371" s="84"/>
    </row>
    <row r="372" spans="2:21" ht="15">
      <c r="B372"/>
      <c r="C372"/>
      <c r="D372"/>
      <c r="E372"/>
      <c r="F372"/>
      <c r="G372"/>
      <c r="H372"/>
      <c r="M372" s="24"/>
      <c r="N372" s="84"/>
      <c r="O372" s="84"/>
      <c r="P372" s="84"/>
      <c r="Q372" s="84"/>
      <c r="R372" s="84"/>
      <c r="S372" s="84"/>
      <c r="T372" s="84"/>
      <c r="U372" s="84"/>
    </row>
    <row r="373" spans="2:21" ht="15">
      <c r="B373"/>
      <c r="C373"/>
      <c r="D373"/>
      <c r="E373"/>
      <c r="F373"/>
      <c r="G373"/>
      <c r="H373"/>
      <c r="M373" s="24"/>
      <c r="N373" s="84"/>
      <c r="O373" s="84"/>
      <c r="P373" s="84"/>
      <c r="Q373" s="84"/>
      <c r="R373" s="84"/>
      <c r="S373" s="84"/>
      <c r="T373" s="84"/>
      <c r="U373" s="84"/>
    </row>
    <row r="374" spans="2:21" ht="15">
      <c r="B374"/>
      <c r="C374"/>
      <c r="D374"/>
      <c r="E374"/>
      <c r="F374"/>
      <c r="G374"/>
      <c r="H374"/>
      <c r="M374" s="24"/>
      <c r="N374" s="84"/>
      <c r="O374" s="84"/>
      <c r="P374" s="84"/>
      <c r="Q374" s="84"/>
      <c r="R374" s="84"/>
      <c r="S374" s="84"/>
      <c r="T374" s="84"/>
      <c r="U374" s="84"/>
    </row>
    <row r="375" spans="2:21" ht="15">
      <c r="B375"/>
      <c r="C375"/>
      <c r="D375"/>
      <c r="E375"/>
      <c r="F375"/>
      <c r="G375"/>
      <c r="H375"/>
      <c r="M375" s="24"/>
      <c r="N375" s="84"/>
      <c r="O375" s="84"/>
      <c r="P375" s="84"/>
      <c r="Q375" s="84"/>
      <c r="R375" s="84"/>
      <c r="S375" s="84"/>
      <c r="T375" s="84"/>
      <c r="U375" s="84"/>
    </row>
    <row r="376" spans="2:21" ht="15">
      <c r="B376"/>
      <c r="C376"/>
      <c r="D376"/>
      <c r="E376"/>
      <c r="F376"/>
      <c r="G376"/>
      <c r="H376"/>
      <c r="M376" s="24"/>
      <c r="N376" s="84"/>
      <c r="O376" s="84"/>
      <c r="P376" s="84"/>
      <c r="Q376" s="84"/>
      <c r="R376" s="84"/>
      <c r="S376" s="84"/>
      <c r="T376" s="84"/>
      <c r="U376" s="84"/>
    </row>
    <row r="377" spans="2:21" ht="15">
      <c r="B377" s="94"/>
      <c r="C377" s="78"/>
      <c r="M377" s="24"/>
      <c r="N377" s="84"/>
      <c r="O377" s="84"/>
      <c r="P377" s="84"/>
      <c r="Q377" s="84"/>
      <c r="R377" s="84"/>
      <c r="S377" s="84"/>
      <c r="T377" s="84"/>
      <c r="U377" s="84"/>
    </row>
    <row r="378" spans="2:21" ht="15">
      <c r="B378" s="14"/>
      <c r="M378" s="24"/>
      <c r="N378" s="84"/>
      <c r="O378" s="84"/>
      <c r="P378" s="84"/>
      <c r="Q378" s="84"/>
      <c r="R378" s="84"/>
      <c r="S378" s="84"/>
      <c r="T378" s="84"/>
      <c r="U378" s="84"/>
    </row>
    <row r="379" spans="2:21" ht="15">
      <c r="B379" s="14"/>
      <c r="M379" s="24"/>
      <c r="N379" s="84"/>
      <c r="O379" s="84"/>
      <c r="P379" s="84"/>
      <c r="Q379" s="84"/>
      <c r="R379" s="84"/>
      <c r="S379" s="84"/>
      <c r="T379" s="84"/>
      <c r="U379" s="84"/>
    </row>
    <row r="380" spans="2:21" ht="15">
      <c r="B380" s="14"/>
      <c r="M380" s="24"/>
      <c r="N380" s="84"/>
      <c r="O380" s="84"/>
      <c r="P380" s="84"/>
      <c r="Q380" s="84"/>
      <c r="R380" s="84"/>
      <c r="S380" s="84"/>
      <c r="T380" s="84"/>
      <c r="U380" s="84"/>
    </row>
    <row r="381" spans="2:21" ht="15">
      <c r="B381" s="14"/>
      <c r="H381" s="84"/>
      <c r="I381" s="84"/>
      <c r="J381" s="84"/>
      <c r="K381" s="84"/>
      <c r="L381" s="84"/>
      <c r="M381" s="84"/>
      <c r="N381" s="84"/>
      <c r="O381" s="84"/>
      <c r="P381" s="84"/>
      <c r="Q381" s="84"/>
      <c r="R381" s="84"/>
      <c r="S381" s="84"/>
      <c r="T381" s="84"/>
      <c r="U381" s="84"/>
    </row>
    <row r="382" spans="2:21" ht="15">
      <c r="B382" s="14"/>
      <c r="H382" s="84"/>
      <c r="K382" s="84"/>
      <c r="L382" s="84"/>
      <c r="M382" s="84"/>
      <c r="N382" s="84"/>
      <c r="O382" s="84"/>
      <c r="P382" s="84"/>
      <c r="Q382" s="84"/>
      <c r="R382" s="84"/>
      <c r="S382" s="84"/>
      <c r="T382" s="84"/>
      <c r="U382" s="84"/>
    </row>
    <row r="383" spans="2:21" ht="15">
      <c r="B383" s="14"/>
      <c r="H383" s="84"/>
      <c r="I383" s="84" t="s">
        <v>296</v>
      </c>
      <c r="J383" s="198"/>
      <c r="K383" s="84"/>
      <c r="L383" s="84"/>
      <c r="M383" s="84"/>
      <c r="N383" s="84"/>
      <c r="O383" s="84"/>
      <c r="P383" s="84"/>
      <c r="Q383" s="84"/>
      <c r="R383" s="84"/>
      <c r="S383" s="84"/>
      <c r="T383" s="84"/>
      <c r="U383" s="84"/>
    </row>
    <row r="384" spans="2:21" ht="15">
      <c r="B384" s="14"/>
      <c r="H384" s="84"/>
      <c r="I384" s="197" t="s">
        <v>737</v>
      </c>
      <c r="J384" s="198">
        <v>1</v>
      </c>
      <c r="K384" s="84"/>
      <c r="L384" s="84"/>
      <c r="M384" s="84"/>
      <c r="N384" s="84"/>
      <c r="O384" s="84"/>
      <c r="P384" s="84"/>
      <c r="Q384" s="84"/>
      <c r="R384" s="84"/>
      <c r="S384" s="84"/>
      <c r="T384" s="84"/>
      <c r="U384" s="84"/>
    </row>
    <row r="385" spans="2:21" ht="15">
      <c r="B385" s="14"/>
      <c r="H385" s="84"/>
      <c r="I385" s="197" t="s">
        <v>123</v>
      </c>
      <c r="J385" s="198">
        <f>'KPCo Historic TCOS'!$J$70</f>
        <v>0.2768153692450695</v>
      </c>
      <c r="K385" s="84"/>
      <c r="L385" s="84"/>
      <c r="M385" s="84"/>
      <c r="N385" s="84"/>
      <c r="O385" s="84"/>
      <c r="P385" s="84"/>
      <c r="Q385" s="84"/>
      <c r="R385" s="84"/>
      <c r="S385" s="84"/>
      <c r="T385" s="84"/>
      <c r="U385" s="84"/>
    </row>
    <row r="386" spans="2:21" ht="15">
      <c r="B386" s="14"/>
      <c r="H386" s="84"/>
      <c r="I386" s="197" t="s">
        <v>915</v>
      </c>
      <c r="J386" s="198">
        <f>'KPCo Historic TCOS'!$J$71</f>
        <v>0.4338825099475328</v>
      </c>
      <c r="K386" s="84"/>
      <c r="L386" s="84"/>
      <c r="M386" s="84"/>
      <c r="N386" s="84"/>
      <c r="O386" s="84"/>
      <c r="P386" s="84"/>
      <c r="Q386" s="84"/>
      <c r="R386" s="84"/>
      <c r="S386" s="84"/>
      <c r="T386" s="84"/>
      <c r="U386" s="84"/>
    </row>
    <row r="387" spans="2:21" ht="15">
      <c r="B387" s="3"/>
      <c r="C387" s="84"/>
      <c r="D387" s="84"/>
      <c r="E387" s="84"/>
      <c r="F387" s="84"/>
      <c r="G387" s="84"/>
      <c r="H387" s="84"/>
      <c r="I387" s="197" t="s">
        <v>735</v>
      </c>
      <c r="J387" s="199">
        <v>0</v>
      </c>
      <c r="K387" s="84"/>
      <c r="L387" s="84"/>
      <c r="M387" s="84"/>
      <c r="N387" s="84"/>
      <c r="O387" s="84"/>
      <c r="P387" s="84"/>
      <c r="Q387" s="84"/>
      <c r="R387" s="84"/>
      <c r="S387" s="84"/>
      <c r="T387" s="84"/>
      <c r="U387" s="84"/>
    </row>
    <row r="388" spans="2:21" ht="15">
      <c r="B388" s="3"/>
      <c r="C388" s="84"/>
      <c r="D388" s="84"/>
      <c r="E388" s="84"/>
      <c r="F388" s="84"/>
      <c r="G388" s="84"/>
      <c r="H388" s="84"/>
      <c r="I388" s="197" t="s">
        <v>124</v>
      </c>
      <c r="J388" s="198">
        <f>$J$100</f>
        <v>0.28044207727599524</v>
      </c>
      <c r="K388" s="84"/>
      <c r="L388" s="84"/>
      <c r="M388" s="84"/>
      <c r="N388" s="84"/>
      <c r="O388" s="84"/>
      <c r="P388" s="84"/>
      <c r="Q388" s="84"/>
      <c r="R388" s="84"/>
      <c r="S388" s="84"/>
      <c r="T388" s="84"/>
      <c r="U388" s="84"/>
    </row>
    <row r="389" spans="2:21" ht="15">
      <c r="B389" s="3"/>
      <c r="C389" s="84"/>
      <c r="D389" s="84"/>
      <c r="E389" s="84"/>
      <c r="F389" s="84"/>
      <c r="G389" s="84"/>
      <c r="H389" s="84"/>
      <c r="I389" s="197" t="s">
        <v>728</v>
      </c>
      <c r="J389" s="198">
        <f>$L$231</f>
        <v>0.9963409919422282</v>
      </c>
      <c r="K389" s="84"/>
      <c r="L389" s="84"/>
      <c r="M389" s="84"/>
      <c r="N389" s="84"/>
      <c r="O389" s="84"/>
      <c r="P389" s="84"/>
      <c r="Q389" s="84"/>
      <c r="R389" s="84"/>
      <c r="S389" s="84"/>
      <c r="T389" s="84"/>
      <c r="U389" s="84"/>
    </row>
    <row r="390" spans="2:13" ht="15">
      <c r="B390" s="7"/>
      <c r="C390" s="56"/>
      <c r="D390" s="56"/>
      <c r="E390" s="56"/>
      <c r="F390" s="56"/>
      <c r="G390" s="56"/>
      <c r="H390" s="56"/>
      <c r="I390" s="197" t="s">
        <v>559</v>
      </c>
      <c r="J390" s="198">
        <f>$J$75</f>
        <v>0.9958946147744496</v>
      </c>
      <c r="K390" s="56"/>
      <c r="L390" s="56"/>
      <c r="M390" s="56"/>
    </row>
    <row r="391" spans="2:13" ht="15">
      <c r="B391" s="7"/>
      <c r="C391" s="56"/>
      <c r="D391" s="56"/>
      <c r="E391" s="56"/>
      <c r="F391" s="56"/>
      <c r="G391" s="56"/>
      <c r="H391" s="56"/>
      <c r="I391" s="197" t="s">
        <v>740</v>
      </c>
      <c r="J391" s="198">
        <f>$L$241</f>
        <v>0.08594668838210866</v>
      </c>
      <c r="K391" s="56"/>
      <c r="L391" s="56"/>
      <c r="M391" s="56"/>
    </row>
    <row r="392" spans="2:13" ht="15">
      <c r="B392" s="7"/>
      <c r="C392" s="56"/>
      <c r="D392" s="56"/>
      <c r="E392" s="56"/>
      <c r="F392" s="56"/>
      <c r="G392" s="56"/>
      <c r="H392" s="56"/>
      <c r="I392" s="56"/>
      <c r="J392" s="56"/>
      <c r="K392" s="56"/>
      <c r="L392" s="56"/>
      <c r="M392" s="56"/>
    </row>
    <row r="393" spans="2:13" ht="15">
      <c r="B393" s="7"/>
      <c r="C393" s="56"/>
      <c r="D393" s="56"/>
      <c r="E393" s="56"/>
      <c r="F393" s="56"/>
      <c r="G393" s="56"/>
      <c r="H393" s="56"/>
      <c r="I393" s="56"/>
      <c r="J393" s="56"/>
      <c r="K393" s="56"/>
      <c r="L393" s="56"/>
      <c r="M393" s="56"/>
    </row>
    <row r="394" spans="2:13" ht="15">
      <c r="B394" s="7"/>
      <c r="C394" s="56"/>
      <c r="D394" s="56"/>
      <c r="E394" s="56"/>
      <c r="F394" s="56"/>
      <c r="G394" s="56"/>
      <c r="H394" s="56"/>
      <c r="I394" s="56"/>
      <c r="J394" s="56"/>
      <c r="K394" s="56"/>
      <c r="L394" s="56"/>
      <c r="M394" s="56"/>
    </row>
    <row r="395" spans="2:13" ht="15">
      <c r="B395" s="7"/>
      <c r="C395" s="56"/>
      <c r="D395" s="56"/>
      <c r="E395" s="56"/>
      <c r="F395" s="56"/>
      <c r="G395" s="56"/>
      <c r="H395" s="56"/>
      <c r="I395" s="56"/>
      <c r="J395" s="56"/>
      <c r="K395" s="56"/>
      <c r="L395" s="56"/>
      <c r="M395" s="56"/>
    </row>
    <row r="396" spans="2:13" ht="15">
      <c r="B396" s="7"/>
      <c r="C396" s="56"/>
      <c r="D396" s="56"/>
      <c r="E396" s="56"/>
      <c r="F396" s="56"/>
      <c r="G396" s="56"/>
      <c r="H396" s="56"/>
      <c r="I396" s="56"/>
      <c r="J396" s="56"/>
      <c r="K396" s="56"/>
      <c r="L396" s="56"/>
      <c r="M396" s="56"/>
    </row>
    <row r="397" spans="2:13" ht="15">
      <c r="B397" s="7"/>
      <c r="C397" s="56"/>
      <c r="D397" s="56"/>
      <c r="E397" s="56"/>
      <c r="F397" s="56"/>
      <c r="G397" s="56"/>
      <c r="H397" s="56"/>
      <c r="I397" s="56"/>
      <c r="J397" s="56"/>
      <c r="K397" s="56"/>
      <c r="L397" s="56"/>
      <c r="M397" s="56"/>
    </row>
    <row r="398" spans="2:13" ht="15">
      <c r="B398" s="7"/>
      <c r="C398" s="56"/>
      <c r="D398" s="56"/>
      <c r="E398" s="56"/>
      <c r="F398" s="56"/>
      <c r="G398" s="56"/>
      <c r="H398" s="56"/>
      <c r="I398" s="56"/>
      <c r="J398" s="56"/>
      <c r="K398" s="56"/>
      <c r="L398" s="56"/>
      <c r="M398" s="56"/>
    </row>
    <row r="399" spans="2:13" ht="15">
      <c r="B399" s="7"/>
      <c r="C399" s="56"/>
      <c r="D399" s="56"/>
      <c r="E399" s="56"/>
      <c r="F399" s="56"/>
      <c r="G399" s="56"/>
      <c r="H399" s="56"/>
      <c r="I399" s="56"/>
      <c r="J399" s="56"/>
      <c r="K399" s="56"/>
      <c r="L399" s="56"/>
      <c r="M399" s="56"/>
    </row>
    <row r="400" spans="2:13" ht="15">
      <c r="B400" s="7"/>
      <c r="C400" s="56"/>
      <c r="D400" s="56"/>
      <c r="E400" s="56"/>
      <c r="F400" s="56"/>
      <c r="G400" s="56"/>
      <c r="H400" s="56"/>
      <c r="I400" s="56"/>
      <c r="J400" s="56"/>
      <c r="K400" s="56"/>
      <c r="L400" s="56"/>
      <c r="M400" s="56"/>
    </row>
    <row r="401" spans="2:13" ht="15">
      <c r="B401" s="7"/>
      <c r="C401" s="56"/>
      <c r="D401" s="56"/>
      <c r="E401" s="56"/>
      <c r="F401" s="56"/>
      <c r="G401" s="56"/>
      <c r="H401" s="56"/>
      <c r="I401" s="56"/>
      <c r="J401" s="56"/>
      <c r="K401" s="56"/>
      <c r="L401" s="56"/>
      <c r="M401" s="56"/>
    </row>
    <row r="402" spans="2:13" ht="15">
      <c r="B402" s="7"/>
      <c r="C402" s="56"/>
      <c r="D402" s="56"/>
      <c r="E402" s="56"/>
      <c r="F402" s="56"/>
      <c r="G402" s="56"/>
      <c r="H402" s="56"/>
      <c r="I402" s="56"/>
      <c r="J402" s="56"/>
      <c r="K402" s="56"/>
      <c r="L402" s="56"/>
      <c r="M402" s="56"/>
    </row>
    <row r="403" spans="2:13" ht="15">
      <c r="B403" s="7"/>
      <c r="C403" s="56"/>
      <c r="D403" s="56"/>
      <c r="E403" s="56"/>
      <c r="F403" s="56"/>
      <c r="G403" s="56"/>
      <c r="H403" s="56"/>
      <c r="I403" s="56"/>
      <c r="J403" s="56"/>
      <c r="K403" s="56"/>
      <c r="L403" s="56"/>
      <c r="M403" s="56"/>
    </row>
    <row r="404" spans="2:13" ht="15">
      <c r="B404" s="7"/>
      <c r="C404" s="56"/>
      <c r="D404" s="56"/>
      <c r="E404" s="56"/>
      <c r="F404" s="56"/>
      <c r="G404" s="56"/>
      <c r="H404" s="56"/>
      <c r="I404" s="56"/>
      <c r="J404" s="56"/>
      <c r="K404" s="56"/>
      <c r="L404" s="56"/>
      <c r="M404" s="56"/>
    </row>
    <row r="405" spans="2:13" ht="15">
      <c r="B405" s="7"/>
      <c r="C405" s="56"/>
      <c r="D405" s="56"/>
      <c r="E405" s="56"/>
      <c r="F405" s="56"/>
      <c r="G405" s="56"/>
      <c r="H405" s="56"/>
      <c r="I405" s="56"/>
      <c r="J405" s="56"/>
      <c r="K405" s="56"/>
      <c r="L405" s="56"/>
      <c r="M405" s="56"/>
    </row>
    <row r="406" spans="2:13" ht="15">
      <c r="B406" s="7"/>
      <c r="C406" s="56"/>
      <c r="D406" s="56"/>
      <c r="E406" s="56"/>
      <c r="F406" s="56"/>
      <c r="G406" s="56"/>
      <c r="H406" s="56"/>
      <c r="I406" s="56"/>
      <c r="J406" s="56"/>
      <c r="K406" s="56"/>
      <c r="L406" s="56"/>
      <c r="M406" s="56"/>
    </row>
    <row r="407" spans="2:13" ht="15">
      <c r="B407" s="7"/>
      <c r="C407" s="56"/>
      <c r="D407" s="56"/>
      <c r="E407" s="56"/>
      <c r="F407" s="56"/>
      <c r="G407" s="56"/>
      <c r="H407" s="56"/>
      <c r="I407" s="56"/>
      <c r="J407" s="56"/>
      <c r="K407" s="56"/>
      <c r="L407" s="56"/>
      <c r="M407" s="56"/>
    </row>
    <row r="408" spans="2:13" ht="15">
      <c r="B408" s="7"/>
      <c r="C408" s="56"/>
      <c r="D408" s="56"/>
      <c r="E408" s="56"/>
      <c r="F408" s="56"/>
      <c r="G408" s="56"/>
      <c r="H408" s="56"/>
      <c r="I408" s="56"/>
      <c r="J408" s="56"/>
      <c r="K408" s="56"/>
      <c r="L408" s="56"/>
      <c r="M408" s="56"/>
    </row>
    <row r="409" spans="2:13" ht="15">
      <c r="B409" s="7"/>
      <c r="C409" s="56"/>
      <c r="D409" s="56"/>
      <c r="E409" s="56"/>
      <c r="F409" s="56"/>
      <c r="G409" s="56"/>
      <c r="H409" s="56"/>
      <c r="I409" s="56"/>
      <c r="J409" s="56"/>
      <c r="K409" s="56"/>
      <c r="L409" s="56"/>
      <c r="M409" s="56"/>
    </row>
    <row r="410" spans="2:13" ht="15">
      <c r="B410" s="7"/>
      <c r="C410" s="56"/>
      <c r="D410" s="56"/>
      <c r="E410" s="56"/>
      <c r="F410" s="56"/>
      <c r="G410" s="56"/>
      <c r="H410" s="56"/>
      <c r="I410" s="56"/>
      <c r="J410" s="56"/>
      <c r="K410" s="56"/>
      <c r="L410" s="56"/>
      <c r="M410" s="56"/>
    </row>
    <row r="411" spans="2:13" ht="15">
      <c r="B411" s="7"/>
      <c r="C411" s="56"/>
      <c r="D411" s="56"/>
      <c r="E411" s="56"/>
      <c r="F411" s="56"/>
      <c r="G411" s="56"/>
      <c r="H411" s="56"/>
      <c r="I411" s="56"/>
      <c r="J411" s="56"/>
      <c r="K411" s="56"/>
      <c r="L411" s="56"/>
      <c r="M411" s="56"/>
    </row>
    <row r="412" spans="2:13" ht="15">
      <c r="B412" s="7"/>
      <c r="C412" s="56"/>
      <c r="D412" s="56"/>
      <c r="E412" s="56"/>
      <c r="F412" s="56"/>
      <c r="G412" s="56"/>
      <c r="H412" s="56"/>
      <c r="I412" s="56"/>
      <c r="J412" s="56"/>
      <c r="K412" s="56"/>
      <c r="L412" s="56"/>
      <c r="M412" s="56"/>
    </row>
    <row r="413" spans="2:13" ht="15">
      <c r="B413" s="7"/>
      <c r="C413" s="56"/>
      <c r="D413" s="56"/>
      <c r="E413" s="56"/>
      <c r="F413" s="56"/>
      <c r="G413" s="56"/>
      <c r="H413" s="56"/>
      <c r="I413" s="56"/>
      <c r="J413" s="56"/>
      <c r="K413" s="56"/>
      <c r="L413" s="56"/>
      <c r="M413" s="56"/>
    </row>
    <row r="414" spans="2:13" ht="15">
      <c r="B414" s="7"/>
      <c r="C414" s="56"/>
      <c r="D414" s="56"/>
      <c r="E414" s="56"/>
      <c r="F414" s="56"/>
      <c r="G414" s="56"/>
      <c r="H414" s="56"/>
      <c r="I414" s="56"/>
      <c r="J414" s="56"/>
      <c r="K414" s="56"/>
      <c r="L414" s="56"/>
      <c r="M414" s="56"/>
    </row>
    <row r="415" spans="2:13" ht="15">
      <c r="B415" s="7"/>
      <c r="C415" s="56"/>
      <c r="D415" s="56"/>
      <c r="E415" s="56"/>
      <c r="F415" s="56"/>
      <c r="G415" s="56"/>
      <c r="H415" s="56"/>
      <c r="I415" s="56"/>
      <c r="J415" s="56"/>
      <c r="K415" s="56"/>
      <c r="L415" s="56"/>
      <c r="M415" s="56"/>
    </row>
    <row r="416" spans="2:13" ht="15">
      <c r="B416" s="7"/>
      <c r="C416" s="56"/>
      <c r="D416" s="56"/>
      <c r="E416" s="56"/>
      <c r="F416" s="56"/>
      <c r="G416" s="56"/>
      <c r="H416" s="56"/>
      <c r="I416" s="56"/>
      <c r="J416" s="56"/>
      <c r="K416" s="56"/>
      <c r="L416" s="56"/>
      <c r="M416" s="56"/>
    </row>
    <row r="417" spans="2:13" ht="15">
      <c r="B417" s="7"/>
      <c r="C417" s="56"/>
      <c r="D417" s="56"/>
      <c r="E417" s="56"/>
      <c r="F417" s="56"/>
      <c r="G417" s="56"/>
      <c r="H417" s="56"/>
      <c r="I417" s="56"/>
      <c r="J417" s="56"/>
      <c r="K417" s="56"/>
      <c r="L417" s="56"/>
      <c r="M417" s="56"/>
    </row>
    <row r="418" spans="2:13" ht="15">
      <c r="B418" s="7"/>
      <c r="C418" s="56"/>
      <c r="D418" s="56"/>
      <c r="E418" s="56"/>
      <c r="F418" s="56"/>
      <c r="G418" s="56"/>
      <c r="H418" s="56"/>
      <c r="I418" s="56"/>
      <c r="J418" s="56"/>
      <c r="K418" s="56"/>
      <c r="L418" s="56"/>
      <c r="M418" s="56"/>
    </row>
    <row r="419" spans="2:13" ht="15">
      <c r="B419" s="7"/>
      <c r="C419" s="56"/>
      <c r="D419" s="56"/>
      <c r="E419" s="56"/>
      <c r="F419" s="56"/>
      <c r="G419" s="56"/>
      <c r="H419" s="56"/>
      <c r="I419" s="56"/>
      <c r="J419" s="56"/>
      <c r="K419" s="56"/>
      <c r="L419" s="56"/>
      <c r="M419" s="56"/>
    </row>
    <row r="420" spans="2:13" ht="15">
      <c r="B420" s="7"/>
      <c r="C420" s="56"/>
      <c r="D420" s="56"/>
      <c r="E420" s="56"/>
      <c r="F420" s="56"/>
      <c r="G420" s="56"/>
      <c r="H420" s="56"/>
      <c r="I420" s="56"/>
      <c r="J420" s="56"/>
      <c r="K420" s="56"/>
      <c r="L420" s="56"/>
      <c r="M420" s="56"/>
    </row>
    <row r="421" spans="2:13" ht="15">
      <c r="B421" s="7"/>
      <c r="C421" s="56"/>
      <c r="D421" s="56"/>
      <c r="E421" s="56"/>
      <c r="F421" s="56"/>
      <c r="G421" s="56"/>
      <c r="H421" s="56"/>
      <c r="I421" s="56"/>
      <c r="J421" s="56"/>
      <c r="K421" s="56"/>
      <c r="L421" s="56"/>
      <c r="M421" s="56"/>
    </row>
    <row r="422" spans="2:13" ht="15">
      <c r="B422" s="7"/>
      <c r="C422" s="56"/>
      <c r="D422" s="56"/>
      <c r="E422" s="56"/>
      <c r="F422" s="56"/>
      <c r="G422" s="56"/>
      <c r="H422" s="56"/>
      <c r="I422" s="56"/>
      <c r="J422" s="56"/>
      <c r="K422" s="56"/>
      <c r="L422" s="56"/>
      <c r="M422" s="56"/>
    </row>
    <row r="423" spans="2:13" ht="15">
      <c r="B423" s="7"/>
      <c r="C423" s="56"/>
      <c r="D423" s="56"/>
      <c r="E423" s="56"/>
      <c r="F423" s="56"/>
      <c r="G423" s="56"/>
      <c r="H423" s="56"/>
      <c r="I423" s="56"/>
      <c r="J423" s="56"/>
      <c r="K423" s="56"/>
      <c r="L423" s="56"/>
      <c r="M423" s="56"/>
    </row>
    <row r="424" spans="2:13" ht="15">
      <c r="B424" s="7"/>
      <c r="C424" s="56"/>
      <c r="D424" s="56"/>
      <c r="E424" s="56"/>
      <c r="F424" s="56"/>
      <c r="G424" s="56"/>
      <c r="H424" s="56"/>
      <c r="I424" s="56"/>
      <c r="J424" s="56"/>
      <c r="K424" s="56"/>
      <c r="L424" s="56"/>
      <c r="M424" s="56"/>
    </row>
    <row r="425" spans="2:13" ht="15">
      <c r="B425" s="7"/>
      <c r="C425" s="56"/>
      <c r="D425" s="56"/>
      <c r="E425" s="56"/>
      <c r="F425" s="56"/>
      <c r="G425" s="56"/>
      <c r="H425" s="56"/>
      <c r="I425" s="56"/>
      <c r="J425" s="56"/>
      <c r="K425" s="56"/>
      <c r="L425" s="56"/>
      <c r="M425" s="56"/>
    </row>
    <row r="426" spans="2:13" ht="15">
      <c r="B426" s="7"/>
      <c r="C426" s="56"/>
      <c r="D426" s="56"/>
      <c r="E426" s="56"/>
      <c r="F426" s="56"/>
      <c r="G426" s="56"/>
      <c r="H426" s="56"/>
      <c r="I426" s="56"/>
      <c r="J426" s="56"/>
      <c r="K426" s="56"/>
      <c r="L426" s="56"/>
      <c r="M426" s="56"/>
    </row>
    <row r="427" spans="2:13" ht="15">
      <c r="B427" s="7"/>
      <c r="C427" s="56"/>
      <c r="D427" s="56"/>
      <c r="E427" s="56"/>
      <c r="F427" s="56"/>
      <c r="G427" s="56"/>
      <c r="H427" s="56"/>
      <c r="I427" s="56"/>
      <c r="J427" s="56"/>
      <c r="K427" s="56"/>
      <c r="L427" s="56"/>
      <c r="M427" s="56"/>
    </row>
    <row r="428" spans="2:13" ht="15">
      <c r="B428" s="7"/>
      <c r="C428" s="56"/>
      <c r="D428" s="56"/>
      <c r="E428" s="56"/>
      <c r="F428" s="56"/>
      <c r="G428" s="56"/>
      <c r="H428" s="56"/>
      <c r="I428" s="56"/>
      <c r="J428" s="56"/>
      <c r="K428" s="56"/>
      <c r="L428" s="56"/>
      <c r="M428" s="56"/>
    </row>
    <row r="429" spans="2:13" ht="15">
      <c r="B429" s="7"/>
      <c r="C429" s="56"/>
      <c r="D429" s="56"/>
      <c r="E429" s="56"/>
      <c r="F429" s="56"/>
      <c r="G429" s="56"/>
      <c r="H429" s="56"/>
      <c r="I429" s="56"/>
      <c r="J429" s="56"/>
      <c r="K429" s="56"/>
      <c r="L429" s="56"/>
      <c r="M429" s="56"/>
    </row>
    <row r="430" spans="2:13" ht="15">
      <c r="B430" s="7"/>
      <c r="C430" s="56"/>
      <c r="D430" s="56"/>
      <c r="E430" s="56"/>
      <c r="F430" s="56"/>
      <c r="G430" s="56"/>
      <c r="H430" s="56"/>
      <c r="I430" s="56"/>
      <c r="J430" s="56"/>
      <c r="K430" s="56"/>
      <c r="L430" s="56"/>
      <c r="M430" s="56"/>
    </row>
    <row r="431" spans="2:13" ht="15">
      <c r="B431" s="7"/>
      <c r="C431" s="56"/>
      <c r="D431" s="56"/>
      <c r="E431" s="56"/>
      <c r="F431" s="56"/>
      <c r="G431" s="56"/>
      <c r="H431" s="56"/>
      <c r="I431" s="56"/>
      <c r="J431" s="56"/>
      <c r="K431" s="56"/>
      <c r="L431" s="56"/>
      <c r="M431" s="56"/>
    </row>
    <row r="432" spans="2:13" ht="15">
      <c r="B432" s="7"/>
      <c r="C432" s="56"/>
      <c r="D432" s="56"/>
      <c r="E432" s="56"/>
      <c r="F432" s="56"/>
      <c r="G432" s="56"/>
      <c r="H432" s="56"/>
      <c r="I432" s="56"/>
      <c r="J432" s="56"/>
      <c r="K432" s="56"/>
      <c r="L432" s="56"/>
      <c r="M432" s="56"/>
    </row>
    <row r="433" spans="2:13" ht="15">
      <c r="B433" s="7"/>
      <c r="C433" s="56"/>
      <c r="D433" s="56"/>
      <c r="E433" s="56"/>
      <c r="F433" s="56"/>
      <c r="G433" s="56"/>
      <c r="H433" s="56"/>
      <c r="I433" s="56"/>
      <c r="J433" s="56"/>
      <c r="K433" s="56"/>
      <c r="L433" s="56"/>
      <c r="M433" s="56"/>
    </row>
    <row r="434" spans="2:13" ht="15">
      <c r="B434" s="7"/>
      <c r="C434" s="56"/>
      <c r="D434" s="56"/>
      <c r="E434" s="56"/>
      <c r="F434" s="56"/>
      <c r="G434" s="56"/>
      <c r="H434" s="56"/>
      <c r="I434" s="56"/>
      <c r="J434" s="56"/>
      <c r="K434" s="56"/>
      <c r="L434" s="56"/>
      <c r="M434" s="56"/>
    </row>
    <row r="435" spans="2:13" ht="15">
      <c r="B435" s="7"/>
      <c r="C435" s="56"/>
      <c r="D435" s="56"/>
      <c r="E435" s="56"/>
      <c r="F435" s="56"/>
      <c r="G435" s="56"/>
      <c r="H435" s="56"/>
      <c r="I435" s="56"/>
      <c r="J435" s="56"/>
      <c r="K435" s="56"/>
      <c r="L435" s="56"/>
      <c r="M435" s="56"/>
    </row>
    <row r="436" spans="2:13" ht="15">
      <c r="B436" s="7"/>
      <c r="C436" s="56"/>
      <c r="D436" s="56"/>
      <c r="E436" s="56"/>
      <c r="F436" s="56"/>
      <c r="G436" s="56"/>
      <c r="H436" s="56"/>
      <c r="I436" s="56"/>
      <c r="J436" s="56"/>
      <c r="K436" s="56"/>
      <c r="L436" s="56"/>
      <c r="M436" s="56"/>
    </row>
    <row r="437" spans="2:13" ht="15">
      <c r="B437" s="7"/>
      <c r="C437" s="56"/>
      <c r="D437" s="56"/>
      <c r="E437" s="56"/>
      <c r="F437" s="56"/>
      <c r="G437" s="56"/>
      <c r="H437" s="56"/>
      <c r="I437" s="56"/>
      <c r="J437" s="56"/>
      <c r="K437" s="56"/>
      <c r="L437" s="56"/>
      <c r="M437" s="56"/>
    </row>
    <row r="438" spans="2:13" ht="15">
      <c r="B438" s="7"/>
      <c r="C438" s="56"/>
      <c r="D438" s="56"/>
      <c r="E438" s="56"/>
      <c r="F438" s="56"/>
      <c r="G438" s="56"/>
      <c r="H438" s="56"/>
      <c r="I438" s="56"/>
      <c r="J438" s="56"/>
      <c r="K438" s="56"/>
      <c r="L438" s="56"/>
      <c r="M438" s="56"/>
    </row>
    <row r="439" spans="2:13" ht="15">
      <c r="B439" s="7"/>
      <c r="C439" s="56"/>
      <c r="D439" s="56"/>
      <c r="E439" s="56"/>
      <c r="F439" s="56"/>
      <c r="G439" s="56"/>
      <c r="H439" s="56"/>
      <c r="I439" s="56"/>
      <c r="J439" s="56"/>
      <c r="K439" s="56"/>
      <c r="L439" s="56"/>
      <c r="M439" s="56"/>
    </row>
    <row r="440" spans="2:13" ht="15">
      <c r="B440" s="7"/>
      <c r="C440" s="56"/>
      <c r="D440" s="56"/>
      <c r="E440" s="56"/>
      <c r="F440" s="56"/>
      <c r="G440" s="56"/>
      <c r="H440" s="56"/>
      <c r="I440" s="56"/>
      <c r="J440" s="56"/>
      <c r="K440" s="56"/>
      <c r="L440" s="56"/>
      <c r="M440" s="56"/>
    </row>
    <row r="441" spans="2:13" ht="15">
      <c r="B441" s="7"/>
      <c r="C441" s="56"/>
      <c r="D441" s="56"/>
      <c r="E441" s="56"/>
      <c r="F441" s="56"/>
      <c r="G441" s="56"/>
      <c r="H441" s="56"/>
      <c r="I441" s="56"/>
      <c r="J441" s="56"/>
      <c r="K441" s="56"/>
      <c r="L441" s="56"/>
      <c r="M441" s="56"/>
    </row>
    <row r="442" spans="2:13" ht="15">
      <c r="B442" s="7"/>
      <c r="C442" s="56"/>
      <c r="D442" s="56"/>
      <c r="E442" s="56"/>
      <c r="F442" s="56"/>
      <c r="G442" s="56"/>
      <c r="H442" s="56"/>
      <c r="I442" s="56"/>
      <c r="J442" s="56"/>
      <c r="K442" s="56"/>
      <c r="L442" s="56"/>
      <c r="M442" s="56"/>
    </row>
    <row r="443" spans="2:13" ht="15">
      <c r="B443" s="7"/>
      <c r="C443" s="56"/>
      <c r="D443" s="56"/>
      <c r="E443" s="56"/>
      <c r="F443" s="56"/>
      <c r="G443" s="56"/>
      <c r="H443" s="56"/>
      <c r="I443" s="56"/>
      <c r="J443" s="56"/>
      <c r="K443" s="56"/>
      <c r="L443" s="56"/>
      <c r="M443" s="56"/>
    </row>
    <row r="444" spans="2:13" ht="15">
      <c r="B444" s="7"/>
      <c r="C444" s="56"/>
      <c r="D444" s="56"/>
      <c r="E444" s="56"/>
      <c r="F444" s="56"/>
      <c r="G444" s="56"/>
      <c r="H444" s="56"/>
      <c r="I444" s="56"/>
      <c r="J444" s="56"/>
      <c r="K444" s="56"/>
      <c r="L444" s="56"/>
      <c r="M444" s="56"/>
    </row>
    <row r="445" spans="2:13" ht="15">
      <c r="B445" s="7"/>
      <c r="C445" s="56"/>
      <c r="D445" s="56"/>
      <c r="E445" s="56"/>
      <c r="F445" s="56"/>
      <c r="G445" s="56"/>
      <c r="H445" s="56"/>
      <c r="I445" s="56"/>
      <c r="J445" s="56"/>
      <c r="K445" s="56"/>
      <c r="L445" s="56"/>
      <c r="M445" s="56"/>
    </row>
    <row r="446" spans="2:13" ht="15">
      <c r="B446" s="7"/>
      <c r="C446" s="56"/>
      <c r="D446" s="56"/>
      <c r="E446" s="56"/>
      <c r="F446" s="56"/>
      <c r="G446" s="56"/>
      <c r="H446" s="56"/>
      <c r="I446" s="56"/>
      <c r="J446" s="56"/>
      <c r="K446" s="56"/>
      <c r="L446" s="56"/>
      <c r="M446" s="56"/>
    </row>
    <row r="447" spans="2:13" ht="15">
      <c r="B447" s="7"/>
      <c r="C447" s="56"/>
      <c r="D447" s="56"/>
      <c r="E447" s="56"/>
      <c r="F447" s="56"/>
      <c r="G447" s="56"/>
      <c r="H447" s="56"/>
      <c r="I447" s="56"/>
      <c r="J447" s="56"/>
      <c r="K447" s="56"/>
      <c r="L447" s="56"/>
      <c r="M447" s="56"/>
    </row>
    <row r="448" spans="2:13" ht="15">
      <c r="B448" s="7"/>
      <c r="C448" s="56"/>
      <c r="D448" s="56"/>
      <c r="E448" s="56"/>
      <c r="F448" s="56"/>
      <c r="G448" s="56"/>
      <c r="H448" s="56"/>
      <c r="I448" s="56"/>
      <c r="J448" s="56"/>
      <c r="K448" s="56"/>
      <c r="L448" s="56"/>
      <c r="M448" s="56"/>
    </row>
    <row r="449" spans="2:13" ht="15">
      <c r="B449" s="7"/>
      <c r="C449" s="56"/>
      <c r="D449" s="56"/>
      <c r="E449" s="56"/>
      <c r="F449" s="56"/>
      <c r="G449" s="56"/>
      <c r="H449" s="56"/>
      <c r="I449" s="56"/>
      <c r="J449" s="56"/>
      <c r="K449" s="56"/>
      <c r="L449" s="56"/>
      <c r="M449" s="56"/>
    </row>
    <row r="450" spans="2:13" ht="15">
      <c r="B450" s="7"/>
      <c r="C450" s="56"/>
      <c r="D450" s="56"/>
      <c r="E450" s="56"/>
      <c r="F450" s="56"/>
      <c r="G450" s="56"/>
      <c r="H450" s="56"/>
      <c r="I450" s="56"/>
      <c r="J450" s="56"/>
      <c r="K450" s="56"/>
      <c r="L450" s="56"/>
      <c r="M450" s="56"/>
    </row>
    <row r="451" spans="2:13" ht="15">
      <c r="B451" s="7"/>
      <c r="C451" s="56"/>
      <c r="D451" s="56"/>
      <c r="E451" s="56"/>
      <c r="F451" s="56"/>
      <c r="G451" s="56"/>
      <c r="H451" s="56"/>
      <c r="I451" s="56"/>
      <c r="J451" s="56"/>
      <c r="K451" s="56"/>
      <c r="L451" s="56"/>
      <c r="M451" s="56"/>
    </row>
    <row r="452" spans="2:13" ht="15">
      <c r="B452" s="7"/>
      <c r="C452" s="56"/>
      <c r="D452" s="56"/>
      <c r="E452" s="56"/>
      <c r="F452" s="56"/>
      <c r="G452" s="56"/>
      <c r="H452" s="56"/>
      <c r="I452" s="56"/>
      <c r="J452" s="56"/>
      <c r="K452" s="56"/>
      <c r="L452" s="56"/>
      <c r="M452" s="56"/>
    </row>
    <row r="453" spans="2:13" ht="15">
      <c r="B453" s="7"/>
      <c r="C453" s="56"/>
      <c r="D453" s="56"/>
      <c r="E453" s="56"/>
      <c r="F453" s="56"/>
      <c r="G453" s="56"/>
      <c r="H453" s="56"/>
      <c r="I453" s="56"/>
      <c r="J453" s="56"/>
      <c r="K453" s="56"/>
      <c r="L453" s="56"/>
      <c r="M453" s="56"/>
    </row>
    <row r="454" spans="2:13" ht="15">
      <c r="B454" s="7"/>
      <c r="C454" s="56"/>
      <c r="D454" s="56"/>
      <c r="E454" s="56"/>
      <c r="F454" s="56"/>
      <c r="G454" s="56"/>
      <c r="H454" s="56"/>
      <c r="I454" s="56"/>
      <c r="J454" s="56"/>
      <c r="K454" s="56"/>
      <c r="L454" s="56"/>
      <c r="M454" s="56"/>
    </row>
    <row r="455" spans="2:13" ht="15">
      <c r="B455" s="7"/>
      <c r="C455" s="56"/>
      <c r="D455" s="56"/>
      <c r="E455" s="56"/>
      <c r="F455" s="56"/>
      <c r="G455" s="56"/>
      <c r="H455" s="56"/>
      <c r="I455" s="56"/>
      <c r="J455" s="56"/>
      <c r="K455" s="56"/>
      <c r="L455" s="56"/>
      <c r="M455" s="56"/>
    </row>
    <row r="456" spans="2:13" ht="15">
      <c r="B456" s="7"/>
      <c r="C456" s="56"/>
      <c r="D456" s="56"/>
      <c r="E456" s="56"/>
      <c r="F456" s="56"/>
      <c r="G456" s="56"/>
      <c r="H456" s="56"/>
      <c r="I456" s="56"/>
      <c r="J456" s="56"/>
      <c r="K456" s="56"/>
      <c r="L456" s="56"/>
      <c r="M456" s="56"/>
    </row>
    <row r="457" spans="2:13" ht="15">
      <c r="B457" s="7"/>
      <c r="C457" s="56"/>
      <c r="D457" s="56"/>
      <c r="E457" s="56"/>
      <c r="F457" s="56"/>
      <c r="G457" s="56"/>
      <c r="H457" s="56"/>
      <c r="I457" s="56"/>
      <c r="J457" s="56"/>
      <c r="K457" s="56"/>
      <c r="L457" s="56"/>
      <c r="M457" s="56"/>
    </row>
    <row r="458" spans="2:13" ht="15">
      <c r="B458" s="7"/>
      <c r="C458" s="56"/>
      <c r="D458" s="56"/>
      <c r="E458" s="56"/>
      <c r="F458" s="56"/>
      <c r="G458" s="56"/>
      <c r="H458" s="56"/>
      <c r="I458" s="56"/>
      <c r="J458" s="56"/>
      <c r="K458" s="56"/>
      <c r="L458" s="56"/>
      <c r="M458" s="56"/>
    </row>
    <row r="459" spans="2:13" ht="15">
      <c r="B459" s="7"/>
      <c r="C459" s="56"/>
      <c r="D459" s="56"/>
      <c r="E459" s="56"/>
      <c r="F459" s="56"/>
      <c r="G459" s="56"/>
      <c r="H459" s="56"/>
      <c r="I459" s="56"/>
      <c r="J459" s="56"/>
      <c r="K459" s="56"/>
      <c r="L459" s="56"/>
      <c r="M459" s="56"/>
    </row>
    <row r="460" spans="2:13" ht="15">
      <c r="B460" s="7"/>
      <c r="C460" s="56"/>
      <c r="D460" s="56"/>
      <c r="E460" s="56"/>
      <c r="F460" s="56"/>
      <c r="G460" s="56"/>
      <c r="H460" s="56"/>
      <c r="I460" s="56"/>
      <c r="J460" s="56"/>
      <c r="K460" s="56"/>
      <c r="L460" s="56"/>
      <c r="M460" s="56"/>
    </row>
    <row r="461" spans="2:13" ht="15">
      <c r="B461" s="7"/>
      <c r="C461" s="56"/>
      <c r="D461" s="56"/>
      <c r="E461" s="56"/>
      <c r="F461" s="56"/>
      <c r="G461" s="56"/>
      <c r="H461" s="56"/>
      <c r="I461" s="56"/>
      <c r="J461" s="56"/>
      <c r="K461" s="56"/>
      <c r="L461" s="56"/>
      <c r="M461" s="56"/>
    </row>
    <row r="462" spans="2:13" ht="15">
      <c r="B462" s="7"/>
      <c r="C462" s="56"/>
      <c r="D462" s="56"/>
      <c r="E462" s="56"/>
      <c r="F462" s="56"/>
      <c r="G462" s="56"/>
      <c r="H462" s="56"/>
      <c r="I462" s="56"/>
      <c r="J462" s="56"/>
      <c r="K462" s="56"/>
      <c r="L462" s="56"/>
      <c r="M462" s="56"/>
    </row>
    <row r="463" spans="2:13" ht="15">
      <c r="B463" s="7"/>
      <c r="C463" s="56"/>
      <c r="D463" s="56"/>
      <c r="E463" s="56"/>
      <c r="F463" s="56"/>
      <c r="G463" s="56"/>
      <c r="H463" s="56"/>
      <c r="I463" s="56"/>
      <c r="J463" s="56"/>
      <c r="K463" s="56"/>
      <c r="L463" s="56"/>
      <c r="M463" s="56"/>
    </row>
    <row r="464" spans="2:13" ht="15">
      <c r="B464" s="7"/>
      <c r="C464" s="56"/>
      <c r="D464" s="56"/>
      <c r="E464" s="56"/>
      <c r="F464" s="56"/>
      <c r="G464" s="56"/>
      <c r="H464" s="56"/>
      <c r="I464" s="56"/>
      <c r="J464" s="56"/>
      <c r="K464" s="56"/>
      <c r="L464" s="56"/>
      <c r="M464" s="56"/>
    </row>
    <row r="465" spans="2:13" ht="15">
      <c r="B465" s="7"/>
      <c r="C465" s="56"/>
      <c r="D465" s="56"/>
      <c r="E465" s="56"/>
      <c r="F465" s="56"/>
      <c r="G465" s="56"/>
      <c r="H465" s="56"/>
      <c r="I465" s="56"/>
      <c r="J465" s="56"/>
      <c r="K465" s="56"/>
      <c r="L465" s="56"/>
      <c r="M465" s="56"/>
    </row>
    <row r="466" spans="2:13" ht="15">
      <c r="B466" s="7"/>
      <c r="C466" s="56"/>
      <c r="D466" s="56"/>
      <c r="E466" s="56"/>
      <c r="F466" s="56"/>
      <c r="G466" s="56"/>
      <c r="H466" s="56"/>
      <c r="I466" s="56"/>
      <c r="J466" s="56"/>
      <c r="K466" s="56"/>
      <c r="L466" s="56"/>
      <c r="M466" s="56"/>
    </row>
    <row r="467" spans="2:13" ht="15">
      <c r="B467" s="7"/>
      <c r="C467" s="56"/>
      <c r="D467" s="56"/>
      <c r="E467" s="56"/>
      <c r="F467" s="56"/>
      <c r="G467" s="56"/>
      <c r="H467" s="56"/>
      <c r="I467" s="56"/>
      <c r="J467" s="56"/>
      <c r="K467" s="56"/>
      <c r="L467" s="56"/>
      <c r="M467" s="56"/>
    </row>
    <row r="468" spans="2:13" ht="15">
      <c r="B468" s="7"/>
      <c r="C468" s="56"/>
      <c r="D468" s="56"/>
      <c r="E468" s="56"/>
      <c r="F468" s="56"/>
      <c r="G468" s="56"/>
      <c r="H468" s="56"/>
      <c r="I468" s="56"/>
      <c r="J468" s="56"/>
      <c r="K468" s="56"/>
      <c r="L468" s="56"/>
      <c r="M468" s="56"/>
    </row>
    <row r="469" spans="2:13" ht="15">
      <c r="B469" s="7"/>
      <c r="C469" s="56"/>
      <c r="D469" s="56"/>
      <c r="E469" s="56"/>
      <c r="F469" s="56"/>
      <c r="G469" s="56"/>
      <c r="H469" s="56"/>
      <c r="I469" s="56"/>
      <c r="J469" s="56"/>
      <c r="K469" s="56"/>
      <c r="L469" s="56"/>
      <c r="M469" s="56"/>
    </row>
    <row r="470" spans="2:13" ht="15">
      <c r="B470" s="7"/>
      <c r="C470" s="56"/>
      <c r="D470" s="56"/>
      <c r="E470" s="56"/>
      <c r="F470" s="56"/>
      <c r="G470" s="56"/>
      <c r="H470" s="56"/>
      <c r="I470" s="56"/>
      <c r="J470" s="56"/>
      <c r="K470" s="56"/>
      <c r="L470" s="56"/>
      <c r="M470" s="56"/>
    </row>
    <row r="471" spans="2:13" ht="15">
      <c r="B471" s="7"/>
      <c r="C471" s="56"/>
      <c r="D471" s="56"/>
      <c r="E471" s="56"/>
      <c r="F471" s="56"/>
      <c r="G471" s="56"/>
      <c r="H471" s="56"/>
      <c r="I471" s="56"/>
      <c r="J471" s="56"/>
      <c r="K471" s="56"/>
      <c r="L471" s="56"/>
      <c r="M471" s="56"/>
    </row>
    <row r="472" spans="2:13" ht="15">
      <c r="B472" s="7"/>
      <c r="C472" s="56"/>
      <c r="D472" s="56"/>
      <c r="E472" s="56"/>
      <c r="F472" s="56"/>
      <c r="G472" s="56"/>
      <c r="H472" s="56"/>
      <c r="I472" s="56"/>
      <c r="J472" s="56"/>
      <c r="K472" s="56"/>
      <c r="L472" s="56"/>
      <c r="M472" s="56"/>
    </row>
    <row r="473" spans="2:13" ht="15">
      <c r="B473" s="7"/>
      <c r="C473" s="56"/>
      <c r="D473" s="56"/>
      <c r="E473" s="56"/>
      <c r="F473" s="56"/>
      <c r="G473" s="56"/>
      <c r="H473" s="56"/>
      <c r="I473" s="56"/>
      <c r="J473" s="56"/>
      <c r="K473" s="56"/>
      <c r="L473" s="56"/>
      <c r="M473" s="56"/>
    </row>
    <row r="474" spans="2:13" ht="15">
      <c r="B474" s="7"/>
      <c r="C474" s="56"/>
      <c r="D474" s="56"/>
      <c r="E474" s="56"/>
      <c r="F474" s="56"/>
      <c r="G474" s="56"/>
      <c r="H474" s="56"/>
      <c r="I474" s="56"/>
      <c r="J474" s="56"/>
      <c r="K474" s="56"/>
      <c r="L474" s="56"/>
      <c r="M474" s="56"/>
    </row>
    <row r="475" spans="2:13" ht="15">
      <c r="B475" s="7"/>
      <c r="C475" s="56"/>
      <c r="D475" s="56"/>
      <c r="E475" s="56"/>
      <c r="F475" s="56"/>
      <c r="G475" s="56"/>
      <c r="H475" s="56"/>
      <c r="I475" s="56"/>
      <c r="J475" s="56"/>
      <c r="K475" s="56"/>
      <c r="L475" s="56"/>
      <c r="M475" s="56"/>
    </row>
    <row r="476" spans="2:13" ht="15">
      <c r="B476" s="7"/>
      <c r="C476" s="56"/>
      <c r="D476" s="56"/>
      <c r="E476" s="56"/>
      <c r="F476" s="56"/>
      <c r="G476" s="56"/>
      <c r="H476" s="56"/>
      <c r="I476" s="56"/>
      <c r="J476" s="56"/>
      <c r="K476" s="56"/>
      <c r="L476" s="56"/>
      <c r="M476" s="56"/>
    </row>
    <row r="477" spans="2:13" ht="15">
      <c r="B477" s="7"/>
      <c r="C477" s="56"/>
      <c r="D477" s="56"/>
      <c r="E477" s="56"/>
      <c r="F477" s="56"/>
      <c r="G477" s="56"/>
      <c r="H477" s="56"/>
      <c r="I477" s="56"/>
      <c r="J477" s="56"/>
      <c r="K477" s="56"/>
      <c r="L477" s="56"/>
      <c r="M477" s="56"/>
    </row>
    <row r="478" spans="2:13" ht="15">
      <c r="B478" s="7"/>
      <c r="C478" s="56"/>
      <c r="D478" s="56"/>
      <c r="E478" s="56"/>
      <c r="F478" s="56"/>
      <c r="G478" s="56"/>
      <c r="H478" s="56"/>
      <c r="I478" s="56"/>
      <c r="J478" s="56"/>
      <c r="K478" s="56"/>
      <c r="L478" s="56"/>
      <c r="M478" s="56"/>
    </row>
    <row r="479" spans="2:13" ht="15">
      <c r="B479" s="7"/>
      <c r="C479" s="56"/>
      <c r="D479" s="56"/>
      <c r="E479" s="56"/>
      <c r="F479" s="56"/>
      <c r="G479" s="56"/>
      <c r="H479" s="56"/>
      <c r="I479" s="56"/>
      <c r="J479" s="56"/>
      <c r="K479" s="56"/>
      <c r="L479" s="56"/>
      <c r="M479" s="56"/>
    </row>
    <row r="480" spans="2:13" ht="15">
      <c r="B480" s="7"/>
      <c r="C480" s="56"/>
      <c r="D480" s="56"/>
      <c r="E480" s="56"/>
      <c r="F480" s="56"/>
      <c r="G480" s="56"/>
      <c r="H480" s="56"/>
      <c r="I480" s="56"/>
      <c r="J480" s="56"/>
      <c r="K480" s="56"/>
      <c r="L480" s="56"/>
      <c r="M480" s="56"/>
    </row>
    <row r="481" spans="2:13" ht="15">
      <c r="B481" s="7"/>
      <c r="C481" s="56"/>
      <c r="D481" s="56"/>
      <c r="E481" s="56"/>
      <c r="F481" s="56"/>
      <c r="G481" s="56"/>
      <c r="H481" s="56"/>
      <c r="I481" s="56"/>
      <c r="J481" s="56"/>
      <c r="K481" s="56"/>
      <c r="L481" s="56"/>
      <c r="M481" s="56"/>
    </row>
    <row r="482" spans="2:13" ht="15">
      <c r="B482" s="7"/>
      <c r="C482" s="56"/>
      <c r="D482" s="56"/>
      <c r="E482" s="56"/>
      <c r="F482" s="56"/>
      <c r="G482" s="56"/>
      <c r="H482" s="56"/>
      <c r="I482" s="56"/>
      <c r="J482" s="56"/>
      <c r="K482" s="56"/>
      <c r="L482" s="56"/>
      <c r="M482" s="56"/>
    </row>
    <row r="483" spans="2:13" ht="15">
      <c r="B483" s="7"/>
      <c r="C483" s="56"/>
      <c r="D483" s="56"/>
      <c r="E483" s="56"/>
      <c r="F483" s="56"/>
      <c r="G483" s="56"/>
      <c r="H483" s="56"/>
      <c r="I483" s="56"/>
      <c r="J483" s="56"/>
      <c r="K483" s="56"/>
      <c r="L483" s="56"/>
      <c r="M483" s="56"/>
    </row>
    <row r="484" spans="2:13" ht="15">
      <c r="B484" s="7"/>
      <c r="C484" s="56"/>
      <c r="D484" s="56"/>
      <c r="E484" s="56"/>
      <c r="F484" s="56"/>
      <c r="G484" s="56"/>
      <c r="H484" s="56"/>
      <c r="I484" s="56"/>
      <c r="J484" s="56"/>
      <c r="K484" s="56"/>
      <c r="L484" s="56"/>
      <c r="M484" s="56"/>
    </row>
    <row r="485" spans="2:13" ht="15">
      <c r="B485" s="7"/>
      <c r="C485" s="56"/>
      <c r="D485" s="56"/>
      <c r="E485" s="56"/>
      <c r="F485" s="56"/>
      <c r="G485" s="56"/>
      <c r="H485" s="56"/>
      <c r="I485" s="56"/>
      <c r="J485" s="56"/>
      <c r="K485" s="56"/>
      <c r="L485" s="56"/>
      <c r="M485" s="56"/>
    </row>
    <row r="486" spans="2:13" ht="15">
      <c r="B486" s="7"/>
      <c r="C486" s="56"/>
      <c r="D486" s="56"/>
      <c r="E486" s="56"/>
      <c r="F486" s="56"/>
      <c r="G486" s="56"/>
      <c r="H486" s="56"/>
      <c r="I486" s="56"/>
      <c r="J486" s="56"/>
      <c r="K486" s="56"/>
      <c r="L486" s="56"/>
      <c r="M486" s="56"/>
    </row>
    <row r="487" spans="2:13" ht="15">
      <c r="B487" s="7"/>
      <c r="C487" s="56"/>
      <c r="D487" s="56"/>
      <c r="E487" s="56"/>
      <c r="F487" s="56"/>
      <c r="G487" s="56"/>
      <c r="H487" s="56"/>
      <c r="I487" s="56"/>
      <c r="J487" s="56"/>
      <c r="K487" s="56"/>
      <c r="L487" s="56"/>
      <c r="M487" s="56"/>
    </row>
    <row r="488" spans="2:13" ht="15">
      <c r="B488" s="7"/>
      <c r="C488" s="56"/>
      <c r="D488" s="56"/>
      <c r="E488" s="56"/>
      <c r="F488" s="56"/>
      <c r="G488" s="56"/>
      <c r="H488" s="56"/>
      <c r="I488" s="56"/>
      <c r="J488" s="56"/>
      <c r="K488" s="56"/>
      <c r="L488" s="56"/>
      <c r="M488" s="56"/>
    </row>
    <row r="489" spans="2:13" ht="15">
      <c r="B489" s="7"/>
      <c r="C489" s="56"/>
      <c r="D489" s="56"/>
      <c r="E489" s="56"/>
      <c r="F489" s="56"/>
      <c r="G489" s="56"/>
      <c r="H489" s="56"/>
      <c r="I489" s="56"/>
      <c r="J489" s="56"/>
      <c r="K489" s="56"/>
      <c r="L489" s="56"/>
      <c r="M489" s="56"/>
    </row>
    <row r="490" spans="2:13" ht="15">
      <c r="B490" s="7"/>
      <c r="C490" s="56"/>
      <c r="D490" s="56"/>
      <c r="E490" s="56"/>
      <c r="F490" s="56"/>
      <c r="G490" s="56"/>
      <c r="H490" s="56"/>
      <c r="I490" s="56"/>
      <c r="J490" s="56"/>
      <c r="K490" s="56"/>
      <c r="L490" s="56"/>
      <c r="M490" s="56"/>
    </row>
    <row r="491" spans="2:13" ht="15">
      <c r="B491" s="7"/>
      <c r="C491" s="56"/>
      <c r="D491" s="56"/>
      <c r="E491" s="56"/>
      <c r="F491" s="56"/>
      <c r="G491" s="56"/>
      <c r="H491" s="56"/>
      <c r="I491" s="56"/>
      <c r="J491" s="56"/>
      <c r="K491" s="56"/>
      <c r="L491" s="56"/>
      <c r="M491" s="56"/>
    </row>
    <row r="492" spans="2:13" ht="15">
      <c r="B492" s="7"/>
      <c r="C492" s="56"/>
      <c r="D492" s="56"/>
      <c r="E492" s="56"/>
      <c r="F492" s="56"/>
      <c r="G492" s="56"/>
      <c r="H492" s="56"/>
      <c r="I492" s="56"/>
      <c r="J492" s="56"/>
      <c r="K492" s="56"/>
      <c r="L492" s="56"/>
      <c r="M492" s="56"/>
    </row>
    <row r="493" spans="2:13" ht="15">
      <c r="B493" s="7"/>
      <c r="C493" s="56"/>
      <c r="D493" s="56"/>
      <c r="E493" s="56"/>
      <c r="F493" s="56"/>
      <c r="G493" s="56"/>
      <c r="H493" s="56"/>
      <c r="I493" s="56"/>
      <c r="J493" s="56"/>
      <c r="K493" s="56"/>
      <c r="L493" s="56"/>
      <c r="M493" s="56"/>
    </row>
    <row r="494" spans="2:13" ht="15">
      <c r="B494" s="7"/>
      <c r="C494" s="56"/>
      <c r="D494" s="56"/>
      <c r="E494" s="56"/>
      <c r="F494" s="56"/>
      <c r="G494" s="56"/>
      <c r="H494" s="56"/>
      <c r="I494" s="56"/>
      <c r="J494" s="56"/>
      <c r="K494" s="56"/>
      <c r="L494" s="56"/>
      <c r="M494" s="56"/>
    </row>
    <row r="495" spans="2:13" ht="15">
      <c r="B495" s="7"/>
      <c r="C495" s="56"/>
      <c r="D495" s="56"/>
      <c r="E495" s="56"/>
      <c r="F495" s="56"/>
      <c r="G495" s="56"/>
      <c r="H495" s="56"/>
      <c r="I495" s="56"/>
      <c r="J495" s="56"/>
      <c r="K495" s="56"/>
      <c r="L495" s="56"/>
      <c r="M495" s="56"/>
    </row>
    <row r="496" spans="2:13" ht="15">
      <c r="B496" s="7"/>
      <c r="C496" s="56"/>
      <c r="D496" s="56"/>
      <c r="E496" s="56"/>
      <c r="F496" s="56"/>
      <c r="G496" s="56"/>
      <c r="H496" s="56"/>
      <c r="I496" s="56"/>
      <c r="J496" s="56"/>
      <c r="K496" s="56"/>
      <c r="L496" s="56"/>
      <c r="M496" s="56"/>
    </row>
    <row r="497" spans="2:13" ht="15">
      <c r="B497" s="7"/>
      <c r="C497" s="56"/>
      <c r="D497" s="56"/>
      <c r="E497" s="56"/>
      <c r="F497" s="56"/>
      <c r="G497" s="56"/>
      <c r="H497" s="56"/>
      <c r="I497" s="56"/>
      <c r="J497" s="56"/>
      <c r="K497" s="56"/>
      <c r="L497" s="56"/>
      <c r="M497" s="56"/>
    </row>
    <row r="498" spans="2:13" ht="15">
      <c r="B498" s="7"/>
      <c r="C498" s="56"/>
      <c r="D498" s="56"/>
      <c r="E498" s="56"/>
      <c r="F498" s="56"/>
      <c r="G498" s="56"/>
      <c r="H498" s="56"/>
      <c r="I498" s="56"/>
      <c r="J498" s="56"/>
      <c r="K498" s="56"/>
      <c r="L498" s="56"/>
      <c r="M498" s="56"/>
    </row>
    <row r="499" spans="2:13" ht="15">
      <c r="B499" s="7"/>
      <c r="C499" s="56"/>
      <c r="D499" s="56"/>
      <c r="E499" s="56"/>
      <c r="F499" s="56"/>
      <c r="G499" s="56"/>
      <c r="H499" s="56"/>
      <c r="I499" s="56"/>
      <c r="J499" s="56"/>
      <c r="K499" s="56"/>
      <c r="L499" s="56"/>
      <c r="M499" s="56"/>
    </row>
    <row r="500" spans="2:13" ht="15">
      <c r="B500" s="7"/>
      <c r="C500" s="56"/>
      <c r="D500" s="56"/>
      <c r="E500" s="56"/>
      <c r="F500" s="56"/>
      <c r="G500" s="56"/>
      <c r="H500" s="56"/>
      <c r="I500" s="56"/>
      <c r="J500" s="56"/>
      <c r="K500" s="56"/>
      <c r="L500" s="56"/>
      <c r="M500" s="56"/>
    </row>
    <row r="501" spans="2:13" ht="15">
      <c r="B501" s="7"/>
      <c r="C501" s="56"/>
      <c r="D501" s="56"/>
      <c r="E501" s="56"/>
      <c r="F501" s="56"/>
      <c r="G501" s="56"/>
      <c r="H501" s="56"/>
      <c r="I501" s="56"/>
      <c r="J501" s="56"/>
      <c r="K501" s="56"/>
      <c r="L501" s="56"/>
      <c r="M501" s="56"/>
    </row>
    <row r="502" spans="2:13" ht="15">
      <c r="B502" s="7"/>
      <c r="C502" s="56"/>
      <c r="D502" s="56"/>
      <c r="E502" s="56"/>
      <c r="F502" s="56"/>
      <c r="G502" s="56"/>
      <c r="H502" s="56"/>
      <c r="I502" s="56"/>
      <c r="J502" s="56"/>
      <c r="K502" s="56"/>
      <c r="L502" s="56"/>
      <c r="M502" s="56"/>
    </row>
    <row r="503" spans="2:13" ht="15">
      <c r="B503" s="7"/>
      <c r="C503" s="56"/>
      <c r="D503" s="56"/>
      <c r="E503" s="56"/>
      <c r="F503" s="56"/>
      <c r="G503" s="56"/>
      <c r="H503" s="56"/>
      <c r="I503" s="56"/>
      <c r="J503" s="56"/>
      <c r="K503" s="56"/>
      <c r="L503" s="56"/>
      <c r="M503" s="56"/>
    </row>
    <row r="504" spans="2:13" ht="15">
      <c r="B504" s="7"/>
      <c r="C504" s="56"/>
      <c r="D504" s="56"/>
      <c r="E504" s="56"/>
      <c r="F504" s="56"/>
      <c r="G504" s="56"/>
      <c r="H504" s="56"/>
      <c r="I504" s="56"/>
      <c r="J504" s="56"/>
      <c r="K504" s="56"/>
      <c r="L504" s="56"/>
      <c r="M504" s="56"/>
    </row>
    <row r="505" spans="2:13" ht="15">
      <c r="B505" s="7"/>
      <c r="C505" s="56"/>
      <c r="D505" s="56"/>
      <c r="E505" s="56"/>
      <c r="F505" s="56"/>
      <c r="G505" s="56"/>
      <c r="H505" s="56"/>
      <c r="I505" s="56"/>
      <c r="J505" s="56"/>
      <c r="K505" s="56"/>
      <c r="L505" s="56"/>
      <c r="M505" s="56"/>
    </row>
    <row r="506" spans="2:13" ht="15">
      <c r="B506" s="7"/>
      <c r="C506" s="56"/>
      <c r="D506" s="56"/>
      <c r="E506" s="56"/>
      <c r="F506" s="56"/>
      <c r="G506" s="56"/>
      <c r="H506" s="56"/>
      <c r="I506" s="56"/>
      <c r="J506" s="56"/>
      <c r="K506" s="56"/>
      <c r="L506" s="56"/>
      <c r="M506" s="56"/>
    </row>
    <row r="507" spans="2:13" ht="15">
      <c r="B507" s="7"/>
      <c r="C507" s="56"/>
      <c r="D507" s="56"/>
      <c r="E507" s="56"/>
      <c r="F507" s="56"/>
      <c r="G507" s="56"/>
      <c r="H507" s="56"/>
      <c r="I507" s="56"/>
      <c r="J507" s="56"/>
      <c r="K507" s="56"/>
      <c r="L507" s="56"/>
      <c r="M507" s="56"/>
    </row>
    <row r="508" spans="2:13" ht="15">
      <c r="B508" s="7"/>
      <c r="C508" s="56"/>
      <c r="D508" s="56"/>
      <c r="E508" s="56"/>
      <c r="F508" s="56"/>
      <c r="G508" s="56"/>
      <c r="H508" s="56"/>
      <c r="I508" s="56"/>
      <c r="J508" s="56"/>
      <c r="K508" s="56"/>
      <c r="L508" s="56"/>
      <c r="M508" s="56"/>
    </row>
    <row r="509" spans="2:13" ht="15">
      <c r="B509" s="7"/>
      <c r="C509" s="56"/>
      <c r="D509" s="56"/>
      <c r="E509" s="56"/>
      <c r="F509" s="56"/>
      <c r="G509" s="56"/>
      <c r="H509" s="56"/>
      <c r="I509" s="56"/>
      <c r="J509" s="56"/>
      <c r="K509" s="56"/>
      <c r="L509" s="56"/>
      <c r="M509" s="56"/>
    </row>
    <row r="510" spans="2:13" ht="15">
      <c r="B510" s="7"/>
      <c r="C510" s="56"/>
      <c r="D510" s="56"/>
      <c r="E510" s="56"/>
      <c r="F510" s="56"/>
      <c r="G510" s="56"/>
      <c r="H510" s="56"/>
      <c r="I510" s="56"/>
      <c r="J510" s="56"/>
      <c r="K510" s="56"/>
      <c r="L510" s="56"/>
      <c r="M510" s="56"/>
    </row>
    <row r="511" spans="2:13" ht="15">
      <c r="B511" s="7"/>
      <c r="C511" s="56"/>
      <c r="D511" s="56"/>
      <c r="E511" s="56"/>
      <c r="F511" s="56"/>
      <c r="G511" s="56"/>
      <c r="H511" s="56"/>
      <c r="I511" s="56"/>
      <c r="J511" s="56"/>
      <c r="K511" s="56"/>
      <c r="L511" s="56"/>
      <c r="M511" s="56"/>
    </row>
    <row r="512" spans="2:13" ht="15">
      <c r="B512" s="7"/>
      <c r="C512" s="56"/>
      <c r="D512" s="56"/>
      <c r="E512" s="56"/>
      <c r="F512" s="56"/>
      <c r="G512" s="56"/>
      <c r="H512" s="56"/>
      <c r="I512" s="56"/>
      <c r="J512" s="56"/>
      <c r="K512" s="56"/>
      <c r="L512" s="56"/>
      <c r="M512" s="56"/>
    </row>
    <row r="513" spans="2:13" ht="15">
      <c r="B513" s="7"/>
      <c r="C513" s="56"/>
      <c r="D513" s="56"/>
      <c r="E513" s="56"/>
      <c r="F513" s="56"/>
      <c r="G513" s="56"/>
      <c r="H513" s="56"/>
      <c r="I513" s="56"/>
      <c r="J513" s="56"/>
      <c r="K513" s="56"/>
      <c r="L513" s="56"/>
      <c r="M513" s="56"/>
    </row>
    <row r="514" spans="2:13" ht="15">
      <c r="B514" s="7"/>
      <c r="C514" s="56"/>
      <c r="D514" s="56"/>
      <c r="E514" s="56"/>
      <c r="F514" s="56"/>
      <c r="G514" s="56"/>
      <c r="H514" s="56"/>
      <c r="I514" s="56"/>
      <c r="J514" s="56"/>
      <c r="K514" s="56"/>
      <c r="L514" s="56"/>
      <c r="M514" s="56"/>
    </row>
    <row r="515" spans="2:13" ht="15">
      <c r="B515" s="7"/>
      <c r="C515" s="56"/>
      <c r="D515" s="56"/>
      <c r="E515" s="56"/>
      <c r="F515" s="56"/>
      <c r="G515" s="56"/>
      <c r="H515" s="56"/>
      <c r="I515" s="56"/>
      <c r="J515" s="56"/>
      <c r="K515" s="56"/>
      <c r="L515" s="56"/>
      <c r="M515" s="56"/>
    </row>
    <row r="516" spans="2:13" ht="15">
      <c r="B516" s="7"/>
      <c r="C516" s="56"/>
      <c r="D516" s="56"/>
      <c r="E516" s="56"/>
      <c r="F516" s="56"/>
      <c r="G516" s="56"/>
      <c r="H516" s="56"/>
      <c r="I516" s="56"/>
      <c r="J516" s="56"/>
      <c r="K516" s="56"/>
      <c r="L516" s="56"/>
      <c r="M516" s="56"/>
    </row>
    <row r="517" spans="2:13" ht="15">
      <c r="B517" s="7"/>
      <c r="C517" s="56"/>
      <c r="D517" s="56"/>
      <c r="E517" s="56"/>
      <c r="F517" s="56"/>
      <c r="G517" s="56"/>
      <c r="H517" s="56"/>
      <c r="I517" s="56"/>
      <c r="J517" s="56"/>
      <c r="K517" s="56"/>
      <c r="L517" s="56"/>
      <c r="M517" s="56"/>
    </row>
    <row r="518" spans="2:13" ht="15">
      <c r="B518" s="7"/>
      <c r="C518" s="56"/>
      <c r="D518" s="56"/>
      <c r="E518" s="56"/>
      <c r="F518" s="56"/>
      <c r="G518" s="56"/>
      <c r="H518" s="56"/>
      <c r="I518" s="56"/>
      <c r="J518" s="56"/>
      <c r="K518" s="56"/>
      <c r="L518" s="56"/>
      <c r="M518" s="56"/>
    </row>
    <row r="519" spans="2:13" ht="15">
      <c r="B519" s="7"/>
      <c r="C519" s="56"/>
      <c r="D519" s="56"/>
      <c r="E519" s="56"/>
      <c r="F519" s="56"/>
      <c r="G519" s="56"/>
      <c r="H519" s="56"/>
      <c r="I519" s="56"/>
      <c r="J519" s="56"/>
      <c r="K519" s="56"/>
      <c r="L519" s="56"/>
      <c r="M519" s="56"/>
    </row>
    <row r="520" spans="2:13" ht="15">
      <c r="B520" s="7"/>
      <c r="C520" s="56"/>
      <c r="D520" s="56"/>
      <c r="E520" s="56"/>
      <c r="F520" s="56"/>
      <c r="G520" s="56"/>
      <c r="H520" s="56"/>
      <c r="I520" s="56"/>
      <c r="J520" s="56"/>
      <c r="K520" s="56"/>
      <c r="L520" s="56"/>
      <c r="M520" s="56"/>
    </row>
    <row r="521" spans="2:13" ht="15">
      <c r="B521" s="7"/>
      <c r="C521" s="56"/>
      <c r="D521" s="56"/>
      <c r="E521" s="56"/>
      <c r="F521" s="56"/>
      <c r="G521" s="56"/>
      <c r="H521" s="56"/>
      <c r="I521" s="56"/>
      <c r="J521" s="56"/>
      <c r="K521" s="56"/>
      <c r="L521" s="56"/>
      <c r="M521" s="56"/>
    </row>
    <row r="522" spans="2:13" ht="15">
      <c r="B522" s="7"/>
      <c r="C522" s="56"/>
      <c r="D522" s="56"/>
      <c r="E522" s="56"/>
      <c r="F522" s="56"/>
      <c r="G522" s="56"/>
      <c r="H522" s="56"/>
      <c r="I522" s="56"/>
      <c r="J522" s="56"/>
      <c r="K522" s="56"/>
      <c r="L522" s="56"/>
      <c r="M522" s="56"/>
    </row>
    <row r="523" spans="2:13" ht="15">
      <c r="B523" s="7"/>
      <c r="C523" s="56"/>
      <c r="D523" s="56"/>
      <c r="E523" s="56"/>
      <c r="F523" s="56"/>
      <c r="G523" s="56"/>
      <c r="H523" s="56"/>
      <c r="I523" s="56"/>
      <c r="J523" s="56"/>
      <c r="K523" s="56"/>
      <c r="L523" s="56"/>
      <c r="M523" s="56"/>
    </row>
    <row r="524" spans="2:13" ht="15">
      <c r="B524" s="7"/>
      <c r="C524" s="56"/>
      <c r="D524" s="56"/>
      <c r="E524" s="56"/>
      <c r="F524" s="56"/>
      <c r="G524" s="56"/>
      <c r="H524" s="56"/>
      <c r="I524" s="56"/>
      <c r="J524" s="56"/>
      <c r="K524" s="56"/>
      <c r="L524" s="56"/>
      <c r="M524" s="56"/>
    </row>
    <row r="525" spans="2:13" ht="15">
      <c r="B525" s="7"/>
      <c r="C525" s="56"/>
      <c r="D525" s="56"/>
      <c r="E525" s="56"/>
      <c r="F525" s="56"/>
      <c r="G525" s="56"/>
      <c r="H525" s="56"/>
      <c r="I525" s="56"/>
      <c r="J525" s="56"/>
      <c r="K525" s="56"/>
      <c r="L525" s="56"/>
      <c r="M525" s="56"/>
    </row>
    <row r="526" spans="2:13" ht="15">
      <c r="B526" s="7"/>
      <c r="C526" s="56"/>
      <c r="D526" s="56"/>
      <c r="E526" s="56"/>
      <c r="F526" s="56"/>
      <c r="G526" s="56"/>
      <c r="H526" s="56"/>
      <c r="I526" s="56"/>
      <c r="J526" s="56"/>
      <c r="K526" s="56"/>
      <c r="L526" s="56"/>
      <c r="M526" s="56"/>
    </row>
    <row r="527" spans="2:13" ht="15">
      <c r="B527" s="7"/>
      <c r="C527" s="56"/>
      <c r="D527" s="56"/>
      <c r="E527" s="56"/>
      <c r="F527" s="56"/>
      <c r="G527" s="56"/>
      <c r="H527" s="56"/>
      <c r="I527" s="56"/>
      <c r="J527" s="56"/>
      <c r="K527" s="56"/>
      <c r="L527" s="56"/>
      <c r="M527" s="56"/>
    </row>
    <row r="528" spans="2:13" ht="15">
      <c r="B528" s="7"/>
      <c r="C528" s="56"/>
      <c r="D528" s="56"/>
      <c r="E528" s="56"/>
      <c r="F528" s="56"/>
      <c r="G528" s="56"/>
      <c r="H528" s="56"/>
      <c r="I528" s="56"/>
      <c r="J528" s="56"/>
      <c r="K528" s="56"/>
      <c r="L528" s="56"/>
      <c r="M528" s="56"/>
    </row>
    <row r="529" spans="2:13" ht="15">
      <c r="B529" s="7"/>
      <c r="C529" s="56"/>
      <c r="D529" s="56"/>
      <c r="E529" s="56"/>
      <c r="F529" s="56"/>
      <c r="G529" s="56"/>
      <c r="H529" s="56"/>
      <c r="I529" s="56"/>
      <c r="J529" s="56"/>
      <c r="K529" s="56"/>
      <c r="L529" s="56"/>
      <c r="M529" s="56"/>
    </row>
    <row r="530" spans="2:13" ht="15">
      <c r="B530" s="7"/>
      <c r="C530" s="56"/>
      <c r="D530" s="56"/>
      <c r="E530" s="56"/>
      <c r="F530" s="56"/>
      <c r="G530" s="56"/>
      <c r="H530" s="56"/>
      <c r="I530" s="56"/>
      <c r="J530" s="56"/>
      <c r="K530" s="56"/>
      <c r="L530" s="56"/>
      <c r="M530" s="56"/>
    </row>
    <row r="531" spans="2:13" ht="15">
      <c r="B531" s="7"/>
      <c r="C531" s="56"/>
      <c r="D531" s="56"/>
      <c r="E531" s="56"/>
      <c r="F531" s="56"/>
      <c r="G531" s="56"/>
      <c r="H531" s="56"/>
      <c r="I531" s="56"/>
      <c r="J531" s="56"/>
      <c r="K531" s="56"/>
      <c r="L531" s="56"/>
      <c r="M531" s="56"/>
    </row>
    <row r="532" spans="2:13" ht="15">
      <c r="B532" s="7"/>
      <c r="C532" s="56"/>
      <c r="D532" s="56"/>
      <c r="E532" s="56"/>
      <c r="F532" s="56"/>
      <c r="G532" s="56"/>
      <c r="H532" s="56"/>
      <c r="I532" s="56"/>
      <c r="J532" s="56"/>
      <c r="K532" s="56"/>
      <c r="L532" s="56"/>
      <c r="M532" s="56"/>
    </row>
    <row r="533" spans="2:13" ht="15">
      <c r="B533" s="7"/>
      <c r="C533" s="56"/>
      <c r="D533" s="56"/>
      <c r="E533" s="56"/>
      <c r="F533" s="56"/>
      <c r="G533" s="56"/>
      <c r="H533" s="56"/>
      <c r="I533" s="56"/>
      <c r="J533" s="56"/>
      <c r="K533" s="56"/>
      <c r="L533" s="56"/>
      <c r="M533" s="56"/>
    </row>
    <row r="534" spans="2:13" ht="15">
      <c r="B534" s="7"/>
      <c r="C534" s="56"/>
      <c r="D534" s="56"/>
      <c r="E534" s="56"/>
      <c r="F534" s="56"/>
      <c r="G534" s="56"/>
      <c r="H534" s="56"/>
      <c r="I534" s="56"/>
      <c r="J534" s="56"/>
      <c r="K534" s="56"/>
      <c r="L534" s="56"/>
      <c r="M534" s="56"/>
    </row>
    <row r="535" spans="2:13" ht="15">
      <c r="B535" s="7"/>
      <c r="C535" s="56"/>
      <c r="D535" s="56"/>
      <c r="E535" s="56"/>
      <c r="F535" s="56"/>
      <c r="G535" s="56"/>
      <c r="H535" s="56"/>
      <c r="I535" s="56"/>
      <c r="J535" s="56"/>
      <c r="K535" s="56"/>
      <c r="L535" s="56"/>
      <c r="M535" s="56"/>
    </row>
    <row r="536" spans="2:13" ht="15">
      <c r="B536" s="7"/>
      <c r="C536" s="56"/>
      <c r="D536" s="56"/>
      <c r="E536" s="56"/>
      <c r="F536" s="56"/>
      <c r="G536" s="56"/>
      <c r="H536" s="56"/>
      <c r="I536" s="56"/>
      <c r="J536" s="56"/>
      <c r="K536" s="56"/>
      <c r="L536" s="56"/>
      <c r="M536" s="56"/>
    </row>
    <row r="537" spans="2:13" ht="15">
      <c r="B537" s="7"/>
      <c r="C537" s="56"/>
      <c r="D537" s="56"/>
      <c r="E537" s="56"/>
      <c r="F537" s="56"/>
      <c r="G537" s="56"/>
      <c r="H537" s="56"/>
      <c r="I537" s="56"/>
      <c r="J537" s="56"/>
      <c r="K537" s="56"/>
      <c r="L537" s="56"/>
      <c r="M537" s="56"/>
    </row>
    <row r="538" spans="2:13" ht="15">
      <c r="B538" s="7"/>
      <c r="C538" s="56"/>
      <c r="D538" s="56"/>
      <c r="E538" s="56"/>
      <c r="F538" s="56"/>
      <c r="G538" s="56"/>
      <c r="H538" s="56"/>
      <c r="I538" s="56"/>
      <c r="J538" s="56"/>
      <c r="K538" s="56"/>
      <c r="L538" s="56"/>
      <c r="M538" s="56"/>
    </row>
    <row r="539" spans="2:13" ht="15">
      <c r="B539" s="7"/>
      <c r="C539" s="56"/>
      <c r="D539" s="56"/>
      <c r="E539" s="56"/>
      <c r="F539" s="56"/>
      <c r="G539" s="56"/>
      <c r="H539" s="56"/>
      <c r="I539" s="56"/>
      <c r="J539" s="56"/>
      <c r="K539" s="56"/>
      <c r="L539" s="56"/>
      <c r="M539" s="56"/>
    </row>
    <row r="540" spans="2:13" ht="15">
      <c r="B540" s="7"/>
      <c r="C540" s="56"/>
      <c r="D540" s="56"/>
      <c r="E540" s="56"/>
      <c r="F540" s="56"/>
      <c r="G540" s="56"/>
      <c r="H540" s="56"/>
      <c r="I540" s="56"/>
      <c r="J540" s="56"/>
      <c r="K540" s="56"/>
      <c r="L540" s="56"/>
      <c r="M540" s="56"/>
    </row>
    <row r="541" spans="2:13" ht="15">
      <c r="B541" s="7"/>
      <c r="C541" s="56"/>
      <c r="D541" s="56"/>
      <c r="E541" s="56"/>
      <c r="F541" s="56"/>
      <c r="G541" s="56"/>
      <c r="H541" s="56"/>
      <c r="I541" s="56"/>
      <c r="J541" s="56"/>
      <c r="K541" s="56"/>
      <c r="L541" s="56"/>
      <c r="M541" s="56"/>
    </row>
    <row r="542" spans="2:13" ht="15">
      <c r="B542" s="7"/>
      <c r="C542" s="56"/>
      <c r="D542" s="56"/>
      <c r="E542" s="56"/>
      <c r="F542" s="56"/>
      <c r="G542" s="56"/>
      <c r="H542" s="56"/>
      <c r="I542" s="56"/>
      <c r="J542" s="56"/>
      <c r="K542" s="56"/>
      <c r="L542" s="56"/>
      <c r="M542" s="56"/>
    </row>
    <row r="543" spans="2:13" ht="15">
      <c r="B543" s="7"/>
      <c r="C543" s="56"/>
      <c r="D543" s="56"/>
      <c r="E543" s="56"/>
      <c r="F543" s="56"/>
      <c r="G543" s="56"/>
      <c r="H543" s="56"/>
      <c r="I543" s="56"/>
      <c r="J543" s="56"/>
      <c r="K543" s="56"/>
      <c r="L543" s="56"/>
      <c r="M543" s="56"/>
    </row>
    <row r="544" spans="2:13" ht="15">
      <c r="B544" s="7"/>
      <c r="C544" s="56"/>
      <c r="D544" s="56"/>
      <c r="E544" s="56"/>
      <c r="F544" s="56"/>
      <c r="G544" s="56"/>
      <c r="H544" s="56"/>
      <c r="I544" s="56"/>
      <c r="J544" s="56"/>
      <c r="K544" s="56"/>
      <c r="L544" s="56"/>
      <c r="M544" s="56"/>
    </row>
    <row r="545" spans="2:13" ht="15">
      <c r="B545" s="7"/>
      <c r="C545" s="56"/>
      <c r="D545" s="56"/>
      <c r="E545" s="56"/>
      <c r="F545" s="56"/>
      <c r="G545" s="56"/>
      <c r="H545" s="56"/>
      <c r="I545" s="56"/>
      <c r="J545" s="56"/>
      <c r="K545" s="56"/>
      <c r="L545" s="56"/>
      <c r="M545" s="56"/>
    </row>
    <row r="546" spans="2:13" ht="15">
      <c r="B546" s="7"/>
      <c r="C546" s="56"/>
      <c r="D546" s="56"/>
      <c r="E546" s="56"/>
      <c r="F546" s="56"/>
      <c r="G546" s="56"/>
      <c r="H546" s="56"/>
      <c r="I546" s="56"/>
      <c r="J546" s="56"/>
      <c r="K546" s="56"/>
      <c r="L546" s="56"/>
      <c r="M546" s="56"/>
    </row>
    <row r="547" spans="2:13" ht="15">
      <c r="B547" s="7"/>
      <c r="C547" s="56"/>
      <c r="D547" s="56"/>
      <c r="E547" s="56"/>
      <c r="F547" s="56"/>
      <c r="G547" s="56"/>
      <c r="H547" s="56"/>
      <c r="I547" s="56"/>
      <c r="J547" s="56"/>
      <c r="K547" s="56"/>
      <c r="L547" s="56"/>
      <c r="M547" s="56"/>
    </row>
    <row r="548" spans="2:13" ht="15">
      <c r="B548" s="7"/>
      <c r="C548" s="56"/>
      <c r="D548" s="56"/>
      <c r="E548" s="56"/>
      <c r="F548" s="56"/>
      <c r="G548" s="56"/>
      <c r="H548" s="56"/>
      <c r="I548" s="56"/>
      <c r="J548" s="56"/>
      <c r="K548" s="56"/>
      <c r="L548" s="56"/>
      <c r="M548" s="56"/>
    </row>
    <row r="549" spans="2:13" ht="15">
      <c r="B549" s="7"/>
      <c r="C549" s="56"/>
      <c r="D549" s="56"/>
      <c r="E549" s="56"/>
      <c r="F549" s="56"/>
      <c r="G549" s="56"/>
      <c r="H549" s="56"/>
      <c r="I549" s="56"/>
      <c r="J549" s="56"/>
      <c r="K549" s="56"/>
      <c r="L549" s="56"/>
      <c r="M549" s="56"/>
    </row>
    <row r="550" spans="2:13" ht="15">
      <c r="B550" s="7"/>
      <c r="C550" s="56"/>
      <c r="D550" s="56"/>
      <c r="E550" s="56"/>
      <c r="F550" s="56"/>
      <c r="G550" s="56"/>
      <c r="H550" s="56"/>
      <c r="I550" s="56"/>
      <c r="J550" s="56"/>
      <c r="K550" s="56"/>
      <c r="L550" s="56"/>
      <c r="M550" s="56"/>
    </row>
    <row r="551" spans="2:13" ht="15">
      <c r="B551" s="7"/>
      <c r="C551" s="56"/>
      <c r="D551" s="56"/>
      <c r="E551" s="56"/>
      <c r="F551" s="56"/>
      <c r="G551" s="56"/>
      <c r="H551" s="56"/>
      <c r="I551" s="56"/>
      <c r="J551" s="56"/>
      <c r="K551" s="56"/>
      <c r="L551" s="56"/>
      <c r="M551" s="56"/>
    </row>
    <row r="552" spans="2:13" ht="15">
      <c r="B552" s="7"/>
      <c r="C552" s="56"/>
      <c r="D552" s="56"/>
      <c r="E552" s="56"/>
      <c r="F552" s="56"/>
      <c r="G552" s="56"/>
      <c r="H552" s="56"/>
      <c r="I552" s="56"/>
      <c r="J552" s="56"/>
      <c r="K552" s="56"/>
      <c r="L552" s="56"/>
      <c r="M552" s="56"/>
    </row>
    <row r="553" spans="2:13" ht="15">
      <c r="B553" s="7"/>
      <c r="C553" s="56"/>
      <c r="D553" s="56"/>
      <c r="E553" s="56"/>
      <c r="F553" s="56"/>
      <c r="G553" s="56"/>
      <c r="H553" s="56"/>
      <c r="I553" s="56"/>
      <c r="J553" s="56"/>
      <c r="K553" s="56"/>
      <c r="L553" s="56"/>
      <c r="M553" s="56"/>
    </row>
    <row r="554" spans="2:13" ht="15">
      <c r="B554" s="7"/>
      <c r="C554" s="56"/>
      <c r="D554" s="56"/>
      <c r="E554" s="56"/>
      <c r="F554" s="56"/>
      <c r="G554" s="56"/>
      <c r="H554" s="56"/>
      <c r="I554" s="56"/>
      <c r="J554" s="56"/>
      <c r="K554" s="56"/>
      <c r="L554" s="56"/>
      <c r="M554" s="56"/>
    </row>
    <row r="555" spans="2:13" ht="15">
      <c r="B555" s="7"/>
      <c r="C555" s="56"/>
      <c r="D555" s="56"/>
      <c r="E555" s="56"/>
      <c r="F555" s="56"/>
      <c r="G555" s="56"/>
      <c r="H555" s="56"/>
      <c r="I555" s="56"/>
      <c r="J555" s="56"/>
      <c r="K555" s="56"/>
      <c r="L555" s="56"/>
      <c r="M555" s="56"/>
    </row>
    <row r="556" spans="2:13" ht="15">
      <c r="B556" s="7"/>
      <c r="C556" s="56"/>
      <c r="D556" s="56"/>
      <c r="E556" s="56"/>
      <c r="F556" s="56"/>
      <c r="G556" s="56"/>
      <c r="H556" s="56"/>
      <c r="I556" s="56"/>
      <c r="J556" s="56"/>
      <c r="K556" s="56"/>
      <c r="L556" s="56"/>
      <c r="M556" s="56"/>
    </row>
    <row r="557" spans="2:13" ht="15">
      <c r="B557" s="7"/>
      <c r="C557" s="56"/>
      <c r="D557" s="56"/>
      <c r="E557" s="56"/>
      <c r="F557" s="56"/>
      <c r="G557" s="56"/>
      <c r="H557" s="56"/>
      <c r="I557" s="56"/>
      <c r="J557" s="56"/>
      <c r="K557" s="56"/>
      <c r="L557" s="56"/>
      <c r="M557" s="56"/>
    </row>
    <row r="558" spans="2:13" ht="15">
      <c r="B558" s="7"/>
      <c r="C558" s="56"/>
      <c r="D558" s="56"/>
      <c r="E558" s="56"/>
      <c r="F558" s="56"/>
      <c r="G558" s="56"/>
      <c r="H558" s="56"/>
      <c r="I558" s="56"/>
      <c r="J558" s="56"/>
      <c r="K558" s="56"/>
      <c r="L558" s="56"/>
      <c r="M558" s="56"/>
    </row>
    <row r="559" spans="2:13" ht="15">
      <c r="B559" s="7"/>
      <c r="C559" s="56"/>
      <c r="D559" s="56"/>
      <c r="E559" s="56"/>
      <c r="F559" s="56"/>
      <c r="G559" s="56"/>
      <c r="H559" s="56"/>
      <c r="I559" s="56"/>
      <c r="J559" s="56"/>
      <c r="K559" s="56"/>
      <c r="L559" s="56"/>
      <c r="M559" s="56"/>
    </row>
    <row r="560" spans="2:13" ht="15">
      <c r="B560" s="7"/>
      <c r="C560" s="56"/>
      <c r="D560" s="56"/>
      <c r="E560" s="56"/>
      <c r="F560" s="56"/>
      <c r="G560" s="56"/>
      <c r="H560" s="56"/>
      <c r="I560" s="56"/>
      <c r="J560" s="56"/>
      <c r="K560" s="56"/>
      <c r="L560" s="56"/>
      <c r="M560" s="56"/>
    </row>
    <row r="561" spans="2:13" ht="15">
      <c r="B561" s="7"/>
      <c r="C561" s="56"/>
      <c r="D561" s="56"/>
      <c r="E561" s="56"/>
      <c r="F561" s="56"/>
      <c r="G561" s="56"/>
      <c r="H561" s="56"/>
      <c r="I561" s="56"/>
      <c r="J561" s="56"/>
      <c r="K561" s="56"/>
      <c r="L561" s="56"/>
      <c r="M561" s="56"/>
    </row>
    <row r="562" spans="2:13" ht="15">
      <c r="B562" s="7"/>
      <c r="C562" s="56"/>
      <c r="D562" s="56"/>
      <c r="E562" s="56"/>
      <c r="F562" s="56"/>
      <c r="G562" s="56"/>
      <c r="H562" s="56"/>
      <c r="I562" s="56"/>
      <c r="J562" s="56"/>
      <c r="K562" s="56"/>
      <c r="L562" s="56"/>
      <c r="M562" s="56"/>
    </row>
    <row r="563" spans="2:13" ht="15">
      <c r="B563" s="7"/>
      <c r="C563" s="56"/>
      <c r="D563" s="56"/>
      <c r="E563" s="56"/>
      <c r="F563" s="56"/>
      <c r="G563" s="56"/>
      <c r="H563" s="56"/>
      <c r="I563" s="56"/>
      <c r="J563" s="56"/>
      <c r="K563" s="56"/>
      <c r="L563" s="56"/>
      <c r="M563" s="56"/>
    </row>
    <row r="564" spans="2:13" ht="15">
      <c r="B564" s="7"/>
      <c r="C564" s="56"/>
      <c r="D564" s="56"/>
      <c r="E564" s="56"/>
      <c r="F564" s="56"/>
      <c r="G564" s="56"/>
      <c r="H564" s="56"/>
      <c r="I564" s="56"/>
      <c r="J564" s="56"/>
      <c r="K564" s="56"/>
      <c r="L564" s="56"/>
      <c r="M564" s="56"/>
    </row>
    <row r="565" spans="2:13" ht="15">
      <c r="B565" s="7"/>
      <c r="C565" s="56"/>
      <c r="D565" s="56"/>
      <c r="E565" s="56"/>
      <c r="F565" s="56"/>
      <c r="G565" s="56"/>
      <c r="H565" s="56"/>
      <c r="I565" s="56"/>
      <c r="J565" s="56"/>
      <c r="K565" s="56"/>
      <c r="L565" s="56"/>
      <c r="M565" s="56"/>
    </row>
    <row r="566" spans="2:13" ht="15">
      <c r="B566" s="7"/>
      <c r="C566" s="56"/>
      <c r="D566" s="56"/>
      <c r="E566" s="56"/>
      <c r="F566" s="56"/>
      <c r="G566" s="56"/>
      <c r="H566" s="56"/>
      <c r="I566" s="56"/>
      <c r="J566" s="56"/>
      <c r="K566" s="56"/>
      <c r="L566" s="56"/>
      <c r="M566" s="56"/>
    </row>
    <row r="567" spans="2:13" ht="15">
      <c r="B567" s="7"/>
      <c r="C567" s="56"/>
      <c r="D567" s="56"/>
      <c r="E567" s="56"/>
      <c r="F567" s="56"/>
      <c r="G567" s="56"/>
      <c r="H567" s="56"/>
      <c r="I567" s="56"/>
      <c r="J567" s="56"/>
      <c r="K567" s="56"/>
      <c r="L567" s="56"/>
      <c r="M567" s="56"/>
    </row>
    <row r="568" spans="2:13" ht="15">
      <c r="B568" s="7"/>
      <c r="C568" s="56"/>
      <c r="D568" s="56"/>
      <c r="E568" s="56"/>
      <c r="F568" s="56"/>
      <c r="G568" s="56"/>
      <c r="H568" s="56"/>
      <c r="I568" s="56"/>
      <c r="J568" s="56"/>
      <c r="K568" s="56"/>
      <c r="L568" s="56"/>
      <c r="M568" s="56"/>
    </row>
    <row r="569" spans="2:13" ht="15">
      <c r="B569" s="7"/>
      <c r="C569" s="56"/>
      <c r="D569" s="56"/>
      <c r="E569" s="56"/>
      <c r="F569" s="56"/>
      <c r="G569" s="56"/>
      <c r="H569" s="56"/>
      <c r="I569" s="56"/>
      <c r="J569" s="56"/>
      <c r="K569" s="56"/>
      <c r="L569" s="56"/>
      <c r="M569" s="56"/>
    </row>
    <row r="570" spans="2:13" ht="15">
      <c r="B570" s="7"/>
      <c r="C570" s="56"/>
      <c r="D570" s="56"/>
      <c r="E570" s="56"/>
      <c r="F570" s="56"/>
      <c r="G570" s="56"/>
      <c r="H570" s="56"/>
      <c r="I570" s="56"/>
      <c r="J570" s="56"/>
      <c r="K570" s="56"/>
      <c r="L570" s="56"/>
      <c r="M570" s="56"/>
    </row>
    <row r="571" spans="2:13" ht="15">
      <c r="B571" s="7"/>
      <c r="C571" s="56"/>
      <c r="D571" s="56"/>
      <c r="E571" s="56"/>
      <c r="F571" s="56"/>
      <c r="G571" s="56"/>
      <c r="H571" s="56"/>
      <c r="I571" s="56"/>
      <c r="J571" s="56"/>
      <c r="K571" s="56"/>
      <c r="L571" s="56"/>
      <c r="M571" s="56"/>
    </row>
    <row r="572" spans="2:13" ht="15">
      <c r="B572" s="7"/>
      <c r="C572" s="56"/>
      <c r="D572" s="56"/>
      <c r="E572" s="56"/>
      <c r="F572" s="56"/>
      <c r="G572" s="56"/>
      <c r="H572" s="56"/>
      <c r="I572" s="56"/>
      <c r="J572" s="56"/>
      <c r="K572" s="56"/>
      <c r="L572" s="56"/>
      <c r="M572" s="56"/>
    </row>
    <row r="573" spans="2:13" ht="15">
      <c r="B573" s="7"/>
      <c r="C573" s="56"/>
      <c r="D573" s="56"/>
      <c r="E573" s="56"/>
      <c r="F573" s="56"/>
      <c r="G573" s="56"/>
      <c r="H573" s="56"/>
      <c r="I573" s="56"/>
      <c r="J573" s="56"/>
      <c r="K573" s="56"/>
      <c r="L573" s="56"/>
      <c r="M573" s="56"/>
    </row>
    <row r="574" spans="2:13" ht="15">
      <c r="B574" s="7"/>
      <c r="C574" s="56"/>
      <c r="D574" s="56"/>
      <c r="E574" s="56"/>
      <c r="F574" s="56"/>
      <c r="G574" s="56"/>
      <c r="H574" s="56"/>
      <c r="I574" s="56"/>
      <c r="J574" s="56"/>
      <c r="K574" s="56"/>
      <c r="L574" s="56"/>
      <c r="M574" s="56"/>
    </row>
    <row r="575" spans="2:13" ht="15">
      <c r="B575" s="7"/>
      <c r="C575" s="56"/>
      <c r="D575" s="56"/>
      <c r="E575" s="56"/>
      <c r="F575" s="56"/>
      <c r="G575" s="56"/>
      <c r="H575" s="56"/>
      <c r="I575" s="56"/>
      <c r="J575" s="56"/>
      <c r="K575" s="56"/>
      <c r="L575" s="56"/>
      <c r="M575" s="56"/>
    </row>
    <row r="576" spans="2:13" ht="15">
      <c r="B576" s="7"/>
      <c r="C576" s="56"/>
      <c r="D576" s="56"/>
      <c r="E576" s="56"/>
      <c r="F576" s="56"/>
      <c r="G576" s="56"/>
      <c r="H576" s="56"/>
      <c r="I576" s="56"/>
      <c r="J576" s="56"/>
      <c r="K576" s="56"/>
      <c r="L576" s="56"/>
      <c r="M576" s="56"/>
    </row>
    <row r="577" spans="2:13" ht="15">
      <c r="B577" s="7"/>
      <c r="C577" s="56"/>
      <c r="D577" s="56"/>
      <c r="E577" s="56"/>
      <c r="F577" s="56"/>
      <c r="G577" s="56"/>
      <c r="H577" s="56"/>
      <c r="I577" s="56"/>
      <c r="J577" s="56"/>
      <c r="K577" s="56"/>
      <c r="L577" s="56"/>
      <c r="M577" s="56"/>
    </row>
    <row r="578" spans="2:13" ht="15">
      <c r="B578" s="7"/>
      <c r="C578" s="56"/>
      <c r="D578" s="56"/>
      <c r="E578" s="56"/>
      <c r="F578" s="56"/>
      <c r="G578" s="56"/>
      <c r="H578" s="56"/>
      <c r="I578" s="56"/>
      <c r="J578" s="56"/>
      <c r="K578" s="56"/>
      <c r="L578" s="56"/>
      <c r="M578" s="56"/>
    </row>
    <row r="579" spans="2:13" ht="15">
      <c r="B579" s="7"/>
      <c r="C579" s="56"/>
      <c r="D579" s="56"/>
      <c r="E579" s="56"/>
      <c r="F579" s="56"/>
      <c r="G579" s="56"/>
      <c r="H579" s="56"/>
      <c r="I579" s="56"/>
      <c r="J579" s="56"/>
      <c r="K579" s="56"/>
      <c r="L579" s="56"/>
      <c r="M579" s="56"/>
    </row>
    <row r="580" spans="2:13" ht="15">
      <c r="B580" s="7"/>
      <c r="C580" s="56"/>
      <c r="D580" s="56"/>
      <c r="E580" s="56"/>
      <c r="F580" s="56"/>
      <c r="G580" s="56"/>
      <c r="H580" s="56"/>
      <c r="I580" s="56"/>
      <c r="J580" s="56"/>
      <c r="K580" s="56"/>
      <c r="L580" s="56"/>
      <c r="M580" s="56"/>
    </row>
    <row r="581" spans="2:13" ht="15">
      <c r="B581" s="7"/>
      <c r="C581" s="56"/>
      <c r="D581" s="56"/>
      <c r="E581" s="56"/>
      <c r="F581" s="56"/>
      <c r="G581" s="56"/>
      <c r="H581" s="56"/>
      <c r="I581" s="56"/>
      <c r="J581" s="56"/>
      <c r="K581" s="56"/>
      <c r="L581" s="56"/>
      <c r="M581" s="56"/>
    </row>
    <row r="582" spans="2:13" ht="15">
      <c r="B582" s="7"/>
      <c r="C582" s="56"/>
      <c r="D582" s="56"/>
      <c r="E582" s="56"/>
      <c r="F582" s="56"/>
      <c r="G582" s="56"/>
      <c r="H582" s="56"/>
      <c r="I582" s="56"/>
      <c r="J582" s="56"/>
      <c r="K582" s="56"/>
      <c r="L582" s="56"/>
      <c r="M582" s="56"/>
    </row>
    <row r="583" spans="2:13" ht="15">
      <c r="B583" s="7"/>
      <c r="C583" s="56"/>
      <c r="D583" s="56"/>
      <c r="E583" s="56"/>
      <c r="F583" s="56"/>
      <c r="G583" s="56"/>
      <c r="H583" s="56"/>
      <c r="I583" s="56"/>
      <c r="J583" s="56"/>
      <c r="K583" s="56"/>
      <c r="L583" s="56"/>
      <c r="M583" s="56"/>
    </row>
    <row r="584" spans="2:13" ht="15">
      <c r="B584" s="7"/>
      <c r="C584" s="56"/>
      <c r="D584" s="56"/>
      <c r="E584" s="56"/>
      <c r="F584" s="56"/>
      <c r="G584" s="56"/>
      <c r="H584" s="56"/>
      <c r="I584" s="56"/>
      <c r="J584" s="56"/>
      <c r="K584" s="56"/>
      <c r="L584" s="56"/>
      <c r="M584" s="56"/>
    </row>
    <row r="585" spans="2:13" ht="15">
      <c r="B585" s="7"/>
      <c r="C585" s="56"/>
      <c r="D585" s="56"/>
      <c r="E585" s="56"/>
      <c r="F585" s="56"/>
      <c r="G585" s="56"/>
      <c r="H585" s="56"/>
      <c r="I585" s="56"/>
      <c r="J585" s="56"/>
      <c r="K585" s="56"/>
      <c r="L585" s="56"/>
      <c r="M585" s="56"/>
    </row>
    <row r="586" spans="2:13" ht="15">
      <c r="B586" s="7"/>
      <c r="C586" s="56"/>
      <c r="D586" s="56"/>
      <c r="E586" s="56"/>
      <c r="F586" s="56"/>
      <c r="G586" s="56"/>
      <c r="H586" s="56"/>
      <c r="I586" s="56"/>
      <c r="J586" s="56"/>
      <c r="K586" s="56"/>
      <c r="L586" s="56"/>
      <c r="M586" s="56"/>
    </row>
    <row r="587" spans="2:13" ht="15">
      <c r="B587" s="7"/>
      <c r="C587" s="56"/>
      <c r="D587" s="56"/>
      <c r="E587" s="56"/>
      <c r="F587" s="56"/>
      <c r="G587" s="56"/>
      <c r="H587" s="56"/>
      <c r="I587" s="56"/>
      <c r="J587" s="56"/>
      <c r="K587" s="56"/>
      <c r="L587" s="56"/>
      <c r="M587" s="56"/>
    </row>
    <row r="588" spans="2:13" ht="15">
      <c r="B588" s="7"/>
      <c r="C588" s="56"/>
      <c r="D588" s="56"/>
      <c r="E588" s="56"/>
      <c r="F588" s="56"/>
      <c r="G588" s="56"/>
      <c r="H588" s="56"/>
      <c r="I588" s="56"/>
      <c r="J588" s="56"/>
      <c r="K588" s="56"/>
      <c r="L588" s="56"/>
      <c r="M588" s="56"/>
    </row>
    <row r="589" spans="2:13" ht="15">
      <c r="B589" s="7"/>
      <c r="C589" s="56"/>
      <c r="D589" s="56"/>
      <c r="E589" s="56"/>
      <c r="F589" s="56"/>
      <c r="G589" s="56"/>
      <c r="H589" s="56"/>
      <c r="I589" s="56"/>
      <c r="J589" s="56"/>
      <c r="K589" s="56"/>
      <c r="L589" s="56"/>
      <c r="M589" s="56"/>
    </row>
    <row r="590" spans="2:13" ht="15">
      <c r="B590" s="7"/>
      <c r="C590" s="56"/>
      <c r="D590" s="56"/>
      <c r="E590" s="56"/>
      <c r="F590" s="56"/>
      <c r="G590" s="56"/>
      <c r="H590" s="56"/>
      <c r="I590" s="56"/>
      <c r="J590" s="56"/>
      <c r="K590" s="56"/>
      <c r="L590" s="56"/>
      <c r="M590" s="56"/>
    </row>
    <row r="591" spans="2:13" ht="15">
      <c r="B591" s="7"/>
      <c r="C591" s="56"/>
      <c r="D591" s="56"/>
      <c r="E591" s="56"/>
      <c r="F591" s="56"/>
      <c r="G591" s="56"/>
      <c r="H591" s="56"/>
      <c r="I591" s="56"/>
      <c r="J591" s="56"/>
      <c r="K591" s="56"/>
      <c r="L591" s="56"/>
      <c r="M591" s="56"/>
    </row>
    <row r="592" spans="2:13" ht="15">
      <c r="B592" s="7"/>
      <c r="C592" s="56"/>
      <c r="D592" s="56"/>
      <c r="E592" s="56"/>
      <c r="F592" s="56"/>
      <c r="G592" s="56"/>
      <c r="H592" s="56"/>
      <c r="I592" s="56"/>
      <c r="J592" s="56"/>
      <c r="K592" s="56"/>
      <c r="L592" s="56"/>
      <c r="M592" s="56"/>
    </row>
    <row r="593" spans="2:13" ht="15">
      <c r="B593" s="7"/>
      <c r="C593" s="56"/>
      <c r="D593" s="56"/>
      <c r="E593" s="56"/>
      <c r="F593" s="56"/>
      <c r="G593" s="56"/>
      <c r="H593" s="56"/>
      <c r="I593" s="56"/>
      <c r="J593" s="56"/>
      <c r="K593" s="56"/>
      <c r="L593" s="56"/>
      <c r="M593" s="56"/>
    </row>
    <row r="594" spans="2:13" ht="15">
      <c r="B594" s="7"/>
      <c r="C594" s="56"/>
      <c r="D594" s="56"/>
      <c r="E594" s="56"/>
      <c r="F594" s="56"/>
      <c r="G594" s="56"/>
      <c r="H594" s="56"/>
      <c r="I594" s="56"/>
      <c r="J594" s="56"/>
      <c r="K594" s="56"/>
      <c r="L594" s="56"/>
      <c r="M594" s="56"/>
    </row>
    <row r="595" spans="2:13" ht="15">
      <c r="B595" s="7"/>
      <c r="C595" s="56"/>
      <c r="D595" s="56"/>
      <c r="E595" s="56"/>
      <c r="F595" s="56"/>
      <c r="G595" s="56"/>
      <c r="H595" s="56"/>
      <c r="I595" s="56"/>
      <c r="J595" s="56"/>
      <c r="K595" s="56"/>
      <c r="L595" s="56"/>
      <c r="M595" s="56"/>
    </row>
    <row r="596" spans="2:13" ht="15">
      <c r="B596" s="7"/>
      <c r="C596" s="56"/>
      <c r="D596" s="56"/>
      <c r="E596" s="56"/>
      <c r="F596" s="56"/>
      <c r="G596" s="56"/>
      <c r="H596" s="56"/>
      <c r="I596" s="56"/>
      <c r="J596" s="56"/>
      <c r="K596" s="56"/>
      <c r="L596" s="56"/>
      <c r="M596" s="56"/>
    </row>
    <row r="597" spans="2:13" ht="15">
      <c r="B597" s="7"/>
      <c r="C597" s="56"/>
      <c r="D597" s="56"/>
      <c r="E597" s="56"/>
      <c r="F597" s="56"/>
      <c r="G597" s="56"/>
      <c r="H597" s="56"/>
      <c r="I597" s="56"/>
      <c r="J597" s="56"/>
      <c r="K597" s="56"/>
      <c r="L597" s="56"/>
      <c r="M597" s="56"/>
    </row>
    <row r="598" spans="2:13" ht="15">
      <c r="B598" s="7"/>
      <c r="C598" s="56"/>
      <c r="D598" s="56"/>
      <c r="E598" s="56"/>
      <c r="F598" s="56"/>
      <c r="G598" s="56"/>
      <c r="H598" s="56"/>
      <c r="I598" s="56"/>
      <c r="J598" s="56"/>
      <c r="K598" s="56"/>
      <c r="L598" s="56"/>
      <c r="M598" s="56"/>
    </row>
    <row r="599" spans="2:13" ht="15">
      <c r="B599" s="7"/>
      <c r="C599" s="56"/>
      <c r="D599" s="56"/>
      <c r="E599" s="56"/>
      <c r="F599" s="56"/>
      <c r="G599" s="56"/>
      <c r="H599" s="56"/>
      <c r="I599" s="56"/>
      <c r="J599" s="56"/>
      <c r="K599" s="56"/>
      <c r="L599" s="56"/>
      <c r="M599" s="56"/>
    </row>
    <row r="600" spans="2:13" ht="15">
      <c r="B600" s="7"/>
      <c r="C600" s="56"/>
      <c r="D600" s="56"/>
      <c r="E600" s="56"/>
      <c r="F600" s="56"/>
      <c r="G600" s="56"/>
      <c r="H600" s="56"/>
      <c r="I600" s="56"/>
      <c r="J600" s="56"/>
      <c r="K600" s="56"/>
      <c r="L600" s="56"/>
      <c r="M600" s="56"/>
    </row>
    <row r="601" spans="2:13" ht="15">
      <c r="B601" s="7"/>
      <c r="C601" s="56"/>
      <c r="D601" s="56"/>
      <c r="E601" s="56"/>
      <c r="F601" s="56"/>
      <c r="G601" s="56"/>
      <c r="H601" s="56"/>
      <c r="I601" s="56"/>
      <c r="J601" s="56"/>
      <c r="K601" s="56"/>
      <c r="L601" s="56"/>
      <c r="M601" s="56"/>
    </row>
    <row r="602" spans="2:13" ht="15">
      <c r="B602" s="7"/>
      <c r="C602" s="56"/>
      <c r="D602" s="56"/>
      <c r="E602" s="56"/>
      <c r="F602" s="56"/>
      <c r="G602" s="56"/>
      <c r="H602" s="56"/>
      <c r="I602" s="56"/>
      <c r="J602" s="56"/>
      <c r="K602" s="56"/>
      <c r="L602" s="56"/>
      <c r="M602" s="56"/>
    </row>
    <row r="603" spans="2:13" ht="15">
      <c r="B603" s="7"/>
      <c r="C603" s="56"/>
      <c r="D603" s="56"/>
      <c r="E603" s="56"/>
      <c r="F603" s="56"/>
      <c r="G603" s="56"/>
      <c r="H603" s="56"/>
      <c r="I603" s="56"/>
      <c r="J603" s="56"/>
      <c r="K603" s="56"/>
      <c r="L603" s="56"/>
      <c r="M603" s="56"/>
    </row>
    <row r="604" spans="2:13" ht="15">
      <c r="B604" s="7"/>
      <c r="C604" s="56"/>
      <c r="D604" s="56"/>
      <c r="E604" s="56"/>
      <c r="F604" s="56"/>
      <c r="G604" s="56"/>
      <c r="H604" s="56"/>
      <c r="I604" s="56"/>
      <c r="J604" s="56"/>
      <c r="K604" s="56"/>
      <c r="L604" s="56"/>
      <c r="M604" s="56"/>
    </row>
    <row r="605" spans="2:13" ht="15">
      <c r="B605" s="7"/>
      <c r="C605" s="56"/>
      <c r="D605" s="56"/>
      <c r="E605" s="56"/>
      <c r="F605" s="56"/>
      <c r="G605" s="56"/>
      <c r="H605" s="56"/>
      <c r="I605" s="56"/>
      <c r="J605" s="56"/>
      <c r="K605" s="56"/>
      <c r="L605" s="56"/>
      <c r="M605" s="56"/>
    </row>
    <row r="606" spans="2:13" ht="15">
      <c r="B606" s="7"/>
      <c r="C606" s="56"/>
      <c r="D606" s="56"/>
      <c r="E606" s="56"/>
      <c r="F606" s="56"/>
      <c r="G606" s="56"/>
      <c r="H606" s="56"/>
      <c r="I606" s="56"/>
      <c r="J606" s="56"/>
      <c r="K606" s="56"/>
      <c r="L606" s="56"/>
      <c r="M606" s="56"/>
    </row>
    <row r="607" spans="2:13" ht="15">
      <c r="B607" s="7"/>
      <c r="C607" s="56"/>
      <c r="D607" s="56"/>
      <c r="E607" s="56"/>
      <c r="F607" s="56"/>
      <c r="G607" s="56"/>
      <c r="H607" s="56"/>
      <c r="I607" s="56"/>
      <c r="J607" s="56"/>
      <c r="K607" s="56"/>
      <c r="L607" s="56"/>
      <c r="M607" s="56"/>
    </row>
    <row r="608" spans="2:13" ht="15">
      <c r="B608" s="7"/>
      <c r="C608" s="56"/>
      <c r="D608" s="56"/>
      <c r="E608" s="56"/>
      <c r="F608" s="56"/>
      <c r="G608" s="56"/>
      <c r="H608" s="56"/>
      <c r="I608" s="56"/>
      <c r="J608" s="56"/>
      <c r="K608" s="56"/>
      <c r="L608" s="56"/>
      <c r="M608" s="56"/>
    </row>
    <row r="609" spans="2:13" ht="15">
      <c r="B609" s="7"/>
      <c r="C609" s="56"/>
      <c r="D609" s="56"/>
      <c r="E609" s="56"/>
      <c r="F609" s="56"/>
      <c r="G609" s="56"/>
      <c r="H609" s="56"/>
      <c r="I609" s="56"/>
      <c r="J609" s="56"/>
      <c r="K609" s="56"/>
      <c r="L609" s="56"/>
      <c r="M609" s="56"/>
    </row>
    <row r="610" spans="2:13" ht="15">
      <c r="B610" s="7"/>
      <c r="C610" s="56"/>
      <c r="D610" s="56"/>
      <c r="E610" s="56"/>
      <c r="F610" s="56"/>
      <c r="G610" s="56"/>
      <c r="H610" s="56"/>
      <c r="I610" s="56"/>
      <c r="J610" s="56"/>
      <c r="K610" s="56"/>
      <c r="L610" s="56"/>
      <c r="M610" s="56"/>
    </row>
    <row r="611" spans="2:13" ht="15">
      <c r="B611" s="7"/>
      <c r="C611" s="56"/>
      <c r="D611" s="56"/>
      <c r="E611" s="56"/>
      <c r="F611" s="56"/>
      <c r="G611" s="56"/>
      <c r="H611" s="56"/>
      <c r="I611" s="56"/>
      <c r="J611" s="56"/>
      <c r="K611" s="56"/>
      <c r="L611" s="56"/>
      <c r="M611" s="56"/>
    </row>
    <row r="612" spans="2:13" ht="15">
      <c r="B612" s="7"/>
      <c r="C612" s="56"/>
      <c r="D612" s="56"/>
      <c r="E612" s="56"/>
      <c r="F612" s="56"/>
      <c r="G612" s="56"/>
      <c r="H612" s="56"/>
      <c r="I612" s="56"/>
      <c r="J612" s="56"/>
      <c r="K612" s="56"/>
      <c r="L612" s="56"/>
      <c r="M612" s="56"/>
    </row>
    <row r="613" spans="2:13" ht="15">
      <c r="B613" s="7"/>
      <c r="C613" s="56"/>
      <c r="D613" s="56"/>
      <c r="E613" s="56"/>
      <c r="F613" s="56"/>
      <c r="G613" s="56"/>
      <c r="H613" s="56"/>
      <c r="I613" s="56"/>
      <c r="J613" s="56"/>
      <c r="K613" s="56"/>
      <c r="L613" s="56"/>
      <c r="M613" s="56"/>
    </row>
    <row r="614" spans="2:13" ht="15">
      <c r="B614" s="7"/>
      <c r="C614" s="56"/>
      <c r="D614" s="56"/>
      <c r="E614" s="56"/>
      <c r="F614" s="56"/>
      <c r="G614" s="56"/>
      <c r="H614" s="56"/>
      <c r="I614" s="56"/>
      <c r="J614" s="56"/>
      <c r="K614" s="56"/>
      <c r="L614" s="56"/>
      <c r="M614" s="56"/>
    </row>
    <row r="615" spans="2:13" ht="15">
      <c r="B615" s="7"/>
      <c r="C615" s="56"/>
      <c r="D615" s="56"/>
      <c r="E615" s="56"/>
      <c r="F615" s="56"/>
      <c r="G615" s="56"/>
      <c r="H615" s="56"/>
      <c r="I615" s="56"/>
      <c r="J615" s="56"/>
      <c r="K615" s="56"/>
      <c r="L615" s="56"/>
      <c r="M615" s="56"/>
    </row>
    <row r="616" spans="2:13" ht="15">
      <c r="B616" s="7"/>
      <c r="C616" s="56"/>
      <c r="D616" s="56"/>
      <c r="E616" s="56"/>
      <c r="F616" s="56"/>
      <c r="G616" s="56"/>
      <c r="H616" s="56"/>
      <c r="I616" s="56"/>
      <c r="J616" s="56"/>
      <c r="K616" s="56"/>
      <c r="L616" s="56"/>
      <c r="M616" s="56"/>
    </row>
    <row r="617" spans="2:13" ht="15">
      <c r="B617" s="7"/>
      <c r="C617" s="56"/>
      <c r="D617" s="56"/>
      <c r="E617" s="56"/>
      <c r="F617" s="56"/>
      <c r="G617" s="56"/>
      <c r="H617" s="56"/>
      <c r="I617" s="56"/>
      <c r="J617" s="56"/>
      <c r="K617" s="56"/>
      <c r="L617" s="56"/>
      <c r="M617" s="56"/>
    </row>
    <row r="618" spans="2:13" ht="15">
      <c r="B618" s="7"/>
      <c r="C618" s="56"/>
      <c r="D618" s="56"/>
      <c r="E618" s="56"/>
      <c r="F618" s="56"/>
      <c r="G618" s="56"/>
      <c r="H618" s="56"/>
      <c r="I618" s="56"/>
      <c r="J618" s="56"/>
      <c r="K618" s="56"/>
      <c r="L618" s="56"/>
      <c r="M618" s="56"/>
    </row>
    <row r="619" spans="2:13" ht="15">
      <c r="B619" s="7"/>
      <c r="C619" s="56"/>
      <c r="D619" s="56"/>
      <c r="E619" s="56"/>
      <c r="F619" s="56"/>
      <c r="G619" s="56"/>
      <c r="H619" s="56"/>
      <c r="I619" s="56"/>
      <c r="J619" s="56"/>
      <c r="K619" s="56"/>
      <c r="L619" s="56"/>
      <c r="M619" s="56"/>
    </row>
    <row r="620" spans="2:13" ht="15">
      <c r="B620" s="7"/>
      <c r="C620" s="56"/>
      <c r="D620" s="56"/>
      <c r="E620" s="56"/>
      <c r="F620" s="56"/>
      <c r="G620" s="56"/>
      <c r="H620" s="56"/>
      <c r="I620" s="56"/>
      <c r="J620" s="56"/>
      <c r="K620" s="56"/>
      <c r="L620" s="56"/>
      <c r="M620" s="56"/>
    </row>
    <row r="621" spans="2:13" ht="15">
      <c r="B621" s="7"/>
      <c r="C621" s="56"/>
      <c r="D621" s="56"/>
      <c r="E621" s="56"/>
      <c r="F621" s="56"/>
      <c r="G621" s="56"/>
      <c r="H621" s="56"/>
      <c r="I621" s="56"/>
      <c r="J621" s="56"/>
      <c r="K621" s="56"/>
      <c r="L621" s="56"/>
      <c r="M621" s="56"/>
    </row>
    <row r="622" spans="2:13" ht="15">
      <c r="B622" s="7"/>
      <c r="C622" s="56"/>
      <c r="D622" s="56"/>
      <c r="E622" s="56"/>
      <c r="F622" s="56"/>
      <c r="G622" s="56"/>
      <c r="H622" s="56"/>
      <c r="I622" s="56"/>
      <c r="J622" s="56"/>
      <c r="K622" s="56"/>
      <c r="L622" s="56"/>
      <c r="M622" s="56"/>
    </row>
    <row r="623" spans="2:13" ht="15">
      <c r="B623" s="7"/>
      <c r="C623" s="56"/>
      <c r="D623" s="56"/>
      <c r="E623" s="56"/>
      <c r="F623" s="56"/>
      <c r="G623" s="56"/>
      <c r="H623" s="56"/>
      <c r="I623" s="56"/>
      <c r="J623" s="56"/>
      <c r="K623" s="56"/>
      <c r="L623" s="56"/>
      <c r="M623" s="56"/>
    </row>
    <row r="624" spans="2:13" ht="15">
      <c r="B624" s="7"/>
      <c r="C624" s="56"/>
      <c r="D624" s="56"/>
      <c r="E624" s="56"/>
      <c r="F624" s="56"/>
      <c r="G624" s="56"/>
      <c r="H624" s="56"/>
      <c r="I624" s="56"/>
      <c r="J624" s="56"/>
      <c r="K624" s="56"/>
      <c r="L624" s="56"/>
      <c r="M624" s="56"/>
    </row>
    <row r="625" spans="2:13" ht="15">
      <c r="B625" s="7"/>
      <c r="C625" s="56"/>
      <c r="D625" s="56"/>
      <c r="E625" s="56"/>
      <c r="F625" s="56"/>
      <c r="G625" s="56"/>
      <c r="H625" s="56"/>
      <c r="I625" s="56"/>
      <c r="J625" s="56"/>
      <c r="K625" s="56"/>
      <c r="L625" s="56"/>
      <c r="M625" s="56"/>
    </row>
    <row r="626" spans="2:13" ht="15">
      <c r="B626" s="7"/>
      <c r="C626" s="56"/>
      <c r="D626" s="56"/>
      <c r="E626" s="56"/>
      <c r="F626" s="56"/>
      <c r="G626" s="56"/>
      <c r="H626" s="56"/>
      <c r="I626" s="56"/>
      <c r="J626" s="56"/>
      <c r="K626" s="56"/>
      <c r="L626" s="56"/>
      <c r="M626" s="56"/>
    </row>
    <row r="627" spans="2:13" ht="15">
      <c r="B627" s="7"/>
      <c r="C627" s="56"/>
      <c r="D627" s="56"/>
      <c r="E627" s="56"/>
      <c r="F627" s="56"/>
      <c r="G627" s="56"/>
      <c r="H627" s="56"/>
      <c r="I627" s="56"/>
      <c r="J627" s="56"/>
      <c r="K627" s="56"/>
      <c r="L627" s="56"/>
      <c r="M627" s="56"/>
    </row>
    <row r="628" spans="2:13" ht="15">
      <c r="B628" s="7"/>
      <c r="C628" s="56"/>
      <c r="D628" s="56"/>
      <c r="E628" s="56"/>
      <c r="F628" s="56"/>
      <c r="G628" s="56"/>
      <c r="H628" s="56"/>
      <c r="I628" s="56"/>
      <c r="J628" s="56"/>
      <c r="K628" s="56"/>
      <c r="L628" s="56"/>
      <c r="M628" s="56"/>
    </row>
    <row r="629" spans="2:13" ht="15">
      <c r="B629" s="7"/>
      <c r="C629" s="56"/>
      <c r="D629" s="56"/>
      <c r="E629" s="56"/>
      <c r="F629" s="56"/>
      <c r="G629" s="56"/>
      <c r="H629" s="56"/>
      <c r="I629" s="56"/>
      <c r="J629" s="56"/>
      <c r="K629" s="56"/>
      <c r="L629" s="56"/>
      <c r="M629" s="56"/>
    </row>
    <row r="630" spans="2:13" ht="15">
      <c r="B630" s="7"/>
      <c r="C630" s="56"/>
      <c r="D630" s="56"/>
      <c r="E630" s="56"/>
      <c r="F630" s="56"/>
      <c r="G630" s="56"/>
      <c r="H630" s="56"/>
      <c r="I630" s="56"/>
      <c r="J630" s="56"/>
      <c r="K630" s="56"/>
      <c r="L630" s="56"/>
      <c r="M630" s="56"/>
    </row>
    <row r="631" spans="2:13" ht="15">
      <c r="B631" s="7"/>
      <c r="C631" s="56"/>
      <c r="D631" s="56"/>
      <c r="E631" s="56"/>
      <c r="F631" s="56"/>
      <c r="G631" s="56"/>
      <c r="H631" s="56"/>
      <c r="I631" s="56"/>
      <c r="J631" s="56"/>
      <c r="K631" s="56"/>
      <c r="L631" s="56"/>
      <c r="M631" s="56"/>
    </row>
    <row r="632" spans="2:13" ht="15">
      <c r="B632" s="7"/>
      <c r="C632" s="56"/>
      <c r="D632" s="56"/>
      <c r="E632" s="56"/>
      <c r="F632" s="56"/>
      <c r="G632" s="56"/>
      <c r="H632" s="56"/>
      <c r="I632" s="56"/>
      <c r="J632" s="56"/>
      <c r="K632" s="56"/>
      <c r="L632" s="56"/>
      <c r="M632" s="56"/>
    </row>
    <row r="633" spans="2:13" ht="15">
      <c r="B633" s="7"/>
      <c r="C633" s="56"/>
      <c r="D633" s="56"/>
      <c r="E633" s="56"/>
      <c r="F633" s="56"/>
      <c r="G633" s="56"/>
      <c r="H633" s="56"/>
      <c r="I633" s="56"/>
      <c r="J633" s="56"/>
      <c r="K633" s="56"/>
      <c r="L633" s="56"/>
      <c r="M633" s="56"/>
    </row>
    <row r="634" spans="2:13" ht="15">
      <c r="B634" s="7"/>
      <c r="C634" s="56"/>
      <c r="D634" s="56"/>
      <c r="E634" s="56"/>
      <c r="F634" s="56"/>
      <c r="G634" s="56"/>
      <c r="H634" s="56"/>
      <c r="I634" s="56"/>
      <c r="J634" s="56"/>
      <c r="K634" s="56"/>
      <c r="L634" s="56"/>
      <c r="M634" s="56"/>
    </row>
    <row r="635" spans="2:13" ht="15">
      <c r="B635" s="7"/>
      <c r="C635" s="56"/>
      <c r="D635" s="56"/>
      <c r="E635" s="56"/>
      <c r="F635" s="56"/>
      <c r="G635" s="56"/>
      <c r="H635" s="56"/>
      <c r="I635" s="56"/>
      <c r="J635" s="56"/>
      <c r="K635" s="56"/>
      <c r="L635" s="56"/>
      <c r="M635" s="56"/>
    </row>
    <row r="636" spans="2:13" ht="15">
      <c r="B636" s="7"/>
      <c r="C636" s="56"/>
      <c r="D636" s="56"/>
      <c r="E636" s="56"/>
      <c r="F636" s="56"/>
      <c r="G636" s="56"/>
      <c r="H636" s="56"/>
      <c r="I636" s="56"/>
      <c r="J636" s="56"/>
      <c r="K636" s="56"/>
      <c r="L636" s="56"/>
      <c r="M636" s="56"/>
    </row>
    <row r="637" spans="2:13" ht="15">
      <c r="B637" s="7"/>
      <c r="C637" s="56"/>
      <c r="D637" s="56"/>
      <c r="E637" s="56"/>
      <c r="F637" s="56"/>
      <c r="G637" s="56"/>
      <c r="H637" s="56"/>
      <c r="I637" s="56"/>
      <c r="J637" s="56"/>
      <c r="K637" s="56"/>
      <c r="L637" s="56"/>
      <c r="M637" s="56"/>
    </row>
    <row r="638" spans="2:13" ht="15">
      <c r="B638" s="7"/>
      <c r="C638" s="56"/>
      <c r="D638" s="56"/>
      <c r="E638" s="56"/>
      <c r="F638" s="56"/>
      <c r="G638" s="56"/>
      <c r="H638" s="56"/>
      <c r="I638" s="56"/>
      <c r="J638" s="56"/>
      <c r="K638" s="56"/>
      <c r="L638" s="56"/>
      <c r="M638" s="56"/>
    </row>
    <row r="639" spans="2:13" ht="15">
      <c r="B639" s="7"/>
      <c r="C639" s="56"/>
      <c r="D639" s="56"/>
      <c r="E639" s="56"/>
      <c r="F639" s="56"/>
      <c r="G639" s="56"/>
      <c r="H639" s="56"/>
      <c r="I639" s="56"/>
      <c r="J639" s="56"/>
      <c r="K639" s="56"/>
      <c r="L639" s="56"/>
      <c r="M639" s="56"/>
    </row>
    <row r="640" spans="2:13" ht="15">
      <c r="B640" s="7"/>
      <c r="C640" s="56"/>
      <c r="D640" s="56"/>
      <c r="E640" s="56"/>
      <c r="F640" s="56"/>
      <c r="G640" s="56"/>
      <c r="H640" s="56"/>
      <c r="I640" s="56"/>
      <c r="J640" s="56"/>
      <c r="K640" s="56"/>
      <c r="L640" s="56"/>
      <c r="M640" s="56"/>
    </row>
    <row r="641" spans="2:13" ht="15">
      <c r="B641" s="7"/>
      <c r="C641" s="56"/>
      <c r="D641" s="56"/>
      <c r="E641" s="56"/>
      <c r="F641" s="56"/>
      <c r="G641" s="56"/>
      <c r="H641" s="56"/>
      <c r="I641" s="56"/>
      <c r="J641" s="56"/>
      <c r="K641" s="56"/>
      <c r="L641" s="56"/>
      <c r="M641" s="56"/>
    </row>
    <row r="642" spans="2:13" ht="15">
      <c r="B642" s="7"/>
      <c r="C642" s="56"/>
      <c r="D642" s="56"/>
      <c r="E642" s="56"/>
      <c r="F642" s="56"/>
      <c r="G642" s="56"/>
      <c r="H642" s="56"/>
      <c r="I642" s="56"/>
      <c r="J642" s="56"/>
      <c r="K642" s="56"/>
      <c r="L642" s="56"/>
      <c r="M642" s="56"/>
    </row>
    <row r="643" spans="2:13" ht="15">
      <c r="B643" s="7"/>
      <c r="C643" s="56"/>
      <c r="D643" s="56"/>
      <c r="E643" s="56"/>
      <c r="F643" s="56"/>
      <c r="G643" s="56"/>
      <c r="H643" s="56"/>
      <c r="I643" s="56"/>
      <c r="J643" s="56"/>
      <c r="K643" s="56"/>
      <c r="L643" s="56"/>
      <c r="M643" s="56"/>
    </row>
    <row r="644" spans="2:13" ht="15">
      <c r="B644" s="7"/>
      <c r="C644" s="56"/>
      <c r="D644" s="56"/>
      <c r="E644" s="56"/>
      <c r="F644" s="56"/>
      <c r="G644" s="56"/>
      <c r="H644" s="56"/>
      <c r="I644" s="56"/>
      <c r="J644" s="56"/>
      <c r="K644" s="56"/>
      <c r="L644" s="56"/>
      <c r="M644" s="56"/>
    </row>
    <row r="645" spans="2:13" ht="15">
      <c r="B645" s="7"/>
      <c r="C645" s="56"/>
      <c r="D645" s="56"/>
      <c r="E645" s="56"/>
      <c r="F645" s="56"/>
      <c r="G645" s="56"/>
      <c r="H645" s="56"/>
      <c r="I645" s="56"/>
      <c r="J645" s="56"/>
      <c r="K645" s="56"/>
      <c r="L645" s="56"/>
      <c r="M645" s="56"/>
    </row>
    <row r="646" spans="2:13" ht="15">
      <c r="B646" s="7"/>
      <c r="C646" s="56"/>
      <c r="D646" s="56"/>
      <c r="E646" s="56"/>
      <c r="F646" s="56"/>
      <c r="G646" s="56"/>
      <c r="H646" s="56"/>
      <c r="I646" s="56"/>
      <c r="J646" s="56"/>
      <c r="K646" s="56"/>
      <c r="L646" s="56"/>
      <c r="M646" s="56"/>
    </row>
    <row r="647" spans="2:13" ht="15">
      <c r="B647" s="7"/>
      <c r="C647" s="56"/>
      <c r="D647" s="56"/>
      <c r="E647" s="56"/>
      <c r="F647" s="56"/>
      <c r="G647" s="56"/>
      <c r="H647" s="56"/>
      <c r="I647" s="56"/>
      <c r="J647" s="56"/>
      <c r="K647" s="56"/>
      <c r="L647" s="56"/>
      <c r="M647" s="56"/>
    </row>
    <row r="648" spans="2:13" ht="15">
      <c r="B648" s="7"/>
      <c r="C648" s="56"/>
      <c r="D648" s="56"/>
      <c r="E648" s="56"/>
      <c r="F648" s="56"/>
      <c r="G648" s="56"/>
      <c r="H648" s="56"/>
      <c r="I648" s="56"/>
      <c r="J648" s="56"/>
      <c r="K648" s="56"/>
      <c r="L648" s="56"/>
      <c r="M648" s="56"/>
    </row>
    <row r="649" spans="2:13" ht="15">
      <c r="B649" s="7"/>
      <c r="C649" s="56"/>
      <c r="D649" s="56"/>
      <c r="E649" s="56"/>
      <c r="F649" s="56"/>
      <c r="G649" s="56"/>
      <c r="H649" s="56"/>
      <c r="I649" s="56"/>
      <c r="J649" s="56"/>
      <c r="K649" s="56"/>
      <c r="L649" s="56"/>
      <c r="M649" s="56"/>
    </row>
    <row r="650" spans="2:13" ht="15">
      <c r="B650" s="7"/>
      <c r="C650" s="56"/>
      <c r="D650" s="56"/>
      <c r="E650" s="56"/>
      <c r="F650" s="56"/>
      <c r="G650" s="56"/>
      <c r="H650" s="56"/>
      <c r="I650" s="56"/>
      <c r="J650" s="56"/>
      <c r="K650" s="56"/>
      <c r="L650" s="56"/>
      <c r="M650" s="56"/>
    </row>
    <row r="651" spans="2:13" ht="15">
      <c r="B651" s="7"/>
      <c r="C651" s="56"/>
      <c r="D651" s="56"/>
      <c r="E651" s="56"/>
      <c r="F651" s="56"/>
      <c r="G651" s="56"/>
      <c r="H651" s="56"/>
      <c r="I651" s="56"/>
      <c r="J651" s="56"/>
      <c r="K651" s="56"/>
      <c r="L651" s="56"/>
      <c r="M651" s="56"/>
    </row>
    <row r="652" spans="2:13" ht="15">
      <c r="B652" s="7"/>
      <c r="C652" s="56"/>
      <c r="D652" s="56"/>
      <c r="E652" s="56"/>
      <c r="F652" s="56"/>
      <c r="G652" s="56"/>
      <c r="H652" s="56"/>
      <c r="I652" s="56"/>
      <c r="J652" s="56"/>
      <c r="K652" s="56"/>
      <c r="L652" s="56"/>
      <c r="M652" s="56"/>
    </row>
    <row r="653" spans="2:13" ht="15">
      <c r="B653" s="7"/>
      <c r="C653" s="56"/>
      <c r="D653" s="56"/>
      <c r="E653" s="56"/>
      <c r="F653" s="56"/>
      <c r="G653" s="56"/>
      <c r="H653" s="56"/>
      <c r="I653" s="56"/>
      <c r="J653" s="56"/>
      <c r="K653" s="56"/>
      <c r="L653" s="56"/>
      <c r="M653" s="56"/>
    </row>
    <row r="654" spans="2:13" ht="15">
      <c r="B654" s="7"/>
      <c r="C654" s="56"/>
      <c r="D654" s="56"/>
      <c r="E654" s="56"/>
      <c r="F654" s="56"/>
      <c r="G654" s="56"/>
      <c r="H654" s="56"/>
      <c r="I654" s="56"/>
      <c r="J654" s="56"/>
      <c r="K654" s="56"/>
      <c r="L654" s="56"/>
      <c r="M654" s="56"/>
    </row>
    <row r="655" spans="2:13" ht="15">
      <c r="B655" s="7"/>
      <c r="C655" s="56"/>
      <c r="D655" s="56"/>
      <c r="E655" s="56"/>
      <c r="F655" s="56"/>
      <c r="G655" s="56"/>
      <c r="H655" s="56"/>
      <c r="I655" s="56"/>
      <c r="J655" s="56"/>
      <c r="K655" s="56"/>
      <c r="L655" s="56"/>
      <c r="M655" s="56"/>
    </row>
    <row r="656" spans="2:13" ht="15">
      <c r="B656" s="7"/>
      <c r="C656" s="56"/>
      <c r="D656" s="56"/>
      <c r="E656" s="56"/>
      <c r="F656" s="56"/>
      <c r="G656" s="56"/>
      <c r="H656" s="56"/>
      <c r="I656" s="56"/>
      <c r="J656" s="56"/>
      <c r="K656" s="56"/>
      <c r="L656" s="56"/>
      <c r="M656" s="56"/>
    </row>
    <row r="657" spans="2:13" ht="15">
      <c r="B657" s="7"/>
      <c r="C657" s="56"/>
      <c r="D657" s="56"/>
      <c r="E657" s="56"/>
      <c r="F657" s="56"/>
      <c r="G657" s="56"/>
      <c r="H657" s="56"/>
      <c r="I657" s="56"/>
      <c r="J657" s="56"/>
      <c r="K657" s="56"/>
      <c r="L657" s="56"/>
      <c r="M657" s="56"/>
    </row>
    <row r="658" spans="2:13" ht="15">
      <c r="B658" s="7"/>
      <c r="C658" s="56"/>
      <c r="D658" s="56"/>
      <c r="E658" s="56"/>
      <c r="F658" s="56"/>
      <c r="G658" s="56"/>
      <c r="H658" s="56"/>
      <c r="I658" s="56"/>
      <c r="J658" s="56"/>
      <c r="K658" s="56"/>
      <c r="L658" s="56"/>
      <c r="M658" s="56"/>
    </row>
    <row r="659" spans="2:13" ht="15">
      <c r="B659" s="7"/>
      <c r="C659" s="56"/>
      <c r="D659" s="56"/>
      <c r="E659" s="56"/>
      <c r="F659" s="56"/>
      <c r="G659" s="56"/>
      <c r="H659" s="56"/>
      <c r="I659" s="56"/>
      <c r="J659" s="56"/>
      <c r="K659" s="56"/>
      <c r="L659" s="56"/>
      <c r="M659" s="56"/>
    </row>
    <row r="660" spans="2:13" ht="15">
      <c r="B660" s="7"/>
      <c r="C660" s="56"/>
      <c r="D660" s="56"/>
      <c r="E660" s="56"/>
      <c r="F660" s="56"/>
      <c r="G660" s="56"/>
      <c r="H660" s="56"/>
      <c r="I660" s="56"/>
      <c r="J660" s="56"/>
      <c r="K660" s="56"/>
      <c r="L660" s="56"/>
      <c r="M660" s="56"/>
    </row>
    <row r="661" spans="2:13" ht="15">
      <c r="B661" s="7"/>
      <c r="C661" s="56"/>
      <c r="D661" s="56"/>
      <c r="E661" s="56"/>
      <c r="F661" s="56"/>
      <c r="G661" s="56"/>
      <c r="H661" s="56"/>
      <c r="I661" s="56"/>
      <c r="J661" s="56"/>
      <c r="K661" s="56"/>
      <c r="L661" s="56"/>
      <c r="M661" s="56"/>
    </row>
    <row r="662" spans="2:13" ht="15">
      <c r="B662" s="7"/>
      <c r="C662" s="56"/>
      <c r="D662" s="56"/>
      <c r="E662" s="56"/>
      <c r="F662" s="56"/>
      <c r="G662" s="56"/>
      <c r="H662" s="56"/>
      <c r="I662" s="56"/>
      <c r="J662" s="56"/>
      <c r="K662" s="56"/>
      <c r="L662" s="56"/>
      <c r="M662" s="56"/>
    </row>
    <row r="663" spans="2:13" ht="15">
      <c r="B663" s="7"/>
      <c r="C663" s="56"/>
      <c r="D663" s="56"/>
      <c r="E663" s="56"/>
      <c r="F663" s="56"/>
      <c r="G663" s="56"/>
      <c r="H663" s="56"/>
      <c r="I663" s="56"/>
      <c r="J663" s="56"/>
      <c r="K663" s="56"/>
      <c r="L663" s="56"/>
      <c r="M663" s="56"/>
    </row>
    <row r="664" spans="2:13" ht="15">
      <c r="B664" s="7"/>
      <c r="C664" s="56"/>
      <c r="D664" s="56"/>
      <c r="E664" s="56"/>
      <c r="F664" s="56"/>
      <c r="G664" s="56"/>
      <c r="H664" s="56"/>
      <c r="I664" s="56"/>
      <c r="J664" s="56"/>
      <c r="K664" s="56"/>
      <c r="L664" s="56"/>
      <c r="M664" s="56"/>
    </row>
    <row r="665" spans="2:13" ht="15">
      <c r="B665" s="7"/>
      <c r="C665" s="56"/>
      <c r="D665" s="56"/>
      <c r="E665" s="56"/>
      <c r="F665" s="56"/>
      <c r="G665" s="56"/>
      <c r="H665" s="56"/>
      <c r="I665" s="56"/>
      <c r="J665" s="56"/>
      <c r="K665" s="56"/>
      <c r="L665" s="56"/>
      <c r="M665" s="56"/>
    </row>
    <row r="666" spans="2:13" ht="15">
      <c r="B666" s="7"/>
      <c r="C666" s="56"/>
      <c r="D666" s="56"/>
      <c r="E666" s="56"/>
      <c r="F666" s="56"/>
      <c r="G666" s="56"/>
      <c r="H666" s="56"/>
      <c r="I666" s="56"/>
      <c r="J666" s="56"/>
      <c r="K666" s="56"/>
      <c r="L666" s="56"/>
      <c r="M666" s="56"/>
    </row>
    <row r="667" spans="2:13" ht="15">
      <c r="B667" s="7"/>
      <c r="C667" s="56"/>
      <c r="D667" s="56"/>
      <c r="E667" s="56"/>
      <c r="F667" s="56"/>
      <c r="G667" s="56"/>
      <c r="H667" s="56"/>
      <c r="I667" s="56"/>
      <c r="J667" s="56"/>
      <c r="K667" s="56"/>
      <c r="L667" s="56"/>
      <c r="M667" s="56"/>
    </row>
    <row r="668" spans="2:13" ht="15">
      <c r="B668" s="7"/>
      <c r="C668" s="56"/>
      <c r="D668" s="56"/>
      <c r="E668" s="56"/>
      <c r="F668" s="56"/>
      <c r="G668" s="56"/>
      <c r="H668" s="56"/>
      <c r="I668" s="56"/>
      <c r="J668" s="56"/>
      <c r="K668" s="56"/>
      <c r="L668" s="56"/>
      <c r="M668" s="56"/>
    </row>
    <row r="669" spans="2:13" ht="15">
      <c r="B669" s="7"/>
      <c r="C669" s="56"/>
      <c r="D669" s="56"/>
      <c r="E669" s="56"/>
      <c r="F669" s="56"/>
      <c r="G669" s="56"/>
      <c r="H669" s="56"/>
      <c r="I669" s="56"/>
      <c r="J669" s="56"/>
      <c r="K669" s="56"/>
      <c r="L669" s="56"/>
      <c r="M669" s="56"/>
    </row>
    <row r="670" spans="2:13" ht="15">
      <c r="B670" s="7"/>
      <c r="C670" s="56"/>
      <c r="D670" s="56"/>
      <c r="E670" s="56"/>
      <c r="F670" s="56"/>
      <c r="G670" s="56"/>
      <c r="H670" s="56"/>
      <c r="I670" s="56"/>
      <c r="J670" s="56"/>
      <c r="K670" s="56"/>
      <c r="L670" s="56"/>
      <c r="M670" s="56"/>
    </row>
    <row r="671" spans="2:13" ht="15">
      <c r="B671" s="7"/>
      <c r="C671" s="56"/>
      <c r="D671" s="56"/>
      <c r="E671" s="56"/>
      <c r="F671" s="56"/>
      <c r="G671" s="56"/>
      <c r="H671" s="56"/>
      <c r="I671" s="56"/>
      <c r="J671" s="56"/>
      <c r="K671" s="56"/>
      <c r="L671" s="56"/>
      <c r="M671" s="56"/>
    </row>
    <row r="672" spans="2:13" ht="15">
      <c r="B672" s="7"/>
      <c r="C672" s="56"/>
      <c r="D672" s="56"/>
      <c r="E672" s="56"/>
      <c r="F672" s="56"/>
      <c r="G672" s="56"/>
      <c r="H672" s="56"/>
      <c r="I672" s="56"/>
      <c r="J672" s="56"/>
      <c r="K672" s="56"/>
      <c r="L672" s="56"/>
      <c r="M672" s="56"/>
    </row>
    <row r="673" spans="2:13" ht="15">
      <c r="B673" s="7"/>
      <c r="C673" s="56"/>
      <c r="D673" s="56"/>
      <c r="E673" s="56"/>
      <c r="F673" s="56"/>
      <c r="G673" s="56"/>
      <c r="H673" s="56"/>
      <c r="I673" s="56"/>
      <c r="J673" s="56"/>
      <c r="K673" s="56"/>
      <c r="L673" s="56"/>
      <c r="M673" s="56"/>
    </row>
    <row r="674" spans="2:13" ht="15">
      <c r="B674" s="7"/>
      <c r="C674" s="56"/>
      <c r="D674" s="56"/>
      <c r="E674" s="56"/>
      <c r="F674" s="56"/>
      <c r="G674" s="56"/>
      <c r="H674" s="56"/>
      <c r="I674" s="56"/>
      <c r="J674" s="56"/>
      <c r="K674" s="56"/>
      <c r="L674" s="56"/>
      <c r="M674" s="56"/>
    </row>
    <row r="675" spans="2:13" ht="15">
      <c r="B675" s="7"/>
      <c r="C675" s="56"/>
      <c r="D675" s="56"/>
      <c r="E675" s="56"/>
      <c r="F675" s="56"/>
      <c r="G675" s="56"/>
      <c r="H675" s="56"/>
      <c r="I675" s="56"/>
      <c r="J675" s="56"/>
      <c r="K675" s="56"/>
      <c r="L675" s="56"/>
      <c r="M675" s="56"/>
    </row>
    <row r="676" spans="2:13" ht="15">
      <c r="B676" s="7"/>
      <c r="C676" s="56"/>
      <c r="D676" s="56"/>
      <c r="E676" s="56"/>
      <c r="F676" s="56"/>
      <c r="G676" s="56"/>
      <c r="H676" s="56"/>
      <c r="I676" s="56"/>
      <c r="J676" s="56"/>
      <c r="K676" s="56"/>
      <c r="L676" s="56"/>
      <c r="M676" s="56"/>
    </row>
    <row r="677" spans="2:13" ht="15">
      <c r="B677" s="7"/>
      <c r="C677" s="56"/>
      <c r="D677" s="56"/>
      <c r="E677" s="56"/>
      <c r="F677" s="56"/>
      <c r="G677" s="56"/>
      <c r="H677" s="56"/>
      <c r="I677" s="56"/>
      <c r="J677" s="56"/>
      <c r="K677" s="56"/>
      <c r="L677" s="56"/>
      <c r="M677" s="56"/>
    </row>
    <row r="678" spans="2:13" ht="15">
      <c r="B678" s="7"/>
      <c r="C678" s="56"/>
      <c r="D678" s="56"/>
      <c r="E678" s="56"/>
      <c r="F678" s="56"/>
      <c r="G678" s="56"/>
      <c r="H678" s="56"/>
      <c r="I678" s="56"/>
      <c r="J678" s="56"/>
      <c r="K678" s="56"/>
      <c r="L678" s="56"/>
      <c r="M678" s="56"/>
    </row>
    <row r="679" spans="2:13" ht="15">
      <c r="B679" s="7"/>
      <c r="C679" s="56"/>
      <c r="D679" s="56"/>
      <c r="E679" s="56"/>
      <c r="F679" s="56"/>
      <c r="G679" s="56"/>
      <c r="H679" s="56"/>
      <c r="I679" s="56"/>
      <c r="J679" s="56"/>
      <c r="K679" s="56"/>
      <c r="L679" s="56"/>
      <c r="M679" s="56"/>
    </row>
    <row r="680" spans="2:13" ht="15">
      <c r="B680" s="7"/>
      <c r="C680" s="56"/>
      <c r="D680" s="56"/>
      <c r="E680" s="56"/>
      <c r="F680" s="56"/>
      <c r="G680" s="56"/>
      <c r="H680" s="56"/>
      <c r="I680" s="56"/>
      <c r="J680" s="56"/>
      <c r="K680" s="56"/>
      <c r="L680" s="56"/>
      <c r="M680" s="56"/>
    </row>
    <row r="681" spans="2:13" ht="15">
      <c r="B681" s="7"/>
      <c r="C681" s="56"/>
      <c r="D681" s="56"/>
      <c r="E681" s="56"/>
      <c r="F681" s="56"/>
      <c r="G681" s="56"/>
      <c r="H681" s="56"/>
      <c r="I681" s="56"/>
      <c r="J681" s="56"/>
      <c r="K681" s="56"/>
      <c r="L681" s="56"/>
      <c r="M681" s="56"/>
    </row>
    <row r="682" spans="2:13" ht="15">
      <c r="B682" s="7"/>
      <c r="C682" s="56"/>
      <c r="D682" s="56"/>
      <c r="E682" s="56"/>
      <c r="F682" s="56"/>
      <c r="G682" s="56"/>
      <c r="H682" s="56"/>
      <c r="I682" s="56"/>
      <c r="J682" s="56"/>
      <c r="K682" s="56"/>
      <c r="L682" s="56"/>
      <c r="M682" s="56"/>
    </row>
    <row r="683" spans="2:13" ht="15">
      <c r="B683" s="7"/>
      <c r="C683" s="56"/>
      <c r="D683" s="56"/>
      <c r="E683" s="56"/>
      <c r="F683" s="56"/>
      <c r="G683" s="56"/>
      <c r="H683" s="56"/>
      <c r="I683" s="56"/>
      <c r="J683" s="56"/>
      <c r="K683" s="56"/>
      <c r="L683" s="56"/>
      <c r="M683" s="56"/>
    </row>
    <row r="684" spans="2:13" ht="15">
      <c r="B684" s="7"/>
      <c r="C684" s="56"/>
      <c r="D684" s="56"/>
      <c r="E684" s="56"/>
      <c r="F684" s="56"/>
      <c r="G684" s="56"/>
      <c r="H684" s="56"/>
      <c r="I684" s="56"/>
      <c r="J684" s="56"/>
      <c r="K684" s="56"/>
      <c r="L684" s="56"/>
      <c r="M684" s="56"/>
    </row>
    <row r="685" spans="2:13" ht="15">
      <c r="B685" s="7"/>
      <c r="C685" s="56"/>
      <c r="D685" s="56"/>
      <c r="E685" s="56"/>
      <c r="F685" s="56"/>
      <c r="G685" s="56"/>
      <c r="H685" s="56"/>
      <c r="I685" s="56"/>
      <c r="J685" s="56"/>
      <c r="K685" s="56"/>
      <c r="L685" s="56"/>
      <c r="M685" s="56"/>
    </row>
    <row r="686" spans="2:13" ht="15">
      <c r="B686" s="7"/>
      <c r="C686" s="56"/>
      <c r="D686" s="56"/>
      <c r="E686" s="56"/>
      <c r="F686" s="56"/>
      <c r="G686" s="56"/>
      <c r="H686" s="56"/>
      <c r="I686" s="56"/>
      <c r="J686" s="56"/>
      <c r="K686" s="56"/>
      <c r="L686" s="56"/>
      <c r="M686" s="56"/>
    </row>
    <row r="687" spans="2:13" ht="15">
      <c r="B687" s="7"/>
      <c r="C687" s="56"/>
      <c r="D687" s="56"/>
      <c r="E687" s="56"/>
      <c r="F687" s="56"/>
      <c r="G687" s="56"/>
      <c r="H687" s="56"/>
      <c r="I687" s="56"/>
      <c r="J687" s="56"/>
      <c r="K687" s="56"/>
      <c r="L687" s="56"/>
      <c r="M687" s="56"/>
    </row>
    <row r="688" spans="2:13" ht="15">
      <c r="B688" s="7"/>
      <c r="C688" s="56"/>
      <c r="D688" s="56"/>
      <c r="E688" s="56"/>
      <c r="F688" s="56"/>
      <c r="G688" s="56"/>
      <c r="H688" s="56"/>
      <c r="I688" s="56"/>
      <c r="J688" s="56"/>
      <c r="K688" s="56"/>
      <c r="L688" s="56"/>
      <c r="M688" s="56"/>
    </row>
    <row r="689" spans="2:13" ht="15">
      <c r="B689" s="7"/>
      <c r="C689" s="56"/>
      <c r="D689" s="56"/>
      <c r="E689" s="56"/>
      <c r="F689" s="56"/>
      <c r="G689" s="56"/>
      <c r="H689" s="56"/>
      <c r="I689" s="56"/>
      <c r="J689" s="56"/>
      <c r="K689" s="56"/>
      <c r="L689" s="56"/>
      <c r="M689" s="56"/>
    </row>
    <row r="690" spans="2:13" ht="15">
      <c r="B690" s="7"/>
      <c r="C690" s="56"/>
      <c r="D690" s="56"/>
      <c r="E690" s="56"/>
      <c r="F690" s="56"/>
      <c r="G690" s="56"/>
      <c r="H690" s="56"/>
      <c r="I690" s="56"/>
      <c r="J690" s="56"/>
      <c r="K690" s="56"/>
      <c r="L690" s="56"/>
      <c r="M690" s="56"/>
    </row>
    <row r="691" spans="2:13" ht="15">
      <c r="B691" s="7"/>
      <c r="C691" s="56"/>
      <c r="D691" s="56"/>
      <c r="E691" s="56"/>
      <c r="F691" s="56"/>
      <c r="G691" s="56"/>
      <c r="H691" s="56"/>
      <c r="I691" s="56"/>
      <c r="J691" s="56"/>
      <c r="K691" s="56"/>
      <c r="L691" s="56"/>
      <c r="M691" s="56"/>
    </row>
    <row r="692" spans="2:13" ht="15">
      <c r="B692" s="7"/>
      <c r="C692" s="56"/>
      <c r="D692" s="56"/>
      <c r="E692" s="56"/>
      <c r="F692" s="56"/>
      <c r="G692" s="56"/>
      <c r="H692" s="56"/>
      <c r="I692" s="56"/>
      <c r="J692" s="56"/>
      <c r="K692" s="56"/>
      <c r="L692" s="56"/>
      <c r="M692" s="56"/>
    </row>
    <row r="693" spans="2:13" ht="15">
      <c r="B693" s="7"/>
      <c r="C693" s="56"/>
      <c r="D693" s="56"/>
      <c r="E693" s="56"/>
      <c r="F693" s="56"/>
      <c r="G693" s="56"/>
      <c r="H693" s="56"/>
      <c r="I693" s="56"/>
      <c r="J693" s="56"/>
      <c r="K693" s="56"/>
      <c r="L693" s="56"/>
      <c r="M693" s="56"/>
    </row>
    <row r="694" spans="2:13" ht="15">
      <c r="B694" s="7"/>
      <c r="C694" s="56"/>
      <c r="D694" s="56"/>
      <c r="E694" s="56"/>
      <c r="F694" s="56"/>
      <c r="G694" s="56"/>
      <c r="H694" s="56"/>
      <c r="I694" s="56"/>
      <c r="J694" s="56"/>
      <c r="K694" s="56"/>
      <c r="L694" s="56"/>
      <c r="M694" s="56"/>
    </row>
    <row r="695" spans="2:13" ht="15">
      <c r="B695" s="7"/>
      <c r="C695" s="56"/>
      <c r="D695" s="56"/>
      <c r="E695" s="56"/>
      <c r="F695" s="56"/>
      <c r="G695" s="56"/>
      <c r="H695" s="56"/>
      <c r="I695" s="56"/>
      <c r="J695" s="56"/>
      <c r="K695" s="56"/>
      <c r="L695" s="56"/>
      <c r="M695" s="56"/>
    </row>
    <row r="696" spans="2:13" ht="15">
      <c r="B696" s="7"/>
      <c r="C696" s="56"/>
      <c r="D696" s="56"/>
      <c r="E696" s="56"/>
      <c r="F696" s="56"/>
      <c r="G696" s="56"/>
      <c r="H696" s="56"/>
      <c r="I696" s="56"/>
      <c r="J696" s="56"/>
      <c r="K696" s="56"/>
      <c r="L696" s="56"/>
      <c r="M696" s="56"/>
    </row>
    <row r="697" spans="2:13" ht="15">
      <c r="B697" s="7"/>
      <c r="C697" s="56"/>
      <c r="D697" s="56"/>
      <c r="E697" s="56"/>
      <c r="F697" s="56"/>
      <c r="G697" s="56"/>
      <c r="H697" s="56"/>
      <c r="I697" s="56"/>
      <c r="J697" s="56"/>
      <c r="K697" s="56"/>
      <c r="L697" s="56"/>
      <c r="M697" s="56"/>
    </row>
    <row r="698" spans="2:13" ht="15">
      <c r="B698" s="7"/>
      <c r="C698" s="56"/>
      <c r="D698" s="56"/>
      <c r="E698" s="56"/>
      <c r="F698" s="56"/>
      <c r="G698" s="56"/>
      <c r="H698" s="56"/>
      <c r="I698" s="56"/>
      <c r="J698" s="56"/>
      <c r="K698" s="56"/>
      <c r="L698" s="56"/>
      <c r="M698" s="56"/>
    </row>
    <row r="699" spans="2:13" ht="15">
      <c r="B699" s="7"/>
      <c r="C699" s="56"/>
      <c r="D699" s="56"/>
      <c r="E699" s="56"/>
      <c r="F699" s="56"/>
      <c r="G699" s="56"/>
      <c r="H699" s="56"/>
      <c r="I699" s="56"/>
      <c r="J699" s="56"/>
      <c r="K699" s="56"/>
      <c r="L699" s="56"/>
      <c r="M699" s="56"/>
    </row>
    <row r="700" spans="2:13" ht="15">
      <c r="B700" s="7"/>
      <c r="C700" s="56"/>
      <c r="D700" s="56"/>
      <c r="E700" s="56"/>
      <c r="F700" s="56"/>
      <c r="G700" s="56"/>
      <c r="H700" s="56"/>
      <c r="I700" s="56"/>
      <c r="J700" s="56"/>
      <c r="K700" s="56"/>
      <c r="L700" s="56"/>
      <c r="M700" s="56"/>
    </row>
    <row r="701" spans="2:13" ht="15">
      <c r="B701" s="7"/>
      <c r="C701" s="56"/>
      <c r="D701" s="56"/>
      <c r="E701" s="56"/>
      <c r="F701" s="56"/>
      <c r="G701" s="56"/>
      <c r="H701" s="56"/>
      <c r="I701" s="56"/>
      <c r="J701" s="56"/>
      <c r="K701" s="56"/>
      <c r="L701" s="56"/>
      <c r="M701" s="56"/>
    </row>
    <row r="702" spans="2:13" ht="15">
      <c r="B702" s="7"/>
      <c r="C702" s="56"/>
      <c r="D702" s="56"/>
      <c r="E702" s="56"/>
      <c r="F702" s="56"/>
      <c r="G702" s="56"/>
      <c r="H702" s="56"/>
      <c r="I702" s="56"/>
      <c r="J702" s="56"/>
      <c r="K702" s="56"/>
      <c r="L702" s="56"/>
      <c r="M702" s="56"/>
    </row>
    <row r="703" spans="2:13" ht="15">
      <c r="B703" s="7"/>
      <c r="C703" s="56"/>
      <c r="D703" s="56"/>
      <c r="E703" s="56"/>
      <c r="F703" s="56"/>
      <c r="G703" s="56"/>
      <c r="H703" s="56"/>
      <c r="I703" s="56"/>
      <c r="J703" s="56"/>
      <c r="K703" s="56"/>
      <c r="L703" s="56"/>
      <c r="M703" s="56"/>
    </row>
    <row r="704" spans="2:13" ht="15">
      <c r="B704" s="7"/>
      <c r="C704" s="56"/>
      <c r="D704" s="56"/>
      <c r="E704" s="56"/>
      <c r="F704" s="56"/>
      <c r="G704" s="56"/>
      <c r="H704" s="56"/>
      <c r="I704" s="56"/>
      <c r="J704" s="56"/>
      <c r="K704" s="56"/>
      <c r="L704" s="56"/>
      <c r="M704" s="56"/>
    </row>
    <row r="705" spans="2:13" ht="15">
      <c r="B705" s="7"/>
      <c r="C705" s="56"/>
      <c r="D705" s="56"/>
      <c r="E705" s="56"/>
      <c r="F705" s="56"/>
      <c r="G705" s="56"/>
      <c r="H705" s="56"/>
      <c r="I705" s="56"/>
      <c r="J705" s="56"/>
      <c r="K705" s="56"/>
      <c r="L705" s="56"/>
      <c r="M705" s="56"/>
    </row>
    <row r="706" spans="2:13" ht="15">
      <c r="B706" s="7"/>
      <c r="C706" s="56"/>
      <c r="D706" s="56"/>
      <c r="E706" s="56"/>
      <c r="F706" s="56"/>
      <c r="G706" s="56"/>
      <c r="H706" s="56"/>
      <c r="I706" s="56"/>
      <c r="J706" s="56"/>
      <c r="K706" s="56"/>
      <c r="L706" s="56"/>
      <c r="M706" s="56"/>
    </row>
    <row r="707" spans="2:13" ht="15">
      <c r="B707" s="7"/>
      <c r="C707" s="56"/>
      <c r="D707" s="56"/>
      <c r="E707" s="56"/>
      <c r="F707" s="56"/>
      <c r="G707" s="56"/>
      <c r="H707" s="56"/>
      <c r="I707" s="56"/>
      <c r="J707" s="56"/>
      <c r="K707" s="56"/>
      <c r="L707" s="56"/>
      <c r="M707" s="56"/>
    </row>
    <row r="708" spans="2:13" ht="15">
      <c r="B708" s="7"/>
      <c r="C708" s="56"/>
      <c r="D708" s="56"/>
      <c r="E708" s="56"/>
      <c r="F708" s="56"/>
      <c r="G708" s="56"/>
      <c r="H708" s="56"/>
      <c r="I708" s="56"/>
      <c r="J708" s="56"/>
      <c r="K708" s="56"/>
      <c r="L708" s="56"/>
      <c r="M708" s="56"/>
    </row>
    <row r="709" spans="2:13" ht="15">
      <c r="B709" s="7"/>
      <c r="C709" s="56"/>
      <c r="D709" s="56"/>
      <c r="E709" s="56"/>
      <c r="F709" s="56"/>
      <c r="G709" s="56"/>
      <c r="H709" s="56"/>
      <c r="I709" s="56"/>
      <c r="J709" s="56"/>
      <c r="K709" s="56"/>
      <c r="L709" s="56"/>
      <c r="M709" s="56"/>
    </row>
    <row r="710" spans="2:13" ht="15">
      <c r="B710" s="7"/>
      <c r="C710" s="56"/>
      <c r="D710" s="56"/>
      <c r="E710" s="56"/>
      <c r="F710" s="56"/>
      <c r="G710" s="56"/>
      <c r="H710" s="56"/>
      <c r="I710" s="56"/>
      <c r="J710" s="56"/>
      <c r="K710" s="56"/>
      <c r="L710" s="56"/>
      <c r="M710" s="56"/>
    </row>
    <row r="711" spans="2:13" ht="15">
      <c r="B711" s="7"/>
      <c r="C711" s="56"/>
      <c r="D711" s="56"/>
      <c r="E711" s="56"/>
      <c r="F711" s="56"/>
      <c r="G711" s="56"/>
      <c r="H711" s="56"/>
      <c r="I711" s="56"/>
      <c r="J711" s="56"/>
      <c r="K711" s="56"/>
      <c r="L711" s="56"/>
      <c r="M711" s="56"/>
    </row>
    <row r="712" spans="2:13" ht="15">
      <c r="B712" s="7"/>
      <c r="C712" s="56"/>
      <c r="D712" s="56"/>
      <c r="E712" s="56"/>
      <c r="F712" s="56"/>
      <c r="G712" s="56"/>
      <c r="H712" s="56"/>
      <c r="I712" s="56"/>
      <c r="J712" s="56"/>
      <c r="K712" s="56"/>
      <c r="L712" s="56"/>
      <c r="M712" s="56"/>
    </row>
    <row r="713" spans="2:13" ht="15">
      <c r="B713" s="7"/>
      <c r="C713" s="56"/>
      <c r="D713" s="56"/>
      <c r="E713" s="56"/>
      <c r="F713" s="56"/>
      <c r="G713" s="56"/>
      <c r="H713" s="56"/>
      <c r="I713" s="56"/>
      <c r="J713" s="56"/>
      <c r="K713" s="56"/>
      <c r="L713" s="56"/>
      <c r="M713" s="56"/>
    </row>
    <row r="714" spans="2:13" ht="15">
      <c r="B714" s="7"/>
      <c r="C714" s="56"/>
      <c r="D714" s="56"/>
      <c r="E714" s="56"/>
      <c r="F714" s="56"/>
      <c r="G714" s="56"/>
      <c r="H714" s="56"/>
      <c r="I714" s="56"/>
      <c r="J714" s="56"/>
      <c r="K714" s="56"/>
      <c r="L714" s="56"/>
      <c r="M714" s="56"/>
    </row>
    <row r="715" spans="2:13" ht="15">
      <c r="B715" s="7"/>
      <c r="C715" s="56"/>
      <c r="D715" s="56"/>
      <c r="E715" s="56"/>
      <c r="F715" s="56"/>
      <c r="G715" s="56"/>
      <c r="H715" s="56"/>
      <c r="I715" s="56"/>
      <c r="J715" s="56"/>
      <c r="K715" s="56"/>
      <c r="L715" s="56"/>
      <c r="M715" s="56"/>
    </row>
    <row r="716" spans="2:13" ht="15">
      <c r="B716" s="7"/>
      <c r="C716" s="56"/>
      <c r="D716" s="56"/>
      <c r="E716" s="56"/>
      <c r="F716" s="56"/>
      <c r="G716" s="56"/>
      <c r="H716" s="56"/>
      <c r="I716" s="56"/>
      <c r="J716" s="56"/>
      <c r="K716" s="56"/>
      <c r="L716" s="56"/>
      <c r="M716" s="56"/>
    </row>
    <row r="717" spans="2:13" ht="15">
      <c r="B717" s="7"/>
      <c r="C717" s="56"/>
      <c r="D717" s="56"/>
      <c r="E717" s="56"/>
      <c r="F717" s="56"/>
      <c r="G717" s="56"/>
      <c r="H717" s="56"/>
      <c r="I717" s="56"/>
      <c r="J717" s="56"/>
      <c r="K717" s="56"/>
      <c r="L717" s="56"/>
      <c r="M717" s="56"/>
    </row>
    <row r="718" spans="2:13" ht="15">
      <c r="B718" s="7"/>
      <c r="C718" s="56"/>
      <c r="D718" s="56"/>
      <c r="E718" s="56"/>
      <c r="F718" s="56"/>
      <c r="G718" s="56"/>
      <c r="H718" s="56"/>
      <c r="I718" s="56"/>
      <c r="J718" s="56"/>
      <c r="K718" s="56"/>
      <c r="L718" s="56"/>
      <c r="M718" s="56"/>
    </row>
    <row r="719" spans="2:13" ht="15">
      <c r="B719" s="7"/>
      <c r="C719" s="56"/>
      <c r="D719" s="56"/>
      <c r="E719" s="56"/>
      <c r="F719" s="56"/>
      <c r="G719" s="56"/>
      <c r="H719" s="56"/>
      <c r="I719" s="56"/>
      <c r="J719" s="56"/>
      <c r="K719" s="56"/>
      <c r="L719" s="56"/>
      <c r="M719" s="56"/>
    </row>
    <row r="720" spans="2:13" ht="15">
      <c r="B720" s="7"/>
      <c r="C720" s="56"/>
      <c r="D720" s="56"/>
      <c r="E720" s="56"/>
      <c r="F720" s="56"/>
      <c r="G720" s="56"/>
      <c r="H720" s="56"/>
      <c r="I720" s="56"/>
      <c r="J720" s="56"/>
      <c r="K720" s="56"/>
      <c r="L720" s="56"/>
      <c r="M720" s="56"/>
    </row>
    <row r="721" spans="2:13" ht="15">
      <c r="B721" s="7"/>
      <c r="C721" s="56"/>
      <c r="D721" s="56"/>
      <c r="E721" s="56"/>
      <c r="F721" s="56"/>
      <c r="G721" s="56"/>
      <c r="H721" s="56"/>
      <c r="I721" s="56"/>
      <c r="J721" s="56"/>
      <c r="K721" s="56"/>
      <c r="L721" s="56"/>
      <c r="M721" s="56"/>
    </row>
    <row r="722" spans="2:13" ht="15">
      <c r="B722" s="7"/>
      <c r="C722" s="56"/>
      <c r="D722" s="56"/>
      <c r="E722" s="56"/>
      <c r="F722" s="56"/>
      <c r="G722" s="56"/>
      <c r="H722" s="56"/>
      <c r="I722" s="56"/>
      <c r="J722" s="56"/>
      <c r="K722" s="56"/>
      <c r="L722" s="56"/>
      <c r="M722" s="56"/>
    </row>
    <row r="723" spans="2:13" ht="15">
      <c r="B723" s="7"/>
      <c r="C723" s="56"/>
      <c r="D723" s="56"/>
      <c r="E723" s="56"/>
      <c r="F723" s="56"/>
      <c r="G723" s="56"/>
      <c r="H723" s="56"/>
      <c r="I723" s="56"/>
      <c r="J723" s="56"/>
      <c r="K723" s="56"/>
      <c r="L723" s="56"/>
      <c r="M723" s="56"/>
    </row>
    <row r="724" spans="2:13" ht="15">
      <c r="B724" s="7"/>
      <c r="C724" s="56"/>
      <c r="D724" s="56"/>
      <c r="E724" s="56"/>
      <c r="F724" s="56"/>
      <c r="G724" s="56"/>
      <c r="H724" s="56"/>
      <c r="I724" s="56"/>
      <c r="J724" s="56"/>
      <c r="K724" s="56"/>
      <c r="L724" s="56"/>
      <c r="M724" s="56"/>
    </row>
    <row r="725" spans="2:13" ht="15">
      <c r="B725" s="7"/>
      <c r="C725" s="56"/>
      <c r="D725" s="56"/>
      <c r="E725" s="56"/>
      <c r="F725" s="56"/>
      <c r="G725" s="56"/>
      <c r="H725" s="56"/>
      <c r="I725" s="56"/>
      <c r="J725" s="56"/>
      <c r="K725" s="56"/>
      <c r="L725" s="56"/>
      <c r="M725" s="56"/>
    </row>
    <row r="726" spans="2:13" ht="15">
      <c r="B726" s="7"/>
      <c r="C726" s="56"/>
      <c r="D726" s="56"/>
      <c r="E726" s="56"/>
      <c r="F726" s="56"/>
      <c r="G726" s="56"/>
      <c r="H726" s="56"/>
      <c r="I726" s="56"/>
      <c r="J726" s="56"/>
      <c r="K726" s="56"/>
      <c r="L726" s="56"/>
      <c r="M726" s="56"/>
    </row>
    <row r="727" spans="2:13" ht="15">
      <c r="B727" s="7"/>
      <c r="C727" s="56"/>
      <c r="D727" s="56"/>
      <c r="E727" s="56"/>
      <c r="F727" s="56"/>
      <c r="G727" s="56"/>
      <c r="H727" s="56"/>
      <c r="I727" s="56"/>
      <c r="J727" s="56"/>
      <c r="K727" s="56"/>
      <c r="L727" s="56"/>
      <c r="M727" s="56"/>
    </row>
    <row r="728" spans="2:13" ht="15">
      <c r="B728" s="7"/>
      <c r="C728" s="56"/>
      <c r="D728" s="56"/>
      <c r="E728" s="56"/>
      <c r="F728" s="56"/>
      <c r="G728" s="56"/>
      <c r="H728" s="56"/>
      <c r="I728" s="56"/>
      <c r="J728" s="56"/>
      <c r="K728" s="56"/>
      <c r="L728" s="56"/>
      <c r="M728" s="56"/>
    </row>
    <row r="729" spans="2:13" ht="15">
      <c r="B729" s="7"/>
      <c r="C729" s="56"/>
      <c r="D729" s="56"/>
      <c r="E729" s="56"/>
      <c r="F729" s="56"/>
      <c r="G729" s="56"/>
      <c r="H729" s="56"/>
      <c r="I729" s="56"/>
      <c r="J729" s="56"/>
      <c r="K729" s="56"/>
      <c r="L729" s="56"/>
      <c r="M729" s="56"/>
    </row>
    <row r="730" spans="2:13" ht="15">
      <c r="B730" s="7"/>
      <c r="C730" s="56"/>
      <c r="D730" s="56"/>
      <c r="E730" s="56"/>
      <c r="F730" s="56"/>
      <c r="G730" s="56"/>
      <c r="H730" s="56"/>
      <c r="I730" s="56"/>
      <c r="J730" s="56"/>
      <c r="K730" s="56"/>
      <c r="L730" s="56"/>
      <c r="M730" s="56"/>
    </row>
    <row r="731" spans="2:13" ht="15">
      <c r="B731" s="7"/>
      <c r="C731" s="56"/>
      <c r="D731" s="56"/>
      <c r="E731" s="56"/>
      <c r="F731" s="56"/>
      <c r="G731" s="56"/>
      <c r="H731" s="56"/>
      <c r="I731" s="56"/>
      <c r="J731" s="56"/>
      <c r="K731" s="56"/>
      <c r="L731" s="56"/>
      <c r="M731" s="56"/>
    </row>
    <row r="732" spans="2:13" ht="15">
      <c r="B732" s="7"/>
      <c r="C732" s="56"/>
      <c r="D732" s="56"/>
      <c r="E732" s="56"/>
      <c r="F732" s="56"/>
      <c r="G732" s="56"/>
      <c r="H732" s="56"/>
      <c r="I732" s="56"/>
      <c r="J732" s="56"/>
      <c r="K732" s="56"/>
      <c r="L732" s="56"/>
      <c r="M732" s="56"/>
    </row>
    <row r="733" spans="2:13" ht="15">
      <c r="B733" s="7"/>
      <c r="C733" s="56"/>
      <c r="D733" s="56"/>
      <c r="E733" s="56"/>
      <c r="F733" s="56"/>
      <c r="G733" s="56"/>
      <c r="H733" s="56"/>
      <c r="I733" s="56"/>
      <c r="J733" s="56"/>
      <c r="K733" s="56"/>
      <c r="L733" s="56"/>
      <c r="M733" s="56"/>
    </row>
    <row r="734" spans="2:13" ht="15">
      <c r="B734" s="7"/>
      <c r="C734" s="56"/>
      <c r="D734" s="56"/>
      <c r="E734" s="56"/>
      <c r="F734" s="56"/>
      <c r="G734" s="56"/>
      <c r="H734" s="56"/>
      <c r="I734" s="56"/>
      <c r="J734" s="56"/>
      <c r="K734" s="56"/>
      <c r="L734" s="56"/>
      <c r="M734" s="56"/>
    </row>
    <row r="735" spans="2:13" ht="15">
      <c r="B735" s="7"/>
      <c r="C735" s="56"/>
      <c r="D735" s="56"/>
      <c r="E735" s="56"/>
      <c r="F735" s="56"/>
      <c r="G735" s="56"/>
      <c r="H735" s="56"/>
      <c r="I735" s="56"/>
      <c r="J735" s="56"/>
      <c r="K735" s="56"/>
      <c r="L735" s="56"/>
      <c r="M735" s="56"/>
    </row>
    <row r="736" spans="2:13" ht="15">
      <c r="B736" s="7"/>
      <c r="C736" s="56"/>
      <c r="D736" s="56"/>
      <c r="E736" s="56"/>
      <c r="F736" s="56"/>
      <c r="G736" s="56"/>
      <c r="H736" s="56"/>
      <c r="I736" s="56"/>
      <c r="J736" s="56"/>
      <c r="K736" s="56"/>
      <c r="L736" s="56"/>
      <c r="M736" s="56"/>
    </row>
    <row r="737" spans="2:13" ht="15">
      <c r="B737" s="7"/>
      <c r="C737" s="56"/>
      <c r="D737" s="56"/>
      <c r="E737" s="56"/>
      <c r="F737" s="56"/>
      <c r="G737" s="56"/>
      <c r="H737" s="56"/>
      <c r="I737" s="56"/>
      <c r="J737" s="56"/>
      <c r="K737" s="56"/>
      <c r="L737" s="56"/>
      <c r="M737" s="56"/>
    </row>
    <row r="738" spans="2:13" ht="15">
      <c r="B738" s="7"/>
      <c r="C738" s="56"/>
      <c r="D738" s="56"/>
      <c r="E738" s="56"/>
      <c r="F738" s="56"/>
      <c r="G738" s="56"/>
      <c r="H738" s="56"/>
      <c r="I738" s="56"/>
      <c r="J738" s="56"/>
      <c r="K738" s="56"/>
      <c r="L738" s="56"/>
      <c r="M738" s="56"/>
    </row>
    <row r="739" spans="2:13" ht="15">
      <c r="B739" s="7"/>
      <c r="C739" s="56"/>
      <c r="D739" s="56"/>
      <c r="E739" s="56"/>
      <c r="F739" s="56"/>
      <c r="G739" s="56"/>
      <c r="H739" s="56"/>
      <c r="I739" s="56"/>
      <c r="J739" s="56"/>
      <c r="K739" s="56"/>
      <c r="L739" s="56"/>
      <c r="M739" s="56"/>
    </row>
    <row r="740" spans="2:13" ht="15">
      <c r="B740" s="7"/>
      <c r="C740" s="56"/>
      <c r="D740" s="56"/>
      <c r="E740" s="56"/>
      <c r="F740" s="56"/>
      <c r="G740" s="56"/>
      <c r="H740" s="56"/>
      <c r="I740" s="56"/>
      <c r="J740" s="56"/>
      <c r="K740" s="56"/>
      <c r="L740" s="56"/>
      <c r="M740" s="56"/>
    </row>
    <row r="741" spans="2:13" ht="15">
      <c r="B741" s="7"/>
      <c r="C741" s="56"/>
      <c r="D741" s="56"/>
      <c r="E741" s="56"/>
      <c r="F741" s="56"/>
      <c r="G741" s="56"/>
      <c r="H741" s="56"/>
      <c r="I741" s="56"/>
      <c r="J741" s="56"/>
      <c r="K741" s="56"/>
      <c r="L741" s="56"/>
      <c r="M741" s="56"/>
    </row>
    <row r="742" spans="2:13" ht="15">
      <c r="B742" s="7"/>
      <c r="C742" s="56"/>
      <c r="D742" s="56"/>
      <c r="E742" s="56"/>
      <c r="F742" s="56"/>
      <c r="G742" s="56"/>
      <c r="H742" s="56"/>
      <c r="I742" s="56"/>
      <c r="J742" s="56"/>
      <c r="K742" s="56"/>
      <c r="L742" s="56"/>
      <c r="M742" s="56"/>
    </row>
    <row r="743" spans="2:13" ht="15">
      <c r="B743" s="7"/>
      <c r="C743" s="56"/>
      <c r="D743" s="56"/>
      <c r="E743" s="56"/>
      <c r="F743" s="56"/>
      <c r="G743" s="56"/>
      <c r="H743" s="56"/>
      <c r="I743" s="56"/>
      <c r="J743" s="56"/>
      <c r="K743" s="56"/>
      <c r="L743" s="56"/>
      <c r="M743" s="56"/>
    </row>
    <row r="744" spans="2:13" ht="15">
      <c r="B744" s="7"/>
      <c r="C744" s="56"/>
      <c r="D744" s="56"/>
      <c r="E744" s="56"/>
      <c r="F744" s="56"/>
      <c r="G744" s="56"/>
      <c r="H744" s="56"/>
      <c r="I744" s="56"/>
      <c r="J744" s="56"/>
      <c r="K744" s="56"/>
      <c r="L744" s="56"/>
      <c r="M744" s="56"/>
    </row>
    <row r="745" spans="2:13" ht="15">
      <c r="B745" s="7"/>
      <c r="C745" s="56"/>
      <c r="D745" s="56"/>
      <c r="E745" s="56"/>
      <c r="F745" s="56"/>
      <c r="G745" s="56"/>
      <c r="H745" s="56"/>
      <c r="I745" s="56"/>
      <c r="J745" s="56"/>
      <c r="K745" s="56"/>
      <c r="L745" s="56"/>
      <c r="M745" s="56"/>
    </row>
    <row r="746" spans="2:13" ht="15">
      <c r="B746" s="7"/>
      <c r="C746" s="56"/>
      <c r="D746" s="56"/>
      <c r="E746" s="56"/>
      <c r="F746" s="56"/>
      <c r="G746" s="56"/>
      <c r="H746" s="56"/>
      <c r="I746" s="56"/>
      <c r="J746" s="56"/>
      <c r="K746" s="56"/>
      <c r="L746" s="56"/>
      <c r="M746" s="56"/>
    </row>
    <row r="747" spans="2:13" ht="15">
      <c r="B747" s="7"/>
      <c r="C747" s="56"/>
      <c r="D747" s="56"/>
      <c r="E747" s="56"/>
      <c r="F747" s="56"/>
      <c r="G747" s="56"/>
      <c r="H747" s="56"/>
      <c r="I747" s="56"/>
      <c r="J747" s="56"/>
      <c r="K747" s="56"/>
      <c r="L747" s="56"/>
      <c r="M747" s="56"/>
    </row>
    <row r="748" spans="2:13" ht="15">
      <c r="B748" s="7"/>
      <c r="C748" s="56"/>
      <c r="D748" s="56"/>
      <c r="E748" s="56"/>
      <c r="F748" s="56"/>
      <c r="G748" s="56"/>
      <c r="H748" s="56"/>
      <c r="I748" s="56"/>
      <c r="J748" s="56"/>
      <c r="K748" s="56"/>
      <c r="L748" s="56"/>
      <c r="M748" s="56"/>
    </row>
    <row r="749" spans="2:13" ht="15">
      <c r="B749" s="7"/>
      <c r="C749" s="56"/>
      <c r="D749" s="56"/>
      <c r="E749" s="56"/>
      <c r="F749" s="56"/>
      <c r="G749" s="56"/>
      <c r="H749" s="56"/>
      <c r="I749" s="56"/>
      <c r="J749" s="56"/>
      <c r="K749" s="56"/>
      <c r="L749" s="56"/>
      <c r="M749" s="56"/>
    </row>
    <row r="750" spans="2:13" ht="15">
      <c r="B750" s="7"/>
      <c r="C750" s="56"/>
      <c r="D750" s="56"/>
      <c r="E750" s="56"/>
      <c r="F750" s="56"/>
      <c r="G750" s="56"/>
      <c r="H750" s="56"/>
      <c r="I750" s="56"/>
      <c r="J750" s="56"/>
      <c r="K750" s="56"/>
      <c r="L750" s="56"/>
      <c r="M750" s="56"/>
    </row>
    <row r="751" spans="2:13" ht="15">
      <c r="B751" s="7"/>
      <c r="C751" s="56"/>
      <c r="D751" s="56"/>
      <c r="E751" s="56"/>
      <c r="F751" s="56"/>
      <c r="G751" s="56"/>
      <c r="H751" s="56"/>
      <c r="I751" s="56"/>
      <c r="J751" s="56"/>
      <c r="K751" s="56"/>
      <c r="L751" s="56"/>
      <c r="M751" s="56"/>
    </row>
    <row r="752" spans="2:13" ht="15">
      <c r="B752" s="7"/>
      <c r="C752" s="56"/>
      <c r="D752" s="56"/>
      <c r="E752" s="56"/>
      <c r="F752" s="56"/>
      <c r="G752" s="56"/>
      <c r="H752" s="56"/>
      <c r="I752" s="56"/>
      <c r="J752" s="56"/>
      <c r="K752" s="56"/>
      <c r="L752" s="56"/>
      <c r="M752" s="56"/>
    </row>
    <row r="753" spans="2:13" ht="15">
      <c r="B753" s="7"/>
      <c r="C753" s="56"/>
      <c r="D753" s="56"/>
      <c r="E753" s="56"/>
      <c r="F753" s="56"/>
      <c r="G753" s="56"/>
      <c r="H753" s="56"/>
      <c r="I753" s="56"/>
      <c r="J753" s="56"/>
      <c r="K753" s="56"/>
      <c r="L753" s="56"/>
      <c r="M753" s="56"/>
    </row>
    <row r="754" spans="2:13" ht="15">
      <c r="B754" s="7"/>
      <c r="C754" s="56"/>
      <c r="D754" s="56"/>
      <c r="E754" s="56"/>
      <c r="F754" s="56"/>
      <c r="G754" s="56"/>
      <c r="H754" s="56"/>
      <c r="I754" s="56"/>
      <c r="J754" s="56"/>
      <c r="K754" s="56"/>
      <c r="L754" s="56"/>
      <c r="M754" s="56"/>
    </row>
    <row r="755" spans="2:13" ht="15">
      <c r="B755" s="7"/>
      <c r="C755" s="56"/>
      <c r="D755" s="56"/>
      <c r="E755" s="56"/>
      <c r="F755" s="56"/>
      <c r="G755" s="56"/>
      <c r="H755" s="56"/>
      <c r="I755" s="56"/>
      <c r="J755" s="56"/>
      <c r="K755" s="56"/>
      <c r="L755" s="56"/>
      <c r="M755" s="56"/>
    </row>
    <row r="756" spans="2:13" ht="15">
      <c r="B756" s="7"/>
      <c r="C756" s="56"/>
      <c r="D756" s="56"/>
      <c r="E756" s="56"/>
      <c r="F756" s="56"/>
      <c r="G756" s="56"/>
      <c r="H756" s="56"/>
      <c r="I756" s="56"/>
      <c r="J756" s="56"/>
      <c r="K756" s="56"/>
      <c r="L756" s="56"/>
      <c r="M756" s="56"/>
    </row>
    <row r="757" spans="2:13" ht="15">
      <c r="B757" s="7"/>
      <c r="C757" s="56"/>
      <c r="D757" s="56"/>
      <c r="E757" s="56"/>
      <c r="F757" s="56"/>
      <c r="G757" s="56"/>
      <c r="H757" s="56"/>
      <c r="I757" s="56"/>
      <c r="J757" s="56"/>
      <c r="K757" s="56"/>
      <c r="L757" s="56"/>
      <c r="M757" s="56"/>
    </row>
    <row r="758" spans="2:13" ht="15">
      <c r="B758" s="7"/>
      <c r="C758" s="56"/>
      <c r="D758" s="56"/>
      <c r="E758" s="56"/>
      <c r="F758" s="56"/>
      <c r="G758" s="56"/>
      <c r="H758" s="56"/>
      <c r="I758" s="56"/>
      <c r="J758" s="56"/>
      <c r="K758" s="56"/>
      <c r="L758" s="56"/>
      <c r="M758" s="56"/>
    </row>
    <row r="759" spans="2:13" ht="15">
      <c r="B759" s="7"/>
      <c r="C759" s="56"/>
      <c r="D759" s="56"/>
      <c r="E759" s="56"/>
      <c r="F759" s="56"/>
      <c r="G759" s="56"/>
      <c r="H759" s="56"/>
      <c r="I759" s="56"/>
      <c r="J759" s="56"/>
      <c r="K759" s="56"/>
      <c r="L759" s="56"/>
      <c r="M759" s="56"/>
    </row>
    <row r="760" spans="2:13" ht="15">
      <c r="B760" s="7"/>
      <c r="C760" s="56"/>
      <c r="D760" s="56"/>
      <c r="E760" s="56"/>
      <c r="F760" s="56"/>
      <c r="G760" s="56"/>
      <c r="H760" s="56"/>
      <c r="I760" s="56"/>
      <c r="J760" s="56"/>
      <c r="K760" s="56"/>
      <c r="L760" s="56"/>
      <c r="M760" s="56"/>
    </row>
    <row r="761" spans="2:13" ht="15">
      <c r="B761" s="7"/>
      <c r="C761" s="56"/>
      <c r="D761" s="56"/>
      <c r="E761" s="56"/>
      <c r="F761" s="56"/>
      <c r="G761" s="56"/>
      <c r="H761" s="56"/>
      <c r="I761" s="56"/>
      <c r="J761" s="56"/>
      <c r="K761" s="56"/>
      <c r="L761" s="56"/>
      <c r="M761" s="56"/>
    </row>
    <row r="762" spans="2:13" ht="15">
      <c r="B762" s="7"/>
      <c r="C762" s="56"/>
      <c r="D762" s="56"/>
      <c r="E762" s="56"/>
      <c r="F762" s="56"/>
      <c r="G762" s="56"/>
      <c r="H762" s="56"/>
      <c r="I762" s="56"/>
      <c r="J762" s="56"/>
      <c r="K762" s="56"/>
      <c r="L762" s="56"/>
      <c r="M762" s="56"/>
    </row>
    <row r="763" spans="2:13" ht="15">
      <c r="B763" s="7"/>
      <c r="C763" s="56"/>
      <c r="D763" s="56"/>
      <c r="E763" s="56"/>
      <c r="F763" s="56"/>
      <c r="G763" s="56"/>
      <c r="H763" s="56"/>
      <c r="I763" s="56"/>
      <c r="J763" s="56"/>
      <c r="K763" s="56"/>
      <c r="L763" s="56"/>
      <c r="M763" s="56"/>
    </row>
    <row r="764" spans="2:13" ht="15">
      <c r="B764" s="7"/>
      <c r="C764" s="56"/>
      <c r="D764" s="56"/>
      <c r="E764" s="56"/>
      <c r="F764" s="56"/>
      <c r="G764" s="56"/>
      <c r="H764" s="56"/>
      <c r="I764" s="56"/>
      <c r="J764" s="56"/>
      <c r="K764" s="56"/>
      <c r="L764" s="56"/>
      <c r="M764" s="56"/>
    </row>
    <row r="765" spans="2:13" ht="15">
      <c r="B765" s="7"/>
      <c r="C765" s="56"/>
      <c r="D765" s="56"/>
      <c r="E765" s="56"/>
      <c r="F765" s="56"/>
      <c r="G765" s="56"/>
      <c r="H765" s="56"/>
      <c r="I765" s="56"/>
      <c r="J765" s="56"/>
      <c r="K765" s="56"/>
      <c r="L765" s="56"/>
      <c r="M765" s="56"/>
    </row>
    <row r="766" spans="2:13" ht="15">
      <c r="B766" s="7"/>
      <c r="C766" s="56"/>
      <c r="D766" s="56"/>
      <c r="E766" s="56"/>
      <c r="F766" s="56"/>
      <c r="G766" s="56"/>
      <c r="H766" s="56"/>
      <c r="I766" s="56"/>
      <c r="J766" s="56"/>
      <c r="K766" s="56"/>
      <c r="L766" s="56"/>
      <c r="M766" s="56"/>
    </row>
    <row r="767" spans="2:13" ht="15">
      <c r="B767" s="7"/>
      <c r="C767" s="56"/>
      <c r="D767" s="56"/>
      <c r="E767" s="56"/>
      <c r="F767" s="56"/>
      <c r="G767" s="56"/>
      <c r="H767" s="56"/>
      <c r="I767" s="56"/>
      <c r="J767" s="56"/>
      <c r="K767" s="56"/>
      <c r="L767" s="56"/>
      <c r="M767" s="56"/>
    </row>
    <row r="768" spans="2:13" ht="15">
      <c r="B768" s="7"/>
      <c r="C768" s="56"/>
      <c r="D768" s="56"/>
      <c r="E768" s="56"/>
      <c r="F768" s="56"/>
      <c r="G768" s="56"/>
      <c r="H768" s="56"/>
      <c r="I768" s="56"/>
      <c r="J768" s="56"/>
      <c r="K768" s="56"/>
      <c r="L768" s="56"/>
      <c r="M768" s="56"/>
    </row>
    <row r="769" spans="2:13" ht="15">
      <c r="B769" s="7"/>
      <c r="C769" s="56"/>
      <c r="D769" s="56"/>
      <c r="E769" s="56"/>
      <c r="F769" s="56"/>
      <c r="G769" s="56"/>
      <c r="H769" s="56"/>
      <c r="I769" s="56"/>
      <c r="J769" s="56"/>
      <c r="K769" s="56"/>
      <c r="L769" s="56"/>
      <c r="M769" s="56"/>
    </row>
    <row r="770" spans="2:13" ht="15">
      <c r="B770" s="7"/>
      <c r="C770" s="56"/>
      <c r="D770" s="56"/>
      <c r="E770" s="56"/>
      <c r="F770" s="56"/>
      <c r="G770" s="56"/>
      <c r="H770" s="56"/>
      <c r="I770" s="56"/>
      <c r="J770" s="56"/>
      <c r="K770" s="56"/>
      <c r="L770" s="56"/>
      <c r="M770" s="56"/>
    </row>
    <row r="771" spans="2:13" ht="15">
      <c r="B771" s="7"/>
      <c r="C771" s="56"/>
      <c r="D771" s="56"/>
      <c r="E771" s="56"/>
      <c r="F771" s="56"/>
      <c r="G771" s="56"/>
      <c r="H771" s="56"/>
      <c r="I771" s="56"/>
      <c r="J771" s="56"/>
      <c r="K771" s="56"/>
      <c r="L771" s="56"/>
      <c r="M771" s="56"/>
    </row>
    <row r="772" spans="2:13" ht="15">
      <c r="B772" s="7"/>
      <c r="C772" s="56"/>
      <c r="D772" s="56"/>
      <c r="E772" s="56"/>
      <c r="F772" s="56"/>
      <c r="G772" s="56"/>
      <c r="H772" s="56"/>
      <c r="I772" s="56"/>
      <c r="J772" s="56"/>
      <c r="K772" s="56"/>
      <c r="L772" s="56"/>
      <c r="M772" s="56"/>
    </row>
    <row r="773" spans="2:13" ht="15">
      <c r="B773" s="7"/>
      <c r="C773" s="56"/>
      <c r="D773" s="56"/>
      <c r="E773" s="56"/>
      <c r="F773" s="56"/>
      <c r="G773" s="56"/>
      <c r="H773" s="56"/>
      <c r="I773" s="56"/>
      <c r="J773" s="56"/>
      <c r="K773" s="56"/>
      <c r="L773" s="56"/>
      <c r="M773" s="56"/>
    </row>
    <row r="774" spans="2:13" ht="15">
      <c r="B774" s="7"/>
      <c r="C774" s="56"/>
      <c r="D774" s="56"/>
      <c r="E774" s="56"/>
      <c r="F774" s="56"/>
      <c r="G774" s="56"/>
      <c r="H774" s="56"/>
      <c r="I774" s="56"/>
      <c r="J774" s="56"/>
      <c r="K774" s="56"/>
      <c r="L774" s="56"/>
      <c r="M774" s="56"/>
    </row>
    <row r="775" spans="2:13" ht="15">
      <c r="B775" s="7"/>
      <c r="C775" s="56"/>
      <c r="D775" s="56"/>
      <c r="E775" s="56"/>
      <c r="F775" s="56"/>
      <c r="G775" s="56"/>
      <c r="H775" s="56"/>
      <c r="I775" s="56"/>
      <c r="J775" s="56"/>
      <c r="K775" s="56"/>
      <c r="L775" s="56"/>
      <c r="M775" s="56"/>
    </row>
    <row r="776" spans="2:13" ht="15">
      <c r="B776" s="7"/>
      <c r="C776" s="56"/>
      <c r="D776" s="56"/>
      <c r="E776" s="56"/>
      <c r="F776" s="56"/>
      <c r="G776" s="56"/>
      <c r="H776" s="56"/>
      <c r="I776" s="56"/>
      <c r="J776" s="56"/>
      <c r="K776" s="56"/>
      <c r="L776" s="56"/>
      <c r="M776" s="56"/>
    </row>
    <row r="777" spans="2:13" ht="15">
      <c r="B777" s="7"/>
      <c r="C777" s="56"/>
      <c r="D777" s="56"/>
      <c r="E777" s="56"/>
      <c r="F777" s="56"/>
      <c r="G777" s="56"/>
      <c r="H777" s="56"/>
      <c r="I777" s="56"/>
      <c r="J777" s="56"/>
      <c r="K777" s="56"/>
      <c r="L777" s="56"/>
      <c r="M777" s="56"/>
    </row>
    <row r="778" spans="2:13" ht="15">
      <c r="B778" s="7"/>
      <c r="C778" s="56"/>
      <c r="D778" s="56"/>
      <c r="E778" s="56"/>
      <c r="F778" s="56"/>
      <c r="G778" s="56"/>
      <c r="H778" s="56"/>
      <c r="I778" s="56"/>
      <c r="J778" s="56"/>
      <c r="K778" s="56"/>
      <c r="L778" s="56"/>
      <c r="M778" s="56"/>
    </row>
    <row r="779" spans="2:13" ht="15">
      <c r="B779" s="7"/>
      <c r="C779" s="56"/>
      <c r="D779" s="56"/>
      <c r="E779" s="56"/>
      <c r="F779" s="56"/>
      <c r="G779" s="56"/>
      <c r="H779" s="56"/>
      <c r="I779" s="56"/>
      <c r="J779" s="56"/>
      <c r="K779" s="56"/>
      <c r="L779" s="56"/>
      <c r="M779" s="56"/>
    </row>
    <row r="780" spans="2:13" ht="15">
      <c r="B780" s="7"/>
      <c r="C780" s="56"/>
      <c r="D780" s="56"/>
      <c r="E780" s="56"/>
      <c r="F780" s="56"/>
      <c r="G780" s="56"/>
      <c r="H780" s="56"/>
      <c r="I780" s="56"/>
      <c r="J780" s="56"/>
      <c r="K780" s="56"/>
      <c r="L780" s="56"/>
      <c r="M780" s="56"/>
    </row>
    <row r="781" spans="2:13" ht="15">
      <c r="B781" s="7"/>
      <c r="C781" s="56"/>
      <c r="D781" s="56"/>
      <c r="E781" s="56"/>
      <c r="F781" s="56"/>
      <c r="G781" s="56"/>
      <c r="H781" s="56"/>
      <c r="I781" s="56"/>
      <c r="J781" s="56"/>
      <c r="K781" s="56"/>
      <c r="L781" s="56"/>
      <c r="M781" s="56"/>
    </row>
    <row r="782" spans="2:13" ht="15">
      <c r="B782" s="7"/>
      <c r="C782" s="56"/>
      <c r="D782" s="56"/>
      <c r="E782" s="56"/>
      <c r="F782" s="56"/>
      <c r="G782" s="56"/>
      <c r="H782" s="56"/>
      <c r="I782" s="56"/>
      <c r="J782" s="56"/>
      <c r="K782" s="56"/>
      <c r="L782" s="56"/>
      <c r="M782" s="56"/>
    </row>
    <row r="783" spans="2:13" ht="15">
      <c r="B783" s="7"/>
      <c r="C783" s="56"/>
      <c r="D783" s="56"/>
      <c r="E783" s="56"/>
      <c r="F783" s="56"/>
      <c r="G783" s="56"/>
      <c r="H783" s="56"/>
      <c r="I783" s="56"/>
      <c r="J783" s="56"/>
      <c r="K783" s="56"/>
      <c r="L783" s="56"/>
      <c r="M783" s="56"/>
    </row>
    <row r="784" spans="2:13" ht="15">
      <c r="B784" s="7"/>
      <c r="C784" s="56"/>
      <c r="D784" s="56"/>
      <c r="E784" s="56"/>
      <c r="F784" s="56"/>
      <c r="G784" s="56"/>
      <c r="H784" s="56"/>
      <c r="I784" s="56"/>
      <c r="J784" s="56"/>
      <c r="K784" s="56"/>
      <c r="L784" s="56"/>
      <c r="M784" s="56"/>
    </row>
    <row r="785" spans="2:13" ht="15">
      <c r="B785" s="7"/>
      <c r="C785" s="56"/>
      <c r="D785" s="56"/>
      <c r="E785" s="56"/>
      <c r="F785" s="56"/>
      <c r="G785" s="56"/>
      <c r="H785" s="56"/>
      <c r="I785" s="56"/>
      <c r="J785" s="56"/>
      <c r="K785" s="56"/>
      <c r="L785" s="56"/>
      <c r="M785" s="56"/>
    </row>
    <row r="786" spans="2:13" ht="15">
      <c r="B786" s="7"/>
      <c r="C786" s="56"/>
      <c r="D786" s="56"/>
      <c r="E786" s="56"/>
      <c r="F786" s="56"/>
      <c r="G786" s="56"/>
      <c r="H786" s="56"/>
      <c r="I786" s="56"/>
      <c r="J786" s="56"/>
      <c r="K786" s="56"/>
      <c r="L786" s="56"/>
      <c r="M786" s="56"/>
    </row>
    <row r="787" spans="2:13" ht="15">
      <c r="B787" s="7"/>
      <c r="C787" s="56"/>
      <c r="D787" s="56"/>
      <c r="E787" s="56"/>
      <c r="F787" s="56"/>
      <c r="G787" s="56"/>
      <c r="H787" s="56"/>
      <c r="I787" s="56"/>
      <c r="J787" s="56"/>
      <c r="K787" s="56"/>
      <c r="L787" s="56"/>
      <c r="M787" s="56"/>
    </row>
    <row r="788" spans="2:13" ht="15">
      <c r="B788" s="7"/>
      <c r="C788" s="56"/>
      <c r="D788" s="56"/>
      <c r="E788" s="56"/>
      <c r="F788" s="56"/>
      <c r="G788" s="56"/>
      <c r="H788" s="56"/>
      <c r="I788" s="56"/>
      <c r="J788" s="56"/>
      <c r="K788" s="56"/>
      <c r="L788" s="56"/>
      <c r="M788" s="56"/>
    </row>
    <row r="789" spans="2:13" ht="15">
      <c r="B789" s="7"/>
      <c r="C789" s="56"/>
      <c r="D789" s="56"/>
      <c r="E789" s="56"/>
      <c r="F789" s="56"/>
      <c r="G789" s="56"/>
      <c r="H789" s="56"/>
      <c r="I789" s="56"/>
      <c r="J789" s="56"/>
      <c r="K789" s="56"/>
      <c r="L789" s="56"/>
      <c r="M789" s="56"/>
    </row>
    <row r="790" spans="2:13" ht="15">
      <c r="B790" s="7"/>
      <c r="C790" s="56"/>
      <c r="D790" s="56"/>
      <c r="E790" s="56"/>
      <c r="F790" s="56"/>
      <c r="G790" s="56"/>
      <c r="H790" s="56"/>
      <c r="I790" s="56"/>
      <c r="J790" s="56"/>
      <c r="K790" s="56"/>
      <c r="L790" s="56"/>
      <c r="M790" s="56"/>
    </row>
    <row r="791" spans="2:13" ht="15">
      <c r="B791" s="7"/>
      <c r="C791" s="56"/>
      <c r="D791" s="56"/>
      <c r="E791" s="56"/>
      <c r="F791" s="56"/>
      <c r="G791" s="56"/>
      <c r="H791" s="56"/>
      <c r="I791" s="56"/>
      <c r="J791" s="56"/>
      <c r="K791" s="56"/>
      <c r="L791" s="56"/>
      <c r="M791" s="56"/>
    </row>
    <row r="792" spans="2:13" ht="15">
      <c r="B792" s="7"/>
      <c r="C792" s="56"/>
      <c r="D792" s="56"/>
      <c r="E792" s="56"/>
      <c r="F792" s="56"/>
      <c r="G792" s="56"/>
      <c r="H792" s="56"/>
      <c r="I792" s="56"/>
      <c r="J792" s="56"/>
      <c r="K792" s="56"/>
      <c r="L792" s="56"/>
      <c r="M792" s="56"/>
    </row>
    <row r="793" spans="2:13" ht="15">
      <c r="B793" s="7"/>
      <c r="C793" s="56"/>
      <c r="D793" s="56"/>
      <c r="E793" s="56"/>
      <c r="F793" s="56"/>
      <c r="G793" s="56"/>
      <c r="H793" s="56"/>
      <c r="I793" s="56"/>
      <c r="J793" s="56"/>
      <c r="K793" s="56"/>
      <c r="L793" s="56"/>
      <c r="M793" s="56"/>
    </row>
    <row r="794" spans="2:13" ht="15">
      <c r="B794" s="7"/>
      <c r="C794" s="56"/>
      <c r="D794" s="56"/>
      <c r="E794" s="56"/>
      <c r="F794" s="56"/>
      <c r="G794" s="56"/>
      <c r="H794" s="56"/>
      <c r="I794" s="56"/>
      <c r="J794" s="56"/>
      <c r="K794" s="56"/>
      <c r="L794" s="56"/>
      <c r="M794" s="56"/>
    </row>
    <row r="795" spans="2:13" ht="15">
      <c r="B795" s="7"/>
      <c r="C795" s="56"/>
      <c r="D795" s="56"/>
      <c r="E795" s="56"/>
      <c r="F795" s="56"/>
      <c r="G795" s="56"/>
      <c r="H795" s="56"/>
      <c r="I795" s="56"/>
      <c r="J795" s="56"/>
      <c r="K795" s="56"/>
      <c r="L795" s="56"/>
      <c r="M795" s="56"/>
    </row>
    <row r="796" spans="2:13" ht="15">
      <c r="B796" s="7"/>
      <c r="C796" s="56"/>
      <c r="D796" s="56"/>
      <c r="E796" s="56"/>
      <c r="F796" s="56"/>
      <c r="G796" s="56"/>
      <c r="H796" s="56"/>
      <c r="I796" s="56"/>
      <c r="J796" s="56"/>
      <c r="K796" s="56"/>
      <c r="L796" s="56"/>
      <c r="M796" s="56"/>
    </row>
    <row r="797" spans="2:13" ht="15">
      <c r="B797" s="7"/>
      <c r="C797" s="56"/>
      <c r="D797" s="56"/>
      <c r="E797" s="56"/>
      <c r="F797" s="56"/>
      <c r="G797" s="56"/>
      <c r="H797" s="56"/>
      <c r="I797" s="56"/>
      <c r="J797" s="56"/>
      <c r="K797" s="56"/>
      <c r="L797" s="56"/>
      <c r="M797" s="56"/>
    </row>
    <row r="798" spans="2:13" ht="15">
      <c r="B798" s="7"/>
      <c r="C798" s="56"/>
      <c r="D798" s="56"/>
      <c r="E798" s="56"/>
      <c r="F798" s="56"/>
      <c r="G798" s="56"/>
      <c r="H798" s="56"/>
      <c r="I798" s="56"/>
      <c r="J798" s="56"/>
      <c r="K798" s="56"/>
      <c r="L798" s="56"/>
      <c r="M798" s="56"/>
    </row>
    <row r="799" spans="2:13" ht="15">
      <c r="B799" s="7"/>
      <c r="C799" s="56"/>
      <c r="D799" s="56"/>
      <c r="E799" s="56"/>
      <c r="F799" s="56"/>
      <c r="G799" s="56"/>
      <c r="H799" s="56"/>
      <c r="I799" s="56"/>
      <c r="J799" s="56"/>
      <c r="K799" s="56"/>
      <c r="L799" s="56"/>
      <c r="M799" s="56"/>
    </row>
    <row r="800" spans="2:13" ht="15">
      <c r="B800" s="7"/>
      <c r="C800" s="56"/>
      <c r="D800" s="56"/>
      <c r="E800" s="56"/>
      <c r="F800" s="56"/>
      <c r="G800" s="56"/>
      <c r="H800" s="56"/>
      <c r="I800" s="56"/>
      <c r="J800" s="56"/>
      <c r="K800" s="56"/>
      <c r="L800" s="56"/>
      <c r="M800" s="56"/>
    </row>
    <row r="801" spans="2:13" ht="15">
      <c r="B801" s="7"/>
      <c r="C801" s="56"/>
      <c r="D801" s="56"/>
      <c r="E801" s="56"/>
      <c r="F801" s="56"/>
      <c r="G801" s="56"/>
      <c r="H801" s="56"/>
      <c r="I801" s="56"/>
      <c r="J801" s="56"/>
      <c r="K801" s="56"/>
      <c r="L801" s="56"/>
      <c r="M801" s="56"/>
    </row>
    <row r="802" spans="2:13" ht="15">
      <c r="B802" s="7"/>
      <c r="C802" s="56"/>
      <c r="D802" s="56"/>
      <c r="E802" s="56"/>
      <c r="F802" s="56"/>
      <c r="G802" s="56"/>
      <c r="H802" s="56"/>
      <c r="I802" s="56"/>
      <c r="J802" s="56"/>
      <c r="K802" s="56"/>
      <c r="L802" s="56"/>
      <c r="M802" s="56"/>
    </row>
    <row r="803" spans="2:13" ht="15">
      <c r="B803" s="7"/>
      <c r="C803" s="56"/>
      <c r="D803" s="56"/>
      <c r="E803" s="56"/>
      <c r="F803" s="56"/>
      <c r="G803" s="56"/>
      <c r="H803" s="56"/>
      <c r="I803" s="56"/>
      <c r="J803" s="56"/>
      <c r="K803" s="56"/>
      <c r="L803" s="56"/>
      <c r="M803" s="56"/>
    </row>
    <row r="804" spans="2:13" ht="15">
      <c r="B804" s="7"/>
      <c r="C804" s="56"/>
      <c r="D804" s="56"/>
      <c r="E804" s="56"/>
      <c r="F804" s="56"/>
      <c r="G804" s="56"/>
      <c r="H804" s="56"/>
      <c r="I804" s="56"/>
      <c r="J804" s="56"/>
      <c r="K804" s="56"/>
      <c r="L804" s="56"/>
      <c r="M804" s="56"/>
    </row>
    <row r="805" spans="2:13" ht="15">
      <c r="B805" s="7"/>
      <c r="C805" s="56"/>
      <c r="D805" s="56"/>
      <c r="E805" s="56"/>
      <c r="F805" s="56"/>
      <c r="G805" s="56"/>
      <c r="H805" s="56"/>
      <c r="I805" s="56"/>
      <c r="J805" s="56"/>
      <c r="K805" s="56"/>
      <c r="L805" s="56"/>
      <c r="M805" s="56"/>
    </row>
    <row r="806" spans="2:13" ht="15">
      <c r="B806" s="7"/>
      <c r="C806" s="56"/>
      <c r="D806" s="56"/>
      <c r="E806" s="56"/>
      <c r="F806" s="56"/>
      <c r="G806" s="56"/>
      <c r="H806" s="56"/>
      <c r="I806" s="56"/>
      <c r="J806" s="56"/>
      <c r="K806" s="56"/>
      <c r="L806" s="56"/>
      <c r="M806" s="56"/>
    </row>
    <row r="807" spans="2:13" ht="15">
      <c r="B807" s="7"/>
      <c r="C807" s="56"/>
      <c r="D807" s="56"/>
      <c r="E807" s="56"/>
      <c r="F807" s="56"/>
      <c r="G807" s="56"/>
      <c r="H807" s="56"/>
      <c r="I807" s="56"/>
      <c r="J807" s="56"/>
      <c r="K807" s="56"/>
      <c r="L807" s="56"/>
      <c r="M807" s="56"/>
    </row>
    <row r="808" spans="2:13" ht="15">
      <c r="B808" s="7"/>
      <c r="C808" s="56"/>
      <c r="D808" s="56"/>
      <c r="E808" s="56"/>
      <c r="F808" s="56"/>
      <c r="G808" s="56"/>
      <c r="H808" s="56"/>
      <c r="I808" s="56"/>
      <c r="J808" s="56"/>
      <c r="K808" s="56"/>
      <c r="L808" s="56"/>
      <c r="M808" s="56"/>
    </row>
    <row r="809" spans="2:13" ht="15">
      <c r="B809" s="7"/>
      <c r="C809" s="56"/>
      <c r="D809" s="56"/>
      <c r="E809" s="56"/>
      <c r="F809" s="56"/>
      <c r="G809" s="56"/>
      <c r="H809" s="56"/>
      <c r="I809" s="56"/>
      <c r="J809" s="56"/>
      <c r="K809" s="56"/>
      <c r="L809" s="56"/>
      <c r="M809" s="56"/>
    </row>
    <row r="810" spans="2:13" ht="15">
      <c r="B810" s="7"/>
      <c r="C810" s="56"/>
      <c r="D810" s="56"/>
      <c r="E810" s="56"/>
      <c r="F810" s="56"/>
      <c r="G810" s="56"/>
      <c r="H810" s="56"/>
      <c r="I810" s="56"/>
      <c r="J810" s="56"/>
      <c r="K810" s="56"/>
      <c r="L810" s="56"/>
      <c r="M810" s="56"/>
    </row>
    <row r="811" spans="2:13" ht="15">
      <c r="B811" s="7"/>
      <c r="C811" s="56"/>
      <c r="D811" s="56"/>
      <c r="E811" s="56"/>
      <c r="F811" s="56"/>
      <c r="G811" s="56"/>
      <c r="H811" s="56"/>
      <c r="I811" s="56"/>
      <c r="J811" s="56"/>
      <c r="K811" s="56"/>
      <c r="L811" s="56"/>
      <c r="M811" s="56"/>
    </row>
    <row r="812" spans="2:13" ht="15">
      <c r="B812" s="7"/>
      <c r="C812" s="56"/>
      <c r="D812" s="56"/>
      <c r="E812" s="56"/>
      <c r="F812" s="56"/>
      <c r="G812" s="56"/>
      <c r="H812" s="56"/>
      <c r="I812" s="56"/>
      <c r="J812" s="56"/>
      <c r="K812" s="56"/>
      <c r="L812" s="56"/>
      <c r="M812" s="56"/>
    </row>
    <row r="813" spans="2:13" ht="15">
      <c r="B813" s="7"/>
      <c r="C813" s="56"/>
      <c r="D813" s="56"/>
      <c r="E813" s="56"/>
      <c r="F813" s="56"/>
      <c r="G813" s="56"/>
      <c r="H813" s="56"/>
      <c r="I813" s="56"/>
      <c r="J813" s="56"/>
      <c r="K813" s="56"/>
      <c r="L813" s="56"/>
      <c r="M813" s="56"/>
    </row>
    <row r="814" spans="2:13" ht="15">
      <c r="B814" s="7"/>
      <c r="C814" s="56"/>
      <c r="D814" s="56"/>
      <c r="E814" s="56"/>
      <c r="F814" s="56"/>
      <c r="G814" s="56"/>
      <c r="H814" s="56"/>
      <c r="I814" s="56"/>
      <c r="J814" s="56"/>
      <c r="K814" s="56"/>
      <c r="L814" s="56"/>
      <c r="M814" s="56"/>
    </row>
    <row r="815" spans="2:13" ht="15">
      <c r="B815" s="7"/>
      <c r="C815" s="56"/>
      <c r="D815" s="56"/>
      <c r="E815" s="56"/>
      <c r="F815" s="56"/>
      <c r="G815" s="56"/>
      <c r="H815" s="56"/>
      <c r="I815" s="56"/>
      <c r="J815" s="56"/>
      <c r="K815" s="56"/>
      <c r="L815" s="56"/>
      <c r="M815" s="56"/>
    </row>
    <row r="816" spans="2:13" ht="15">
      <c r="B816" s="7"/>
      <c r="C816" s="56"/>
      <c r="D816" s="56"/>
      <c r="E816" s="56"/>
      <c r="F816" s="56"/>
      <c r="G816" s="56"/>
      <c r="H816" s="56"/>
      <c r="I816" s="56"/>
      <c r="J816" s="56"/>
      <c r="K816" s="56"/>
      <c r="L816" s="56"/>
      <c r="M816" s="56"/>
    </row>
    <row r="817" spans="2:13" ht="15">
      <c r="B817" s="7"/>
      <c r="C817" s="56"/>
      <c r="D817" s="56"/>
      <c r="E817" s="56"/>
      <c r="F817" s="56"/>
      <c r="G817" s="56"/>
      <c r="H817" s="56"/>
      <c r="I817" s="56"/>
      <c r="J817" s="56"/>
      <c r="K817" s="56"/>
      <c r="L817" s="56"/>
      <c r="M817" s="56"/>
    </row>
    <row r="818" spans="2:13" ht="15">
      <c r="B818" s="7"/>
      <c r="C818" s="56"/>
      <c r="D818" s="56"/>
      <c r="E818" s="56"/>
      <c r="F818" s="56"/>
      <c r="G818" s="56"/>
      <c r="H818" s="56"/>
      <c r="I818" s="56"/>
      <c r="J818" s="56"/>
      <c r="K818" s="56"/>
      <c r="L818" s="56"/>
      <c r="M818" s="56"/>
    </row>
    <row r="819" spans="2:13" ht="15">
      <c r="B819" s="7"/>
      <c r="C819" s="56"/>
      <c r="D819" s="56"/>
      <c r="E819" s="56"/>
      <c r="F819" s="56"/>
      <c r="G819" s="56"/>
      <c r="H819" s="56"/>
      <c r="I819" s="56"/>
      <c r="J819" s="56"/>
      <c r="K819" s="56"/>
      <c r="L819" s="56"/>
      <c r="M819" s="56"/>
    </row>
    <row r="820" spans="2:13" ht="15">
      <c r="B820" s="7"/>
      <c r="C820" s="56"/>
      <c r="D820" s="56"/>
      <c r="E820" s="56"/>
      <c r="F820" s="56"/>
      <c r="G820" s="56"/>
      <c r="H820" s="56"/>
      <c r="I820" s="56"/>
      <c r="J820" s="56"/>
      <c r="K820" s="56"/>
      <c r="L820" s="56"/>
      <c r="M820" s="56"/>
    </row>
    <row r="821" spans="2:13" ht="15">
      <c r="B821" s="7"/>
      <c r="C821" s="56"/>
      <c r="D821" s="56"/>
      <c r="E821" s="56"/>
      <c r="F821" s="56"/>
      <c r="G821" s="56"/>
      <c r="H821" s="56"/>
      <c r="I821" s="56"/>
      <c r="J821" s="56"/>
      <c r="K821" s="56"/>
      <c r="L821" s="56"/>
      <c r="M821" s="56"/>
    </row>
    <row r="822" spans="2:13" ht="15">
      <c r="B822" s="7"/>
      <c r="C822" s="56"/>
      <c r="D822" s="56"/>
      <c r="E822" s="56"/>
      <c r="F822" s="56"/>
      <c r="G822" s="56"/>
      <c r="H822" s="56"/>
      <c r="I822" s="56"/>
      <c r="J822" s="56"/>
      <c r="K822" s="56"/>
      <c r="L822" s="56"/>
      <c r="M822" s="56"/>
    </row>
    <row r="823" spans="2:13" ht="15">
      <c r="B823" s="7"/>
      <c r="C823" s="56"/>
      <c r="D823" s="56"/>
      <c r="E823" s="56"/>
      <c r="F823" s="56"/>
      <c r="G823" s="56"/>
      <c r="H823" s="56"/>
      <c r="I823" s="56"/>
      <c r="J823" s="56"/>
      <c r="K823" s="56"/>
      <c r="L823" s="56"/>
      <c r="M823" s="56"/>
    </row>
    <row r="824" spans="2:13" ht="15">
      <c r="B824" s="7"/>
      <c r="C824" s="56"/>
      <c r="D824" s="56"/>
      <c r="E824" s="56"/>
      <c r="F824" s="56"/>
      <c r="G824" s="56"/>
      <c r="H824" s="56"/>
      <c r="I824" s="56"/>
      <c r="J824" s="56"/>
      <c r="K824" s="56"/>
      <c r="L824" s="56"/>
      <c r="M824" s="56"/>
    </row>
    <row r="825" spans="2:13" ht="15">
      <c r="B825" s="7"/>
      <c r="C825" s="56"/>
      <c r="D825" s="56"/>
      <c r="E825" s="56"/>
      <c r="F825" s="56"/>
      <c r="G825" s="56"/>
      <c r="H825" s="56"/>
      <c r="I825" s="56"/>
      <c r="J825" s="56"/>
      <c r="K825" s="56"/>
      <c r="L825" s="56"/>
      <c r="M825" s="56"/>
    </row>
    <row r="826" spans="2:13" ht="15">
      <c r="B826" s="7"/>
      <c r="C826" s="56"/>
      <c r="D826" s="56"/>
      <c r="E826" s="56"/>
      <c r="F826" s="56"/>
      <c r="G826" s="56"/>
      <c r="H826" s="56"/>
      <c r="I826" s="56"/>
      <c r="J826" s="56"/>
      <c r="K826" s="56"/>
      <c r="L826" s="56"/>
      <c r="M826" s="56"/>
    </row>
    <row r="827" spans="2:13" ht="15">
      <c r="B827" s="7"/>
      <c r="C827" s="56"/>
      <c r="D827" s="56"/>
      <c r="E827" s="56"/>
      <c r="F827" s="56"/>
      <c r="G827" s="56"/>
      <c r="H827" s="56"/>
      <c r="I827" s="56"/>
      <c r="J827" s="56"/>
      <c r="K827" s="56"/>
      <c r="L827" s="56"/>
      <c r="M827" s="56"/>
    </row>
    <row r="828" spans="2:13" ht="15">
      <c r="B828" s="7"/>
      <c r="C828" s="56"/>
      <c r="D828" s="56"/>
      <c r="E828" s="56"/>
      <c r="F828" s="56"/>
      <c r="G828" s="56"/>
      <c r="H828" s="56"/>
      <c r="I828" s="56"/>
      <c r="J828" s="56"/>
      <c r="K828" s="56"/>
      <c r="L828" s="56"/>
      <c r="M828" s="56"/>
    </row>
    <row r="829" spans="2:13" ht="15">
      <c r="B829" s="7"/>
      <c r="C829" s="56"/>
      <c r="D829" s="56"/>
      <c r="E829" s="56"/>
      <c r="F829" s="56"/>
      <c r="G829" s="56"/>
      <c r="H829" s="56"/>
      <c r="I829" s="56"/>
      <c r="J829" s="56"/>
      <c r="K829" s="56"/>
      <c r="L829" s="56"/>
      <c r="M829" s="56"/>
    </row>
    <row r="830" spans="2:13" ht="15">
      <c r="B830" s="7"/>
      <c r="C830" s="56"/>
      <c r="D830" s="56"/>
      <c r="E830" s="56"/>
      <c r="F830" s="56"/>
      <c r="G830" s="56"/>
      <c r="H830" s="56"/>
      <c r="I830" s="56"/>
      <c r="J830" s="56"/>
      <c r="K830" s="56"/>
      <c r="L830" s="56"/>
      <c r="M830" s="56"/>
    </row>
    <row r="831" spans="2:13" ht="15">
      <c r="B831" s="7"/>
      <c r="C831" s="56"/>
      <c r="D831" s="56"/>
      <c r="E831" s="56"/>
      <c r="F831" s="56"/>
      <c r="G831" s="56"/>
      <c r="H831" s="56"/>
      <c r="I831" s="56"/>
      <c r="J831" s="56"/>
      <c r="K831" s="56"/>
      <c r="L831" s="56"/>
      <c r="M831" s="56"/>
    </row>
    <row r="832" spans="2:13" ht="15">
      <c r="B832" s="7"/>
      <c r="C832" s="56"/>
      <c r="D832" s="56"/>
      <c r="E832" s="56"/>
      <c r="F832" s="56"/>
      <c r="G832" s="56"/>
      <c r="H832" s="56"/>
      <c r="I832" s="56"/>
      <c r="J832" s="56"/>
      <c r="K832" s="56"/>
      <c r="L832" s="56"/>
      <c r="M832" s="56"/>
    </row>
    <row r="833" spans="2:13" ht="15">
      <c r="B833" s="7"/>
      <c r="C833" s="56"/>
      <c r="D833" s="56"/>
      <c r="E833" s="56"/>
      <c r="F833" s="56"/>
      <c r="G833" s="56"/>
      <c r="H833" s="56"/>
      <c r="I833" s="56"/>
      <c r="J833" s="56"/>
      <c r="K833" s="56"/>
      <c r="L833" s="56"/>
      <c r="M833" s="56"/>
    </row>
    <row r="834" spans="2:13" ht="15">
      <c r="B834" s="7"/>
      <c r="C834" s="56"/>
      <c r="D834" s="56"/>
      <c r="E834" s="56"/>
      <c r="F834" s="56"/>
      <c r="G834" s="56"/>
      <c r="H834" s="56"/>
      <c r="I834" s="56"/>
      <c r="J834" s="56"/>
      <c r="K834" s="56"/>
      <c r="L834" s="56"/>
      <c r="M834" s="56"/>
    </row>
    <row r="835" spans="2:13" ht="15">
      <c r="B835" s="7"/>
      <c r="C835" s="56"/>
      <c r="D835" s="56"/>
      <c r="E835" s="56"/>
      <c r="F835" s="56"/>
      <c r="G835" s="56"/>
      <c r="H835" s="56"/>
      <c r="I835" s="56"/>
      <c r="J835" s="56"/>
      <c r="K835" s="56"/>
      <c r="L835" s="56"/>
      <c r="M835" s="56"/>
    </row>
    <row r="836" spans="2:13" ht="15">
      <c r="B836" s="7"/>
      <c r="C836" s="56"/>
      <c r="D836" s="56"/>
      <c r="E836" s="56"/>
      <c r="F836" s="56"/>
      <c r="G836" s="56"/>
      <c r="H836" s="56"/>
      <c r="I836" s="56"/>
      <c r="J836" s="56"/>
      <c r="K836" s="56"/>
      <c r="L836" s="56"/>
      <c r="M836" s="56"/>
    </row>
    <row r="837" spans="2:13" ht="15">
      <c r="B837" s="7"/>
      <c r="C837" s="56"/>
      <c r="D837" s="56"/>
      <c r="E837" s="56"/>
      <c r="F837" s="56"/>
      <c r="G837" s="56"/>
      <c r="H837" s="56"/>
      <c r="I837" s="56"/>
      <c r="J837" s="56"/>
      <c r="K837" s="56"/>
      <c r="L837" s="56"/>
      <c r="M837" s="56"/>
    </row>
    <row r="838" spans="2:13" ht="15">
      <c r="B838" s="7"/>
      <c r="C838" s="56"/>
      <c r="D838" s="56"/>
      <c r="E838" s="56"/>
      <c r="F838" s="56"/>
      <c r="G838" s="56"/>
      <c r="H838" s="56"/>
      <c r="I838" s="56"/>
      <c r="J838" s="56"/>
      <c r="K838" s="56"/>
      <c r="L838" s="56"/>
      <c r="M838" s="56"/>
    </row>
    <row r="839" spans="2:13" ht="15">
      <c r="B839" s="7"/>
      <c r="C839" s="56"/>
      <c r="D839" s="56"/>
      <c r="E839" s="56"/>
      <c r="F839" s="56"/>
      <c r="G839" s="56"/>
      <c r="H839" s="56"/>
      <c r="I839" s="56"/>
      <c r="J839" s="56"/>
      <c r="K839" s="56"/>
      <c r="L839" s="56"/>
      <c r="M839" s="56"/>
    </row>
    <row r="840" spans="2:13" ht="15">
      <c r="B840" s="7"/>
      <c r="C840" s="56"/>
      <c r="D840" s="56"/>
      <c r="E840" s="56"/>
      <c r="F840" s="56"/>
      <c r="G840" s="56"/>
      <c r="H840" s="56"/>
      <c r="I840" s="56"/>
      <c r="J840" s="56"/>
      <c r="K840" s="56"/>
      <c r="L840" s="56"/>
      <c r="M840" s="56"/>
    </row>
    <row r="841" spans="2:13" ht="15">
      <c r="B841" s="7"/>
      <c r="C841" s="56"/>
      <c r="D841" s="56"/>
      <c r="E841" s="56"/>
      <c r="F841" s="56"/>
      <c r="G841" s="56"/>
      <c r="H841" s="56"/>
      <c r="I841" s="56"/>
      <c r="J841" s="56"/>
      <c r="K841" s="56"/>
      <c r="L841" s="56"/>
      <c r="M841" s="56"/>
    </row>
    <row r="842" spans="2:13" ht="15">
      <c r="B842" s="7"/>
      <c r="C842" s="56"/>
      <c r="D842" s="56"/>
      <c r="E842" s="56"/>
      <c r="F842" s="56"/>
      <c r="G842" s="56"/>
      <c r="H842" s="56"/>
      <c r="I842" s="56"/>
      <c r="J842" s="56"/>
      <c r="K842" s="56"/>
      <c r="L842" s="56"/>
      <c r="M842" s="56"/>
    </row>
    <row r="843" spans="2:13" ht="15">
      <c r="B843" s="7"/>
      <c r="C843" s="56"/>
      <c r="D843" s="56"/>
      <c r="E843" s="56"/>
      <c r="F843" s="56"/>
      <c r="G843" s="56"/>
      <c r="H843" s="56"/>
      <c r="I843" s="56"/>
      <c r="J843" s="56"/>
      <c r="K843" s="56"/>
      <c r="L843" s="56"/>
      <c r="M843" s="56"/>
    </row>
    <row r="844" spans="2:13" ht="15">
      <c r="B844" s="7"/>
      <c r="C844" s="56"/>
      <c r="D844" s="56"/>
      <c r="E844" s="56"/>
      <c r="F844" s="56"/>
      <c r="G844" s="56"/>
      <c r="H844" s="56"/>
      <c r="I844" s="56"/>
      <c r="J844" s="56"/>
      <c r="K844" s="56"/>
      <c r="L844" s="56"/>
      <c r="M844" s="56"/>
    </row>
    <row r="845" spans="2:13" ht="15">
      <c r="B845" s="7"/>
      <c r="C845" s="56"/>
      <c r="D845" s="56"/>
      <c r="E845" s="56"/>
      <c r="F845" s="56"/>
      <c r="G845" s="56"/>
      <c r="H845" s="56"/>
      <c r="I845" s="56"/>
      <c r="J845" s="56"/>
      <c r="K845" s="56"/>
      <c r="L845" s="56"/>
      <c r="M845" s="56"/>
    </row>
    <row r="846" spans="2:13" ht="15">
      <c r="B846" s="7"/>
      <c r="C846" s="56"/>
      <c r="D846" s="56"/>
      <c r="E846" s="56"/>
      <c r="F846" s="56"/>
      <c r="G846" s="56"/>
      <c r="H846" s="56"/>
      <c r="I846" s="56"/>
      <c r="J846" s="56"/>
      <c r="K846" s="56"/>
      <c r="L846" s="56"/>
      <c r="M846" s="56"/>
    </row>
    <row r="847" spans="2:13" ht="15">
      <c r="B847" s="7"/>
      <c r="C847" s="56"/>
      <c r="D847" s="56"/>
      <c r="E847" s="56"/>
      <c r="F847" s="56"/>
      <c r="G847" s="56"/>
      <c r="H847" s="56"/>
      <c r="I847" s="56"/>
      <c r="J847" s="56"/>
      <c r="K847" s="56"/>
      <c r="L847" s="56"/>
      <c r="M847" s="56"/>
    </row>
    <row r="848" spans="2:13" ht="15">
      <c r="B848" s="7"/>
      <c r="C848" s="56"/>
      <c r="D848" s="56"/>
      <c r="E848" s="56"/>
      <c r="F848" s="56"/>
      <c r="G848" s="56"/>
      <c r="H848" s="56"/>
      <c r="I848" s="56"/>
      <c r="J848" s="56"/>
      <c r="K848" s="56"/>
      <c r="L848" s="56"/>
      <c r="M848" s="56"/>
    </row>
    <row r="849" spans="2:13" ht="15">
      <c r="B849" s="7"/>
      <c r="C849" s="56"/>
      <c r="D849" s="56"/>
      <c r="E849" s="56"/>
      <c r="F849" s="56"/>
      <c r="G849" s="56"/>
      <c r="H849" s="56"/>
      <c r="I849" s="56"/>
      <c r="J849" s="56"/>
      <c r="K849" s="56"/>
      <c r="L849" s="56"/>
      <c r="M849" s="56"/>
    </row>
    <row r="850" spans="2:13" ht="15">
      <c r="B850" s="7"/>
      <c r="C850" s="56"/>
      <c r="D850" s="56"/>
      <c r="E850" s="56"/>
      <c r="F850" s="56"/>
      <c r="G850" s="56"/>
      <c r="H850" s="56"/>
      <c r="I850" s="56"/>
      <c r="J850" s="56"/>
      <c r="K850" s="56"/>
      <c r="L850" s="56"/>
      <c r="M850" s="56"/>
    </row>
    <row r="851" spans="2:13" ht="15">
      <c r="B851" s="7"/>
      <c r="C851" s="56"/>
      <c r="D851" s="56"/>
      <c r="E851" s="56"/>
      <c r="F851" s="56"/>
      <c r="G851" s="56"/>
      <c r="H851" s="56"/>
      <c r="I851" s="56"/>
      <c r="J851" s="56"/>
      <c r="K851" s="56"/>
      <c r="L851" s="56"/>
      <c r="M851" s="56"/>
    </row>
    <row r="852" spans="2:13" ht="15">
      <c r="B852" s="7"/>
      <c r="C852" s="56"/>
      <c r="D852" s="56"/>
      <c r="E852" s="56"/>
      <c r="F852" s="56"/>
      <c r="G852" s="56"/>
      <c r="H852" s="56"/>
      <c r="I852" s="56"/>
      <c r="J852" s="56"/>
      <c r="K852" s="56"/>
      <c r="L852" s="56"/>
      <c r="M852" s="56"/>
    </row>
    <row r="853" spans="2:13" ht="15">
      <c r="B853" s="7"/>
      <c r="C853" s="56"/>
      <c r="D853" s="56"/>
      <c r="E853" s="56"/>
      <c r="F853" s="56"/>
      <c r="G853" s="56"/>
      <c r="H853" s="56"/>
      <c r="I853" s="56"/>
      <c r="J853" s="56"/>
      <c r="K853" s="56"/>
      <c r="L853" s="56"/>
      <c r="M853" s="56"/>
    </row>
    <row r="854" spans="2:13" ht="15">
      <c r="B854" s="7"/>
      <c r="C854" s="56"/>
      <c r="D854" s="56"/>
      <c r="E854" s="56"/>
      <c r="F854" s="56"/>
      <c r="G854" s="56"/>
      <c r="H854" s="56"/>
      <c r="I854" s="56"/>
      <c r="J854" s="56"/>
      <c r="K854" s="56"/>
      <c r="L854" s="56"/>
      <c r="M854" s="56"/>
    </row>
    <row r="855" spans="2:13" ht="15">
      <c r="B855" s="7"/>
      <c r="C855" s="56"/>
      <c r="D855" s="56"/>
      <c r="E855" s="56"/>
      <c r="F855" s="56"/>
      <c r="G855" s="56"/>
      <c r="H855" s="56"/>
      <c r="I855" s="56"/>
      <c r="J855" s="56"/>
      <c r="K855" s="56"/>
      <c r="L855" s="56"/>
      <c r="M855" s="56"/>
    </row>
    <row r="856" spans="2:13" ht="15">
      <c r="B856" s="7"/>
      <c r="C856" s="56"/>
      <c r="D856" s="56"/>
      <c r="E856" s="56"/>
      <c r="F856" s="56"/>
      <c r="G856" s="56"/>
      <c r="H856" s="56"/>
      <c r="I856" s="56"/>
      <c r="J856" s="56"/>
      <c r="K856" s="56"/>
      <c r="L856" s="56"/>
      <c r="M856" s="56"/>
    </row>
    <row r="857" spans="2:13" ht="15">
      <c r="B857" s="7"/>
      <c r="C857" s="56"/>
      <c r="D857" s="56"/>
      <c r="E857" s="56"/>
      <c r="F857" s="56"/>
      <c r="G857" s="56"/>
      <c r="H857" s="56"/>
      <c r="I857" s="56"/>
      <c r="J857" s="56"/>
      <c r="K857" s="56"/>
      <c r="L857" s="56"/>
      <c r="M857" s="56"/>
    </row>
    <row r="858" spans="2:13" ht="15">
      <c r="B858" s="7"/>
      <c r="C858" s="56"/>
      <c r="D858" s="56"/>
      <c r="E858" s="56"/>
      <c r="F858" s="56"/>
      <c r="G858" s="56"/>
      <c r="H858" s="56"/>
      <c r="I858" s="56"/>
      <c r="J858" s="56"/>
      <c r="K858" s="56"/>
      <c r="L858" s="56"/>
      <c r="M858" s="56"/>
    </row>
    <row r="859" spans="2:13" ht="15">
      <c r="B859" s="7"/>
      <c r="C859" s="56"/>
      <c r="D859" s="56"/>
      <c r="E859" s="56"/>
      <c r="F859" s="56"/>
      <c r="G859" s="56"/>
      <c r="H859" s="56"/>
      <c r="I859" s="56"/>
      <c r="J859" s="56"/>
      <c r="K859" s="56"/>
      <c r="L859" s="56"/>
      <c r="M859" s="56"/>
    </row>
    <row r="860" spans="2:13" ht="15">
      <c r="B860" s="7"/>
      <c r="C860" s="56"/>
      <c r="D860" s="56"/>
      <c r="E860" s="56"/>
      <c r="F860" s="56"/>
      <c r="G860" s="56"/>
      <c r="H860" s="56"/>
      <c r="I860" s="56"/>
      <c r="J860" s="56"/>
      <c r="K860" s="56"/>
      <c r="L860" s="56"/>
      <c r="M860" s="56"/>
    </row>
    <row r="861" spans="2:13" ht="15">
      <c r="B861" s="7"/>
      <c r="C861" s="56"/>
      <c r="D861" s="56"/>
      <c r="E861" s="56"/>
      <c r="F861" s="56"/>
      <c r="G861" s="56"/>
      <c r="H861" s="56"/>
      <c r="I861" s="56"/>
      <c r="J861" s="56"/>
      <c r="K861" s="56"/>
      <c r="L861" s="56"/>
      <c r="M861" s="56"/>
    </row>
    <row r="862" spans="2:13" ht="15">
      <c r="B862" s="7"/>
      <c r="C862" s="56"/>
      <c r="D862" s="56"/>
      <c r="E862" s="56"/>
      <c r="F862" s="56"/>
      <c r="G862" s="56"/>
      <c r="H862" s="56"/>
      <c r="I862" s="56"/>
      <c r="J862" s="56"/>
      <c r="K862" s="56"/>
      <c r="L862" s="56"/>
      <c r="M862" s="56"/>
    </row>
    <row r="863" spans="2:13" ht="15">
      <c r="B863" s="7"/>
      <c r="C863" s="56"/>
      <c r="D863" s="56"/>
      <c r="E863" s="56"/>
      <c r="F863" s="56"/>
      <c r="G863" s="56"/>
      <c r="H863" s="56"/>
      <c r="I863" s="56"/>
      <c r="J863" s="56"/>
      <c r="K863" s="56"/>
      <c r="L863" s="56"/>
      <c r="M863" s="56"/>
    </row>
    <row r="864" spans="2:13" ht="15">
      <c r="B864" s="7"/>
      <c r="C864" s="56"/>
      <c r="D864" s="56"/>
      <c r="E864" s="56"/>
      <c r="F864" s="56"/>
      <c r="G864" s="56"/>
      <c r="H864" s="56"/>
      <c r="I864" s="56"/>
      <c r="J864" s="56"/>
      <c r="K864" s="56"/>
      <c r="L864" s="56"/>
      <c r="M864" s="56"/>
    </row>
    <row r="865" spans="2:13" ht="15">
      <c r="B865" s="7"/>
      <c r="C865" s="56"/>
      <c r="D865" s="56"/>
      <c r="E865" s="56"/>
      <c r="F865" s="56"/>
      <c r="G865" s="56"/>
      <c r="H865" s="56"/>
      <c r="I865" s="56"/>
      <c r="J865" s="56"/>
      <c r="K865" s="56"/>
      <c r="L865" s="56"/>
      <c r="M865" s="56"/>
    </row>
    <row r="866" spans="2:13" ht="15">
      <c r="B866" s="7"/>
      <c r="C866" s="56"/>
      <c r="D866" s="56"/>
      <c r="E866" s="56"/>
      <c r="F866" s="56"/>
      <c r="G866" s="56"/>
      <c r="H866" s="56"/>
      <c r="I866" s="56"/>
      <c r="J866" s="56"/>
      <c r="K866" s="56"/>
      <c r="L866" s="56"/>
      <c r="M866" s="56"/>
    </row>
    <row r="867" spans="2:13" ht="15">
      <c r="B867" s="7"/>
      <c r="C867" s="56"/>
      <c r="D867" s="56"/>
      <c r="E867" s="56"/>
      <c r="F867" s="56"/>
      <c r="G867" s="56"/>
      <c r="H867" s="56"/>
      <c r="I867" s="56"/>
      <c r="J867" s="56"/>
      <c r="K867" s="56"/>
      <c r="L867" s="56"/>
      <c r="M867" s="56"/>
    </row>
    <row r="868" spans="2:13" ht="15">
      <c r="B868" s="7"/>
      <c r="C868" s="56"/>
      <c r="D868" s="56"/>
      <c r="E868" s="56"/>
      <c r="F868" s="56"/>
      <c r="G868" s="56"/>
      <c r="H868" s="56"/>
      <c r="I868" s="56"/>
      <c r="J868" s="56"/>
      <c r="K868" s="56"/>
      <c r="L868" s="56"/>
      <c r="M868" s="56"/>
    </row>
    <row r="869" spans="2:13" ht="15">
      <c r="B869" s="7"/>
      <c r="C869" s="56"/>
      <c r="D869" s="56"/>
      <c r="E869" s="56"/>
      <c r="F869" s="56"/>
      <c r="G869" s="56"/>
      <c r="H869" s="56"/>
      <c r="I869" s="56"/>
      <c r="J869" s="56"/>
      <c r="K869" s="56"/>
      <c r="L869" s="56"/>
      <c r="M869" s="56"/>
    </row>
    <row r="870" spans="2:13" ht="15">
      <c r="B870" s="7"/>
      <c r="C870" s="56"/>
      <c r="D870" s="56"/>
      <c r="E870" s="56"/>
      <c r="F870" s="56"/>
      <c r="G870" s="56"/>
      <c r="H870" s="56"/>
      <c r="I870" s="56"/>
      <c r="J870" s="56"/>
      <c r="K870" s="56"/>
      <c r="L870" s="56"/>
      <c r="M870" s="56"/>
    </row>
    <row r="871" spans="2:13" ht="15">
      <c r="B871" s="7"/>
      <c r="C871" s="56"/>
      <c r="D871" s="56"/>
      <c r="E871" s="56"/>
      <c r="F871" s="56"/>
      <c r="G871" s="56"/>
      <c r="H871" s="56"/>
      <c r="I871" s="56"/>
      <c r="J871" s="56"/>
      <c r="K871" s="56"/>
      <c r="L871" s="56"/>
      <c r="M871" s="56"/>
    </row>
    <row r="872" spans="2:13" ht="15">
      <c r="B872" s="7"/>
      <c r="C872" s="56"/>
      <c r="D872" s="56"/>
      <c r="E872" s="56"/>
      <c r="F872" s="56"/>
      <c r="G872" s="56"/>
      <c r="H872" s="56"/>
      <c r="I872" s="56"/>
      <c r="J872" s="56"/>
      <c r="K872" s="56"/>
      <c r="L872" s="56"/>
      <c r="M872" s="56"/>
    </row>
    <row r="873" spans="2:13" ht="15">
      <c r="B873" s="7"/>
      <c r="C873" s="56"/>
      <c r="D873" s="56"/>
      <c r="E873" s="56"/>
      <c r="F873" s="56"/>
      <c r="G873" s="56"/>
      <c r="H873" s="56"/>
      <c r="I873" s="56"/>
      <c r="J873" s="56"/>
      <c r="K873" s="56"/>
      <c r="L873" s="56"/>
      <c r="M873" s="56"/>
    </row>
    <row r="874" spans="2:13" ht="15">
      <c r="B874" s="7"/>
      <c r="C874" s="56"/>
      <c r="D874" s="56"/>
      <c r="E874" s="56"/>
      <c r="F874" s="56"/>
      <c r="G874" s="56"/>
      <c r="H874" s="56"/>
      <c r="I874" s="56"/>
      <c r="J874" s="56"/>
      <c r="K874" s="56"/>
      <c r="L874" s="56"/>
      <c r="M874" s="56"/>
    </row>
    <row r="875" spans="2:13" ht="15">
      <c r="B875" s="7"/>
      <c r="C875" s="56"/>
      <c r="D875" s="56"/>
      <c r="E875" s="56"/>
      <c r="F875" s="56"/>
      <c r="G875" s="56"/>
      <c r="H875" s="56"/>
      <c r="I875" s="56"/>
      <c r="J875" s="56"/>
      <c r="K875" s="56"/>
      <c r="L875" s="56"/>
      <c r="M875" s="56"/>
    </row>
    <row r="876" spans="2:13" ht="15">
      <c r="B876" s="7"/>
      <c r="C876" s="56"/>
      <c r="D876" s="56"/>
      <c r="E876" s="56"/>
      <c r="F876" s="56"/>
      <c r="G876" s="56"/>
      <c r="H876" s="56"/>
      <c r="I876" s="56"/>
      <c r="J876" s="56"/>
      <c r="K876" s="56"/>
      <c r="L876" s="56"/>
      <c r="M876" s="56"/>
    </row>
    <row r="877" spans="2:13" ht="15">
      <c r="B877" s="7"/>
      <c r="C877" s="56"/>
      <c r="D877" s="56"/>
      <c r="E877" s="56"/>
      <c r="F877" s="56"/>
      <c r="G877" s="56"/>
      <c r="H877" s="56"/>
      <c r="I877" s="56"/>
      <c r="J877" s="56"/>
      <c r="K877" s="56"/>
      <c r="L877" s="56"/>
      <c r="M877" s="56"/>
    </row>
    <row r="878" spans="2:13" ht="15">
      <c r="B878" s="7"/>
      <c r="C878" s="56"/>
      <c r="D878" s="56"/>
      <c r="E878" s="56"/>
      <c r="F878" s="56"/>
      <c r="G878" s="56"/>
      <c r="H878" s="56"/>
      <c r="I878" s="56"/>
      <c r="J878" s="56"/>
      <c r="K878" s="56"/>
      <c r="L878" s="56"/>
      <c r="M878" s="56"/>
    </row>
    <row r="879" spans="2:13" ht="15">
      <c r="B879" s="7"/>
      <c r="C879" s="56"/>
      <c r="D879" s="56"/>
      <c r="E879" s="56"/>
      <c r="F879" s="56"/>
      <c r="G879" s="56"/>
      <c r="H879" s="56"/>
      <c r="I879" s="56"/>
      <c r="J879" s="56"/>
      <c r="K879" s="56"/>
      <c r="L879" s="56"/>
      <c r="M879" s="56"/>
    </row>
    <row r="880" spans="2:13" ht="15">
      <c r="B880" s="7"/>
      <c r="C880" s="56"/>
      <c r="D880" s="56"/>
      <c r="E880" s="56"/>
      <c r="F880" s="56"/>
      <c r="G880" s="56"/>
      <c r="H880" s="56"/>
      <c r="I880" s="56"/>
      <c r="J880" s="56"/>
      <c r="K880" s="56"/>
      <c r="L880" s="56"/>
      <c r="M880" s="56"/>
    </row>
    <row r="881" spans="2:13" ht="15">
      <c r="B881" s="7"/>
      <c r="C881" s="56"/>
      <c r="D881" s="56"/>
      <c r="E881" s="56"/>
      <c r="F881" s="56"/>
      <c r="G881" s="56"/>
      <c r="H881" s="56"/>
      <c r="I881" s="56"/>
      <c r="J881" s="56"/>
      <c r="K881" s="56"/>
      <c r="L881" s="56"/>
      <c r="M881" s="56"/>
    </row>
    <row r="882" spans="2:13" ht="15">
      <c r="B882" s="7"/>
      <c r="C882" s="56"/>
      <c r="D882" s="56"/>
      <c r="E882" s="56"/>
      <c r="F882" s="56"/>
      <c r="G882" s="56"/>
      <c r="H882" s="56"/>
      <c r="I882" s="56"/>
      <c r="J882" s="56"/>
      <c r="K882" s="56"/>
      <c r="L882" s="56"/>
      <c r="M882" s="56"/>
    </row>
    <row r="883" spans="2:13" ht="15">
      <c r="B883" s="7"/>
      <c r="C883" s="56"/>
      <c r="D883" s="56"/>
      <c r="E883" s="56"/>
      <c r="F883" s="56"/>
      <c r="G883" s="56"/>
      <c r="H883" s="56"/>
      <c r="I883" s="56"/>
      <c r="J883" s="56"/>
      <c r="K883" s="56"/>
      <c r="L883" s="56"/>
      <c r="M883" s="56"/>
    </row>
    <row r="884" spans="2:13" ht="15">
      <c r="B884" s="7"/>
      <c r="C884" s="56"/>
      <c r="D884" s="56"/>
      <c r="E884" s="56"/>
      <c r="F884" s="56"/>
      <c r="G884" s="56"/>
      <c r="H884" s="56"/>
      <c r="I884" s="56"/>
      <c r="J884" s="56"/>
      <c r="K884" s="56"/>
      <c r="L884" s="56"/>
      <c r="M884" s="56"/>
    </row>
    <row r="885" spans="2:13" ht="15">
      <c r="B885" s="7"/>
      <c r="C885" s="56"/>
      <c r="D885" s="56"/>
      <c r="E885" s="56"/>
      <c r="F885" s="56"/>
      <c r="G885" s="56"/>
      <c r="H885" s="56"/>
      <c r="I885" s="56"/>
      <c r="J885" s="56"/>
      <c r="K885" s="56"/>
      <c r="L885" s="56"/>
      <c r="M885" s="56"/>
    </row>
    <row r="886" spans="2:13" ht="15">
      <c r="B886" s="7"/>
      <c r="C886" s="56"/>
      <c r="D886" s="56"/>
      <c r="E886" s="56"/>
      <c r="F886" s="56"/>
      <c r="G886" s="56"/>
      <c r="H886" s="56"/>
      <c r="I886" s="56"/>
      <c r="J886" s="56"/>
      <c r="K886" s="56"/>
      <c r="L886" s="56"/>
      <c r="M886" s="56"/>
    </row>
    <row r="887" spans="2:13" ht="15">
      <c r="B887" s="7"/>
      <c r="C887" s="56"/>
      <c r="D887" s="56"/>
      <c r="E887" s="56"/>
      <c r="F887" s="56"/>
      <c r="G887" s="56"/>
      <c r="H887" s="56"/>
      <c r="I887" s="56"/>
      <c r="J887" s="56"/>
      <c r="K887" s="56"/>
      <c r="L887" s="56"/>
      <c r="M887" s="56"/>
    </row>
    <row r="888" spans="2:13" ht="15">
      <c r="B888" s="7"/>
      <c r="C888" s="56"/>
      <c r="D888" s="56"/>
      <c r="E888" s="56"/>
      <c r="F888" s="56"/>
      <c r="G888" s="56"/>
      <c r="H888" s="56"/>
      <c r="I888" s="56"/>
      <c r="J888" s="56"/>
      <c r="K888" s="56"/>
      <c r="L888" s="56"/>
      <c r="M888" s="56"/>
    </row>
    <row r="889" spans="2:13" ht="15">
      <c r="B889" s="7"/>
      <c r="C889" s="56"/>
      <c r="D889" s="56"/>
      <c r="E889" s="56"/>
      <c r="F889" s="56"/>
      <c r="G889" s="56"/>
      <c r="H889" s="56"/>
      <c r="I889" s="56"/>
      <c r="J889" s="56"/>
      <c r="K889" s="56"/>
      <c r="L889" s="56"/>
      <c r="M889" s="56"/>
    </row>
    <row r="890" spans="2:13" ht="15">
      <c r="B890" s="7"/>
      <c r="C890" s="56"/>
      <c r="D890" s="56"/>
      <c r="E890" s="56"/>
      <c r="F890" s="56"/>
      <c r="G890" s="56"/>
      <c r="H890" s="56"/>
      <c r="I890" s="56"/>
      <c r="J890" s="56"/>
      <c r="K890" s="56"/>
      <c r="L890" s="56"/>
      <c r="M890" s="56"/>
    </row>
    <row r="891" spans="2:13" ht="15">
      <c r="B891" s="7"/>
      <c r="C891" s="56"/>
      <c r="D891" s="56"/>
      <c r="E891" s="56"/>
      <c r="F891" s="56"/>
      <c r="G891" s="56"/>
      <c r="H891" s="56"/>
      <c r="I891" s="56"/>
      <c r="J891" s="56"/>
      <c r="K891" s="56"/>
      <c r="L891" s="56"/>
      <c r="M891" s="56"/>
    </row>
    <row r="892" spans="2:13" ht="15">
      <c r="B892" s="7"/>
      <c r="C892" s="56"/>
      <c r="D892" s="56"/>
      <c r="E892" s="56"/>
      <c r="F892" s="56"/>
      <c r="G892" s="56"/>
      <c r="H892" s="56"/>
      <c r="I892" s="56"/>
      <c r="J892" s="56"/>
      <c r="K892" s="56"/>
      <c r="L892" s="56"/>
      <c r="M892" s="56"/>
    </row>
    <row r="893" spans="2:13" ht="15">
      <c r="B893" s="7"/>
      <c r="C893" s="56"/>
      <c r="D893" s="56"/>
      <c r="E893" s="56"/>
      <c r="F893" s="56"/>
      <c r="G893" s="56"/>
      <c r="H893" s="56"/>
      <c r="I893" s="56"/>
      <c r="J893" s="56"/>
      <c r="K893" s="56"/>
      <c r="L893" s="56"/>
      <c r="M893" s="56"/>
    </row>
    <row r="894" spans="2:13" ht="15">
      <c r="B894" s="7"/>
      <c r="C894" s="56"/>
      <c r="D894" s="56"/>
      <c r="E894" s="56"/>
      <c r="F894" s="56"/>
      <c r="G894" s="56"/>
      <c r="H894" s="56"/>
      <c r="I894" s="56"/>
      <c r="J894" s="56"/>
      <c r="K894" s="56"/>
      <c r="L894" s="56"/>
      <c r="M894" s="56"/>
    </row>
    <row r="895" spans="2:13" ht="15">
      <c r="B895" s="7"/>
      <c r="C895" s="56"/>
      <c r="D895" s="56"/>
      <c r="E895" s="56"/>
      <c r="F895" s="56"/>
      <c r="G895" s="56"/>
      <c r="H895" s="56"/>
      <c r="I895" s="56"/>
      <c r="J895" s="56"/>
      <c r="K895" s="56"/>
      <c r="L895" s="56"/>
      <c r="M895" s="56"/>
    </row>
    <row r="896" spans="2:13" ht="15">
      <c r="B896" s="7"/>
      <c r="C896" s="56"/>
      <c r="D896" s="56"/>
      <c r="E896" s="56"/>
      <c r="F896" s="56"/>
      <c r="G896" s="56"/>
      <c r="H896" s="56"/>
      <c r="I896" s="56"/>
      <c r="J896" s="56"/>
      <c r="K896" s="56"/>
      <c r="L896" s="56"/>
      <c r="M896" s="56"/>
    </row>
    <row r="897" spans="2:13" ht="15">
      <c r="B897" s="7"/>
      <c r="C897" s="56"/>
      <c r="D897" s="56"/>
      <c r="E897" s="56"/>
      <c r="F897" s="56"/>
      <c r="G897" s="56"/>
      <c r="H897" s="56"/>
      <c r="I897" s="56"/>
      <c r="J897" s="56"/>
      <c r="K897" s="56"/>
      <c r="L897" s="56"/>
      <c r="M897" s="56"/>
    </row>
    <row r="898" spans="2:13" ht="15">
      <c r="B898" s="7"/>
      <c r="C898" s="56"/>
      <c r="D898" s="56"/>
      <c r="E898" s="56"/>
      <c r="F898" s="56"/>
      <c r="G898" s="56"/>
      <c r="H898" s="56"/>
      <c r="I898" s="56"/>
      <c r="J898" s="56"/>
      <c r="K898" s="56"/>
      <c r="L898" s="56"/>
      <c r="M898" s="56"/>
    </row>
    <row r="899" spans="2:13" ht="15">
      <c r="B899" s="7"/>
      <c r="C899" s="56"/>
      <c r="D899" s="56"/>
      <c r="E899" s="56"/>
      <c r="F899" s="56"/>
      <c r="G899" s="56"/>
      <c r="H899" s="56"/>
      <c r="I899" s="56"/>
      <c r="J899" s="56"/>
      <c r="K899" s="56"/>
      <c r="L899" s="56"/>
      <c r="M899" s="56"/>
    </row>
    <row r="900" spans="2:13" ht="15">
      <c r="B900" s="7"/>
      <c r="C900" s="56"/>
      <c r="D900" s="56"/>
      <c r="E900" s="56"/>
      <c r="F900" s="56"/>
      <c r="G900" s="56"/>
      <c r="H900" s="56"/>
      <c r="I900" s="56"/>
      <c r="J900" s="56"/>
      <c r="K900" s="56"/>
      <c r="L900" s="56"/>
      <c r="M900" s="56"/>
    </row>
    <row r="901" spans="2:13" ht="15">
      <c r="B901" s="7"/>
      <c r="C901" s="56"/>
      <c r="D901" s="56"/>
      <c r="E901" s="56"/>
      <c r="F901" s="56"/>
      <c r="G901" s="56"/>
      <c r="H901" s="56"/>
      <c r="I901" s="56"/>
      <c r="J901" s="56"/>
      <c r="K901" s="56"/>
      <c r="L901" s="56"/>
      <c r="M901" s="56"/>
    </row>
    <row r="902" spans="2:13" ht="15">
      <c r="B902" s="7"/>
      <c r="C902" s="56"/>
      <c r="D902" s="56"/>
      <c r="E902" s="56"/>
      <c r="F902" s="56"/>
      <c r="G902" s="56"/>
      <c r="H902" s="56"/>
      <c r="I902" s="56"/>
      <c r="J902" s="56"/>
      <c r="K902" s="56"/>
      <c r="L902" s="56"/>
      <c r="M902" s="56"/>
    </row>
    <row r="903" spans="2:13" ht="15">
      <c r="B903" s="7"/>
      <c r="C903" s="56"/>
      <c r="D903" s="56"/>
      <c r="E903" s="56"/>
      <c r="F903" s="56"/>
      <c r="G903" s="56"/>
      <c r="H903" s="56"/>
      <c r="I903" s="56"/>
      <c r="J903" s="56"/>
      <c r="K903" s="56"/>
      <c r="L903" s="56"/>
      <c r="M903" s="56"/>
    </row>
    <row r="904" spans="2:13" ht="15">
      <c r="B904" s="7"/>
      <c r="C904" s="56"/>
      <c r="D904" s="56"/>
      <c r="E904" s="56"/>
      <c r="F904" s="56"/>
      <c r="G904" s="56"/>
      <c r="H904" s="56"/>
      <c r="I904" s="56"/>
      <c r="J904" s="56"/>
      <c r="K904" s="56"/>
      <c r="L904" s="56"/>
      <c r="M904" s="56"/>
    </row>
    <row r="905" spans="2:13" ht="15">
      <c r="B905" s="7"/>
      <c r="C905" s="56"/>
      <c r="D905" s="56"/>
      <c r="E905" s="56"/>
      <c r="F905" s="56"/>
      <c r="G905" s="56"/>
      <c r="H905" s="56"/>
      <c r="I905" s="56"/>
      <c r="J905" s="56"/>
      <c r="K905" s="56"/>
      <c r="L905" s="56"/>
      <c r="M905" s="56"/>
    </row>
    <row r="906" spans="2:13" ht="15">
      <c r="B906" s="7"/>
      <c r="C906" s="56"/>
      <c r="D906" s="56"/>
      <c r="E906" s="56"/>
      <c r="F906" s="56"/>
      <c r="G906" s="56"/>
      <c r="H906" s="56"/>
      <c r="I906" s="56"/>
      <c r="J906" s="56"/>
      <c r="K906" s="56"/>
      <c r="L906" s="56"/>
      <c r="M906" s="56"/>
    </row>
    <row r="907" spans="2:13" ht="15">
      <c r="B907" s="7"/>
      <c r="C907" s="56"/>
      <c r="D907" s="56"/>
      <c r="E907" s="56"/>
      <c r="F907" s="56"/>
      <c r="G907" s="56"/>
      <c r="H907" s="56"/>
      <c r="I907" s="56"/>
      <c r="J907" s="56"/>
      <c r="K907" s="56"/>
      <c r="L907" s="56"/>
      <c r="M907" s="56"/>
    </row>
    <row r="908" spans="2:13" ht="15">
      <c r="B908" s="7"/>
      <c r="C908" s="56"/>
      <c r="D908" s="56"/>
      <c r="E908" s="56"/>
      <c r="F908" s="56"/>
      <c r="G908" s="56"/>
      <c r="H908" s="56"/>
      <c r="I908" s="56"/>
      <c r="J908" s="56"/>
      <c r="K908" s="56"/>
      <c r="L908" s="56"/>
      <c r="M908" s="56"/>
    </row>
    <row r="909" spans="2:13" ht="15">
      <c r="B909" s="7"/>
      <c r="C909" s="56"/>
      <c r="D909" s="56"/>
      <c r="E909" s="56"/>
      <c r="F909" s="56"/>
      <c r="G909" s="56"/>
      <c r="H909" s="56"/>
      <c r="I909" s="56"/>
      <c r="J909" s="56"/>
      <c r="K909" s="56"/>
      <c r="L909" s="56"/>
      <c r="M909" s="56"/>
    </row>
    <row r="910" spans="2:13" ht="15">
      <c r="B910" s="7"/>
      <c r="C910" s="56"/>
      <c r="D910" s="56"/>
      <c r="E910" s="56"/>
      <c r="F910" s="56"/>
      <c r="G910" s="56"/>
      <c r="H910" s="56"/>
      <c r="I910" s="56"/>
      <c r="J910" s="56"/>
      <c r="K910" s="56"/>
      <c r="L910" s="56"/>
      <c r="M910" s="56"/>
    </row>
    <row r="911" spans="2:13" ht="15">
      <c r="B911" s="7"/>
      <c r="C911" s="56"/>
      <c r="D911" s="56"/>
      <c r="E911" s="56"/>
      <c r="F911" s="56"/>
      <c r="G911" s="56"/>
      <c r="H911" s="56"/>
      <c r="I911" s="56"/>
      <c r="J911" s="56"/>
      <c r="K911" s="56"/>
      <c r="L911" s="56"/>
      <c r="M911" s="56"/>
    </row>
    <row r="912" spans="2:13" ht="15">
      <c r="B912" s="7"/>
      <c r="C912" s="56"/>
      <c r="D912" s="56"/>
      <c r="E912" s="56"/>
      <c r="F912" s="56"/>
      <c r="G912" s="56"/>
      <c r="H912" s="56"/>
      <c r="I912" s="56"/>
      <c r="J912" s="56"/>
      <c r="K912" s="56"/>
      <c r="L912" s="56"/>
      <c r="M912" s="56"/>
    </row>
    <row r="913" spans="2:13" ht="15">
      <c r="B913" s="7"/>
      <c r="C913" s="56"/>
      <c r="D913" s="56"/>
      <c r="E913" s="56"/>
      <c r="F913" s="56"/>
      <c r="G913" s="56"/>
      <c r="H913" s="56"/>
      <c r="I913" s="56"/>
      <c r="J913" s="56"/>
      <c r="K913" s="56"/>
      <c r="L913" s="56"/>
      <c r="M913" s="56"/>
    </row>
    <row r="914" spans="2:13" ht="15">
      <c r="B914" s="7"/>
      <c r="C914" s="56"/>
      <c r="D914" s="56"/>
      <c r="E914" s="56"/>
      <c r="F914" s="56"/>
      <c r="G914" s="56"/>
      <c r="H914" s="56"/>
      <c r="I914" s="56"/>
      <c r="J914" s="56"/>
      <c r="K914" s="56"/>
      <c r="L914" s="56"/>
      <c r="M914" s="56"/>
    </row>
    <row r="915" spans="2:13" ht="15">
      <c r="B915" s="7"/>
      <c r="C915" s="56"/>
      <c r="D915" s="56"/>
      <c r="E915" s="56"/>
      <c r="F915" s="56"/>
      <c r="G915" s="56"/>
      <c r="H915" s="56"/>
      <c r="I915" s="56"/>
      <c r="J915" s="56"/>
      <c r="K915" s="56"/>
      <c r="L915" s="56"/>
      <c r="M915" s="56"/>
    </row>
    <row r="916" spans="2:13" ht="15">
      <c r="B916" s="7"/>
      <c r="C916" s="56"/>
      <c r="D916" s="56"/>
      <c r="E916" s="56"/>
      <c r="F916" s="56"/>
      <c r="G916" s="56"/>
      <c r="H916" s="56"/>
      <c r="I916" s="56"/>
      <c r="J916" s="56"/>
      <c r="K916" s="56"/>
      <c r="L916" s="56"/>
      <c r="M916" s="56"/>
    </row>
    <row r="917" spans="2:13" ht="15">
      <c r="B917" s="7"/>
      <c r="C917" s="56"/>
      <c r="D917" s="56"/>
      <c r="E917" s="56"/>
      <c r="F917" s="56"/>
      <c r="G917" s="56"/>
      <c r="H917" s="56"/>
      <c r="I917" s="56"/>
      <c r="J917" s="56"/>
      <c r="K917" s="56"/>
      <c r="L917" s="56"/>
      <c r="M917" s="56"/>
    </row>
    <row r="918" spans="2:13" ht="15">
      <c r="B918" s="7"/>
      <c r="C918" s="56"/>
      <c r="D918" s="56"/>
      <c r="E918" s="56"/>
      <c r="F918" s="56"/>
      <c r="G918" s="56"/>
      <c r="H918" s="56"/>
      <c r="I918" s="56"/>
      <c r="J918" s="56"/>
      <c r="K918" s="56"/>
      <c r="L918" s="56"/>
      <c r="M918" s="56"/>
    </row>
    <row r="919" spans="2:13" ht="15">
      <c r="B919" s="7"/>
      <c r="C919" s="56"/>
      <c r="D919" s="56"/>
      <c r="E919" s="56"/>
      <c r="F919" s="56"/>
      <c r="G919" s="56"/>
      <c r="H919" s="56"/>
      <c r="I919" s="56"/>
      <c r="J919" s="56"/>
      <c r="K919" s="56"/>
      <c r="L919" s="56"/>
      <c r="M919" s="56"/>
    </row>
    <row r="920" spans="2:13" ht="15">
      <c r="B920" s="7"/>
      <c r="C920" s="56"/>
      <c r="D920" s="56"/>
      <c r="E920" s="56"/>
      <c r="F920" s="56"/>
      <c r="G920" s="56"/>
      <c r="H920" s="56"/>
      <c r="I920" s="56"/>
      <c r="J920" s="56"/>
      <c r="K920" s="56"/>
      <c r="L920" s="56"/>
      <c r="M920" s="56"/>
    </row>
    <row r="921" spans="2:13" ht="15">
      <c r="B921" s="7"/>
      <c r="C921" s="56"/>
      <c r="D921" s="56"/>
      <c r="E921" s="56"/>
      <c r="F921" s="56"/>
      <c r="G921" s="56"/>
      <c r="H921" s="56"/>
      <c r="I921" s="56"/>
      <c r="J921" s="56"/>
      <c r="K921" s="56"/>
      <c r="L921" s="56"/>
      <c r="M921" s="56"/>
    </row>
    <row r="922" spans="2:13" ht="15">
      <c r="B922" s="7"/>
      <c r="C922" s="56"/>
      <c r="D922" s="56"/>
      <c r="E922" s="56"/>
      <c r="F922" s="56"/>
      <c r="G922" s="56"/>
      <c r="H922" s="56"/>
      <c r="I922" s="56"/>
      <c r="J922" s="56"/>
      <c r="K922" s="56"/>
      <c r="L922" s="56"/>
      <c r="M922" s="56"/>
    </row>
    <row r="923" spans="2:13" ht="15">
      <c r="B923" s="7"/>
      <c r="C923" s="56"/>
      <c r="D923" s="56"/>
      <c r="E923" s="56"/>
      <c r="F923" s="56"/>
      <c r="G923" s="56"/>
      <c r="H923" s="56"/>
      <c r="I923" s="56"/>
      <c r="J923" s="56"/>
      <c r="K923" s="56"/>
      <c r="L923" s="56"/>
      <c r="M923" s="56"/>
    </row>
    <row r="924" spans="2:13" ht="15">
      <c r="B924" s="7"/>
      <c r="C924" s="56"/>
      <c r="D924" s="56"/>
      <c r="E924" s="56"/>
      <c r="F924" s="56"/>
      <c r="G924" s="56"/>
      <c r="H924" s="56"/>
      <c r="I924" s="56"/>
      <c r="J924" s="56"/>
      <c r="K924" s="56"/>
      <c r="L924" s="56"/>
      <c r="M924" s="56"/>
    </row>
    <row r="925" spans="2:13" ht="15">
      <c r="B925" s="7"/>
      <c r="C925" s="56"/>
      <c r="D925" s="56"/>
      <c r="E925" s="56"/>
      <c r="F925" s="56"/>
      <c r="G925" s="56"/>
      <c r="H925" s="56"/>
      <c r="I925" s="56"/>
      <c r="J925" s="56"/>
      <c r="K925" s="56"/>
      <c r="L925" s="56"/>
      <c r="M925" s="56"/>
    </row>
    <row r="926" spans="2:13" ht="15">
      <c r="B926" s="7"/>
      <c r="C926" s="56"/>
      <c r="D926" s="56"/>
      <c r="E926" s="56"/>
      <c r="F926" s="56"/>
      <c r="G926" s="56"/>
      <c r="H926" s="56"/>
      <c r="I926" s="56"/>
      <c r="J926" s="56"/>
      <c r="K926" s="56"/>
      <c r="L926" s="56"/>
      <c r="M926" s="56"/>
    </row>
    <row r="927" spans="2:13" ht="15">
      <c r="B927" s="7"/>
      <c r="C927" s="56"/>
      <c r="D927" s="56"/>
      <c r="E927" s="56"/>
      <c r="F927" s="56"/>
      <c r="G927" s="56"/>
      <c r="H927" s="56"/>
      <c r="I927" s="56"/>
      <c r="J927" s="56"/>
      <c r="K927" s="56"/>
      <c r="L927" s="56"/>
      <c r="M927" s="56"/>
    </row>
    <row r="928" spans="2:13" ht="15">
      <c r="B928" s="7"/>
      <c r="C928" s="56"/>
      <c r="D928" s="56"/>
      <c r="E928" s="56"/>
      <c r="F928" s="56"/>
      <c r="G928" s="56"/>
      <c r="H928" s="56"/>
      <c r="I928" s="56"/>
      <c r="J928" s="56"/>
      <c r="K928" s="56"/>
      <c r="L928" s="56"/>
      <c r="M928" s="56"/>
    </row>
    <row r="929" spans="2:13" ht="15">
      <c r="B929" s="7"/>
      <c r="C929" s="56"/>
      <c r="D929" s="56"/>
      <c r="E929" s="56"/>
      <c r="F929" s="56"/>
      <c r="G929" s="56"/>
      <c r="H929" s="56"/>
      <c r="I929" s="56"/>
      <c r="J929" s="56"/>
      <c r="K929" s="56"/>
      <c r="L929" s="56"/>
      <c r="M929" s="56"/>
    </row>
    <row r="930" spans="2:13" ht="15">
      <c r="B930" s="7"/>
      <c r="C930" s="56"/>
      <c r="D930" s="56"/>
      <c r="E930" s="56"/>
      <c r="F930" s="56"/>
      <c r="G930" s="56"/>
      <c r="H930" s="56"/>
      <c r="I930" s="56"/>
      <c r="J930" s="56"/>
      <c r="K930" s="56"/>
      <c r="L930" s="56"/>
      <c r="M930" s="56"/>
    </row>
    <row r="931" spans="2:13" ht="15">
      <c r="B931" s="7"/>
      <c r="C931" s="56"/>
      <c r="D931" s="56"/>
      <c r="E931" s="56"/>
      <c r="F931" s="56"/>
      <c r="G931" s="56"/>
      <c r="H931" s="56"/>
      <c r="I931" s="56"/>
      <c r="J931" s="56"/>
      <c r="K931" s="56"/>
      <c r="L931" s="56"/>
      <c r="M931" s="56"/>
    </row>
    <row r="932" spans="2:13" ht="15">
      <c r="B932" s="7"/>
      <c r="C932" s="56"/>
      <c r="D932" s="56"/>
      <c r="E932" s="56"/>
      <c r="F932" s="56"/>
      <c r="G932" s="56"/>
      <c r="H932" s="56"/>
      <c r="I932" s="56"/>
      <c r="J932" s="56"/>
      <c r="K932" s="56"/>
      <c r="L932" s="56"/>
      <c r="M932" s="56"/>
    </row>
    <row r="933" spans="2:13" ht="15">
      <c r="B933" s="7"/>
      <c r="C933" s="56"/>
      <c r="D933" s="56"/>
      <c r="E933" s="56"/>
      <c r="F933" s="56"/>
      <c r="G933" s="56"/>
      <c r="H933" s="56"/>
      <c r="I933" s="56"/>
      <c r="J933" s="56"/>
      <c r="K933" s="56"/>
      <c r="L933" s="56"/>
      <c r="M933" s="56"/>
    </row>
    <row r="934" spans="2:13" ht="15">
      <c r="B934" s="7"/>
      <c r="C934" s="56"/>
      <c r="D934" s="56"/>
      <c r="E934" s="56"/>
      <c r="F934" s="56"/>
      <c r="G934" s="56"/>
      <c r="H934" s="56"/>
      <c r="I934" s="56"/>
      <c r="J934" s="56"/>
      <c r="K934" s="56"/>
      <c r="L934" s="56"/>
      <c r="M934" s="56"/>
    </row>
    <row r="935" spans="2:13" ht="15">
      <c r="B935" s="7"/>
      <c r="C935" s="56"/>
      <c r="D935" s="56"/>
      <c r="E935" s="56"/>
      <c r="F935" s="56"/>
      <c r="G935" s="56"/>
      <c r="H935" s="56"/>
      <c r="I935" s="56"/>
      <c r="J935" s="56"/>
      <c r="K935" s="56"/>
      <c r="L935" s="56"/>
      <c r="M935" s="56"/>
    </row>
    <row r="936" spans="2:13" ht="15">
      <c r="B936" s="7"/>
      <c r="C936" s="56"/>
      <c r="D936" s="56"/>
      <c r="E936" s="56"/>
      <c r="F936" s="56"/>
      <c r="G936" s="56"/>
      <c r="H936" s="56"/>
      <c r="I936" s="56"/>
      <c r="J936" s="56"/>
      <c r="K936" s="56"/>
      <c r="L936" s="56"/>
      <c r="M936" s="56"/>
    </row>
    <row r="937" spans="2:13" ht="15">
      <c r="B937" s="7"/>
      <c r="C937" s="56"/>
      <c r="D937" s="56"/>
      <c r="E937" s="56"/>
      <c r="F937" s="56"/>
      <c r="G937" s="56"/>
      <c r="H937" s="56"/>
      <c r="I937" s="56"/>
      <c r="J937" s="56"/>
      <c r="K937" s="56"/>
      <c r="L937" s="56"/>
      <c r="M937" s="56"/>
    </row>
    <row r="938" spans="2:13" ht="15">
      <c r="B938" s="7"/>
      <c r="C938" s="56"/>
      <c r="D938" s="56"/>
      <c r="E938" s="56"/>
      <c r="F938" s="56"/>
      <c r="G938" s="56"/>
      <c r="H938" s="56"/>
      <c r="I938" s="56"/>
      <c r="J938" s="56"/>
      <c r="K938" s="56"/>
      <c r="L938" s="56"/>
      <c r="M938" s="56"/>
    </row>
    <row r="939" spans="2:13" ht="15">
      <c r="B939" s="7"/>
      <c r="C939" s="56"/>
      <c r="D939" s="56"/>
      <c r="E939" s="56"/>
      <c r="F939" s="56"/>
      <c r="G939" s="56"/>
      <c r="H939" s="56"/>
      <c r="I939" s="56"/>
      <c r="J939" s="56"/>
      <c r="K939" s="56"/>
      <c r="L939" s="56"/>
      <c r="M939" s="56"/>
    </row>
    <row r="940" spans="2:13" ht="15">
      <c r="B940" s="7"/>
      <c r="C940" s="56"/>
      <c r="D940" s="56"/>
      <c r="E940" s="56"/>
      <c r="F940" s="56"/>
      <c r="G940" s="56"/>
      <c r="H940" s="56"/>
      <c r="I940" s="56"/>
      <c r="J940" s="56"/>
      <c r="K940" s="56"/>
      <c r="L940" s="56"/>
      <c r="M940" s="56"/>
    </row>
    <row r="941" spans="2:13" ht="15">
      <c r="B941" s="7"/>
      <c r="C941" s="56"/>
      <c r="D941" s="56"/>
      <c r="E941" s="56"/>
      <c r="F941" s="56"/>
      <c r="G941" s="56"/>
      <c r="H941" s="56"/>
      <c r="I941" s="56"/>
      <c r="J941" s="56"/>
      <c r="K941" s="56"/>
      <c r="L941" s="56"/>
      <c r="M941" s="56"/>
    </row>
    <row r="942" spans="2:13" ht="15">
      <c r="B942" s="7"/>
      <c r="C942" s="56"/>
      <c r="D942" s="56"/>
      <c r="E942" s="56"/>
      <c r="F942" s="56"/>
      <c r="G942" s="56"/>
      <c r="H942" s="56"/>
      <c r="I942" s="56"/>
      <c r="J942" s="56"/>
      <c r="K942" s="56"/>
      <c r="L942" s="56"/>
      <c r="M942" s="56"/>
    </row>
    <row r="943" spans="2:13" ht="15">
      <c r="B943" s="7"/>
      <c r="C943" s="56"/>
      <c r="D943" s="56"/>
      <c r="E943" s="56"/>
      <c r="F943" s="56"/>
      <c r="G943" s="56"/>
      <c r="H943" s="56"/>
      <c r="I943" s="56"/>
      <c r="J943" s="56"/>
      <c r="K943" s="56"/>
      <c r="L943" s="56"/>
      <c r="M943" s="56"/>
    </row>
    <row r="944" spans="2:13" ht="15">
      <c r="B944" s="7"/>
      <c r="C944" s="56"/>
      <c r="D944" s="56"/>
      <c r="E944" s="56"/>
      <c r="F944" s="56"/>
      <c r="G944" s="56"/>
      <c r="H944" s="56"/>
      <c r="I944" s="56"/>
      <c r="J944" s="56"/>
      <c r="K944" s="56"/>
      <c r="L944" s="56"/>
      <c r="M944" s="56"/>
    </row>
    <row r="945" spans="2:13" ht="15">
      <c r="B945" s="7"/>
      <c r="C945" s="56"/>
      <c r="D945" s="56"/>
      <c r="E945" s="56"/>
      <c r="F945" s="56"/>
      <c r="G945" s="56"/>
      <c r="H945" s="56"/>
      <c r="I945" s="56"/>
      <c r="J945" s="56"/>
      <c r="K945" s="56"/>
      <c r="L945" s="56"/>
      <c r="M945" s="56"/>
    </row>
    <row r="946" spans="2:13" ht="15">
      <c r="B946" s="7"/>
      <c r="C946" s="56"/>
      <c r="D946" s="56"/>
      <c r="E946" s="56"/>
      <c r="F946" s="56"/>
      <c r="G946" s="56"/>
      <c r="H946" s="56"/>
      <c r="I946" s="56"/>
      <c r="J946" s="56"/>
      <c r="K946" s="56"/>
      <c r="L946" s="56"/>
      <c r="M946" s="56"/>
    </row>
    <row r="947" spans="2:13" ht="15">
      <c r="B947" s="7"/>
      <c r="C947" s="56"/>
      <c r="D947" s="56"/>
      <c r="E947" s="56"/>
      <c r="F947" s="56"/>
      <c r="G947" s="56"/>
      <c r="H947" s="56"/>
      <c r="I947" s="56"/>
      <c r="J947" s="56"/>
      <c r="K947" s="56"/>
      <c r="L947" s="56"/>
      <c r="M947" s="56"/>
    </row>
    <row r="948" spans="2:13" ht="15">
      <c r="B948" s="7"/>
      <c r="C948" s="56"/>
      <c r="D948" s="56"/>
      <c r="E948" s="56"/>
      <c r="F948" s="56"/>
      <c r="G948" s="56"/>
      <c r="H948" s="56"/>
      <c r="I948" s="56"/>
      <c r="J948" s="56"/>
      <c r="K948" s="56"/>
      <c r="L948" s="56"/>
      <c r="M948" s="56"/>
    </row>
    <row r="949" spans="2:13" ht="15">
      <c r="B949" s="7"/>
      <c r="C949" s="56"/>
      <c r="D949" s="56"/>
      <c r="E949" s="56"/>
      <c r="F949" s="56"/>
      <c r="G949" s="56"/>
      <c r="H949" s="56"/>
      <c r="I949" s="56"/>
      <c r="J949" s="56"/>
      <c r="K949" s="56"/>
      <c r="L949" s="56"/>
      <c r="M949" s="56"/>
    </row>
    <row r="950" spans="2:13" ht="15">
      <c r="B950" s="7"/>
      <c r="C950" s="56"/>
      <c r="D950" s="56"/>
      <c r="E950" s="56"/>
      <c r="F950" s="56"/>
      <c r="G950" s="56"/>
      <c r="H950" s="56"/>
      <c r="I950" s="56"/>
      <c r="J950" s="56"/>
      <c r="K950" s="56"/>
      <c r="L950" s="56"/>
      <c r="M950" s="56"/>
    </row>
    <row r="951" spans="2:13" ht="15">
      <c r="B951" s="7"/>
      <c r="C951" s="56"/>
      <c r="D951" s="56"/>
      <c r="E951" s="56"/>
      <c r="F951" s="56"/>
      <c r="G951" s="56"/>
      <c r="H951" s="56"/>
      <c r="I951" s="56"/>
      <c r="J951" s="56"/>
      <c r="K951" s="56"/>
      <c r="L951" s="56"/>
      <c r="M951" s="56"/>
    </row>
    <row r="952" spans="2:13" ht="15">
      <c r="B952" s="7"/>
      <c r="C952" s="56"/>
      <c r="D952" s="56"/>
      <c r="E952" s="56"/>
      <c r="F952" s="56"/>
      <c r="G952" s="56"/>
      <c r="H952" s="56"/>
      <c r="I952" s="56"/>
      <c r="J952" s="56"/>
      <c r="K952" s="56"/>
      <c r="L952" s="56"/>
      <c r="M952" s="56"/>
    </row>
    <row r="953" spans="2:13" ht="15">
      <c r="B953" s="7"/>
      <c r="C953" s="56"/>
      <c r="D953" s="56"/>
      <c r="E953" s="56"/>
      <c r="F953" s="56"/>
      <c r="G953" s="56"/>
      <c r="H953" s="56"/>
      <c r="I953" s="56"/>
      <c r="J953" s="56"/>
      <c r="K953" s="56"/>
      <c r="L953" s="56"/>
      <c r="M953" s="56"/>
    </row>
    <row r="954" spans="2:13" ht="15">
      <c r="B954" s="7"/>
      <c r="C954" s="56"/>
      <c r="D954" s="56"/>
      <c r="E954" s="56"/>
      <c r="F954" s="56"/>
      <c r="G954" s="56"/>
      <c r="H954" s="56"/>
      <c r="I954" s="56"/>
      <c r="J954" s="56"/>
      <c r="K954" s="56"/>
      <c r="L954" s="56"/>
      <c r="M954" s="56"/>
    </row>
    <row r="955" spans="2:13" ht="15">
      <c r="B955" s="7"/>
      <c r="C955" s="56"/>
      <c r="D955" s="56"/>
      <c r="E955" s="56"/>
      <c r="F955" s="56"/>
      <c r="G955" s="56"/>
      <c r="H955" s="56"/>
      <c r="I955" s="56"/>
      <c r="J955" s="56"/>
      <c r="K955" s="56"/>
      <c r="L955" s="56"/>
      <c r="M955" s="56"/>
    </row>
    <row r="956" spans="2:13" ht="15">
      <c r="B956" s="7"/>
      <c r="C956" s="56"/>
      <c r="D956" s="56"/>
      <c r="E956" s="56"/>
      <c r="F956" s="56"/>
      <c r="G956" s="56"/>
      <c r="H956" s="56"/>
      <c r="I956" s="56"/>
      <c r="J956" s="56"/>
      <c r="K956" s="56"/>
      <c r="L956" s="56"/>
      <c r="M956" s="56"/>
    </row>
    <row r="957" spans="2:13" ht="15">
      <c r="B957" s="7"/>
      <c r="C957" s="56"/>
      <c r="D957" s="56"/>
      <c r="E957" s="56"/>
      <c r="F957" s="56"/>
      <c r="G957" s="56"/>
      <c r="H957" s="56"/>
      <c r="I957" s="56"/>
      <c r="J957" s="56"/>
      <c r="K957" s="56"/>
      <c r="L957" s="56"/>
      <c r="M957" s="56"/>
    </row>
    <row r="958" spans="2:13" ht="15">
      <c r="B958" s="7"/>
      <c r="C958" s="56"/>
      <c r="D958" s="56"/>
      <c r="E958" s="56"/>
      <c r="F958" s="56"/>
      <c r="G958" s="56"/>
      <c r="H958" s="56"/>
      <c r="I958" s="56"/>
      <c r="J958" s="56"/>
      <c r="K958" s="56"/>
      <c r="L958" s="56"/>
      <c r="M958" s="56"/>
    </row>
    <row r="959" spans="2:13" ht="15">
      <c r="B959" s="7"/>
      <c r="C959" s="56"/>
      <c r="D959" s="56"/>
      <c r="E959" s="56"/>
      <c r="F959" s="56"/>
      <c r="G959" s="56"/>
      <c r="H959" s="56"/>
      <c r="I959" s="56"/>
      <c r="J959" s="56"/>
      <c r="K959" s="56"/>
      <c r="L959" s="56"/>
      <c r="M959" s="56"/>
    </row>
    <row r="960" spans="2:13" ht="15">
      <c r="B960" s="7"/>
      <c r="C960" s="56"/>
      <c r="D960" s="56"/>
      <c r="E960" s="56"/>
      <c r="F960" s="56"/>
      <c r="G960" s="56"/>
      <c r="H960" s="56"/>
      <c r="I960" s="56"/>
      <c r="J960" s="56"/>
      <c r="K960" s="56"/>
      <c r="L960" s="56"/>
      <c r="M960" s="56"/>
    </row>
    <row r="961" spans="2:13" ht="15">
      <c r="B961" s="7"/>
      <c r="C961" s="56"/>
      <c r="D961" s="56"/>
      <c r="E961" s="56"/>
      <c r="F961" s="56"/>
      <c r="G961" s="56"/>
      <c r="H961" s="56"/>
      <c r="I961" s="56"/>
      <c r="J961" s="56"/>
      <c r="K961" s="56"/>
      <c r="L961" s="56"/>
      <c r="M961" s="56"/>
    </row>
    <row r="962" spans="2:13" ht="15">
      <c r="B962" s="7"/>
      <c r="C962" s="56"/>
      <c r="D962" s="56"/>
      <c r="E962" s="56"/>
      <c r="F962" s="56"/>
      <c r="G962" s="56"/>
      <c r="H962" s="56"/>
      <c r="I962" s="56"/>
      <c r="J962" s="56"/>
      <c r="K962" s="56"/>
      <c r="L962" s="56"/>
      <c r="M962" s="56"/>
    </row>
    <row r="963" spans="2:13" ht="15">
      <c r="B963" s="7"/>
      <c r="C963" s="56"/>
      <c r="D963" s="56"/>
      <c r="E963" s="56"/>
      <c r="F963" s="56"/>
      <c r="G963" s="56"/>
      <c r="H963" s="56"/>
      <c r="I963" s="56"/>
      <c r="J963" s="56"/>
      <c r="K963" s="56"/>
      <c r="L963" s="56"/>
      <c r="M963" s="56"/>
    </row>
    <row r="964" spans="2:13" ht="15">
      <c r="B964" s="7"/>
      <c r="C964" s="56"/>
      <c r="D964" s="56"/>
      <c r="E964" s="56"/>
      <c r="F964" s="56"/>
      <c r="G964" s="56"/>
      <c r="H964" s="56"/>
      <c r="I964" s="56"/>
      <c r="J964" s="56"/>
      <c r="K964" s="56"/>
      <c r="L964" s="56"/>
      <c r="M964" s="56"/>
    </row>
    <row r="965" spans="2:13" ht="15">
      <c r="B965" s="7"/>
      <c r="C965" s="56"/>
      <c r="D965" s="56"/>
      <c r="E965" s="56"/>
      <c r="F965" s="56"/>
      <c r="G965" s="56"/>
      <c r="H965" s="56"/>
      <c r="I965" s="56"/>
      <c r="J965" s="56"/>
      <c r="K965" s="56"/>
      <c r="L965" s="56"/>
      <c r="M965" s="56"/>
    </row>
    <row r="966" spans="2:13" ht="15">
      <c r="B966" s="7"/>
      <c r="C966" s="56"/>
      <c r="D966" s="56"/>
      <c r="E966" s="56"/>
      <c r="F966" s="56"/>
      <c r="G966" s="56"/>
      <c r="H966" s="56"/>
      <c r="I966" s="56"/>
      <c r="J966" s="56"/>
      <c r="K966" s="56"/>
      <c r="L966" s="56"/>
      <c r="M966" s="56"/>
    </row>
    <row r="967" spans="2:13" ht="15">
      <c r="B967" s="7"/>
      <c r="C967" s="56"/>
      <c r="D967" s="56"/>
      <c r="E967" s="56"/>
      <c r="F967" s="56"/>
      <c r="G967" s="56"/>
      <c r="H967" s="56"/>
      <c r="I967" s="56"/>
      <c r="J967" s="56"/>
      <c r="K967" s="56"/>
      <c r="L967" s="56"/>
      <c r="M967" s="56"/>
    </row>
    <row r="968" spans="2:13" ht="15">
      <c r="B968" s="7"/>
      <c r="C968" s="56"/>
      <c r="D968" s="56"/>
      <c r="E968" s="56"/>
      <c r="F968" s="56"/>
      <c r="G968" s="56"/>
      <c r="H968" s="56"/>
      <c r="I968" s="56"/>
      <c r="J968" s="56"/>
      <c r="K968" s="56"/>
      <c r="L968" s="56"/>
      <c r="M968" s="56"/>
    </row>
    <row r="969" spans="2:13" ht="15">
      <c r="B969" s="7"/>
      <c r="C969" s="56"/>
      <c r="D969" s="56"/>
      <c r="E969" s="56"/>
      <c r="F969" s="56"/>
      <c r="G969" s="56"/>
      <c r="H969" s="56"/>
      <c r="I969" s="56"/>
      <c r="J969" s="56"/>
      <c r="K969" s="56"/>
      <c r="L969" s="56"/>
      <c r="M969" s="56"/>
    </row>
    <row r="970" spans="2:13" ht="15">
      <c r="B970" s="7"/>
      <c r="C970" s="56"/>
      <c r="D970" s="56"/>
      <c r="E970" s="56"/>
      <c r="F970" s="56"/>
      <c r="G970" s="56"/>
      <c r="H970" s="56"/>
      <c r="I970" s="56"/>
      <c r="J970" s="56"/>
      <c r="K970" s="56"/>
      <c r="L970" s="56"/>
      <c r="M970" s="56"/>
    </row>
    <row r="971" spans="2:13" ht="15">
      <c r="B971" s="7"/>
      <c r="C971" s="56"/>
      <c r="D971" s="56"/>
      <c r="E971" s="56"/>
      <c r="F971" s="56"/>
      <c r="G971" s="56"/>
      <c r="H971" s="56"/>
      <c r="I971" s="56"/>
      <c r="J971" s="56"/>
      <c r="K971" s="56"/>
      <c r="L971" s="56"/>
      <c r="M971" s="56"/>
    </row>
    <row r="972" spans="2:13" ht="15">
      <c r="B972" s="7"/>
      <c r="C972" s="56"/>
      <c r="D972" s="56"/>
      <c r="E972" s="56"/>
      <c r="F972" s="56"/>
      <c r="G972" s="56"/>
      <c r="H972" s="56"/>
      <c r="I972" s="56"/>
      <c r="J972" s="56"/>
      <c r="K972" s="56"/>
      <c r="L972" s="56"/>
      <c r="M972" s="56"/>
    </row>
    <row r="973" spans="2:13" ht="15">
      <c r="B973" s="7"/>
      <c r="C973" s="56"/>
      <c r="D973" s="56"/>
      <c r="E973" s="56"/>
      <c r="F973" s="56"/>
      <c r="G973" s="56"/>
      <c r="H973" s="56"/>
      <c r="I973" s="56"/>
      <c r="J973" s="56"/>
      <c r="K973" s="56"/>
      <c r="L973" s="56"/>
      <c r="M973" s="56"/>
    </row>
    <row r="974" spans="2:13" ht="15">
      <c r="B974" s="7"/>
      <c r="C974" s="56"/>
      <c r="D974" s="56"/>
      <c r="E974" s="56"/>
      <c r="F974" s="56"/>
      <c r="G974" s="56"/>
      <c r="H974" s="56"/>
      <c r="I974" s="56"/>
      <c r="J974" s="56"/>
      <c r="K974" s="56"/>
      <c r="L974" s="56"/>
      <c r="M974" s="56"/>
    </row>
    <row r="975" spans="2:13" ht="15">
      <c r="B975" s="7"/>
      <c r="C975" s="56"/>
      <c r="D975" s="56"/>
      <c r="E975" s="56"/>
      <c r="F975" s="56"/>
      <c r="G975" s="56"/>
      <c r="H975" s="56"/>
      <c r="I975" s="56"/>
      <c r="J975" s="56"/>
      <c r="K975" s="56"/>
      <c r="L975" s="56"/>
      <c r="M975" s="56"/>
    </row>
    <row r="976" spans="2:13" ht="15">
      <c r="B976" s="7"/>
      <c r="C976" s="56"/>
      <c r="D976" s="56"/>
      <c r="E976" s="56"/>
      <c r="F976" s="56"/>
      <c r="G976" s="56"/>
      <c r="H976" s="56"/>
      <c r="I976" s="56"/>
      <c r="J976" s="56"/>
      <c r="K976" s="56"/>
      <c r="L976" s="56"/>
      <c r="M976" s="56"/>
    </row>
    <row r="977" spans="2:13" ht="15">
      <c r="B977" s="7"/>
      <c r="C977" s="56"/>
      <c r="D977" s="56"/>
      <c r="E977" s="56"/>
      <c r="F977" s="56"/>
      <c r="G977" s="56"/>
      <c r="H977" s="56"/>
      <c r="I977" s="56"/>
      <c r="J977" s="56"/>
      <c r="K977" s="56"/>
      <c r="L977" s="56"/>
      <c r="M977" s="56"/>
    </row>
    <row r="978" spans="2:13" ht="15">
      <c r="B978" s="7"/>
      <c r="C978" s="56"/>
      <c r="D978" s="56"/>
      <c r="E978" s="56"/>
      <c r="F978" s="56"/>
      <c r="G978" s="56"/>
      <c r="H978" s="56"/>
      <c r="I978" s="56"/>
      <c r="J978" s="56"/>
      <c r="K978" s="56"/>
      <c r="L978" s="56"/>
      <c r="M978" s="56"/>
    </row>
    <row r="979" spans="2:13" ht="15">
      <c r="B979" s="7"/>
      <c r="C979" s="56"/>
      <c r="D979" s="56"/>
      <c r="E979" s="56"/>
      <c r="F979" s="56"/>
      <c r="G979" s="56"/>
      <c r="H979" s="56"/>
      <c r="I979" s="56"/>
      <c r="J979" s="56"/>
      <c r="K979" s="56"/>
      <c r="L979" s="56"/>
      <c r="M979" s="56"/>
    </row>
    <row r="980" spans="2:13" ht="15">
      <c r="B980" s="7"/>
      <c r="C980" s="56"/>
      <c r="D980" s="56"/>
      <c r="E980" s="56"/>
      <c r="F980" s="56"/>
      <c r="G980" s="56"/>
      <c r="H980" s="56"/>
      <c r="I980" s="56"/>
      <c r="J980" s="56"/>
      <c r="K980" s="56"/>
      <c r="L980" s="56"/>
      <c r="M980" s="56"/>
    </row>
    <row r="981" spans="2:13" ht="15">
      <c r="B981" s="7"/>
      <c r="C981" s="56"/>
      <c r="D981" s="56"/>
      <c r="E981" s="56"/>
      <c r="F981" s="56"/>
      <c r="G981" s="56"/>
      <c r="H981" s="56"/>
      <c r="I981" s="56"/>
      <c r="J981" s="56"/>
      <c r="K981" s="56"/>
      <c r="L981" s="56"/>
      <c r="M981" s="56"/>
    </row>
    <row r="982" spans="2:13" ht="15">
      <c r="B982" s="7"/>
      <c r="C982" s="56"/>
      <c r="D982" s="56"/>
      <c r="E982" s="56"/>
      <c r="F982" s="56"/>
      <c r="G982" s="56"/>
      <c r="H982" s="56"/>
      <c r="I982" s="56"/>
      <c r="J982" s="56"/>
      <c r="K982" s="56"/>
      <c r="L982" s="56"/>
      <c r="M982" s="56"/>
    </row>
    <row r="983" spans="2:13" ht="15">
      <c r="B983" s="7"/>
      <c r="C983" s="56"/>
      <c r="D983" s="56"/>
      <c r="E983" s="56"/>
      <c r="F983" s="56"/>
      <c r="G983" s="56"/>
      <c r="H983" s="56"/>
      <c r="I983" s="56"/>
      <c r="J983" s="56"/>
      <c r="K983" s="56"/>
      <c r="L983" s="56"/>
      <c r="M983" s="56"/>
    </row>
    <row r="984" spans="2:13" ht="15">
      <c r="B984" s="7"/>
      <c r="C984" s="56"/>
      <c r="D984" s="56"/>
      <c r="E984" s="56"/>
      <c r="F984" s="56"/>
      <c r="G984" s="56"/>
      <c r="H984" s="56"/>
      <c r="I984" s="56"/>
      <c r="J984" s="56"/>
      <c r="K984" s="56"/>
      <c r="L984" s="56"/>
      <c r="M984" s="56"/>
    </row>
    <row r="985" spans="2:13" ht="15">
      <c r="B985" s="7"/>
      <c r="C985" s="56"/>
      <c r="D985" s="56"/>
      <c r="E985" s="56"/>
      <c r="F985" s="56"/>
      <c r="G985" s="56"/>
      <c r="H985" s="56"/>
      <c r="I985" s="56"/>
      <c r="J985" s="56"/>
      <c r="K985" s="56"/>
      <c r="L985" s="56"/>
      <c r="M985" s="56"/>
    </row>
    <row r="986" spans="2:13" ht="15">
      <c r="B986" s="7"/>
      <c r="C986" s="56"/>
      <c r="D986" s="56"/>
      <c r="E986" s="56"/>
      <c r="F986" s="56"/>
      <c r="G986" s="56"/>
      <c r="H986" s="56"/>
      <c r="I986" s="56"/>
      <c r="J986" s="56"/>
      <c r="K986" s="56"/>
      <c r="L986" s="56"/>
      <c r="M986" s="56"/>
    </row>
    <row r="987" spans="2:13" ht="15">
      <c r="B987" s="7"/>
      <c r="C987" s="56"/>
      <c r="D987" s="56"/>
      <c r="E987" s="56"/>
      <c r="F987" s="56"/>
      <c r="G987" s="56"/>
      <c r="H987" s="56"/>
      <c r="I987" s="56"/>
      <c r="J987" s="56"/>
      <c r="K987" s="56"/>
      <c r="L987" s="56"/>
      <c r="M987" s="56"/>
    </row>
    <row r="988" spans="2:13" ht="15">
      <c r="B988" s="7"/>
      <c r="C988" s="56"/>
      <c r="D988" s="56"/>
      <c r="E988" s="56"/>
      <c r="F988" s="56"/>
      <c r="G988" s="56"/>
      <c r="H988" s="56"/>
      <c r="I988" s="56"/>
      <c r="J988" s="56"/>
      <c r="K988" s="56"/>
      <c r="L988" s="56"/>
      <c r="M988" s="56"/>
    </row>
    <row r="989" spans="2:13" ht="15">
      <c r="B989" s="7"/>
      <c r="C989" s="56"/>
      <c r="D989" s="56"/>
      <c r="E989" s="56"/>
      <c r="F989" s="56"/>
      <c r="G989" s="56"/>
      <c r="H989" s="56"/>
      <c r="I989" s="56"/>
      <c r="J989" s="56"/>
      <c r="K989" s="56"/>
      <c r="L989" s="56"/>
      <c r="M989" s="56"/>
    </row>
    <row r="990" spans="2:13" ht="15">
      <c r="B990" s="7"/>
      <c r="C990" s="56"/>
      <c r="D990" s="56"/>
      <c r="E990" s="56"/>
      <c r="F990" s="56"/>
      <c r="G990" s="56"/>
      <c r="H990" s="56"/>
      <c r="I990" s="56"/>
      <c r="J990" s="56"/>
      <c r="K990" s="56"/>
      <c r="L990" s="56"/>
      <c r="M990" s="56"/>
    </row>
    <row r="991" spans="2:13" ht="15">
      <c r="B991" s="7"/>
      <c r="C991" s="56"/>
      <c r="D991" s="56"/>
      <c r="E991" s="56"/>
      <c r="F991" s="56"/>
      <c r="G991" s="56"/>
      <c r="H991" s="56"/>
      <c r="I991" s="56"/>
      <c r="J991" s="56"/>
      <c r="K991" s="56"/>
      <c r="L991" s="56"/>
      <c r="M991" s="56"/>
    </row>
    <row r="992" spans="2:13" ht="15">
      <c r="B992" s="7"/>
      <c r="C992" s="56"/>
      <c r="D992" s="56"/>
      <c r="E992" s="56"/>
      <c r="F992" s="56"/>
      <c r="G992" s="56"/>
      <c r="H992" s="56"/>
      <c r="I992" s="56"/>
      <c r="J992" s="56"/>
      <c r="K992" s="56"/>
      <c r="L992" s="56"/>
      <c r="M992" s="56"/>
    </row>
    <row r="993" spans="2:13" ht="15">
      <c r="B993" s="7"/>
      <c r="C993" s="56"/>
      <c r="D993" s="56"/>
      <c r="E993" s="56"/>
      <c r="F993" s="56"/>
      <c r="G993" s="56"/>
      <c r="H993" s="56"/>
      <c r="I993" s="56"/>
      <c r="J993" s="56"/>
      <c r="K993" s="56"/>
      <c r="L993" s="56"/>
      <c r="M993" s="56"/>
    </row>
    <row r="994" spans="2:13" ht="15">
      <c r="B994" s="7"/>
      <c r="C994" s="56"/>
      <c r="D994" s="56"/>
      <c r="E994" s="56"/>
      <c r="F994" s="56"/>
      <c r="G994" s="56"/>
      <c r="H994" s="56"/>
      <c r="I994" s="56"/>
      <c r="J994" s="56"/>
      <c r="K994" s="56"/>
      <c r="L994" s="56"/>
      <c r="M994" s="56"/>
    </row>
    <row r="995" spans="2:13" ht="15">
      <c r="B995" s="7"/>
      <c r="C995" s="56"/>
      <c r="D995" s="56"/>
      <c r="E995" s="56"/>
      <c r="F995" s="56"/>
      <c r="G995" s="56"/>
      <c r="H995" s="56"/>
      <c r="I995" s="56"/>
      <c r="J995" s="56"/>
      <c r="K995" s="56"/>
      <c r="L995" s="56"/>
      <c r="M995" s="56"/>
    </row>
    <row r="996" spans="2:13" ht="15">
      <c r="B996" s="7"/>
      <c r="C996" s="56"/>
      <c r="D996" s="56"/>
      <c r="E996" s="56"/>
      <c r="F996" s="56"/>
      <c r="G996" s="56"/>
      <c r="H996" s="56"/>
      <c r="I996" s="56"/>
      <c r="J996" s="56"/>
      <c r="K996" s="56"/>
      <c r="L996" s="56"/>
      <c r="M996" s="56"/>
    </row>
    <row r="997" spans="2:13" ht="15">
      <c r="B997" s="7"/>
      <c r="C997" s="56"/>
      <c r="D997" s="56"/>
      <c r="E997" s="56"/>
      <c r="F997" s="56"/>
      <c r="G997" s="56"/>
      <c r="H997" s="56"/>
      <c r="I997" s="56"/>
      <c r="J997" s="56"/>
      <c r="K997" s="56"/>
      <c r="L997" s="56"/>
      <c r="M997" s="56"/>
    </row>
    <row r="998" spans="2:13" ht="15">
      <c r="B998" s="7"/>
      <c r="C998" s="56"/>
      <c r="D998" s="56"/>
      <c r="E998" s="56"/>
      <c r="F998" s="56"/>
      <c r="G998" s="56"/>
      <c r="H998" s="56"/>
      <c r="I998" s="56"/>
      <c r="J998" s="56"/>
      <c r="K998" s="56"/>
      <c r="L998" s="56"/>
      <c r="M998" s="56"/>
    </row>
    <row r="999" spans="2:13" ht="15">
      <c r="B999" s="7"/>
      <c r="C999" s="56"/>
      <c r="D999" s="56"/>
      <c r="E999" s="56"/>
      <c r="F999" s="56"/>
      <c r="G999" s="56"/>
      <c r="H999" s="56"/>
      <c r="I999" s="56"/>
      <c r="J999" s="56"/>
      <c r="K999" s="56"/>
      <c r="L999" s="56"/>
      <c r="M999" s="56"/>
    </row>
    <row r="1000" spans="2:13" ht="15">
      <c r="B1000" s="7"/>
      <c r="C1000" s="56"/>
      <c r="D1000" s="56"/>
      <c r="E1000" s="56"/>
      <c r="F1000" s="56"/>
      <c r="G1000" s="56"/>
      <c r="H1000" s="56"/>
      <c r="I1000" s="56"/>
      <c r="J1000" s="56"/>
      <c r="K1000" s="56"/>
      <c r="L1000" s="56"/>
      <c r="M1000" s="56"/>
    </row>
    <row r="1001" spans="2:13" ht="15">
      <c r="B1001" s="7"/>
      <c r="C1001" s="56"/>
      <c r="D1001" s="56"/>
      <c r="E1001" s="56"/>
      <c r="F1001" s="56"/>
      <c r="G1001" s="56"/>
      <c r="H1001" s="56"/>
      <c r="I1001" s="56"/>
      <c r="J1001" s="56"/>
      <c r="K1001" s="56"/>
      <c r="L1001" s="56"/>
      <c r="M1001" s="56"/>
    </row>
    <row r="1002" spans="2:13" ht="15">
      <c r="B1002" s="7"/>
      <c r="C1002" s="56"/>
      <c r="D1002" s="56"/>
      <c r="E1002" s="56"/>
      <c r="F1002" s="56"/>
      <c r="G1002" s="56"/>
      <c r="H1002" s="56"/>
      <c r="I1002" s="56"/>
      <c r="J1002" s="56"/>
      <c r="K1002" s="56"/>
      <c r="L1002" s="56"/>
      <c r="M1002" s="56"/>
    </row>
    <row r="1003" spans="2:13" ht="15">
      <c r="B1003" s="7"/>
      <c r="C1003" s="56"/>
      <c r="D1003" s="56"/>
      <c r="E1003" s="56"/>
      <c r="F1003" s="56"/>
      <c r="G1003" s="56"/>
      <c r="H1003" s="56"/>
      <c r="I1003" s="56"/>
      <c r="J1003" s="56"/>
      <c r="K1003" s="56"/>
      <c r="L1003" s="56"/>
      <c r="M1003" s="56"/>
    </row>
    <row r="1004" spans="2:13" ht="15">
      <c r="B1004" s="7"/>
      <c r="C1004" s="56"/>
      <c r="D1004" s="56"/>
      <c r="E1004" s="56"/>
      <c r="F1004" s="56"/>
      <c r="G1004" s="56"/>
      <c r="H1004" s="56"/>
      <c r="I1004" s="56"/>
      <c r="J1004" s="56"/>
      <c r="K1004" s="56"/>
      <c r="L1004" s="56"/>
      <c r="M1004" s="56"/>
    </row>
    <row r="1005" spans="2:13" ht="15">
      <c r="B1005" s="7"/>
      <c r="C1005" s="56"/>
      <c r="D1005" s="56"/>
      <c r="E1005" s="56"/>
      <c r="F1005" s="56"/>
      <c r="G1005" s="56"/>
      <c r="H1005" s="56"/>
      <c r="I1005" s="56"/>
      <c r="J1005" s="56"/>
      <c r="K1005" s="56"/>
      <c r="L1005" s="56"/>
      <c r="M1005" s="56"/>
    </row>
    <row r="1006" spans="2:13" ht="15">
      <c r="B1006" s="7"/>
      <c r="C1006" s="56"/>
      <c r="D1006" s="56"/>
      <c r="E1006" s="56"/>
      <c r="F1006" s="56"/>
      <c r="G1006" s="56"/>
      <c r="H1006" s="56"/>
      <c r="I1006" s="56"/>
      <c r="J1006" s="56"/>
      <c r="K1006" s="56"/>
      <c r="L1006" s="56"/>
      <c r="M1006" s="56"/>
    </row>
    <row r="1007" spans="2:13" ht="15">
      <c r="B1007" s="7"/>
      <c r="C1007" s="56"/>
      <c r="D1007" s="56"/>
      <c r="E1007" s="56"/>
      <c r="F1007" s="56"/>
      <c r="G1007" s="56"/>
      <c r="H1007" s="56"/>
      <c r="I1007" s="56"/>
      <c r="J1007" s="56"/>
      <c r="K1007" s="56"/>
      <c r="L1007" s="56"/>
      <c r="M1007" s="56"/>
    </row>
    <row r="1008" spans="2:13" ht="15">
      <c r="B1008" s="7"/>
      <c r="C1008" s="56"/>
      <c r="D1008" s="56"/>
      <c r="E1008" s="56"/>
      <c r="F1008" s="56"/>
      <c r="G1008" s="56"/>
      <c r="H1008" s="56"/>
      <c r="I1008" s="56"/>
      <c r="J1008" s="56"/>
      <c r="K1008" s="56"/>
      <c r="L1008" s="56"/>
      <c r="M1008" s="56"/>
    </row>
    <row r="1009" spans="2:13" ht="15">
      <c r="B1009" s="7"/>
      <c r="C1009" s="56"/>
      <c r="D1009" s="56"/>
      <c r="E1009" s="56"/>
      <c r="F1009" s="56"/>
      <c r="G1009" s="56"/>
      <c r="H1009" s="56"/>
      <c r="I1009" s="56"/>
      <c r="J1009" s="56"/>
      <c r="K1009" s="56"/>
      <c r="L1009" s="56"/>
      <c r="M1009" s="56"/>
    </row>
    <row r="1010" spans="2:13" ht="15">
      <c r="B1010" s="7"/>
      <c r="C1010" s="56"/>
      <c r="D1010" s="56"/>
      <c r="E1010" s="56"/>
      <c r="F1010" s="56"/>
      <c r="G1010" s="56"/>
      <c r="H1010" s="56"/>
      <c r="I1010" s="56"/>
      <c r="J1010" s="56"/>
      <c r="K1010" s="56"/>
      <c r="L1010" s="56"/>
      <c r="M1010" s="56"/>
    </row>
    <row r="1011" spans="2:13" ht="15">
      <c r="B1011" s="7"/>
      <c r="C1011" s="56"/>
      <c r="D1011" s="56"/>
      <c r="E1011" s="56"/>
      <c r="F1011" s="56"/>
      <c r="G1011" s="56"/>
      <c r="H1011" s="56"/>
      <c r="I1011" s="56"/>
      <c r="J1011" s="56"/>
      <c r="K1011" s="56"/>
      <c r="L1011" s="56"/>
      <c r="M1011" s="56"/>
    </row>
    <row r="1012" spans="2:13" ht="15">
      <c r="B1012" s="7"/>
      <c r="C1012" s="56"/>
      <c r="D1012" s="56"/>
      <c r="E1012" s="56"/>
      <c r="F1012" s="56"/>
      <c r="G1012" s="56"/>
      <c r="H1012" s="56"/>
      <c r="I1012" s="56"/>
      <c r="J1012" s="56"/>
      <c r="K1012" s="56"/>
      <c r="L1012" s="56"/>
      <c r="M1012" s="56"/>
    </row>
    <row r="1013" spans="2:13" ht="15">
      <c r="B1013" s="7"/>
      <c r="C1013" s="56"/>
      <c r="D1013" s="56"/>
      <c r="E1013" s="56"/>
      <c r="F1013" s="56"/>
      <c r="G1013" s="56"/>
      <c r="H1013" s="56"/>
      <c r="I1013" s="56"/>
      <c r="J1013" s="56"/>
      <c r="K1013" s="56"/>
      <c r="L1013" s="56"/>
      <c r="M1013" s="56"/>
    </row>
    <row r="1014" spans="2:13" ht="15">
      <c r="B1014" s="7"/>
      <c r="C1014" s="56"/>
      <c r="D1014" s="56"/>
      <c r="E1014" s="56"/>
      <c r="F1014" s="56"/>
      <c r="G1014" s="56"/>
      <c r="H1014" s="56"/>
      <c r="I1014" s="56"/>
      <c r="J1014" s="56"/>
      <c r="K1014" s="56"/>
      <c r="L1014" s="56"/>
      <c r="M1014" s="56"/>
    </row>
    <row r="1015" spans="2:13" ht="15">
      <c r="B1015" s="7"/>
      <c r="C1015" s="56"/>
      <c r="D1015" s="56"/>
      <c r="E1015" s="56"/>
      <c r="F1015" s="56"/>
      <c r="G1015" s="56"/>
      <c r="H1015" s="56"/>
      <c r="I1015" s="56"/>
      <c r="J1015" s="56"/>
      <c r="K1015" s="56"/>
      <c r="L1015" s="56"/>
      <c r="M1015" s="56"/>
    </row>
    <row r="1016" spans="2:13" ht="15">
      <c r="B1016" s="7"/>
      <c r="C1016" s="56"/>
      <c r="D1016" s="56"/>
      <c r="E1016" s="56"/>
      <c r="F1016" s="56"/>
      <c r="G1016" s="56"/>
      <c r="H1016" s="56"/>
      <c r="I1016" s="56"/>
      <c r="J1016" s="56"/>
      <c r="K1016" s="56"/>
      <c r="L1016" s="56"/>
      <c r="M1016" s="56"/>
    </row>
    <row r="1017" spans="2:13" ht="15">
      <c r="B1017" s="7"/>
      <c r="C1017" s="56"/>
      <c r="D1017" s="56"/>
      <c r="E1017" s="56"/>
      <c r="F1017" s="56"/>
      <c r="G1017" s="56"/>
      <c r="H1017" s="56"/>
      <c r="I1017" s="56"/>
      <c r="J1017" s="56"/>
      <c r="K1017" s="56"/>
      <c r="L1017" s="56"/>
      <c r="M1017" s="56"/>
    </row>
    <row r="1018" spans="2:13" ht="15">
      <c r="B1018" s="7"/>
      <c r="C1018" s="56"/>
      <c r="D1018" s="56"/>
      <c r="E1018" s="56"/>
      <c r="F1018" s="56"/>
      <c r="G1018" s="56"/>
      <c r="H1018" s="56"/>
      <c r="I1018" s="56"/>
      <c r="J1018" s="56"/>
      <c r="K1018" s="56"/>
      <c r="L1018" s="56"/>
      <c r="M1018" s="56"/>
    </row>
    <row r="1019" spans="2:13" ht="15">
      <c r="B1019" s="7"/>
      <c r="C1019" s="56"/>
      <c r="D1019" s="56"/>
      <c r="E1019" s="56"/>
      <c r="F1019" s="56"/>
      <c r="G1019" s="56"/>
      <c r="H1019" s="56"/>
      <c r="I1019" s="56"/>
      <c r="J1019" s="56"/>
      <c r="K1019" s="56"/>
      <c r="L1019" s="56"/>
      <c r="M1019" s="56"/>
    </row>
    <row r="1020" spans="2:13" ht="15">
      <c r="B1020" s="7"/>
      <c r="C1020" s="56"/>
      <c r="D1020" s="56"/>
      <c r="E1020" s="56"/>
      <c r="F1020" s="56"/>
      <c r="G1020" s="56"/>
      <c r="H1020" s="56"/>
      <c r="I1020" s="56"/>
      <c r="J1020" s="56"/>
      <c r="K1020" s="56"/>
      <c r="L1020" s="56"/>
      <c r="M1020" s="56"/>
    </row>
    <row r="1021" spans="2:13" ht="15">
      <c r="B1021" s="7"/>
      <c r="C1021" s="56"/>
      <c r="D1021" s="56"/>
      <c r="E1021" s="56"/>
      <c r="F1021" s="56"/>
      <c r="G1021" s="56"/>
      <c r="H1021" s="56"/>
      <c r="I1021" s="56"/>
      <c r="J1021" s="56"/>
      <c r="K1021" s="56"/>
      <c r="L1021" s="56"/>
      <c r="M1021" s="56"/>
    </row>
    <row r="1022" spans="2:13" ht="15">
      <c r="B1022" s="7"/>
      <c r="C1022" s="56"/>
      <c r="D1022" s="56"/>
      <c r="E1022" s="56"/>
      <c r="F1022" s="56"/>
      <c r="G1022" s="56"/>
      <c r="H1022" s="56"/>
      <c r="I1022" s="56"/>
      <c r="J1022" s="56"/>
      <c r="K1022" s="56"/>
      <c r="L1022" s="56"/>
      <c r="M1022" s="56"/>
    </row>
    <row r="1023" spans="2:13" ht="15">
      <c r="B1023" s="7"/>
      <c r="C1023" s="56"/>
      <c r="D1023" s="56"/>
      <c r="E1023" s="56"/>
      <c r="F1023" s="56"/>
      <c r="G1023" s="56"/>
      <c r="H1023" s="56"/>
      <c r="I1023" s="56"/>
      <c r="J1023" s="56"/>
      <c r="K1023" s="56"/>
      <c r="L1023" s="56"/>
      <c r="M1023" s="56"/>
    </row>
    <row r="1024" spans="2:13" ht="15">
      <c r="B1024" s="7"/>
      <c r="C1024" s="56"/>
      <c r="D1024" s="56"/>
      <c r="E1024" s="56"/>
      <c r="F1024" s="56"/>
      <c r="G1024" s="56"/>
      <c r="H1024" s="56"/>
      <c r="I1024" s="56"/>
      <c r="J1024" s="56"/>
      <c r="K1024" s="56"/>
      <c r="L1024" s="56"/>
      <c r="M1024" s="56"/>
    </row>
    <row r="1025" spans="2:13" ht="15">
      <c r="B1025" s="7"/>
      <c r="C1025" s="56"/>
      <c r="D1025" s="56"/>
      <c r="E1025" s="56"/>
      <c r="F1025" s="56"/>
      <c r="G1025" s="56"/>
      <c r="H1025" s="56"/>
      <c r="I1025" s="56"/>
      <c r="J1025" s="56"/>
      <c r="K1025" s="56"/>
      <c r="L1025" s="56"/>
      <c r="M1025" s="56"/>
    </row>
    <row r="1026" spans="2:13" ht="15">
      <c r="B1026" s="7"/>
      <c r="C1026" s="56"/>
      <c r="D1026" s="56"/>
      <c r="E1026" s="56"/>
      <c r="F1026" s="56"/>
      <c r="G1026" s="56"/>
      <c r="H1026" s="56"/>
      <c r="I1026" s="56"/>
      <c r="J1026" s="56"/>
      <c r="K1026" s="56"/>
      <c r="L1026" s="56"/>
      <c r="M1026" s="56"/>
    </row>
    <row r="1027" spans="2:13" ht="15">
      <c r="B1027" s="7"/>
      <c r="C1027" s="56"/>
      <c r="D1027" s="56"/>
      <c r="E1027" s="56"/>
      <c r="F1027" s="56"/>
      <c r="G1027" s="56"/>
      <c r="H1027" s="56"/>
      <c r="I1027" s="56"/>
      <c r="J1027" s="56"/>
      <c r="K1027" s="56"/>
      <c r="L1027" s="56"/>
      <c r="M1027" s="56"/>
    </row>
    <row r="1028" spans="2:13" ht="15">
      <c r="B1028" s="7"/>
      <c r="C1028" s="56"/>
      <c r="D1028" s="56"/>
      <c r="E1028" s="56"/>
      <c r="F1028" s="56"/>
      <c r="G1028" s="56"/>
      <c r="H1028" s="56"/>
      <c r="I1028" s="56"/>
      <c r="J1028" s="56"/>
      <c r="K1028" s="56"/>
      <c r="L1028" s="56"/>
      <c r="M1028" s="56"/>
    </row>
    <row r="1029" spans="2:13" ht="15">
      <c r="B1029" s="7"/>
      <c r="C1029" s="56"/>
      <c r="D1029" s="56"/>
      <c r="E1029" s="56"/>
      <c r="F1029" s="56"/>
      <c r="G1029" s="56"/>
      <c r="H1029" s="56"/>
      <c r="I1029" s="56"/>
      <c r="J1029" s="56"/>
      <c r="K1029" s="56"/>
      <c r="L1029" s="56"/>
      <c r="M1029" s="56"/>
    </row>
    <row r="1030" spans="2:13" ht="15">
      <c r="B1030" s="7"/>
      <c r="C1030" s="56"/>
      <c r="D1030" s="56"/>
      <c r="E1030" s="56"/>
      <c r="F1030" s="56"/>
      <c r="G1030" s="56"/>
      <c r="H1030" s="56"/>
      <c r="I1030" s="56"/>
      <c r="J1030" s="56"/>
      <c r="K1030" s="56"/>
      <c r="L1030" s="56"/>
      <c r="M1030" s="56"/>
    </row>
    <row r="1031" spans="2:13" ht="15">
      <c r="B1031" s="7"/>
      <c r="C1031" s="56"/>
      <c r="D1031" s="56"/>
      <c r="E1031" s="56"/>
      <c r="F1031" s="56"/>
      <c r="G1031" s="56"/>
      <c r="H1031" s="56"/>
      <c r="I1031" s="56"/>
      <c r="J1031" s="56"/>
      <c r="K1031" s="56"/>
      <c r="L1031" s="56"/>
      <c r="M1031" s="56"/>
    </row>
    <row r="1032" spans="2:13" ht="15">
      <c r="B1032" s="7"/>
      <c r="C1032" s="56"/>
      <c r="D1032" s="56"/>
      <c r="E1032" s="56"/>
      <c r="F1032" s="56"/>
      <c r="G1032" s="56"/>
      <c r="H1032" s="56"/>
      <c r="I1032" s="56"/>
      <c r="J1032" s="56"/>
      <c r="K1032" s="56"/>
      <c r="L1032" s="56"/>
      <c r="M1032" s="56"/>
    </row>
    <row r="1033" spans="2:13" ht="15">
      <c r="B1033" s="7"/>
      <c r="C1033" s="56"/>
      <c r="D1033" s="56"/>
      <c r="E1033" s="56"/>
      <c r="F1033" s="56"/>
      <c r="G1033" s="56"/>
      <c r="H1033" s="56"/>
      <c r="I1033" s="56"/>
      <c r="J1033" s="56"/>
      <c r="K1033" s="56"/>
      <c r="L1033" s="56"/>
      <c r="M1033" s="56"/>
    </row>
    <row r="1034" spans="2:13" ht="15">
      <c r="B1034" s="7"/>
      <c r="C1034" s="56"/>
      <c r="D1034" s="56"/>
      <c r="E1034" s="56"/>
      <c r="F1034" s="56"/>
      <c r="G1034" s="56"/>
      <c r="H1034" s="56"/>
      <c r="I1034" s="56"/>
      <c r="J1034" s="56"/>
      <c r="K1034" s="56"/>
      <c r="L1034" s="56"/>
      <c r="M1034" s="56"/>
    </row>
    <row r="1035" spans="2:13" ht="15">
      <c r="B1035" s="7"/>
      <c r="C1035" s="56"/>
      <c r="D1035" s="56"/>
      <c r="E1035" s="56"/>
      <c r="F1035" s="56"/>
      <c r="G1035" s="56"/>
      <c r="H1035" s="56"/>
      <c r="I1035" s="56"/>
      <c r="J1035" s="56"/>
      <c r="K1035" s="56"/>
      <c r="L1035" s="56"/>
      <c r="M1035" s="56"/>
    </row>
    <row r="1036" spans="2:13" ht="15">
      <c r="B1036" s="7"/>
      <c r="C1036" s="56"/>
      <c r="D1036" s="56"/>
      <c r="E1036" s="56"/>
      <c r="F1036" s="56"/>
      <c r="G1036" s="56"/>
      <c r="H1036" s="56"/>
      <c r="I1036" s="56"/>
      <c r="J1036" s="56"/>
      <c r="K1036" s="56"/>
      <c r="L1036" s="56"/>
      <c r="M1036" s="56"/>
    </row>
    <row r="1037" spans="2:13" ht="15">
      <c r="B1037" s="7"/>
      <c r="C1037" s="56"/>
      <c r="D1037" s="56"/>
      <c r="E1037" s="56"/>
      <c r="F1037" s="56"/>
      <c r="G1037" s="56"/>
      <c r="H1037" s="56"/>
      <c r="I1037" s="56"/>
      <c r="J1037" s="56"/>
      <c r="K1037" s="56"/>
      <c r="L1037" s="56"/>
      <c r="M1037" s="56"/>
    </row>
    <row r="1038" spans="2:13" ht="15">
      <c r="B1038" s="7"/>
      <c r="C1038" s="56"/>
      <c r="D1038" s="56"/>
      <c r="E1038" s="56"/>
      <c r="F1038" s="56"/>
      <c r="G1038" s="56"/>
      <c r="H1038" s="56"/>
      <c r="I1038" s="56"/>
      <c r="J1038" s="56"/>
      <c r="K1038" s="56"/>
      <c r="L1038" s="56"/>
      <c r="M1038" s="56"/>
    </row>
    <row r="1039" spans="2:13" ht="15">
      <c r="B1039" s="7"/>
      <c r="C1039" s="56"/>
      <c r="D1039" s="56"/>
      <c r="E1039" s="56"/>
      <c r="F1039" s="56"/>
      <c r="G1039" s="56"/>
      <c r="H1039" s="56"/>
      <c r="I1039" s="56"/>
      <c r="J1039" s="56"/>
      <c r="K1039" s="56"/>
      <c r="L1039" s="56"/>
      <c r="M1039" s="56"/>
    </row>
    <row r="1040" spans="2:13" ht="15">
      <c r="B1040" s="7"/>
      <c r="C1040" s="56"/>
      <c r="D1040" s="56"/>
      <c r="E1040" s="56"/>
      <c r="F1040" s="56"/>
      <c r="G1040" s="56"/>
      <c r="H1040" s="56"/>
      <c r="I1040" s="56"/>
      <c r="J1040" s="56"/>
      <c r="K1040" s="56"/>
      <c r="L1040" s="56"/>
      <c r="M1040" s="56"/>
    </row>
    <row r="1041" spans="2:13" ht="15">
      <c r="B1041" s="7"/>
      <c r="C1041" s="56"/>
      <c r="D1041" s="56"/>
      <c r="E1041" s="56"/>
      <c r="F1041" s="56"/>
      <c r="G1041" s="56"/>
      <c r="H1041" s="56"/>
      <c r="I1041" s="56"/>
      <c r="J1041" s="56"/>
      <c r="K1041" s="56"/>
      <c r="L1041" s="56"/>
      <c r="M1041" s="56"/>
    </row>
    <row r="1042" spans="2:13" ht="15">
      <c r="B1042" s="7"/>
      <c r="C1042" s="56"/>
      <c r="D1042" s="56"/>
      <c r="E1042" s="56"/>
      <c r="F1042" s="56"/>
      <c r="G1042" s="56"/>
      <c r="H1042" s="56"/>
      <c r="I1042" s="56"/>
      <c r="J1042" s="56"/>
      <c r="K1042" s="56"/>
      <c r="L1042" s="56"/>
      <c r="M1042" s="56"/>
    </row>
    <row r="1043" spans="2:13" ht="15">
      <c r="B1043" s="7"/>
      <c r="C1043" s="56"/>
      <c r="D1043" s="56"/>
      <c r="E1043" s="56"/>
      <c r="F1043" s="56"/>
      <c r="G1043" s="56"/>
      <c r="H1043" s="56"/>
      <c r="I1043" s="56"/>
      <c r="J1043" s="56"/>
      <c r="K1043" s="56"/>
      <c r="L1043" s="56"/>
      <c r="M1043" s="56"/>
    </row>
    <row r="1044" spans="2:13" ht="15">
      <c r="B1044" s="7"/>
      <c r="C1044" s="56"/>
      <c r="D1044" s="56"/>
      <c r="E1044" s="56"/>
      <c r="F1044" s="56"/>
      <c r="G1044" s="56"/>
      <c r="H1044" s="56"/>
      <c r="I1044" s="56"/>
      <c r="J1044" s="56"/>
      <c r="K1044" s="56"/>
      <c r="L1044" s="56"/>
      <c r="M1044" s="56"/>
    </row>
    <row r="1045" spans="2:13" ht="15">
      <c r="B1045" s="7"/>
      <c r="C1045" s="56"/>
      <c r="D1045" s="56"/>
      <c r="E1045" s="56"/>
      <c r="F1045" s="56"/>
      <c r="G1045" s="56"/>
      <c r="H1045" s="56"/>
      <c r="I1045" s="56"/>
      <c r="J1045" s="56"/>
      <c r="K1045" s="56"/>
      <c r="L1045" s="56"/>
      <c r="M1045" s="56"/>
    </row>
    <row r="1046" spans="2:13" ht="15">
      <c r="B1046" s="7"/>
      <c r="C1046" s="56"/>
      <c r="D1046" s="56"/>
      <c r="E1046" s="56"/>
      <c r="F1046" s="56"/>
      <c r="G1046" s="56"/>
      <c r="H1046" s="56"/>
      <c r="I1046" s="56"/>
      <c r="J1046" s="56"/>
      <c r="K1046" s="56"/>
      <c r="L1046" s="56"/>
      <c r="M1046" s="56"/>
    </row>
    <row r="1047" spans="2:13" ht="15">
      <c r="B1047" s="7"/>
      <c r="C1047" s="56"/>
      <c r="D1047" s="56"/>
      <c r="E1047" s="56"/>
      <c r="F1047" s="56"/>
      <c r="G1047" s="56"/>
      <c r="H1047" s="56"/>
      <c r="I1047" s="56"/>
      <c r="J1047" s="56"/>
      <c r="K1047" s="56"/>
      <c r="L1047" s="56"/>
      <c r="M1047" s="56"/>
    </row>
    <row r="1048" spans="2:13" ht="15">
      <c r="B1048" s="7"/>
      <c r="C1048" s="56"/>
      <c r="D1048" s="56"/>
      <c r="E1048" s="56"/>
      <c r="F1048" s="56"/>
      <c r="G1048" s="56"/>
      <c r="H1048" s="56"/>
      <c r="I1048" s="56"/>
      <c r="J1048" s="56"/>
      <c r="K1048" s="56"/>
      <c r="L1048" s="56"/>
      <c r="M1048" s="56"/>
    </row>
    <row r="1049" spans="2:13" ht="15">
      <c r="B1049" s="7"/>
      <c r="C1049" s="56"/>
      <c r="D1049" s="56"/>
      <c r="E1049" s="56"/>
      <c r="F1049" s="56"/>
      <c r="G1049" s="56"/>
      <c r="H1049" s="56"/>
      <c r="I1049" s="56"/>
      <c r="J1049" s="56"/>
      <c r="K1049" s="56"/>
      <c r="L1049" s="56"/>
      <c r="M1049" s="56"/>
    </row>
    <row r="1050" spans="2:13" ht="15">
      <c r="B1050" s="7"/>
      <c r="C1050" s="56"/>
      <c r="D1050" s="56"/>
      <c r="E1050" s="56"/>
      <c r="F1050" s="56"/>
      <c r="G1050" s="56"/>
      <c r="H1050" s="56"/>
      <c r="I1050" s="56"/>
      <c r="J1050" s="56"/>
      <c r="K1050" s="56"/>
      <c r="L1050" s="56"/>
      <c r="M1050" s="56"/>
    </row>
    <row r="1051" spans="2:13" ht="15">
      <c r="B1051" s="7"/>
      <c r="C1051" s="56"/>
      <c r="D1051" s="56"/>
      <c r="E1051" s="56"/>
      <c r="F1051" s="56"/>
      <c r="G1051" s="56"/>
      <c r="H1051" s="56"/>
      <c r="I1051" s="56"/>
      <c r="J1051" s="56"/>
      <c r="K1051" s="56"/>
      <c r="L1051" s="56"/>
      <c r="M1051" s="56"/>
    </row>
    <row r="1052" spans="2:13" ht="15">
      <c r="B1052" s="7"/>
      <c r="C1052" s="56"/>
      <c r="D1052" s="56"/>
      <c r="E1052" s="56"/>
      <c r="F1052" s="56"/>
      <c r="G1052" s="56"/>
      <c r="H1052" s="56"/>
      <c r="I1052" s="56"/>
      <c r="J1052" s="56"/>
      <c r="K1052" s="56"/>
      <c r="L1052" s="56"/>
      <c r="M1052" s="56"/>
    </row>
    <row r="1053" spans="2:13" ht="15">
      <c r="B1053" s="7"/>
      <c r="C1053" s="56"/>
      <c r="D1053" s="56"/>
      <c r="E1053" s="56"/>
      <c r="F1053" s="56"/>
      <c r="G1053" s="56"/>
      <c r="H1053" s="56"/>
      <c r="I1053" s="56"/>
      <c r="J1053" s="56"/>
      <c r="K1053" s="56"/>
      <c r="L1053" s="56"/>
      <c r="M1053" s="56"/>
    </row>
    <row r="1054" spans="2:13" ht="15">
      <c r="B1054" s="7"/>
      <c r="C1054" s="56"/>
      <c r="D1054" s="56"/>
      <c r="E1054" s="56"/>
      <c r="F1054" s="56"/>
      <c r="G1054" s="56"/>
      <c r="H1054" s="56"/>
      <c r="I1054" s="56"/>
      <c r="J1054" s="56"/>
      <c r="K1054" s="56"/>
      <c r="L1054" s="56"/>
      <c r="M1054" s="56"/>
    </row>
    <row r="1055" spans="2:13" ht="15">
      <c r="B1055" s="7"/>
      <c r="C1055" s="56"/>
      <c r="D1055" s="56"/>
      <c r="E1055" s="56"/>
      <c r="F1055" s="56"/>
      <c r="G1055" s="56"/>
      <c r="H1055" s="56"/>
      <c r="I1055" s="56"/>
      <c r="J1055" s="56"/>
      <c r="K1055" s="56"/>
      <c r="L1055" s="56"/>
      <c r="M1055" s="56"/>
    </row>
    <row r="1056" spans="2:13" ht="15">
      <c r="B1056" s="7"/>
      <c r="C1056" s="56"/>
      <c r="D1056" s="56"/>
      <c r="E1056" s="56"/>
      <c r="F1056" s="56"/>
      <c r="G1056" s="56"/>
      <c r="H1056" s="56"/>
      <c r="I1056" s="56"/>
      <c r="J1056" s="56"/>
      <c r="K1056" s="56"/>
      <c r="L1056" s="56"/>
      <c r="M1056" s="56"/>
    </row>
    <row r="1057" spans="2:13" ht="15">
      <c r="B1057" s="7"/>
      <c r="C1057" s="56"/>
      <c r="D1057" s="56"/>
      <c r="E1057" s="56"/>
      <c r="F1057" s="56"/>
      <c r="G1057" s="56"/>
      <c r="H1057" s="56"/>
      <c r="I1057" s="56"/>
      <c r="J1057" s="56"/>
      <c r="K1057" s="56"/>
      <c r="L1057" s="56"/>
      <c r="M1057" s="56"/>
    </row>
    <row r="1058" spans="2:13" ht="15">
      <c r="B1058" s="7"/>
      <c r="C1058" s="56"/>
      <c r="D1058" s="56"/>
      <c r="E1058" s="56"/>
      <c r="F1058" s="56"/>
      <c r="G1058" s="56"/>
      <c r="H1058" s="56"/>
      <c r="I1058" s="56"/>
      <c r="J1058" s="56"/>
      <c r="K1058" s="56"/>
      <c r="L1058" s="56"/>
      <c r="M1058" s="56"/>
    </row>
    <row r="1059" spans="2:13" ht="15">
      <c r="B1059" s="7"/>
      <c r="C1059" s="56"/>
      <c r="D1059" s="56"/>
      <c r="E1059" s="56"/>
      <c r="F1059" s="56"/>
      <c r="G1059" s="56"/>
      <c r="H1059" s="56"/>
      <c r="I1059" s="56"/>
      <c r="J1059" s="56"/>
      <c r="K1059" s="56"/>
      <c r="L1059" s="56"/>
      <c r="M1059" s="56"/>
    </row>
    <row r="1060" spans="2:13" ht="15">
      <c r="B1060" s="7"/>
      <c r="C1060" s="56"/>
      <c r="D1060" s="56"/>
      <c r="E1060" s="56"/>
      <c r="F1060" s="56"/>
      <c r="G1060" s="56"/>
      <c r="H1060" s="56"/>
      <c r="I1060" s="56"/>
      <c r="J1060" s="56"/>
      <c r="K1060" s="56"/>
      <c r="L1060" s="56"/>
      <c r="M1060" s="56"/>
    </row>
    <row r="1061" spans="2:13" ht="15">
      <c r="B1061" s="7"/>
      <c r="C1061" s="56"/>
      <c r="D1061" s="56"/>
      <c r="E1061" s="56"/>
      <c r="F1061" s="56"/>
      <c r="G1061" s="56"/>
      <c r="H1061" s="56"/>
      <c r="I1061" s="56"/>
      <c r="J1061" s="56"/>
      <c r="K1061" s="56"/>
      <c r="L1061" s="56"/>
      <c r="M1061" s="56"/>
    </row>
    <row r="1062" spans="2:13" ht="15">
      <c r="B1062" s="7"/>
      <c r="C1062" s="56"/>
      <c r="D1062" s="56"/>
      <c r="E1062" s="56"/>
      <c r="F1062" s="56"/>
      <c r="G1062" s="56"/>
      <c r="H1062" s="56"/>
      <c r="I1062" s="56"/>
      <c r="J1062" s="56"/>
      <c r="K1062" s="56"/>
      <c r="L1062" s="56"/>
      <c r="M1062" s="56"/>
    </row>
    <row r="1063" spans="2:13" ht="15">
      <c r="B1063" s="7"/>
      <c r="C1063" s="56"/>
      <c r="D1063" s="56"/>
      <c r="E1063" s="56"/>
      <c r="F1063" s="56"/>
      <c r="G1063" s="56"/>
      <c r="H1063" s="56"/>
      <c r="I1063" s="56"/>
      <c r="J1063" s="56"/>
      <c r="K1063" s="56"/>
      <c r="L1063" s="56"/>
      <c r="M1063" s="56"/>
    </row>
    <row r="1064" spans="2:13" ht="15">
      <c r="B1064" s="7"/>
      <c r="C1064" s="56"/>
      <c r="D1064" s="56"/>
      <c r="E1064" s="56"/>
      <c r="F1064" s="56"/>
      <c r="G1064" s="56"/>
      <c r="H1064" s="56"/>
      <c r="I1064" s="56"/>
      <c r="J1064" s="56"/>
      <c r="K1064" s="56"/>
      <c r="L1064" s="56"/>
      <c r="M1064" s="56"/>
    </row>
    <row r="1065" spans="2:13" ht="15">
      <c r="B1065" s="7"/>
      <c r="C1065" s="56"/>
      <c r="D1065" s="56"/>
      <c r="E1065" s="56"/>
      <c r="F1065" s="56"/>
      <c r="G1065" s="56"/>
      <c r="H1065" s="56"/>
      <c r="I1065" s="56"/>
      <c r="J1065" s="56"/>
      <c r="K1065" s="56"/>
      <c r="L1065" s="56"/>
      <c r="M1065" s="56"/>
    </row>
    <row r="1066" spans="2:13" ht="15">
      <c r="B1066" s="7"/>
      <c r="C1066" s="56"/>
      <c r="D1066" s="56"/>
      <c r="E1066" s="56"/>
      <c r="F1066" s="56"/>
      <c r="G1066" s="56"/>
      <c r="H1066" s="56"/>
      <c r="I1066" s="56"/>
      <c r="J1066" s="56"/>
      <c r="K1066" s="56"/>
      <c r="L1066" s="56"/>
      <c r="M1066" s="56"/>
    </row>
    <row r="1067" spans="2:13" ht="15">
      <c r="B1067" s="7"/>
      <c r="C1067" s="56"/>
      <c r="D1067" s="56"/>
      <c r="E1067" s="56"/>
      <c r="F1067" s="56"/>
      <c r="G1067" s="56"/>
      <c r="H1067" s="56"/>
      <c r="I1067" s="56"/>
      <c r="J1067" s="56"/>
      <c r="K1067" s="56"/>
      <c r="L1067" s="56"/>
      <c r="M1067" s="56"/>
    </row>
    <row r="1068" spans="2:13" ht="15">
      <c r="B1068" s="7"/>
      <c r="C1068" s="56"/>
      <c r="D1068" s="56"/>
      <c r="E1068" s="56"/>
      <c r="F1068" s="56"/>
      <c r="G1068" s="56"/>
      <c r="H1068" s="56"/>
      <c r="I1068" s="56"/>
      <c r="J1068" s="56"/>
      <c r="K1068" s="56"/>
      <c r="L1068" s="56"/>
      <c r="M1068" s="56"/>
    </row>
    <row r="1069" spans="2:13" ht="15">
      <c r="B1069" s="7"/>
      <c r="C1069" s="56"/>
      <c r="D1069" s="56"/>
      <c r="E1069" s="56"/>
      <c r="F1069" s="56"/>
      <c r="G1069" s="56"/>
      <c r="H1069" s="56"/>
      <c r="I1069" s="56"/>
      <c r="J1069" s="56"/>
      <c r="K1069" s="56"/>
      <c r="L1069" s="56"/>
      <c r="M1069" s="56"/>
    </row>
    <row r="1070" spans="2:13" ht="15">
      <c r="B1070" s="7"/>
      <c r="C1070" s="56"/>
      <c r="D1070" s="56"/>
      <c r="E1070" s="56"/>
      <c r="F1070" s="56"/>
      <c r="G1070" s="56"/>
      <c r="H1070" s="56"/>
      <c r="I1070" s="56"/>
      <c r="J1070" s="56"/>
      <c r="K1070" s="56"/>
      <c r="L1070" s="56"/>
      <c r="M1070" s="56"/>
    </row>
    <row r="1071" spans="2:13" ht="15">
      <c r="B1071" s="7"/>
      <c r="C1071" s="56"/>
      <c r="D1071" s="56"/>
      <c r="E1071" s="56"/>
      <c r="F1071" s="56"/>
      <c r="G1071" s="56"/>
      <c r="H1071" s="56"/>
      <c r="I1071" s="56"/>
      <c r="J1071" s="56"/>
      <c r="K1071" s="56"/>
      <c r="L1071" s="56"/>
      <c r="M1071" s="56"/>
    </row>
    <row r="1072" spans="2:13" ht="15">
      <c r="B1072" s="7"/>
      <c r="C1072" s="56"/>
      <c r="D1072" s="56"/>
      <c r="E1072" s="56"/>
      <c r="F1072" s="56"/>
      <c r="G1072" s="56"/>
      <c r="H1072" s="56"/>
      <c r="I1072" s="56"/>
      <c r="J1072" s="56"/>
      <c r="K1072" s="56"/>
      <c r="L1072" s="56"/>
      <c r="M1072" s="56"/>
    </row>
    <row r="1073" spans="2:13" ht="15">
      <c r="B1073" s="7"/>
      <c r="C1073" s="56"/>
      <c r="D1073" s="56"/>
      <c r="E1073" s="56"/>
      <c r="F1073" s="56"/>
      <c r="G1073" s="56"/>
      <c r="H1073" s="56"/>
      <c r="I1073" s="56"/>
      <c r="J1073" s="56"/>
      <c r="K1073" s="56"/>
      <c r="L1073" s="56"/>
      <c r="M1073" s="56"/>
    </row>
    <row r="1074" spans="2:13" ht="15">
      <c r="B1074" s="7"/>
      <c r="C1074" s="56"/>
      <c r="D1074" s="56"/>
      <c r="E1074" s="56"/>
      <c r="F1074" s="56"/>
      <c r="G1074" s="56"/>
      <c r="H1074" s="56"/>
      <c r="I1074" s="56"/>
      <c r="J1074" s="56"/>
      <c r="K1074" s="56"/>
      <c r="L1074" s="56"/>
      <c r="M1074" s="56"/>
    </row>
    <row r="1075" spans="2:13" ht="15">
      <c r="B1075" s="7"/>
      <c r="C1075" s="56"/>
      <c r="D1075" s="56"/>
      <c r="E1075" s="56"/>
      <c r="F1075" s="56"/>
      <c r="G1075" s="56"/>
      <c r="H1075" s="56"/>
      <c r="I1075" s="56"/>
      <c r="J1075" s="56"/>
      <c r="K1075" s="56"/>
      <c r="L1075" s="56"/>
      <c r="M1075" s="56"/>
    </row>
    <row r="1076" spans="2:13" ht="15">
      <c r="B1076" s="7"/>
      <c r="C1076" s="56"/>
      <c r="D1076" s="56"/>
      <c r="E1076" s="56"/>
      <c r="F1076" s="56"/>
      <c r="G1076" s="56"/>
      <c r="H1076" s="56"/>
      <c r="I1076" s="56"/>
      <c r="J1076" s="56"/>
      <c r="K1076" s="56"/>
      <c r="L1076" s="56"/>
      <c r="M1076" s="56"/>
    </row>
    <row r="1077" spans="2:13" ht="15">
      <c r="B1077" s="7"/>
      <c r="C1077" s="56"/>
      <c r="D1077" s="56"/>
      <c r="E1077" s="56"/>
      <c r="F1077" s="56"/>
      <c r="G1077" s="56"/>
      <c r="H1077" s="56"/>
      <c r="I1077" s="56"/>
      <c r="J1077" s="56"/>
      <c r="K1077" s="56"/>
      <c r="L1077" s="56"/>
      <c r="M1077" s="56"/>
    </row>
    <row r="1078" spans="2:13" ht="15">
      <c r="B1078" s="7"/>
      <c r="C1078" s="56"/>
      <c r="D1078" s="56"/>
      <c r="E1078" s="56"/>
      <c r="F1078" s="56"/>
      <c r="G1078" s="56"/>
      <c r="H1078" s="56"/>
      <c r="I1078" s="56"/>
      <c r="J1078" s="56"/>
      <c r="K1078" s="56"/>
      <c r="L1078" s="56"/>
      <c r="M1078" s="56"/>
    </row>
    <row r="1079" spans="2:13" ht="15">
      <c r="B1079" s="7"/>
      <c r="C1079" s="56"/>
      <c r="D1079" s="56"/>
      <c r="E1079" s="56"/>
      <c r="F1079" s="56"/>
      <c r="G1079" s="56"/>
      <c r="H1079" s="56"/>
      <c r="I1079" s="56"/>
      <c r="J1079" s="56"/>
      <c r="K1079" s="56"/>
      <c r="L1079" s="56"/>
      <c r="M1079" s="56"/>
    </row>
    <row r="1080" spans="2:13" ht="15">
      <c r="B1080" s="7"/>
      <c r="C1080" s="56"/>
      <c r="D1080" s="56"/>
      <c r="E1080" s="56"/>
      <c r="F1080" s="56"/>
      <c r="G1080" s="56"/>
      <c r="H1080" s="56"/>
      <c r="I1080" s="56"/>
      <c r="J1080" s="56"/>
      <c r="K1080" s="56"/>
      <c r="L1080" s="56"/>
      <c r="M1080" s="56"/>
    </row>
    <row r="1081" spans="2:13" ht="15">
      <c r="B1081" s="7"/>
      <c r="C1081" s="56"/>
      <c r="D1081" s="56"/>
      <c r="E1081" s="56"/>
      <c r="F1081" s="56"/>
      <c r="G1081" s="56"/>
      <c r="H1081" s="56"/>
      <c r="I1081" s="56"/>
      <c r="J1081" s="56"/>
      <c r="K1081" s="56"/>
      <c r="L1081" s="56"/>
      <c r="M1081" s="56"/>
    </row>
    <row r="1082" spans="2:13" ht="15">
      <c r="B1082" s="7"/>
      <c r="C1082" s="56"/>
      <c r="D1082" s="56"/>
      <c r="E1082" s="56"/>
      <c r="F1082" s="56"/>
      <c r="G1082" s="56"/>
      <c r="H1082" s="56"/>
      <c r="I1082" s="56"/>
      <c r="J1082" s="56"/>
      <c r="K1082" s="56"/>
      <c r="L1082" s="56"/>
      <c r="M1082" s="56"/>
    </row>
    <row r="1083" spans="2:13" ht="15">
      <c r="B1083" s="7"/>
      <c r="C1083" s="56"/>
      <c r="D1083" s="56"/>
      <c r="E1083" s="56"/>
      <c r="F1083" s="56"/>
      <c r="G1083" s="56"/>
      <c r="H1083" s="56"/>
      <c r="I1083" s="56"/>
      <c r="J1083" s="56"/>
      <c r="K1083" s="56"/>
      <c r="L1083" s="56"/>
      <c r="M1083" s="56"/>
    </row>
    <row r="1084" spans="2:13" ht="15">
      <c r="B1084" s="7"/>
      <c r="C1084" s="56"/>
      <c r="D1084" s="56"/>
      <c r="E1084" s="56"/>
      <c r="F1084" s="56"/>
      <c r="G1084" s="56"/>
      <c r="H1084" s="56"/>
      <c r="I1084" s="56"/>
      <c r="J1084" s="56"/>
      <c r="K1084" s="56"/>
      <c r="L1084" s="56"/>
      <c r="M1084" s="56"/>
    </row>
    <row r="1085" spans="2:13" ht="15">
      <c r="B1085" s="7"/>
      <c r="C1085" s="56"/>
      <c r="D1085" s="56"/>
      <c r="E1085" s="56"/>
      <c r="F1085" s="56"/>
      <c r="G1085" s="56"/>
      <c r="H1085" s="56"/>
      <c r="I1085" s="56"/>
      <c r="J1085" s="56"/>
      <c r="K1085" s="56"/>
      <c r="L1085" s="56"/>
      <c r="M1085" s="56"/>
    </row>
    <row r="1086" spans="2:13" ht="15">
      <c r="B1086" s="7"/>
      <c r="C1086" s="56"/>
      <c r="D1086" s="56"/>
      <c r="E1086" s="56"/>
      <c r="F1086" s="56"/>
      <c r="G1086" s="56"/>
      <c r="H1086" s="56"/>
      <c r="I1086" s="56"/>
      <c r="J1086" s="56"/>
      <c r="K1086" s="56"/>
      <c r="L1086" s="56"/>
      <c r="M1086" s="56"/>
    </row>
    <row r="1087" spans="2:13" ht="15">
      <c r="B1087" s="7"/>
      <c r="C1087" s="56"/>
      <c r="D1087" s="56"/>
      <c r="E1087" s="56"/>
      <c r="F1087" s="56"/>
      <c r="G1087" s="56"/>
      <c r="H1087" s="56"/>
      <c r="I1087" s="56"/>
      <c r="J1087" s="56"/>
      <c r="K1087" s="56"/>
      <c r="L1087" s="56"/>
      <c r="M1087" s="56"/>
    </row>
    <row r="1088" spans="2:13" ht="15">
      <c r="B1088" s="7"/>
      <c r="C1088" s="56"/>
      <c r="D1088" s="56"/>
      <c r="E1088" s="56"/>
      <c r="F1088" s="56"/>
      <c r="G1088" s="56"/>
      <c r="H1088" s="56"/>
      <c r="I1088" s="56"/>
      <c r="J1088" s="56"/>
      <c r="K1088" s="56"/>
      <c r="L1088" s="56"/>
      <c r="M1088" s="56"/>
    </row>
    <row r="1089" spans="2:13" ht="15">
      <c r="B1089" s="7"/>
      <c r="C1089" s="56"/>
      <c r="D1089" s="56"/>
      <c r="E1089" s="56"/>
      <c r="F1089" s="56"/>
      <c r="G1089" s="56"/>
      <c r="H1089" s="56"/>
      <c r="I1089" s="56"/>
      <c r="J1089" s="56"/>
      <c r="K1089" s="56"/>
      <c r="L1089" s="56"/>
      <c r="M1089" s="56"/>
    </row>
    <row r="1090" spans="2:13" ht="15">
      <c r="B1090" s="7"/>
      <c r="C1090" s="56"/>
      <c r="D1090" s="56"/>
      <c r="E1090" s="56"/>
      <c r="F1090" s="56"/>
      <c r="G1090" s="56"/>
      <c r="H1090" s="56"/>
      <c r="I1090" s="56"/>
      <c r="J1090" s="56"/>
      <c r="K1090" s="56"/>
      <c r="L1090" s="56"/>
      <c r="M1090" s="56"/>
    </row>
    <row r="1091" spans="2:13" ht="15">
      <c r="B1091" s="7"/>
      <c r="C1091" s="56"/>
      <c r="D1091" s="56"/>
      <c r="E1091" s="56"/>
      <c r="F1091" s="56"/>
      <c r="G1091" s="56"/>
      <c r="H1091" s="56"/>
      <c r="I1091" s="56"/>
      <c r="J1091" s="56"/>
      <c r="K1091" s="56"/>
      <c r="L1091" s="56"/>
      <c r="M1091" s="56"/>
    </row>
    <row r="1092" spans="2:13" ht="15">
      <c r="B1092" s="7"/>
      <c r="C1092" s="56"/>
      <c r="D1092" s="56"/>
      <c r="E1092" s="56"/>
      <c r="F1092" s="56"/>
      <c r="G1092" s="56"/>
      <c r="H1092" s="56"/>
      <c r="I1092" s="56"/>
      <c r="J1092" s="56"/>
      <c r="K1092" s="56"/>
      <c r="L1092" s="56"/>
      <c r="M1092" s="56"/>
    </row>
    <row r="1093" spans="2:13" ht="15">
      <c r="B1093" s="7"/>
      <c r="C1093" s="56"/>
      <c r="D1093" s="56"/>
      <c r="E1093" s="56"/>
      <c r="F1093" s="56"/>
      <c r="G1093" s="56"/>
      <c r="H1093" s="56"/>
      <c r="I1093" s="56"/>
      <c r="J1093" s="56"/>
      <c r="K1093" s="56"/>
      <c r="L1093" s="56"/>
      <c r="M1093" s="56"/>
    </row>
    <row r="1094" spans="2:13" ht="15">
      <c r="B1094" s="7"/>
      <c r="C1094" s="56"/>
      <c r="D1094" s="56"/>
      <c r="E1094" s="56"/>
      <c r="F1094" s="56"/>
      <c r="G1094" s="56"/>
      <c r="H1094" s="56"/>
      <c r="I1094" s="56"/>
      <c r="J1094" s="56"/>
      <c r="K1094" s="56"/>
      <c r="L1094" s="56"/>
      <c r="M1094" s="56"/>
    </row>
    <row r="1095" spans="2:13" ht="15">
      <c r="B1095" s="7"/>
      <c r="C1095" s="56"/>
      <c r="D1095" s="56"/>
      <c r="E1095" s="56"/>
      <c r="F1095" s="56"/>
      <c r="G1095" s="56"/>
      <c r="H1095" s="56"/>
      <c r="I1095" s="56"/>
      <c r="J1095" s="56"/>
      <c r="K1095" s="56"/>
      <c r="L1095" s="56"/>
      <c r="M1095" s="56"/>
    </row>
    <row r="1096" spans="2:13" ht="15">
      <c r="B1096" s="7"/>
      <c r="C1096" s="56"/>
      <c r="D1096" s="56"/>
      <c r="E1096" s="56"/>
      <c r="F1096" s="56"/>
      <c r="G1096" s="56"/>
      <c r="H1096" s="56"/>
      <c r="I1096" s="56"/>
      <c r="J1096" s="56"/>
      <c r="K1096" s="56"/>
      <c r="L1096" s="56"/>
      <c r="M1096" s="56"/>
    </row>
    <row r="1097" spans="2:13" ht="15">
      <c r="B1097" s="7"/>
      <c r="C1097" s="56"/>
      <c r="D1097" s="56"/>
      <c r="E1097" s="56"/>
      <c r="F1097" s="56"/>
      <c r="G1097" s="56"/>
      <c r="H1097" s="56"/>
      <c r="I1097" s="56"/>
      <c r="J1097" s="56"/>
      <c r="K1097" s="56"/>
      <c r="L1097" s="56"/>
      <c r="M1097" s="56"/>
    </row>
    <row r="1098" spans="2:13" ht="15">
      <c r="B1098" s="7"/>
      <c r="C1098" s="56"/>
      <c r="D1098" s="56"/>
      <c r="E1098" s="56"/>
      <c r="F1098" s="56"/>
      <c r="G1098" s="56"/>
      <c r="H1098" s="56"/>
      <c r="I1098" s="56"/>
      <c r="J1098" s="56"/>
      <c r="K1098" s="56"/>
      <c r="L1098" s="56"/>
      <c r="M1098" s="56"/>
    </row>
    <row r="1099" spans="2:13" ht="15">
      <c r="B1099" s="7"/>
      <c r="C1099" s="56"/>
      <c r="D1099" s="56"/>
      <c r="E1099" s="56"/>
      <c r="F1099" s="56"/>
      <c r="G1099" s="56"/>
      <c r="H1099" s="56"/>
      <c r="I1099" s="56"/>
      <c r="J1099" s="56"/>
      <c r="K1099" s="56"/>
      <c r="L1099" s="56"/>
      <c r="M1099" s="56"/>
    </row>
    <row r="1100" spans="2:13" ht="15">
      <c r="B1100" s="7"/>
      <c r="C1100" s="56"/>
      <c r="D1100" s="56"/>
      <c r="E1100" s="56"/>
      <c r="F1100" s="56"/>
      <c r="G1100" s="56"/>
      <c r="H1100" s="56"/>
      <c r="I1100" s="56"/>
      <c r="J1100" s="56"/>
      <c r="K1100" s="56"/>
      <c r="L1100" s="56"/>
      <c r="M1100" s="56"/>
    </row>
    <row r="1101" spans="2:13" ht="15">
      <c r="B1101" s="7"/>
      <c r="C1101" s="56"/>
      <c r="D1101" s="56"/>
      <c r="E1101" s="56"/>
      <c r="F1101" s="56"/>
      <c r="G1101" s="56"/>
      <c r="H1101" s="56"/>
      <c r="I1101" s="56"/>
      <c r="J1101" s="56"/>
      <c r="K1101" s="56"/>
      <c r="L1101" s="56"/>
      <c r="M1101" s="56"/>
    </row>
    <row r="1102" spans="2:13" ht="15">
      <c r="B1102" s="7"/>
      <c r="C1102" s="56"/>
      <c r="D1102" s="56"/>
      <c r="E1102" s="56"/>
      <c r="F1102" s="56"/>
      <c r="G1102" s="56"/>
      <c r="H1102" s="56"/>
      <c r="I1102" s="56"/>
      <c r="J1102" s="56"/>
      <c r="K1102" s="56"/>
      <c r="L1102" s="56"/>
      <c r="M1102" s="56"/>
    </row>
    <row r="1103" spans="2:13" ht="15">
      <c r="B1103" s="7"/>
      <c r="C1103" s="56"/>
      <c r="D1103" s="56"/>
      <c r="E1103" s="56"/>
      <c r="F1103" s="56"/>
      <c r="G1103" s="56"/>
      <c r="H1103" s="56"/>
      <c r="I1103" s="56"/>
      <c r="J1103" s="56"/>
      <c r="K1103" s="56"/>
      <c r="L1103" s="56"/>
      <c r="M1103" s="56"/>
    </row>
    <row r="1104" spans="2:13" ht="15">
      <c r="B1104" s="7"/>
      <c r="C1104" s="56"/>
      <c r="D1104" s="56"/>
      <c r="E1104" s="56"/>
      <c r="F1104" s="56"/>
      <c r="G1104" s="56"/>
      <c r="H1104" s="56"/>
      <c r="I1104" s="56"/>
      <c r="J1104" s="56"/>
      <c r="K1104" s="56"/>
      <c r="L1104" s="56"/>
      <c r="M1104" s="56"/>
    </row>
    <row r="1105" spans="2:13" ht="15">
      <c r="B1105" s="7"/>
      <c r="C1105" s="56"/>
      <c r="D1105" s="56"/>
      <c r="E1105" s="56"/>
      <c r="F1105" s="56"/>
      <c r="G1105" s="56"/>
      <c r="H1105" s="56"/>
      <c r="I1105" s="56"/>
      <c r="J1105" s="56"/>
      <c r="K1105" s="56"/>
      <c r="L1105" s="56"/>
      <c r="M1105" s="56"/>
    </row>
    <row r="1106" spans="2:13" ht="15">
      <c r="B1106" s="7"/>
      <c r="C1106" s="56"/>
      <c r="D1106" s="56"/>
      <c r="E1106" s="56"/>
      <c r="F1106" s="56"/>
      <c r="G1106" s="56"/>
      <c r="H1106" s="56"/>
      <c r="I1106" s="56"/>
      <c r="J1106" s="56"/>
      <c r="K1106" s="56"/>
      <c r="L1106" s="56"/>
      <c r="M1106" s="56"/>
    </row>
    <row r="1107" spans="2:13" ht="15">
      <c r="B1107" s="7"/>
      <c r="C1107" s="56"/>
      <c r="D1107" s="56"/>
      <c r="E1107" s="56"/>
      <c r="F1107" s="56"/>
      <c r="G1107" s="56"/>
      <c r="H1107" s="56"/>
      <c r="I1107" s="56"/>
      <c r="J1107" s="56"/>
      <c r="K1107" s="56"/>
      <c r="L1107" s="56"/>
      <c r="M1107" s="56"/>
    </row>
    <row r="1108" spans="2:13" ht="15">
      <c r="B1108" s="7"/>
      <c r="C1108" s="56"/>
      <c r="D1108" s="56"/>
      <c r="E1108" s="56"/>
      <c r="F1108" s="56"/>
      <c r="G1108" s="56"/>
      <c r="H1108" s="56"/>
      <c r="I1108" s="56"/>
      <c r="J1108" s="56"/>
      <c r="K1108" s="56"/>
      <c r="L1108" s="56"/>
      <c r="M1108" s="56"/>
    </row>
    <row r="1109" spans="2:13" ht="15">
      <c r="B1109" s="7"/>
      <c r="C1109" s="56"/>
      <c r="D1109" s="56"/>
      <c r="E1109" s="56"/>
      <c r="F1109" s="56"/>
      <c r="G1109" s="56"/>
      <c r="H1109" s="56"/>
      <c r="I1109" s="56"/>
      <c r="J1109" s="56"/>
      <c r="K1109" s="56"/>
      <c r="L1109" s="56"/>
      <c r="M1109" s="56"/>
    </row>
    <row r="1110" spans="2:13" ht="15">
      <c r="B1110" s="7"/>
      <c r="C1110" s="56"/>
      <c r="D1110" s="56"/>
      <c r="E1110" s="56"/>
      <c r="F1110" s="56"/>
      <c r="G1110" s="56"/>
      <c r="H1110" s="56"/>
      <c r="I1110" s="56"/>
      <c r="J1110" s="56"/>
      <c r="K1110" s="56"/>
      <c r="L1110" s="56"/>
      <c r="M1110" s="56"/>
    </row>
    <row r="1111" spans="2:13" ht="15">
      <c r="B1111" s="7"/>
      <c r="C1111" s="56"/>
      <c r="D1111" s="56"/>
      <c r="E1111" s="56"/>
      <c r="F1111" s="56"/>
      <c r="G1111" s="56"/>
      <c r="H1111" s="56"/>
      <c r="I1111" s="56"/>
      <c r="J1111" s="56"/>
      <c r="K1111" s="56"/>
      <c r="L1111" s="56"/>
      <c r="M1111" s="56"/>
    </row>
    <row r="1112" spans="2:13" ht="15">
      <c r="B1112" s="7"/>
      <c r="C1112" s="56"/>
      <c r="D1112" s="56"/>
      <c r="E1112" s="56"/>
      <c r="F1112" s="56"/>
      <c r="G1112" s="56"/>
      <c r="H1112" s="56"/>
      <c r="I1112" s="56"/>
      <c r="J1112" s="56"/>
      <c r="K1112" s="56"/>
      <c r="L1112" s="56"/>
      <c r="M1112" s="56"/>
    </row>
    <row r="1113" spans="2:13" ht="15">
      <c r="B1113" s="7"/>
      <c r="C1113" s="56"/>
      <c r="D1113" s="56"/>
      <c r="E1113" s="56"/>
      <c r="F1113" s="56"/>
      <c r="G1113" s="56"/>
      <c r="H1113" s="56"/>
      <c r="I1113" s="56"/>
      <c r="J1113" s="56"/>
      <c r="K1113" s="56"/>
      <c r="L1113" s="56"/>
      <c r="M1113" s="56"/>
    </row>
    <row r="1114" spans="2:13" ht="15">
      <c r="B1114" s="7"/>
      <c r="C1114" s="56"/>
      <c r="D1114" s="56"/>
      <c r="E1114" s="56"/>
      <c r="F1114" s="56"/>
      <c r="G1114" s="56"/>
      <c r="H1114" s="56"/>
      <c r="I1114" s="56"/>
      <c r="J1114" s="56"/>
      <c r="K1114" s="56"/>
      <c r="L1114" s="56"/>
      <c r="M1114" s="56"/>
    </row>
    <row r="1115" spans="2:13" ht="15">
      <c r="B1115" s="7"/>
      <c r="C1115" s="56"/>
      <c r="D1115" s="56"/>
      <c r="E1115" s="56"/>
      <c r="F1115" s="56"/>
      <c r="G1115" s="56"/>
      <c r="H1115" s="56"/>
      <c r="I1115" s="56"/>
      <c r="J1115" s="56"/>
      <c r="K1115" s="56"/>
      <c r="L1115" s="56"/>
      <c r="M1115" s="56"/>
    </row>
    <row r="1116" spans="2:13" ht="15">
      <c r="B1116" s="7"/>
      <c r="C1116" s="56"/>
      <c r="D1116" s="56"/>
      <c r="E1116" s="56"/>
      <c r="F1116" s="56"/>
      <c r="G1116" s="56"/>
      <c r="H1116" s="56"/>
      <c r="I1116" s="56"/>
      <c r="J1116" s="56"/>
      <c r="K1116" s="56"/>
      <c r="L1116" s="56"/>
      <c r="M1116" s="56"/>
    </row>
    <row r="1117" spans="2:13" ht="15">
      <c r="B1117" s="7"/>
      <c r="C1117" s="56"/>
      <c r="D1117" s="56"/>
      <c r="E1117" s="56"/>
      <c r="F1117" s="56"/>
      <c r="G1117" s="56"/>
      <c r="H1117" s="56"/>
      <c r="I1117" s="56"/>
      <c r="J1117" s="56"/>
      <c r="K1117" s="56"/>
      <c r="L1117" s="56"/>
      <c r="M1117" s="56"/>
    </row>
    <row r="1118" spans="2:13" ht="15">
      <c r="B1118" s="7"/>
      <c r="C1118" s="56"/>
      <c r="D1118" s="56"/>
      <c r="E1118" s="56"/>
      <c r="F1118" s="56"/>
      <c r="G1118" s="56"/>
      <c r="H1118" s="56"/>
      <c r="I1118" s="56"/>
      <c r="J1118" s="56"/>
      <c r="K1118" s="56"/>
      <c r="L1118" s="56"/>
      <c r="M1118" s="56"/>
    </row>
    <row r="1119" spans="2:13" ht="15">
      <c r="B1119" s="7"/>
      <c r="C1119" s="56"/>
      <c r="D1119" s="56"/>
      <c r="E1119" s="56"/>
      <c r="F1119" s="56"/>
      <c r="G1119" s="56"/>
      <c r="H1119" s="56"/>
      <c r="I1119" s="56"/>
      <c r="J1119" s="56"/>
      <c r="K1119" s="56"/>
      <c r="L1119" s="56"/>
      <c r="M1119" s="56"/>
    </row>
    <row r="1120" spans="2:13" ht="15">
      <c r="B1120" s="7"/>
      <c r="C1120" s="56"/>
      <c r="D1120" s="56"/>
      <c r="E1120" s="56"/>
      <c r="F1120" s="56"/>
      <c r="G1120" s="56"/>
      <c r="H1120" s="56"/>
      <c r="I1120" s="56"/>
      <c r="J1120" s="56"/>
      <c r="K1120" s="56"/>
      <c r="L1120" s="56"/>
      <c r="M1120" s="56"/>
    </row>
    <row r="1121" spans="2:13" ht="15">
      <c r="B1121" s="7"/>
      <c r="C1121" s="56"/>
      <c r="D1121" s="56"/>
      <c r="E1121" s="56"/>
      <c r="F1121" s="56"/>
      <c r="G1121" s="56"/>
      <c r="H1121" s="56"/>
      <c r="I1121" s="56"/>
      <c r="J1121" s="56"/>
      <c r="K1121" s="56"/>
      <c r="L1121" s="56"/>
      <c r="M1121" s="56"/>
    </row>
    <row r="1122" spans="2:13" ht="15">
      <c r="B1122" s="7"/>
      <c r="C1122" s="56"/>
      <c r="D1122" s="56"/>
      <c r="E1122" s="56"/>
      <c r="F1122" s="56"/>
      <c r="G1122" s="56"/>
      <c r="H1122" s="56"/>
      <c r="I1122" s="56"/>
      <c r="J1122" s="56"/>
      <c r="K1122" s="56"/>
      <c r="L1122" s="56"/>
      <c r="M1122" s="56"/>
    </row>
    <row r="1123" spans="2:13" ht="15">
      <c r="B1123" s="7"/>
      <c r="C1123" s="56"/>
      <c r="D1123" s="56"/>
      <c r="E1123" s="56"/>
      <c r="F1123" s="56"/>
      <c r="G1123" s="56"/>
      <c r="H1123" s="56"/>
      <c r="I1123" s="56"/>
      <c r="J1123" s="56"/>
      <c r="K1123" s="56"/>
      <c r="L1123" s="56"/>
      <c r="M1123" s="56"/>
    </row>
    <row r="1124" spans="2:13" ht="15">
      <c r="B1124" s="7"/>
      <c r="C1124" s="56"/>
      <c r="D1124" s="56"/>
      <c r="E1124" s="56"/>
      <c r="F1124" s="56"/>
      <c r="G1124" s="56"/>
      <c r="H1124" s="56"/>
      <c r="I1124" s="56"/>
      <c r="J1124" s="56"/>
      <c r="K1124" s="56"/>
      <c r="L1124" s="56"/>
      <c r="M1124" s="56"/>
    </row>
    <row r="1125" spans="2:13" ht="15">
      <c r="B1125" s="7"/>
      <c r="C1125" s="56"/>
      <c r="D1125" s="56"/>
      <c r="E1125" s="56"/>
      <c r="F1125" s="56"/>
      <c r="G1125" s="56"/>
      <c r="H1125" s="56"/>
      <c r="I1125" s="56"/>
      <c r="J1125" s="56"/>
      <c r="K1125" s="56"/>
      <c r="L1125" s="56"/>
      <c r="M1125" s="56"/>
    </row>
    <row r="1126" spans="2:13" ht="15">
      <c r="B1126" s="7"/>
      <c r="C1126" s="56"/>
      <c r="D1126" s="56"/>
      <c r="E1126" s="56"/>
      <c r="F1126" s="56"/>
      <c r="G1126" s="56"/>
      <c r="H1126" s="56"/>
      <c r="I1126" s="56"/>
      <c r="J1126" s="56"/>
      <c r="K1126" s="56"/>
      <c r="L1126" s="56"/>
      <c r="M1126" s="56"/>
    </row>
    <row r="1127" spans="2:13" ht="15">
      <c r="B1127" s="7"/>
      <c r="C1127" s="56"/>
      <c r="D1127" s="56"/>
      <c r="E1127" s="56"/>
      <c r="F1127" s="56"/>
      <c r="G1127" s="56"/>
      <c r="H1127" s="56"/>
      <c r="I1127" s="56"/>
      <c r="J1127" s="56"/>
      <c r="K1127" s="56"/>
      <c r="L1127" s="56"/>
      <c r="M1127" s="56"/>
    </row>
    <row r="1128" spans="2:13" ht="15">
      <c r="B1128" s="7"/>
      <c r="C1128" s="56"/>
      <c r="D1128" s="56"/>
      <c r="E1128" s="56"/>
      <c r="F1128" s="56"/>
      <c r="G1128" s="56"/>
      <c r="H1128" s="56"/>
      <c r="I1128" s="56"/>
      <c r="J1128" s="56"/>
      <c r="K1128" s="56"/>
      <c r="L1128" s="56"/>
      <c r="M1128" s="56"/>
    </row>
    <row r="1129" spans="2:13" ht="15">
      <c r="B1129" s="7"/>
      <c r="C1129" s="56"/>
      <c r="D1129" s="56"/>
      <c r="E1129" s="56"/>
      <c r="F1129" s="56"/>
      <c r="G1129" s="56"/>
      <c r="H1129" s="56"/>
      <c r="I1129" s="56"/>
      <c r="J1129" s="56"/>
      <c r="K1129" s="56"/>
      <c r="L1129" s="56"/>
      <c r="M1129" s="56"/>
    </row>
    <row r="1130" spans="2:13" ht="15">
      <c r="B1130" s="7"/>
      <c r="C1130" s="56"/>
      <c r="D1130" s="56"/>
      <c r="E1130" s="56"/>
      <c r="F1130" s="56"/>
      <c r="G1130" s="56"/>
      <c r="H1130" s="56"/>
      <c r="I1130" s="56"/>
      <c r="J1130" s="56"/>
      <c r="K1130" s="56"/>
      <c r="L1130" s="56"/>
      <c r="M1130" s="56"/>
    </row>
    <row r="1131" spans="2:13" ht="15">
      <c r="B1131" s="7"/>
      <c r="C1131" s="56"/>
      <c r="D1131" s="56"/>
      <c r="E1131" s="56"/>
      <c r="F1131" s="56"/>
      <c r="G1131" s="56"/>
      <c r="H1131" s="56"/>
      <c r="I1131" s="56"/>
      <c r="J1131" s="56"/>
      <c r="K1131" s="56"/>
      <c r="L1131" s="56"/>
      <c r="M1131" s="56"/>
    </row>
    <row r="1132" spans="2:13" ht="15">
      <c r="B1132" s="7"/>
      <c r="C1132" s="56"/>
      <c r="D1132" s="56"/>
      <c r="E1132" s="56"/>
      <c r="F1132" s="56"/>
      <c r="G1132" s="56"/>
      <c r="H1132" s="56"/>
      <c r="I1132" s="56"/>
      <c r="J1132" s="56"/>
      <c r="K1132" s="56"/>
      <c r="L1132" s="56"/>
      <c r="M1132" s="56"/>
    </row>
    <row r="1133" spans="2:13" ht="15">
      <c r="B1133" s="7"/>
      <c r="C1133" s="56"/>
      <c r="D1133" s="56"/>
      <c r="E1133" s="56"/>
      <c r="F1133" s="56"/>
      <c r="G1133" s="56"/>
      <c r="H1133" s="56"/>
      <c r="I1133" s="56"/>
      <c r="J1133" s="56"/>
      <c r="K1133" s="56"/>
      <c r="L1133" s="56"/>
      <c r="M1133" s="56"/>
    </row>
    <row r="1134" spans="2:13" ht="15">
      <c r="B1134" s="7"/>
      <c r="C1134" s="56"/>
      <c r="D1134" s="56"/>
      <c r="E1134" s="56"/>
      <c r="F1134" s="56"/>
      <c r="G1134" s="56"/>
      <c r="H1134" s="56"/>
      <c r="I1134" s="56"/>
      <c r="J1134" s="56"/>
      <c r="K1134" s="56"/>
      <c r="L1134" s="56"/>
      <c r="M1134" s="56"/>
    </row>
    <row r="1135" spans="2:13" ht="15">
      <c r="B1135" s="7"/>
      <c r="C1135" s="56"/>
      <c r="D1135" s="56"/>
      <c r="E1135" s="56"/>
      <c r="F1135" s="56"/>
      <c r="G1135" s="56"/>
      <c r="H1135" s="56"/>
      <c r="I1135" s="56"/>
      <c r="J1135" s="56"/>
      <c r="K1135" s="56"/>
      <c r="L1135" s="56"/>
      <c r="M1135" s="56"/>
    </row>
    <row r="1136" spans="2:13" ht="15">
      <c r="B1136" s="7"/>
      <c r="C1136" s="56"/>
      <c r="D1136" s="56"/>
      <c r="E1136" s="56"/>
      <c r="F1136" s="56"/>
      <c r="G1136" s="56"/>
      <c r="H1136" s="56"/>
      <c r="I1136" s="56"/>
      <c r="J1136" s="56"/>
      <c r="K1136" s="56"/>
      <c r="L1136" s="56"/>
      <c r="M1136" s="56"/>
    </row>
    <row r="1137" spans="2:13" ht="15">
      <c r="B1137" s="7"/>
      <c r="C1137" s="56"/>
      <c r="D1137" s="56"/>
      <c r="E1137" s="56"/>
      <c r="F1137" s="56"/>
      <c r="G1137" s="56"/>
      <c r="H1137" s="56"/>
      <c r="I1137" s="56"/>
      <c r="J1137" s="56"/>
      <c r="K1137" s="56"/>
      <c r="L1137" s="56"/>
      <c r="M1137" s="56"/>
    </row>
    <row r="1138" spans="2:13" ht="15">
      <c r="B1138" s="7"/>
      <c r="C1138" s="56"/>
      <c r="D1138" s="56"/>
      <c r="E1138" s="56"/>
      <c r="F1138" s="56"/>
      <c r="G1138" s="56"/>
      <c r="H1138" s="56"/>
      <c r="I1138" s="56"/>
      <c r="J1138" s="56"/>
      <c r="K1138" s="56"/>
      <c r="L1138" s="56"/>
      <c r="M1138" s="56"/>
    </row>
    <row r="1139" spans="2:13" ht="15">
      <c r="B1139" s="7"/>
      <c r="C1139" s="56"/>
      <c r="D1139" s="56"/>
      <c r="E1139" s="56"/>
      <c r="F1139" s="56"/>
      <c r="G1139" s="56"/>
      <c r="H1139" s="56"/>
      <c r="I1139" s="56"/>
      <c r="J1139" s="56"/>
      <c r="K1139" s="56"/>
      <c r="L1139" s="56"/>
      <c r="M1139" s="56"/>
    </row>
    <row r="1140" spans="2:13" ht="15">
      <c r="B1140" s="7"/>
      <c r="C1140" s="56"/>
      <c r="D1140" s="56"/>
      <c r="E1140" s="56"/>
      <c r="F1140" s="56"/>
      <c r="G1140" s="56"/>
      <c r="H1140" s="56"/>
      <c r="I1140" s="56"/>
      <c r="J1140" s="56"/>
      <c r="K1140" s="56"/>
      <c r="L1140" s="56"/>
      <c r="M1140" s="56"/>
    </row>
    <row r="1141" spans="2:13" ht="15">
      <c r="B1141" s="7"/>
      <c r="C1141" s="56"/>
      <c r="D1141" s="56"/>
      <c r="E1141" s="56"/>
      <c r="F1141" s="56"/>
      <c r="G1141" s="56"/>
      <c r="H1141" s="56"/>
      <c r="I1141" s="56"/>
      <c r="J1141" s="56"/>
      <c r="K1141" s="56"/>
      <c r="L1141" s="56"/>
      <c r="M1141" s="56"/>
    </row>
    <row r="1142" spans="2:13" ht="15">
      <c r="B1142" s="7"/>
      <c r="C1142" s="56"/>
      <c r="D1142" s="56"/>
      <c r="E1142" s="56"/>
      <c r="F1142" s="56"/>
      <c r="G1142" s="56"/>
      <c r="H1142" s="56"/>
      <c r="I1142" s="56"/>
      <c r="J1142" s="56"/>
      <c r="K1142" s="56"/>
      <c r="L1142" s="56"/>
      <c r="M1142" s="56"/>
    </row>
    <row r="1143" spans="2:13" ht="15">
      <c r="B1143" s="7"/>
      <c r="C1143" s="56"/>
      <c r="D1143" s="56"/>
      <c r="E1143" s="56"/>
      <c r="F1143" s="56"/>
      <c r="G1143" s="56"/>
      <c r="H1143" s="56"/>
      <c r="I1143" s="56"/>
      <c r="J1143" s="56"/>
      <c r="K1143" s="56"/>
      <c r="L1143" s="56"/>
      <c r="M1143" s="56"/>
    </row>
    <row r="1144" spans="2:13" ht="15">
      <c r="B1144" s="7"/>
      <c r="C1144" s="56"/>
      <c r="D1144" s="56"/>
      <c r="E1144" s="56"/>
      <c r="F1144" s="56"/>
      <c r="G1144" s="56"/>
      <c r="H1144" s="56"/>
      <c r="I1144" s="56"/>
      <c r="J1144" s="56"/>
      <c r="K1144" s="56"/>
      <c r="L1144" s="56"/>
      <c r="M1144" s="56"/>
    </row>
    <row r="1145" spans="2:13" ht="15">
      <c r="B1145" s="7"/>
      <c r="C1145" s="56"/>
      <c r="D1145" s="56"/>
      <c r="E1145" s="56"/>
      <c r="F1145" s="56"/>
      <c r="G1145" s="56"/>
      <c r="H1145" s="56"/>
      <c r="I1145" s="56"/>
      <c r="J1145" s="56"/>
      <c r="K1145" s="56"/>
      <c r="L1145" s="56"/>
      <c r="M1145" s="56"/>
    </row>
    <row r="1146" spans="2:13" ht="15">
      <c r="B1146" s="7"/>
      <c r="C1146" s="56"/>
      <c r="D1146" s="56"/>
      <c r="E1146" s="56"/>
      <c r="F1146" s="56"/>
      <c r="G1146" s="56"/>
      <c r="H1146" s="56"/>
      <c r="I1146" s="56"/>
      <c r="J1146" s="56"/>
      <c r="K1146" s="56"/>
      <c r="L1146" s="56"/>
      <c r="M1146" s="56"/>
    </row>
    <row r="1147" spans="2:13" ht="15">
      <c r="B1147" s="7"/>
      <c r="C1147" s="56"/>
      <c r="D1147" s="56"/>
      <c r="E1147" s="56"/>
      <c r="F1147" s="56"/>
      <c r="G1147" s="56"/>
      <c r="H1147" s="56"/>
      <c r="I1147" s="56"/>
      <c r="J1147" s="56"/>
      <c r="K1147" s="56"/>
      <c r="L1147" s="56"/>
      <c r="M1147" s="56"/>
    </row>
    <row r="1148" spans="2:13" ht="15">
      <c r="B1148" s="7"/>
      <c r="C1148" s="56"/>
      <c r="D1148" s="56"/>
      <c r="E1148" s="56"/>
      <c r="F1148" s="56"/>
      <c r="G1148" s="56"/>
      <c r="H1148" s="56"/>
      <c r="I1148" s="56"/>
      <c r="J1148" s="56"/>
      <c r="K1148" s="56"/>
      <c r="L1148" s="56"/>
      <c r="M1148" s="56"/>
    </row>
    <row r="1149" spans="2:13" ht="15">
      <c r="B1149" s="7"/>
      <c r="C1149" s="56"/>
      <c r="D1149" s="56"/>
      <c r="E1149" s="56"/>
      <c r="F1149" s="56"/>
      <c r="G1149" s="56"/>
      <c r="H1149" s="56"/>
      <c r="I1149" s="56"/>
      <c r="J1149" s="56"/>
      <c r="K1149" s="56"/>
      <c r="L1149" s="56"/>
      <c r="M1149" s="56"/>
    </row>
    <row r="1150" spans="2:13" ht="15">
      <c r="B1150" s="7"/>
      <c r="C1150" s="56"/>
      <c r="D1150" s="56"/>
      <c r="E1150" s="56"/>
      <c r="F1150" s="56"/>
      <c r="G1150" s="56"/>
      <c r="H1150" s="56"/>
      <c r="I1150" s="56"/>
      <c r="J1150" s="56"/>
      <c r="K1150" s="56"/>
      <c r="L1150" s="56"/>
      <c r="M1150" s="56"/>
    </row>
    <row r="1151" spans="2:13" ht="15">
      <c r="B1151" s="7"/>
      <c r="C1151" s="56"/>
      <c r="D1151" s="56"/>
      <c r="E1151" s="56"/>
      <c r="F1151" s="56"/>
      <c r="G1151" s="56"/>
      <c r="H1151" s="56"/>
      <c r="I1151" s="56"/>
      <c r="J1151" s="56"/>
      <c r="K1151" s="56"/>
      <c r="L1151" s="56"/>
      <c r="M1151" s="56"/>
    </row>
    <row r="1152" spans="2:13" ht="15">
      <c r="B1152" s="7"/>
      <c r="C1152" s="56"/>
      <c r="D1152" s="56"/>
      <c r="E1152" s="56"/>
      <c r="F1152" s="56"/>
      <c r="G1152" s="56"/>
      <c r="H1152" s="56"/>
      <c r="I1152" s="56"/>
      <c r="J1152" s="56"/>
      <c r="K1152" s="56"/>
      <c r="L1152" s="56"/>
      <c r="M1152" s="56"/>
    </row>
    <row r="1153" spans="2:13" ht="15">
      <c r="B1153" s="7"/>
      <c r="C1153" s="56"/>
      <c r="D1153" s="56"/>
      <c r="E1153" s="56"/>
      <c r="F1153" s="56"/>
      <c r="G1153" s="56"/>
      <c r="H1153" s="56"/>
      <c r="I1153" s="56"/>
      <c r="J1153" s="56"/>
      <c r="K1153" s="56"/>
      <c r="L1153" s="56"/>
      <c r="M1153" s="56"/>
    </row>
    <row r="1154" spans="2:13" ht="15">
      <c r="B1154" s="7"/>
      <c r="C1154" s="56"/>
      <c r="D1154" s="56"/>
      <c r="E1154" s="56"/>
      <c r="F1154" s="56"/>
      <c r="G1154" s="56"/>
      <c r="H1154" s="56"/>
      <c r="I1154" s="56"/>
      <c r="J1154" s="56"/>
      <c r="K1154" s="56"/>
      <c r="L1154" s="56"/>
      <c r="M1154" s="56"/>
    </row>
    <row r="1155" spans="2:13" ht="15">
      <c r="B1155" s="7"/>
      <c r="C1155" s="56"/>
      <c r="D1155" s="56"/>
      <c r="E1155" s="56"/>
      <c r="F1155" s="56"/>
      <c r="G1155" s="56"/>
      <c r="H1155" s="56"/>
      <c r="I1155" s="56"/>
      <c r="J1155" s="56"/>
      <c r="K1155" s="56"/>
      <c r="L1155" s="56"/>
      <c r="M1155" s="56"/>
    </row>
    <row r="1156" spans="2:13" ht="15">
      <c r="B1156" s="7"/>
      <c r="C1156" s="56"/>
      <c r="D1156" s="56"/>
      <c r="E1156" s="56"/>
      <c r="F1156" s="56"/>
      <c r="G1156" s="56"/>
      <c r="H1156" s="56"/>
      <c r="I1156" s="56"/>
      <c r="J1156" s="56"/>
      <c r="K1156" s="56"/>
      <c r="L1156" s="56"/>
      <c r="M1156" s="56"/>
    </row>
    <row r="1157" spans="2:13" ht="15">
      <c r="B1157" s="7"/>
      <c r="C1157" s="56"/>
      <c r="D1157" s="56"/>
      <c r="E1157" s="56"/>
      <c r="F1157" s="56"/>
      <c r="G1157" s="56"/>
      <c r="H1157" s="56"/>
      <c r="I1157" s="56"/>
      <c r="J1157" s="56"/>
      <c r="K1157" s="56"/>
      <c r="L1157" s="56"/>
      <c r="M1157" s="56"/>
    </row>
    <row r="1158" spans="2:13" ht="15">
      <c r="B1158" s="7"/>
      <c r="C1158" s="56"/>
      <c r="D1158" s="56"/>
      <c r="E1158" s="56"/>
      <c r="F1158" s="56"/>
      <c r="G1158" s="56"/>
      <c r="H1158" s="56"/>
      <c r="I1158" s="56"/>
      <c r="J1158" s="56"/>
      <c r="K1158" s="56"/>
      <c r="L1158" s="56"/>
      <c r="M1158" s="56"/>
    </row>
    <row r="1159" spans="2:13" ht="15">
      <c r="B1159" s="7"/>
      <c r="C1159" s="56"/>
      <c r="D1159" s="56"/>
      <c r="E1159" s="56"/>
      <c r="F1159" s="56"/>
      <c r="G1159" s="56"/>
      <c r="H1159" s="56"/>
      <c r="I1159" s="56"/>
      <c r="J1159" s="56"/>
      <c r="K1159" s="56"/>
      <c r="L1159" s="56"/>
      <c r="M1159" s="56"/>
    </row>
    <row r="1160" spans="2:13" ht="15">
      <c r="B1160" s="7"/>
      <c r="C1160" s="56"/>
      <c r="D1160" s="56"/>
      <c r="E1160" s="56"/>
      <c r="F1160" s="56"/>
      <c r="G1160" s="56"/>
      <c r="H1160" s="56"/>
      <c r="I1160" s="56"/>
      <c r="J1160" s="56"/>
      <c r="K1160" s="56"/>
      <c r="L1160" s="56"/>
      <c r="M1160" s="56"/>
    </row>
    <row r="1161" spans="2:13" ht="15">
      <c r="B1161" s="7"/>
      <c r="C1161" s="56"/>
      <c r="D1161" s="56"/>
      <c r="E1161" s="56"/>
      <c r="F1161" s="56"/>
      <c r="G1161" s="56"/>
      <c r="H1161" s="56"/>
      <c r="I1161" s="56"/>
      <c r="J1161" s="56"/>
      <c r="K1161" s="56"/>
      <c r="L1161" s="56"/>
      <c r="M1161" s="56"/>
    </row>
    <row r="1162" spans="2:13" ht="15">
      <c r="B1162" s="7"/>
      <c r="C1162" s="56"/>
      <c r="D1162" s="56"/>
      <c r="E1162" s="56"/>
      <c r="F1162" s="56"/>
      <c r="G1162" s="56"/>
      <c r="H1162" s="56"/>
      <c r="I1162" s="56"/>
      <c r="J1162" s="56"/>
      <c r="K1162" s="56"/>
      <c r="L1162" s="56"/>
      <c r="M1162" s="56"/>
    </row>
    <row r="1163" spans="2:13" ht="15">
      <c r="B1163" s="7"/>
      <c r="C1163" s="56"/>
      <c r="D1163" s="56"/>
      <c r="E1163" s="56"/>
      <c r="F1163" s="56"/>
      <c r="G1163" s="56"/>
      <c r="H1163" s="56"/>
      <c r="I1163" s="56"/>
      <c r="J1163" s="56"/>
      <c r="K1163" s="56"/>
      <c r="L1163" s="56"/>
      <c r="M1163" s="56"/>
    </row>
    <row r="1164" spans="2:13" ht="15">
      <c r="B1164" s="7"/>
      <c r="C1164" s="56"/>
      <c r="D1164" s="56"/>
      <c r="E1164" s="56"/>
      <c r="F1164" s="56"/>
      <c r="G1164" s="56"/>
      <c r="H1164" s="56"/>
      <c r="I1164" s="56"/>
      <c r="J1164" s="56"/>
      <c r="K1164" s="56"/>
      <c r="L1164" s="56"/>
      <c r="M1164" s="56"/>
    </row>
    <row r="1165" spans="2:13" ht="15">
      <c r="B1165" s="7"/>
      <c r="C1165" s="56"/>
      <c r="D1165" s="56"/>
      <c r="E1165" s="56"/>
      <c r="F1165" s="56"/>
      <c r="G1165" s="56"/>
      <c r="H1165" s="56"/>
      <c r="I1165" s="56"/>
      <c r="J1165" s="56"/>
      <c r="K1165" s="56"/>
      <c r="L1165" s="56"/>
      <c r="M1165" s="56"/>
    </row>
    <row r="1166" spans="2:13" ht="15">
      <c r="B1166" s="7"/>
      <c r="C1166" s="56"/>
      <c r="D1166" s="56"/>
      <c r="E1166" s="56"/>
      <c r="F1166" s="56"/>
      <c r="G1166" s="56"/>
      <c r="H1166" s="56"/>
      <c r="I1166" s="56"/>
      <c r="J1166" s="56"/>
      <c r="K1166" s="56"/>
      <c r="L1166" s="56"/>
      <c r="M1166" s="56"/>
    </row>
    <row r="1167" spans="2:13" ht="15">
      <c r="B1167" s="7"/>
      <c r="C1167" s="56"/>
      <c r="D1167" s="56"/>
      <c r="E1167" s="56"/>
      <c r="F1167" s="56"/>
      <c r="G1167" s="56"/>
      <c r="H1167" s="56"/>
      <c r="I1167" s="56"/>
      <c r="J1167" s="56"/>
      <c r="K1167" s="56"/>
      <c r="L1167" s="56"/>
      <c r="M1167" s="56"/>
    </row>
    <row r="1168" spans="2:13" ht="15">
      <c r="B1168" s="7"/>
      <c r="C1168" s="56"/>
      <c r="D1168" s="56"/>
      <c r="E1168" s="56"/>
      <c r="F1168" s="56"/>
      <c r="G1168" s="56"/>
      <c r="H1168" s="56"/>
      <c r="I1168" s="56"/>
      <c r="J1168" s="56"/>
      <c r="K1168" s="56"/>
      <c r="L1168" s="56"/>
      <c r="M1168" s="56"/>
    </row>
    <row r="1169" spans="2:13" ht="15">
      <c r="B1169" s="7"/>
      <c r="C1169" s="56"/>
      <c r="D1169" s="56"/>
      <c r="E1169" s="56"/>
      <c r="F1169" s="56"/>
      <c r="G1169" s="56"/>
      <c r="H1169" s="56"/>
      <c r="I1169" s="56"/>
      <c r="J1169" s="56"/>
      <c r="K1169" s="56"/>
      <c r="L1169" s="56"/>
      <c r="M1169" s="56"/>
    </row>
    <row r="1170" spans="2:13" ht="15">
      <c r="B1170" s="7"/>
      <c r="C1170" s="56"/>
      <c r="D1170" s="56"/>
      <c r="E1170" s="56"/>
      <c r="F1170" s="56"/>
      <c r="G1170" s="56"/>
      <c r="H1170" s="56"/>
      <c r="I1170" s="56"/>
      <c r="J1170" s="56"/>
      <c r="K1170" s="56"/>
      <c r="L1170" s="56"/>
      <c r="M1170" s="56"/>
    </row>
    <row r="1171" spans="2:13" ht="15">
      <c r="B1171" s="7"/>
      <c r="C1171" s="56"/>
      <c r="D1171" s="56"/>
      <c r="E1171" s="56"/>
      <c r="F1171" s="56"/>
      <c r="G1171" s="56"/>
      <c r="H1171" s="56"/>
      <c r="I1171" s="56"/>
      <c r="J1171" s="56"/>
      <c r="K1171" s="56"/>
      <c r="L1171" s="56"/>
      <c r="M1171" s="56"/>
    </row>
    <row r="1172" spans="2:13" ht="15">
      <c r="B1172" s="7"/>
      <c r="C1172" s="56"/>
      <c r="D1172" s="56"/>
      <c r="E1172" s="56"/>
      <c r="F1172" s="56"/>
      <c r="G1172" s="56"/>
      <c r="H1172" s="56"/>
      <c r="I1172" s="56"/>
      <c r="J1172" s="56"/>
      <c r="K1172" s="56"/>
      <c r="L1172" s="56"/>
      <c r="M1172" s="56"/>
    </row>
    <row r="1173" spans="2:13" ht="15">
      <c r="B1173" s="7"/>
      <c r="C1173" s="56"/>
      <c r="D1173" s="56"/>
      <c r="E1173" s="56"/>
      <c r="F1173" s="56"/>
      <c r="G1173" s="56"/>
      <c r="H1173" s="56"/>
      <c r="I1173" s="56"/>
      <c r="J1173" s="56"/>
      <c r="K1173" s="56"/>
      <c r="L1173" s="56"/>
      <c r="M1173" s="56"/>
    </row>
    <row r="1174" spans="2:13" ht="15">
      <c r="B1174" s="7"/>
      <c r="C1174" s="56"/>
      <c r="D1174" s="56"/>
      <c r="E1174" s="56"/>
      <c r="F1174" s="56"/>
      <c r="G1174" s="56"/>
      <c r="H1174" s="56"/>
      <c r="I1174" s="56"/>
      <c r="J1174" s="56"/>
      <c r="K1174" s="56"/>
      <c r="L1174" s="56"/>
      <c r="M1174" s="56"/>
    </row>
    <row r="1175" spans="2:13" ht="15">
      <c r="B1175" s="7"/>
      <c r="C1175" s="56"/>
      <c r="D1175" s="56"/>
      <c r="E1175" s="56"/>
      <c r="F1175" s="56"/>
      <c r="G1175" s="56"/>
      <c r="H1175" s="56"/>
      <c r="I1175" s="56"/>
      <c r="J1175" s="56"/>
      <c r="K1175" s="56"/>
      <c r="L1175" s="56"/>
      <c r="M1175" s="56"/>
    </row>
    <row r="1176" spans="2:13" ht="15">
      <c r="B1176" s="7"/>
      <c r="C1176" s="56"/>
      <c r="D1176" s="56"/>
      <c r="E1176" s="56"/>
      <c r="F1176" s="56"/>
      <c r="G1176" s="56"/>
      <c r="H1176" s="56"/>
      <c r="I1176" s="56"/>
      <c r="J1176" s="56"/>
      <c r="K1176" s="56"/>
      <c r="L1176" s="56"/>
      <c r="M1176" s="56"/>
    </row>
    <row r="1177" spans="2:13" ht="15">
      <c r="B1177" s="7"/>
      <c r="C1177" s="56"/>
      <c r="D1177" s="56"/>
      <c r="E1177" s="56"/>
      <c r="F1177" s="56"/>
      <c r="G1177" s="56"/>
      <c r="H1177" s="56"/>
      <c r="I1177" s="56"/>
      <c r="J1177" s="56"/>
      <c r="K1177" s="56"/>
      <c r="L1177" s="56"/>
      <c r="M1177" s="56"/>
    </row>
    <row r="1178" spans="2:13" ht="15">
      <c r="B1178" s="7"/>
      <c r="C1178" s="56"/>
      <c r="D1178" s="56"/>
      <c r="E1178" s="56"/>
      <c r="F1178" s="56"/>
      <c r="G1178" s="56"/>
      <c r="H1178" s="56"/>
      <c r="I1178" s="56"/>
      <c r="J1178" s="56"/>
      <c r="K1178" s="56"/>
      <c r="L1178" s="56"/>
      <c r="M1178" s="56"/>
    </row>
    <row r="1179" spans="2:13" ht="15">
      <c r="B1179" s="7"/>
      <c r="C1179" s="56"/>
      <c r="D1179" s="56"/>
      <c r="E1179" s="56"/>
      <c r="F1179" s="56"/>
      <c r="G1179" s="56"/>
      <c r="H1179" s="56"/>
      <c r="I1179" s="56"/>
      <c r="J1179" s="56"/>
      <c r="K1179" s="56"/>
      <c r="L1179" s="56"/>
      <c r="M1179" s="56"/>
    </row>
    <row r="1180" spans="2:13" ht="15">
      <c r="B1180" s="7"/>
      <c r="C1180" s="56"/>
      <c r="D1180" s="56"/>
      <c r="E1180" s="56"/>
      <c r="F1180" s="56"/>
      <c r="G1180" s="56"/>
      <c r="H1180" s="56"/>
      <c r="I1180" s="56"/>
      <c r="J1180" s="56"/>
      <c r="K1180" s="56"/>
      <c r="L1180" s="56"/>
      <c r="M1180" s="56"/>
    </row>
    <row r="1181" spans="2:13" ht="15">
      <c r="B1181" s="7"/>
      <c r="C1181" s="56"/>
      <c r="D1181" s="56"/>
      <c r="E1181" s="56"/>
      <c r="F1181" s="56"/>
      <c r="G1181" s="56"/>
      <c r="H1181" s="56"/>
      <c r="I1181" s="56"/>
      <c r="J1181" s="56"/>
      <c r="K1181" s="56"/>
      <c r="L1181" s="56"/>
      <c r="M1181" s="56"/>
    </row>
    <row r="1182" spans="2:13" ht="15">
      <c r="B1182" s="7"/>
      <c r="C1182" s="56"/>
      <c r="D1182" s="56"/>
      <c r="E1182" s="56"/>
      <c r="F1182" s="56"/>
      <c r="G1182" s="56"/>
      <c r="H1182" s="56"/>
      <c r="I1182" s="56"/>
      <c r="J1182" s="56"/>
      <c r="K1182" s="56"/>
      <c r="L1182" s="56"/>
      <c r="M1182" s="56"/>
    </row>
    <row r="1183" spans="2:13" ht="15">
      <c r="B1183" s="7"/>
      <c r="C1183" s="56"/>
      <c r="D1183" s="56"/>
      <c r="E1183" s="56"/>
      <c r="F1183" s="56"/>
      <c r="G1183" s="56"/>
      <c r="H1183" s="56"/>
      <c r="I1183" s="56"/>
      <c r="J1183" s="56"/>
      <c r="K1183" s="56"/>
      <c r="L1183" s="56"/>
      <c r="M1183" s="56"/>
    </row>
    <row r="1184" spans="2:13" ht="15">
      <c r="B1184" s="7"/>
      <c r="C1184" s="56"/>
      <c r="D1184" s="56"/>
      <c r="E1184" s="56"/>
      <c r="F1184" s="56"/>
      <c r="G1184" s="56"/>
      <c r="H1184" s="56"/>
      <c r="I1184" s="56"/>
      <c r="J1184" s="56"/>
      <c r="K1184" s="56"/>
      <c r="L1184" s="56"/>
      <c r="M1184" s="56"/>
    </row>
    <row r="1185" spans="2:13" ht="15">
      <c r="B1185" s="7"/>
      <c r="C1185" s="56"/>
      <c r="D1185" s="56"/>
      <c r="E1185" s="56"/>
      <c r="F1185" s="56"/>
      <c r="G1185" s="56"/>
      <c r="H1185" s="56"/>
      <c r="I1185" s="56"/>
      <c r="J1185" s="56"/>
      <c r="K1185" s="56"/>
      <c r="L1185" s="56"/>
      <c r="M1185" s="56"/>
    </row>
    <row r="1186" spans="2:13" ht="15">
      <c r="B1186" s="7"/>
      <c r="C1186" s="56"/>
      <c r="D1186" s="56"/>
      <c r="E1186" s="56"/>
      <c r="F1186" s="56"/>
      <c r="G1186" s="56"/>
      <c r="H1186" s="56"/>
      <c r="I1186" s="56"/>
      <c r="J1186" s="56"/>
      <c r="K1186" s="56"/>
      <c r="L1186" s="56"/>
      <c r="M1186" s="56"/>
    </row>
    <row r="1187" spans="2:13" ht="15">
      <c r="B1187" s="7"/>
      <c r="C1187" s="56"/>
      <c r="D1187" s="56"/>
      <c r="E1187" s="56"/>
      <c r="F1187" s="56"/>
      <c r="G1187" s="56"/>
      <c r="H1187" s="56"/>
      <c r="I1187" s="56"/>
      <c r="J1187" s="56"/>
      <c r="K1187" s="56"/>
      <c r="L1187" s="56"/>
      <c r="M1187" s="56"/>
    </row>
    <row r="1188" spans="2:13" ht="15">
      <c r="B1188" s="7"/>
      <c r="C1188" s="56"/>
      <c r="D1188" s="56"/>
      <c r="E1188" s="56"/>
      <c r="F1188" s="56"/>
      <c r="G1188" s="56"/>
      <c r="H1188" s="56"/>
      <c r="I1188" s="56"/>
      <c r="J1188" s="56"/>
      <c r="K1188" s="56"/>
      <c r="L1188" s="56"/>
      <c r="M1188" s="56"/>
    </row>
    <row r="1189" spans="2:13" ht="15">
      <c r="B1189" s="7"/>
      <c r="C1189" s="56"/>
      <c r="D1189" s="56"/>
      <c r="E1189" s="56"/>
      <c r="F1189" s="56"/>
      <c r="G1189" s="56"/>
      <c r="H1189" s="56"/>
      <c r="I1189" s="56"/>
      <c r="J1189" s="56"/>
      <c r="K1189" s="56"/>
      <c r="L1189" s="56"/>
      <c r="M1189" s="56"/>
    </row>
    <row r="1190" spans="2:13" ht="15">
      <c r="B1190" s="7"/>
      <c r="C1190" s="56"/>
      <c r="D1190" s="56"/>
      <c r="E1190" s="56"/>
      <c r="F1190" s="56"/>
      <c r="G1190" s="56"/>
      <c r="H1190" s="56"/>
      <c r="I1190" s="56"/>
      <c r="J1190" s="56"/>
      <c r="K1190" s="56"/>
      <c r="L1190" s="56"/>
      <c r="M1190" s="56"/>
    </row>
    <row r="1191" spans="2:13" ht="15">
      <c r="B1191" s="7"/>
      <c r="C1191" s="56"/>
      <c r="D1191" s="56"/>
      <c r="E1191" s="56"/>
      <c r="F1191" s="56"/>
      <c r="G1191" s="56"/>
      <c r="H1191" s="56"/>
      <c r="I1191" s="56"/>
      <c r="J1191" s="56"/>
      <c r="K1191" s="56"/>
      <c r="L1191" s="56"/>
      <c r="M1191" s="56"/>
    </row>
    <row r="1192" spans="2:13" ht="15">
      <c r="B1192" s="7"/>
      <c r="C1192" s="56"/>
      <c r="D1192" s="56"/>
      <c r="E1192" s="56"/>
      <c r="F1192" s="56"/>
      <c r="G1192" s="56"/>
      <c r="H1192" s="56"/>
      <c r="I1192" s="56"/>
      <c r="J1192" s="56"/>
      <c r="K1192" s="56"/>
      <c r="L1192" s="56"/>
      <c r="M1192" s="56"/>
    </row>
    <row r="1193" spans="2:13" ht="15">
      <c r="B1193" s="7"/>
      <c r="C1193" s="56"/>
      <c r="D1193" s="56"/>
      <c r="E1193" s="56"/>
      <c r="F1193" s="56"/>
      <c r="G1193" s="56"/>
      <c r="H1193" s="56"/>
      <c r="I1193" s="56"/>
      <c r="J1193" s="56"/>
      <c r="K1193" s="56"/>
      <c r="L1193" s="56"/>
      <c r="M1193" s="56"/>
    </row>
    <row r="1194" spans="2:13" ht="15">
      <c r="B1194" s="7"/>
      <c r="C1194" s="56"/>
      <c r="D1194" s="56"/>
      <c r="E1194" s="56"/>
      <c r="F1194" s="56"/>
      <c r="G1194" s="56"/>
      <c r="H1194" s="56"/>
      <c r="I1194" s="56"/>
      <c r="J1194" s="56"/>
      <c r="K1194" s="56"/>
      <c r="L1194" s="56"/>
      <c r="M1194" s="56"/>
    </row>
    <row r="1195" spans="2:13" ht="15">
      <c r="B1195" s="7"/>
      <c r="C1195" s="56"/>
      <c r="D1195" s="56"/>
      <c r="E1195" s="56"/>
      <c r="F1195" s="56"/>
      <c r="G1195" s="56"/>
      <c r="H1195" s="56"/>
      <c r="I1195" s="56"/>
      <c r="J1195" s="56"/>
      <c r="K1195" s="56"/>
      <c r="L1195" s="56"/>
      <c r="M1195" s="56"/>
    </row>
    <row r="1196" spans="2:13" ht="15">
      <c r="B1196" s="7"/>
      <c r="C1196" s="56"/>
      <c r="D1196" s="56"/>
      <c r="E1196" s="56"/>
      <c r="F1196" s="56"/>
      <c r="G1196" s="56"/>
      <c r="H1196" s="56"/>
      <c r="I1196" s="56"/>
      <c r="J1196" s="56"/>
      <c r="K1196" s="56"/>
      <c r="L1196" s="56"/>
      <c r="M1196" s="56"/>
    </row>
    <row r="1197" spans="2:13" ht="15">
      <c r="B1197" s="7"/>
      <c r="C1197" s="56"/>
      <c r="D1197" s="56"/>
      <c r="E1197" s="56"/>
      <c r="F1197" s="56"/>
      <c r="G1197" s="56"/>
      <c r="H1197" s="56"/>
      <c r="I1197" s="56"/>
      <c r="J1197" s="56"/>
      <c r="K1197" s="56"/>
      <c r="L1197" s="56"/>
      <c r="M1197" s="56"/>
    </row>
    <row r="1198" spans="2:13" ht="15">
      <c r="B1198" s="7"/>
      <c r="C1198" s="56"/>
      <c r="D1198" s="56"/>
      <c r="E1198" s="56"/>
      <c r="F1198" s="56"/>
      <c r="G1198" s="56"/>
      <c r="H1198" s="56"/>
      <c r="I1198" s="56"/>
      <c r="J1198" s="56"/>
      <c r="K1198" s="56"/>
      <c r="L1198" s="56"/>
      <c r="M1198" s="56"/>
    </row>
    <row r="1199" spans="2:13" ht="15">
      <c r="B1199" s="7"/>
      <c r="C1199" s="56"/>
      <c r="D1199" s="56"/>
      <c r="E1199" s="56"/>
      <c r="F1199" s="56"/>
      <c r="G1199" s="56"/>
      <c r="H1199" s="56"/>
      <c r="I1199" s="56"/>
      <c r="J1199" s="56"/>
      <c r="K1199" s="56"/>
      <c r="L1199" s="56"/>
      <c r="M1199" s="56"/>
    </row>
    <row r="1200" spans="2:13" ht="15">
      <c r="B1200" s="7"/>
      <c r="C1200" s="56"/>
      <c r="D1200" s="56"/>
      <c r="E1200" s="56"/>
      <c r="F1200" s="56"/>
      <c r="G1200" s="56"/>
      <c r="H1200" s="56"/>
      <c r="I1200" s="56"/>
      <c r="J1200" s="56"/>
      <c r="K1200" s="56"/>
      <c r="L1200" s="56"/>
      <c r="M1200" s="56"/>
    </row>
    <row r="1201" spans="2:13" ht="15">
      <c r="B1201" s="7"/>
      <c r="C1201" s="56"/>
      <c r="D1201" s="56"/>
      <c r="E1201" s="56"/>
      <c r="F1201" s="56"/>
      <c r="G1201" s="56"/>
      <c r="H1201" s="56"/>
      <c r="I1201" s="56"/>
      <c r="J1201" s="56"/>
      <c r="K1201" s="56"/>
      <c r="L1201" s="56"/>
      <c r="M1201" s="56"/>
    </row>
    <row r="1202" spans="2:13" ht="15">
      <c r="B1202" s="7"/>
      <c r="C1202" s="56"/>
      <c r="D1202" s="56"/>
      <c r="E1202" s="56"/>
      <c r="F1202" s="56"/>
      <c r="G1202" s="56"/>
      <c r="H1202" s="56"/>
      <c r="I1202" s="56"/>
      <c r="J1202" s="56"/>
      <c r="K1202" s="56"/>
      <c r="L1202" s="56"/>
      <c r="M1202" s="56"/>
    </row>
    <row r="1203" spans="2:13" ht="15">
      <c r="B1203" s="7"/>
      <c r="C1203" s="56"/>
      <c r="D1203" s="56"/>
      <c r="E1203" s="56"/>
      <c r="F1203" s="56"/>
      <c r="G1203" s="56"/>
      <c r="H1203" s="56"/>
      <c r="I1203" s="56"/>
      <c r="J1203" s="56"/>
      <c r="K1203" s="56"/>
      <c r="L1203" s="56"/>
      <c r="M1203" s="56"/>
    </row>
    <row r="1204" spans="2:13" ht="15">
      <c r="B1204" s="7"/>
      <c r="C1204" s="56"/>
      <c r="D1204" s="56"/>
      <c r="E1204" s="56"/>
      <c r="F1204" s="56"/>
      <c r="G1204" s="56"/>
      <c r="H1204" s="56"/>
      <c r="I1204" s="56"/>
      <c r="J1204" s="56"/>
      <c r="K1204" s="56"/>
      <c r="L1204" s="56"/>
      <c r="M1204" s="56"/>
    </row>
    <row r="1205" spans="2:13" ht="15">
      <c r="B1205" s="7"/>
      <c r="C1205" s="56"/>
      <c r="D1205" s="56"/>
      <c r="E1205" s="56"/>
      <c r="F1205" s="56"/>
      <c r="G1205" s="56"/>
      <c r="H1205" s="56"/>
      <c r="I1205" s="56"/>
      <c r="J1205" s="56"/>
      <c r="K1205" s="56"/>
      <c r="L1205" s="56"/>
      <c r="M1205" s="56"/>
    </row>
    <row r="1206" spans="2:13" ht="15">
      <c r="B1206" s="7"/>
      <c r="C1206" s="56"/>
      <c r="D1206" s="56"/>
      <c r="E1206" s="56"/>
      <c r="F1206" s="56"/>
      <c r="G1206" s="56"/>
      <c r="H1206" s="56"/>
      <c r="I1206" s="56"/>
      <c r="J1206" s="56"/>
      <c r="K1206" s="56"/>
      <c r="L1206" s="56"/>
      <c r="M1206" s="56"/>
    </row>
    <row r="1207" spans="2:13" ht="15">
      <c r="B1207" s="7"/>
      <c r="C1207" s="56"/>
      <c r="D1207" s="56"/>
      <c r="E1207" s="56"/>
      <c r="F1207" s="56"/>
      <c r="G1207" s="56"/>
      <c r="H1207" s="56"/>
      <c r="I1207" s="56"/>
      <c r="J1207" s="56"/>
      <c r="K1207" s="56"/>
      <c r="L1207" s="56"/>
      <c r="M1207" s="56"/>
    </row>
    <row r="1208" spans="2:13" ht="15">
      <c r="B1208" s="7"/>
      <c r="C1208" s="56"/>
      <c r="D1208" s="56"/>
      <c r="E1208" s="56"/>
      <c r="F1208" s="56"/>
      <c r="G1208" s="56"/>
      <c r="H1208" s="56"/>
      <c r="I1208" s="56"/>
      <c r="J1208" s="56"/>
      <c r="K1208" s="56"/>
      <c r="L1208" s="56"/>
      <c r="M1208" s="56"/>
    </row>
    <row r="1209" spans="2:13" ht="15">
      <c r="B1209" s="7"/>
      <c r="C1209" s="56"/>
      <c r="D1209" s="56"/>
      <c r="E1209" s="56"/>
      <c r="F1209" s="56"/>
      <c r="G1209" s="56"/>
      <c r="H1209" s="56"/>
      <c r="I1209" s="56"/>
      <c r="J1209" s="56"/>
      <c r="K1209" s="56"/>
      <c r="L1209" s="56"/>
      <c r="M1209" s="56"/>
    </row>
    <row r="1210" spans="2:13" ht="15">
      <c r="B1210" s="7"/>
      <c r="C1210" s="56"/>
      <c r="D1210" s="56"/>
      <c r="E1210" s="56"/>
      <c r="F1210" s="56"/>
      <c r="G1210" s="56"/>
      <c r="H1210" s="56"/>
      <c r="I1210" s="56"/>
      <c r="J1210" s="56"/>
      <c r="K1210" s="56"/>
      <c r="L1210" s="56"/>
      <c r="M1210" s="56"/>
    </row>
    <row r="1211" spans="2:13" ht="15">
      <c r="B1211" s="7"/>
      <c r="C1211" s="56"/>
      <c r="D1211" s="56"/>
      <c r="E1211" s="56"/>
      <c r="F1211" s="56"/>
      <c r="G1211" s="56"/>
      <c r="H1211" s="56"/>
      <c r="I1211" s="56"/>
      <c r="J1211" s="56"/>
      <c r="K1211" s="56"/>
      <c r="L1211" s="56"/>
      <c r="M1211" s="56"/>
    </row>
    <row r="1212" spans="2:13" ht="15">
      <c r="B1212" s="7"/>
      <c r="C1212" s="56"/>
      <c r="D1212" s="56"/>
      <c r="E1212" s="56"/>
      <c r="F1212" s="56"/>
      <c r="G1212" s="56"/>
      <c r="H1212" s="56"/>
      <c r="I1212" s="56"/>
      <c r="J1212" s="56"/>
      <c r="K1212" s="56"/>
      <c r="L1212" s="56"/>
      <c r="M1212" s="56"/>
    </row>
    <row r="1213" spans="2:13" ht="15">
      <c r="B1213" s="7"/>
      <c r="C1213" s="56"/>
      <c r="D1213" s="56"/>
      <c r="E1213" s="56"/>
      <c r="F1213" s="56"/>
      <c r="G1213" s="56"/>
      <c r="H1213" s="56"/>
      <c r="I1213" s="56"/>
      <c r="J1213" s="56"/>
      <c r="K1213" s="56"/>
      <c r="L1213" s="56"/>
      <c r="M1213" s="56"/>
    </row>
    <row r="1214" spans="2:13" ht="15">
      <c r="B1214" s="7"/>
      <c r="C1214" s="56"/>
      <c r="D1214" s="56"/>
      <c r="E1214" s="56"/>
      <c r="F1214" s="56"/>
      <c r="G1214" s="56"/>
      <c r="H1214" s="56"/>
      <c r="I1214" s="56"/>
      <c r="J1214" s="56"/>
      <c r="K1214" s="56"/>
      <c r="L1214" s="56"/>
      <c r="M1214" s="56"/>
    </row>
    <row r="1215" spans="2:13" ht="15">
      <c r="B1215" s="7"/>
      <c r="C1215" s="56"/>
      <c r="D1215" s="56"/>
      <c r="E1215" s="56"/>
      <c r="F1215" s="56"/>
      <c r="G1215" s="56"/>
      <c r="H1215" s="56"/>
      <c r="I1215" s="56"/>
      <c r="J1215" s="56"/>
      <c r="K1215" s="56"/>
      <c r="L1215" s="56"/>
      <c r="M1215" s="56"/>
    </row>
    <row r="1216" spans="2:13" ht="15">
      <c r="B1216" s="7"/>
      <c r="C1216" s="56"/>
      <c r="D1216" s="56"/>
      <c r="E1216" s="56"/>
      <c r="F1216" s="56"/>
      <c r="G1216" s="56"/>
      <c r="H1216" s="56"/>
      <c r="I1216" s="56"/>
      <c r="J1216" s="56"/>
      <c r="K1216" s="56"/>
      <c r="L1216" s="56"/>
      <c r="M1216" s="56"/>
    </row>
    <row r="1217" spans="2:13" ht="15">
      <c r="B1217" s="7"/>
      <c r="C1217" s="56"/>
      <c r="D1217" s="56"/>
      <c r="E1217" s="56"/>
      <c r="F1217" s="56"/>
      <c r="G1217" s="56"/>
      <c r="H1217" s="56"/>
      <c r="I1217" s="56"/>
      <c r="J1217" s="56"/>
      <c r="K1217" s="56"/>
      <c r="L1217" s="56"/>
      <c r="M1217" s="56"/>
    </row>
    <row r="1218" spans="2:13" ht="15">
      <c r="B1218" s="7"/>
      <c r="C1218" s="56"/>
      <c r="D1218" s="56"/>
      <c r="E1218" s="56"/>
      <c r="F1218" s="56"/>
      <c r="G1218" s="56"/>
      <c r="H1218" s="56"/>
      <c r="I1218" s="56"/>
      <c r="J1218" s="56"/>
      <c r="K1218" s="56"/>
      <c r="L1218" s="56"/>
      <c r="M1218" s="56"/>
    </row>
    <row r="1219" spans="2:13" ht="15">
      <c r="B1219" s="7"/>
      <c r="C1219" s="56"/>
      <c r="D1219" s="56"/>
      <c r="E1219" s="56"/>
      <c r="F1219" s="56"/>
      <c r="G1219" s="56"/>
      <c r="H1219" s="56"/>
      <c r="I1219" s="56"/>
      <c r="J1219" s="56"/>
      <c r="K1219" s="56"/>
      <c r="L1219" s="56"/>
      <c r="M1219" s="56"/>
    </row>
    <row r="1220" spans="2:13" ht="15">
      <c r="B1220" s="7"/>
      <c r="C1220" s="56"/>
      <c r="D1220" s="56"/>
      <c r="E1220" s="56"/>
      <c r="F1220" s="56"/>
      <c r="G1220" s="56"/>
      <c r="H1220" s="56"/>
      <c r="I1220" s="56"/>
      <c r="J1220" s="56"/>
      <c r="K1220" s="56"/>
      <c r="L1220" s="56"/>
      <c r="M1220" s="56"/>
    </row>
    <row r="1221" spans="2:13" ht="15">
      <c r="B1221" s="7"/>
      <c r="C1221" s="56"/>
      <c r="D1221" s="56"/>
      <c r="E1221" s="56"/>
      <c r="F1221" s="56"/>
      <c r="G1221" s="56"/>
      <c r="H1221" s="56"/>
      <c r="I1221" s="56"/>
      <c r="J1221" s="56"/>
      <c r="K1221" s="56"/>
      <c r="L1221" s="56"/>
      <c r="M1221" s="56"/>
    </row>
    <row r="1222" spans="2:13" ht="15">
      <c r="B1222" s="7"/>
      <c r="C1222" s="56"/>
      <c r="D1222" s="56"/>
      <c r="E1222" s="56"/>
      <c r="F1222" s="56"/>
      <c r="G1222" s="56"/>
      <c r="H1222" s="56"/>
      <c r="I1222" s="56"/>
      <c r="J1222" s="56"/>
      <c r="K1222" s="56"/>
      <c r="L1222" s="56"/>
      <c r="M1222" s="56"/>
    </row>
    <row r="1223" spans="2:13" ht="15">
      <c r="B1223" s="7"/>
      <c r="C1223" s="56"/>
      <c r="D1223" s="56"/>
      <c r="E1223" s="56"/>
      <c r="F1223" s="56"/>
      <c r="G1223" s="56"/>
      <c r="H1223" s="56"/>
      <c r="I1223" s="56"/>
      <c r="J1223" s="56"/>
      <c r="K1223" s="56"/>
      <c r="L1223" s="56"/>
      <c r="M1223" s="56"/>
    </row>
    <row r="1224" spans="2:13" ht="15">
      <c r="B1224" s="7"/>
      <c r="C1224" s="56"/>
      <c r="D1224" s="56"/>
      <c r="E1224" s="56"/>
      <c r="F1224" s="56"/>
      <c r="G1224" s="56"/>
      <c r="H1224" s="56"/>
      <c r="I1224" s="56"/>
      <c r="J1224" s="56"/>
      <c r="K1224" s="56"/>
      <c r="L1224" s="56"/>
      <c r="M1224" s="56"/>
    </row>
    <row r="1225" spans="2:13" ht="15">
      <c r="B1225" s="7"/>
      <c r="C1225" s="56"/>
      <c r="D1225" s="56"/>
      <c r="E1225" s="56"/>
      <c r="F1225" s="56"/>
      <c r="G1225" s="56"/>
      <c r="H1225" s="56"/>
      <c r="I1225" s="56"/>
      <c r="J1225" s="56"/>
      <c r="K1225" s="56"/>
      <c r="L1225" s="56"/>
      <c r="M1225" s="56"/>
    </row>
    <row r="1226" spans="2:13" ht="15">
      <c r="B1226" s="7"/>
      <c r="C1226" s="56"/>
      <c r="D1226" s="56"/>
      <c r="E1226" s="56"/>
      <c r="F1226" s="56"/>
      <c r="G1226" s="56"/>
      <c r="H1226" s="56"/>
      <c r="I1226" s="56"/>
      <c r="J1226" s="56"/>
      <c r="K1226" s="56"/>
      <c r="L1226" s="56"/>
      <c r="M1226" s="56"/>
    </row>
    <row r="1227" spans="2:13" ht="15">
      <c r="B1227" s="7"/>
      <c r="C1227" s="56"/>
      <c r="D1227" s="56"/>
      <c r="E1227" s="56"/>
      <c r="F1227" s="56"/>
      <c r="G1227" s="56"/>
      <c r="H1227" s="56"/>
      <c r="I1227" s="56"/>
      <c r="J1227" s="56"/>
      <c r="K1227" s="56"/>
      <c r="L1227" s="56"/>
      <c r="M1227" s="56"/>
    </row>
    <row r="1228" spans="2:13" ht="15">
      <c r="B1228" s="7"/>
      <c r="C1228" s="56"/>
      <c r="D1228" s="56"/>
      <c r="E1228" s="56"/>
      <c r="F1228" s="56"/>
      <c r="G1228" s="56"/>
      <c r="H1228" s="56"/>
      <c r="I1228" s="56"/>
      <c r="J1228" s="56"/>
      <c r="K1228" s="56"/>
      <c r="L1228" s="56"/>
      <c r="M1228" s="56"/>
    </row>
    <row r="1229" spans="2:13" ht="15">
      <c r="B1229" s="7"/>
      <c r="C1229" s="56"/>
      <c r="D1229" s="56"/>
      <c r="E1229" s="56"/>
      <c r="F1229" s="56"/>
      <c r="G1229" s="56"/>
      <c r="H1229" s="56"/>
      <c r="I1229" s="56"/>
      <c r="J1229" s="56"/>
      <c r="K1229" s="56"/>
      <c r="L1229" s="56"/>
      <c r="M1229" s="56"/>
    </row>
    <row r="1230" spans="2:13" ht="15">
      <c r="B1230" s="7"/>
      <c r="C1230" s="56"/>
      <c r="D1230" s="56"/>
      <c r="E1230" s="56"/>
      <c r="F1230" s="56"/>
      <c r="G1230" s="56"/>
      <c r="H1230" s="56"/>
      <c r="I1230" s="56"/>
      <c r="J1230" s="56"/>
      <c r="K1230" s="56"/>
      <c r="L1230" s="56"/>
      <c r="M1230" s="56"/>
    </row>
    <row r="1231" spans="2:13" ht="15">
      <c r="B1231" s="7"/>
      <c r="C1231" s="56"/>
      <c r="D1231" s="56"/>
      <c r="E1231" s="56"/>
      <c r="F1231" s="56"/>
      <c r="G1231" s="56"/>
      <c r="H1231" s="56"/>
      <c r="I1231" s="56"/>
      <c r="J1231" s="56"/>
      <c r="K1231" s="56"/>
      <c r="L1231" s="56"/>
      <c r="M1231" s="56"/>
    </row>
    <row r="1232" spans="2:13" ht="15">
      <c r="B1232" s="7"/>
      <c r="C1232" s="56"/>
      <c r="D1232" s="56"/>
      <c r="E1232" s="56"/>
      <c r="F1232" s="56"/>
      <c r="G1232" s="56"/>
      <c r="H1232" s="56"/>
      <c r="I1232" s="56"/>
      <c r="J1232" s="56"/>
      <c r="K1232" s="56"/>
      <c r="L1232" s="56"/>
      <c r="M1232" s="56"/>
    </row>
    <row r="1233" spans="2:13" ht="15">
      <c r="B1233" s="7"/>
      <c r="C1233" s="56"/>
      <c r="D1233" s="56"/>
      <c r="E1233" s="56"/>
      <c r="F1233" s="56"/>
      <c r="G1233" s="56"/>
      <c r="H1233" s="56"/>
      <c r="I1233" s="56"/>
      <c r="J1233" s="56"/>
      <c r="K1233" s="56"/>
      <c r="L1233" s="56"/>
      <c r="M1233" s="56"/>
    </row>
    <row r="1234" spans="2:13" ht="15">
      <c r="B1234" s="7"/>
      <c r="C1234" s="56"/>
      <c r="D1234" s="56"/>
      <c r="E1234" s="56"/>
      <c r="F1234" s="56"/>
      <c r="G1234" s="56"/>
      <c r="H1234" s="56"/>
      <c r="I1234" s="56"/>
      <c r="J1234" s="56"/>
      <c r="K1234" s="56"/>
      <c r="L1234" s="56"/>
      <c r="M1234" s="56"/>
    </row>
    <row r="1235" spans="2:13" ht="15">
      <c r="B1235" s="7"/>
      <c r="C1235" s="56"/>
      <c r="D1235" s="56"/>
      <c r="E1235" s="56"/>
      <c r="F1235" s="56"/>
      <c r="G1235" s="56"/>
      <c r="H1235" s="56"/>
      <c r="I1235" s="56"/>
      <c r="J1235" s="56"/>
      <c r="K1235" s="56"/>
      <c r="L1235" s="56"/>
      <c r="M1235" s="56"/>
    </row>
    <row r="1236" spans="2:13" ht="15">
      <c r="B1236" s="7"/>
      <c r="C1236" s="56"/>
      <c r="D1236" s="56"/>
      <c r="E1236" s="56"/>
      <c r="F1236" s="56"/>
      <c r="G1236" s="56"/>
      <c r="H1236" s="56"/>
      <c r="I1236" s="56"/>
      <c r="J1236" s="56"/>
      <c r="K1236" s="56"/>
      <c r="L1236" s="56"/>
      <c r="M1236" s="56"/>
    </row>
    <row r="1237" spans="2:13" ht="15">
      <c r="B1237" s="7"/>
      <c r="C1237" s="56"/>
      <c r="D1237" s="56"/>
      <c r="E1237" s="56"/>
      <c r="F1237" s="56"/>
      <c r="G1237" s="56"/>
      <c r="H1237" s="56"/>
      <c r="I1237" s="56"/>
      <c r="J1237" s="56"/>
      <c r="K1237" s="56"/>
      <c r="L1237" s="56"/>
      <c r="M1237" s="56"/>
    </row>
    <row r="1238" spans="2:13" ht="15">
      <c r="B1238" s="7"/>
      <c r="C1238" s="56"/>
      <c r="D1238" s="56"/>
      <c r="E1238" s="56"/>
      <c r="F1238" s="56"/>
      <c r="G1238" s="56"/>
      <c r="H1238" s="56"/>
      <c r="I1238" s="56"/>
      <c r="J1238" s="56"/>
      <c r="K1238" s="56"/>
      <c r="L1238" s="56"/>
      <c r="M1238" s="56"/>
    </row>
    <row r="1239" spans="2:13" ht="15">
      <c r="B1239" s="7"/>
      <c r="C1239" s="56"/>
      <c r="D1239" s="56"/>
      <c r="E1239" s="56"/>
      <c r="F1239" s="56"/>
      <c r="G1239" s="56"/>
      <c r="H1239" s="56"/>
      <c r="I1239" s="56"/>
      <c r="J1239" s="56"/>
      <c r="K1239" s="56"/>
      <c r="L1239" s="56"/>
      <c r="M1239" s="56"/>
    </row>
    <row r="1240" spans="2:13" ht="15">
      <c r="B1240" s="7"/>
      <c r="C1240" s="56"/>
      <c r="D1240" s="56"/>
      <c r="E1240" s="56"/>
      <c r="F1240" s="56"/>
      <c r="G1240" s="56"/>
      <c r="H1240" s="56"/>
      <c r="I1240" s="56"/>
      <c r="J1240" s="56"/>
      <c r="K1240" s="56"/>
      <c r="L1240" s="56"/>
      <c r="M1240" s="56"/>
    </row>
    <row r="1241" spans="2:13" ht="15">
      <c r="B1241" s="7"/>
      <c r="C1241" s="56"/>
      <c r="D1241" s="56"/>
      <c r="E1241" s="56"/>
      <c r="F1241" s="56"/>
      <c r="G1241" s="56"/>
      <c r="H1241" s="56"/>
      <c r="I1241" s="56"/>
      <c r="J1241" s="56"/>
      <c r="K1241" s="56"/>
      <c r="L1241" s="56"/>
      <c r="M1241" s="56"/>
    </row>
    <row r="1242" spans="2:13" ht="15">
      <c r="B1242" s="7"/>
      <c r="C1242" s="56"/>
      <c r="D1242" s="56"/>
      <c r="E1242" s="56"/>
      <c r="F1242" s="56"/>
      <c r="G1242" s="56"/>
      <c r="H1242" s="56"/>
      <c r="I1242" s="56"/>
      <c r="J1242" s="56"/>
      <c r="K1242" s="56"/>
      <c r="L1242" s="56"/>
      <c r="M1242" s="56"/>
    </row>
    <row r="1243" spans="2:13" ht="15">
      <c r="B1243" s="7"/>
      <c r="C1243" s="56"/>
      <c r="D1243" s="56"/>
      <c r="E1243" s="56"/>
      <c r="F1243" s="56"/>
      <c r="G1243" s="56"/>
      <c r="H1243" s="56"/>
      <c r="I1243" s="56"/>
      <c r="J1243" s="56"/>
      <c r="K1243" s="56"/>
      <c r="L1243" s="56"/>
      <c r="M1243" s="56"/>
    </row>
    <row r="1244" spans="2:13" ht="15">
      <c r="B1244" s="7"/>
      <c r="C1244" s="56"/>
      <c r="D1244" s="56"/>
      <c r="E1244" s="56"/>
      <c r="F1244" s="56"/>
      <c r="G1244" s="56"/>
      <c r="H1244" s="56"/>
      <c r="I1244" s="56"/>
      <c r="J1244" s="56"/>
      <c r="K1244" s="56"/>
      <c r="L1244" s="56"/>
      <c r="M1244" s="56"/>
    </row>
    <row r="1245" spans="2:13" ht="15">
      <c r="B1245" s="7"/>
      <c r="C1245" s="56"/>
      <c r="D1245" s="56"/>
      <c r="E1245" s="56"/>
      <c r="F1245" s="56"/>
      <c r="G1245" s="56"/>
      <c r="H1245" s="56"/>
      <c r="I1245" s="56"/>
      <c r="J1245" s="56"/>
      <c r="K1245" s="56"/>
      <c r="L1245" s="56"/>
      <c r="M1245" s="56"/>
    </row>
    <row r="1246" spans="2:13" ht="15">
      <c r="B1246" s="7"/>
      <c r="C1246" s="56"/>
      <c r="D1246" s="56"/>
      <c r="E1246" s="56"/>
      <c r="F1246" s="56"/>
      <c r="G1246" s="56"/>
      <c r="H1246" s="56"/>
      <c r="I1246" s="56"/>
      <c r="J1246" s="56"/>
      <c r="K1246" s="56"/>
      <c r="L1246" s="56"/>
      <c r="M1246" s="56"/>
    </row>
    <row r="1247" spans="2:13" ht="15">
      <c r="B1247" s="7"/>
      <c r="C1247" s="56"/>
      <c r="D1247" s="56"/>
      <c r="E1247" s="56"/>
      <c r="F1247" s="56"/>
      <c r="G1247" s="56"/>
      <c r="H1247" s="56"/>
      <c r="I1247" s="56"/>
      <c r="J1247" s="56"/>
      <c r="K1247" s="56"/>
      <c r="L1247" s="56"/>
      <c r="M1247" s="56"/>
    </row>
    <row r="1248" spans="9:10" ht="15">
      <c r="I1248" s="56"/>
      <c r="J1248" s="56"/>
    </row>
  </sheetData>
  <sheetProtection/>
  <mergeCells count="17">
    <mergeCell ref="G253:H253"/>
    <mergeCell ref="E182:E183"/>
    <mergeCell ref="B17:I18"/>
    <mergeCell ref="I53:J53"/>
    <mergeCell ref="I56:J56"/>
    <mergeCell ref="I137:J137"/>
    <mergeCell ref="I140:J140"/>
    <mergeCell ref="D35:L35"/>
    <mergeCell ref="D305:K307"/>
    <mergeCell ref="D370:J371"/>
    <mergeCell ref="D280:K281"/>
    <mergeCell ref="D318:K319"/>
    <mergeCell ref="D308:J309"/>
    <mergeCell ref="D326:L328"/>
    <mergeCell ref="D314:J316"/>
    <mergeCell ref="D349:J354"/>
    <mergeCell ref="D301:K303"/>
  </mergeCells>
  <printOptions/>
  <pageMargins left="0.26" right="0.55" top="1" bottom="1" header="0.86" footer="0.5"/>
  <pageSetup fitToHeight="5" horizontalDpi="600" verticalDpi="600" orientation="portrait" scale="44" r:id="rId1"/>
  <headerFooter alignWithMargins="0">
    <oddHeader>&amp;R&amp;"Arial,Bold"Formula Rate 
&amp;A
Page &amp;P of &amp;N</oddHeader>
  </headerFooter>
  <rowBreaks count="4" manualBreakCount="4">
    <brk id="44" max="11" man="1"/>
    <brk id="129" max="11" man="1"/>
    <brk id="214" max="11" man="1"/>
    <brk id="259" max="11" man="1"/>
  </rowBreaks>
</worksheet>
</file>

<file path=xl/worksheets/sheet20.xml><?xml version="1.0" encoding="utf-8"?>
<worksheet xmlns="http://schemas.openxmlformats.org/spreadsheetml/2006/main" xmlns:r="http://schemas.openxmlformats.org/officeDocument/2006/relationships">
  <sheetPr transitionEvaluation="1">
    <pageSetUpPr fitToPage="1"/>
  </sheetPr>
  <dimension ref="A1:L31"/>
  <sheetViews>
    <sheetView defaultGridColor="0" zoomScale="70" zoomScaleNormal="70" zoomScalePageLayoutView="0" colorId="22" workbookViewId="0" topLeftCell="A1">
      <pane ySplit="9" topLeftCell="W10" activePane="bottomLeft" state="frozen"/>
      <selection pane="topLeft" activeCell="L28" sqref="L28"/>
      <selection pane="bottomLeft" activeCell="A1" sqref="A1:D1"/>
    </sheetView>
  </sheetViews>
  <sheetFormatPr defaultColWidth="14.7109375" defaultRowHeight="12.75"/>
  <cols>
    <col min="1" max="1" width="55.8515625" style="1049" customWidth="1"/>
    <col min="2" max="2" width="14.421875" style="1049" customWidth="1"/>
    <col min="3" max="3" width="16.8515625" style="1049" customWidth="1"/>
    <col min="4" max="4" width="6.8515625" style="1049" customWidth="1"/>
    <col min="5" max="16384" width="14.7109375" style="1049" customWidth="1"/>
  </cols>
  <sheetData>
    <row r="1" spans="1:12" ht="19.5">
      <c r="A1" s="1198" t="s">
        <v>610</v>
      </c>
      <c r="B1" s="1198"/>
      <c r="C1" s="1198"/>
      <c r="D1" s="1198"/>
      <c r="E1" s="1048"/>
      <c r="F1" s="1048"/>
      <c r="G1" s="1048"/>
      <c r="H1" s="1048"/>
      <c r="I1" s="1048"/>
      <c r="J1" s="1048"/>
      <c r="K1" s="1048"/>
      <c r="L1" s="1048"/>
    </row>
    <row r="2" spans="1:4" ht="19.5">
      <c r="A2" s="1198" t="s">
        <v>611</v>
      </c>
      <c r="B2" s="1198"/>
      <c r="C2" s="1198"/>
      <c r="D2" s="1198"/>
    </row>
    <row r="3" spans="1:4" ht="19.5">
      <c r="A3" s="1198" t="s">
        <v>612</v>
      </c>
      <c r="B3" s="1198"/>
      <c r="C3" s="1198"/>
      <c r="D3" s="1198"/>
    </row>
    <row r="4" spans="1:4" ht="19.5">
      <c r="A4" s="1198" t="s">
        <v>613</v>
      </c>
      <c r="B4" s="1198"/>
      <c r="C4" s="1198"/>
      <c r="D4" s="1198"/>
    </row>
    <row r="5" spans="1:4" ht="19.5">
      <c r="A5" s="1198" t="s">
        <v>614</v>
      </c>
      <c r="B5" s="1198"/>
      <c r="C5" s="1198"/>
      <c r="D5" s="1198"/>
    </row>
    <row r="6" spans="1:4" ht="19.5">
      <c r="A6" s="1198" t="s">
        <v>615</v>
      </c>
      <c r="B6" s="1198"/>
      <c r="C6" s="1198"/>
      <c r="D6" s="1198"/>
    </row>
    <row r="7" spans="1:3" ht="15">
      <c r="A7" s="1050"/>
      <c r="B7" s="1050"/>
      <c r="C7" s="1051" t="s">
        <v>722</v>
      </c>
    </row>
    <row r="8" spans="1:2" ht="15.75">
      <c r="A8" s="1050"/>
      <c r="B8" s="1052" t="s">
        <v>616</v>
      </c>
    </row>
    <row r="9" spans="1:4" ht="15.75">
      <c r="A9" s="1051"/>
      <c r="B9" s="1052" t="s">
        <v>617</v>
      </c>
      <c r="C9" s="1052" t="s">
        <v>618</v>
      </c>
      <c r="D9" s="1052"/>
    </row>
    <row r="10" spans="1:3" ht="15.75" thickBot="1">
      <c r="A10" s="1053"/>
      <c r="B10" s="1050"/>
      <c r="C10" s="1054" t="s">
        <v>389</v>
      </c>
    </row>
    <row r="11" spans="1:3" ht="15">
      <c r="A11" s="1055" t="s">
        <v>619</v>
      </c>
      <c r="B11" s="1056"/>
      <c r="C11" s="1057"/>
    </row>
    <row r="12" spans="2:4" ht="15">
      <c r="B12" s="1058"/>
      <c r="C12" s="1059"/>
      <c r="D12" s="1060"/>
    </row>
    <row r="13" spans="1:4" ht="15">
      <c r="A13" s="1049" t="s">
        <v>620</v>
      </c>
      <c r="B13" s="1061">
        <v>352</v>
      </c>
      <c r="C13" s="1059">
        <v>0.0171</v>
      </c>
      <c r="D13" s="1060"/>
    </row>
    <row r="14" spans="1:4" ht="15">
      <c r="A14" s="1049" t="s">
        <v>621</v>
      </c>
      <c r="B14" s="1061">
        <v>353</v>
      </c>
      <c r="C14" s="1059">
        <v>0.0171</v>
      </c>
      <c r="D14" s="1060"/>
    </row>
    <row r="15" spans="1:4" ht="15">
      <c r="A15" s="1049" t="s">
        <v>622</v>
      </c>
      <c r="B15" s="1061">
        <v>354</v>
      </c>
      <c r="C15" s="1059">
        <v>0.0171</v>
      </c>
      <c r="D15" s="1060"/>
    </row>
    <row r="16" spans="1:4" ht="15">
      <c r="A16" s="1049" t="s">
        <v>623</v>
      </c>
      <c r="B16" s="1061">
        <v>355</v>
      </c>
      <c r="C16" s="1059">
        <v>0.0171</v>
      </c>
      <c r="D16" s="1060"/>
    </row>
    <row r="17" spans="1:4" ht="15">
      <c r="A17" s="1049" t="s">
        <v>624</v>
      </c>
      <c r="B17" s="1061">
        <v>356</v>
      </c>
      <c r="C17" s="1059">
        <v>0.0171</v>
      </c>
      <c r="D17" s="1060"/>
    </row>
    <row r="18" spans="1:4" ht="15">
      <c r="A18" s="1049" t="s">
        <v>625</v>
      </c>
      <c r="B18" s="1061">
        <v>357</v>
      </c>
      <c r="C18" s="1059">
        <v>0.0171</v>
      </c>
      <c r="D18" s="1060"/>
    </row>
    <row r="19" spans="1:4" ht="15">
      <c r="A19" s="1049" t="s">
        <v>626</v>
      </c>
      <c r="B19" s="1061">
        <v>358</v>
      </c>
      <c r="C19" s="1059">
        <v>0.0171</v>
      </c>
      <c r="D19" s="1060"/>
    </row>
    <row r="20" spans="1:4" ht="15">
      <c r="A20" s="1049" t="s">
        <v>627</v>
      </c>
      <c r="B20" s="1061">
        <v>359</v>
      </c>
      <c r="C20" s="1059">
        <v>0.0171</v>
      </c>
      <c r="D20" s="1060"/>
    </row>
    <row r="21" spans="2:3" ht="15">
      <c r="B21" s="1050"/>
      <c r="C21" s="1059"/>
    </row>
    <row r="22" spans="1:3" ht="15.75">
      <c r="A22" s="1049" t="s">
        <v>628</v>
      </c>
      <c r="B22" s="1062"/>
      <c r="C22" s="1063"/>
    </row>
    <row r="23" spans="1:4" ht="15.75" customHeight="1">
      <c r="A23" s="1199"/>
      <c r="B23" s="1199"/>
      <c r="C23" s="1199"/>
      <c r="D23" s="1199"/>
    </row>
    <row r="24" spans="1:4" ht="15.75" customHeight="1">
      <c r="A24" s="1199" t="s">
        <v>629</v>
      </c>
      <c r="B24" s="1199"/>
      <c r="C24" s="1199"/>
      <c r="D24" s="1199"/>
    </row>
    <row r="25" spans="1:4" ht="15">
      <c r="A25" s="1199"/>
      <c r="B25" s="1199"/>
      <c r="C25" s="1199"/>
      <c r="D25" s="1199"/>
    </row>
    <row r="26" spans="1:3" ht="15.75">
      <c r="A26" s="1064" t="s">
        <v>630</v>
      </c>
      <c r="B26" s="1050"/>
      <c r="C26" s="1059"/>
    </row>
    <row r="27" spans="1:4" ht="15" customHeight="1">
      <c r="A27" s="1197" t="s">
        <v>923</v>
      </c>
      <c r="B27" s="1197"/>
      <c r="C27" s="1197"/>
      <c r="D27" s="136"/>
    </row>
    <row r="28" spans="1:4" ht="15">
      <c r="A28" s="1197"/>
      <c r="B28" s="1197"/>
      <c r="C28" s="1197"/>
      <c r="D28" s="136"/>
    </row>
    <row r="29" spans="1:4" ht="15">
      <c r="A29" s="1197"/>
      <c r="B29" s="1197"/>
      <c r="C29" s="1197"/>
      <c r="D29" s="136"/>
    </row>
    <row r="30" spans="1:4" ht="15">
      <c r="A30" s="1197"/>
      <c r="B30" s="1197"/>
      <c r="C30" s="1197"/>
      <c r="D30" s="136"/>
    </row>
    <row r="31" spans="1:4" ht="15">
      <c r="A31" s="1197"/>
      <c r="B31" s="1197"/>
      <c r="C31" s="1197"/>
      <c r="D31" s="136"/>
    </row>
  </sheetData>
  <sheetProtection/>
  <mergeCells count="10">
    <mergeCell ref="A27:C31"/>
    <mergeCell ref="A1:D1"/>
    <mergeCell ref="A2:D2"/>
    <mergeCell ref="A3:D3"/>
    <mergeCell ref="A4:D4"/>
    <mergeCell ref="A6:D6"/>
    <mergeCell ref="A5:D5"/>
    <mergeCell ref="A25:D25"/>
    <mergeCell ref="A23:D23"/>
    <mergeCell ref="A24:D24"/>
  </mergeCells>
  <printOptions horizontalCentered="1"/>
  <pageMargins left="0.55" right="0.55" top="1.25" bottom="0.75" header="0.75" footer="0.27"/>
  <pageSetup fitToHeight="1" fitToWidth="1" horizontalDpi="600" verticalDpi="600" orientation="portrait" r:id="rId1"/>
  <headerFooter alignWithMargins="0">
    <oddHeader>&amp;RFormula Rate 
&amp;A
Page &amp;P of &amp;N</oddHeader>
  </headerFooter>
  <rowBreaks count="1" manualBreakCount="1">
    <brk id="9" max="3" man="1"/>
  </rowBreaks>
</worksheet>
</file>

<file path=xl/worksheets/sheet3.xml><?xml version="1.0" encoding="utf-8"?>
<worksheet xmlns="http://schemas.openxmlformats.org/spreadsheetml/2006/main" xmlns:r="http://schemas.openxmlformats.org/officeDocument/2006/relationships">
  <sheetPr>
    <tabColor indexed="45"/>
  </sheetPr>
  <dimension ref="B1:U1249"/>
  <sheetViews>
    <sheetView zoomScale="60" zoomScaleNormal="60" zoomScalePageLayoutView="0" workbookViewId="0" topLeftCell="A1">
      <selection activeCell="A1" sqref="A1"/>
    </sheetView>
  </sheetViews>
  <sheetFormatPr defaultColWidth="11.421875" defaultRowHeight="12.75"/>
  <cols>
    <col min="1" max="1" width="4.7109375" style="14" customWidth="1"/>
    <col min="2" max="2" width="7.8515625" style="1" customWidth="1"/>
    <col min="3" max="3" width="1.8515625" style="14" customWidth="1"/>
    <col min="4" max="4" width="56.00390625" style="14" customWidth="1"/>
    <col min="5" max="5" width="25.57421875" style="14" customWidth="1"/>
    <col min="6" max="6" width="18.28125" style="14" customWidth="1"/>
    <col min="7" max="7" width="20.7109375" style="14" customWidth="1"/>
    <col min="8" max="8" width="16.140625" style="14" customWidth="1"/>
    <col min="9" max="9" width="6.00390625" style="14" bestFit="1" customWidth="1"/>
    <col min="10" max="10" width="18.28125" style="14" bestFit="1" customWidth="1"/>
    <col min="11" max="11" width="2.8515625" style="14" customWidth="1"/>
    <col min="12" max="12" width="21.140625" style="14" customWidth="1"/>
    <col min="13" max="13" width="19.421875" style="0" customWidth="1"/>
    <col min="14" max="14" width="18.8515625" style="0" bestFit="1" customWidth="1"/>
    <col min="15" max="15" width="3.140625" style="14" customWidth="1"/>
    <col min="16" max="16" width="21.8515625" style="14" customWidth="1"/>
    <col min="17" max="17" width="11.421875" style="14" customWidth="1"/>
    <col min="18" max="18" width="20.57421875" style="14" bestFit="1" customWidth="1"/>
    <col min="19" max="16384" width="11.421875" style="14" customWidth="1"/>
  </cols>
  <sheetData>
    <row r="1" spans="2:14" ht="15.75">
      <c r="B1" s="89"/>
      <c r="C1" s="11"/>
      <c r="D1" s="132"/>
      <c r="E1" s="63"/>
      <c r="F1" s="63"/>
      <c r="G1" s="64"/>
      <c r="H1" s="11"/>
      <c r="I1" s="12"/>
      <c r="J1" s="12"/>
      <c r="K1" s="12"/>
      <c r="L1" s="13"/>
      <c r="N1">
        <f>'KPCo Historic TCOS'!O1</f>
        <v>2009</v>
      </c>
    </row>
    <row r="2" spans="2:14" ht="15">
      <c r="B2" s="89"/>
      <c r="C2" s="11"/>
      <c r="D2" s="11"/>
      <c r="E2" s="11"/>
      <c r="F2" s="11"/>
      <c r="G2" s="11"/>
      <c r="H2" s="11"/>
      <c r="I2" s="11"/>
      <c r="J2" s="11"/>
      <c r="K2" s="11"/>
      <c r="L2" s="11"/>
      <c r="N2">
        <f>'KPCo Historic TCOS'!O2</f>
        <v>2010</v>
      </c>
    </row>
    <row r="3" spans="2:12" ht="15">
      <c r="B3" s="89"/>
      <c r="C3" s="11"/>
      <c r="D3" s="15"/>
      <c r="E3" s="15"/>
      <c r="F3" s="9" t="s">
        <v>228</v>
      </c>
      <c r="G3" s="87"/>
      <c r="H3" s="87"/>
      <c r="J3" s="15"/>
      <c r="K3" s="16"/>
      <c r="L3" s="16"/>
    </row>
    <row r="4" spans="2:12" ht="15">
      <c r="B4" s="89"/>
      <c r="C4" s="11"/>
      <c r="D4" s="15"/>
      <c r="E4" s="17"/>
      <c r="F4" s="9" t="s">
        <v>229</v>
      </c>
      <c r="G4" s="87"/>
      <c r="H4" s="87"/>
      <c r="J4" s="17"/>
      <c r="K4" s="16"/>
      <c r="L4" s="16"/>
    </row>
    <row r="5" spans="2:12" ht="15">
      <c r="B5" s="89"/>
      <c r="C5" s="11"/>
      <c r="D5" s="16"/>
      <c r="E5" s="16"/>
      <c r="F5" s="10" t="str">
        <f>"Utilizing Actual Cost Data for "&amp;'KPCo Historic TCOS'!O1&amp;" with Average Ratebase Balances"</f>
        <v>Utilizing Actual Cost Data for 2009 with Average Ratebase Balances</v>
      </c>
      <c r="G5" s="87"/>
      <c r="H5" s="87"/>
      <c r="J5" s="16"/>
      <c r="K5" s="16"/>
      <c r="L5" s="16"/>
    </row>
    <row r="6" spans="2:12" ht="15">
      <c r="B6" s="90"/>
      <c r="C6" s="18"/>
      <c r="D6" s="16"/>
      <c r="F6" s="761"/>
      <c r="H6" s="19"/>
      <c r="I6" s="19"/>
      <c r="J6" s="19"/>
      <c r="K6" s="19"/>
      <c r="L6" s="16"/>
    </row>
    <row r="7" spans="2:12" ht="15.75">
      <c r="B7" s="90"/>
      <c r="C7" s="18"/>
      <c r="D7"/>
      <c r="E7" s="16"/>
      <c r="F7" s="485" t="str">
        <f>'KPCo Historic TCOS'!F7</f>
        <v>KENTUCKY POWER COMPANY</v>
      </c>
      <c r="G7" s="20"/>
      <c r="H7" s="16"/>
      <c r="I7" s="16"/>
      <c r="J7" s="16"/>
      <c r="K7" s="16"/>
      <c r="L7"/>
    </row>
    <row r="8" spans="2:12" ht="15">
      <c r="B8" s="90"/>
      <c r="C8" s="18"/>
      <c r="D8" s="16"/>
      <c r="E8" s="16"/>
      <c r="F8" s="212"/>
      <c r="G8" s="20"/>
      <c r="H8" s="16"/>
      <c r="I8" s="16"/>
      <c r="J8" s="16"/>
      <c r="K8" s="16"/>
      <c r="L8"/>
    </row>
    <row r="9" spans="2:12" ht="15">
      <c r="B9" s="90" t="s">
        <v>777</v>
      </c>
      <c r="C9" s="18"/>
      <c r="D9" s="16"/>
      <c r="E9" s="16"/>
      <c r="F9" s="16"/>
      <c r="G9" s="20"/>
      <c r="H9" s="16"/>
      <c r="I9" s="16"/>
      <c r="J9" s="16"/>
      <c r="K9" s="16"/>
      <c r="L9" s="18" t="s">
        <v>723</v>
      </c>
    </row>
    <row r="10" spans="2:12" ht="15.75" thickBot="1">
      <c r="B10" s="91" t="s">
        <v>725</v>
      </c>
      <c r="C10" s="23"/>
      <c r="D10" s="16"/>
      <c r="E10" s="23"/>
      <c r="F10" s="16"/>
      <c r="G10" s="16"/>
      <c r="H10" s="16"/>
      <c r="I10" s="16"/>
      <c r="J10" s="16"/>
      <c r="K10" s="16"/>
      <c r="L10" s="22" t="s">
        <v>778</v>
      </c>
    </row>
    <row r="11" spans="2:12" ht="15">
      <c r="B11" s="90">
        <v>1</v>
      </c>
      <c r="C11" s="18"/>
      <c r="D11" s="85" t="s">
        <v>719</v>
      </c>
      <c r="E11" s="24" t="str">
        <f>"(ln "&amp;B213&amp;")"</f>
        <v>(ln 138)</v>
      </c>
      <c r="F11" s="24"/>
      <c r="G11" s="25"/>
      <c r="H11" s="26"/>
      <c r="I11" s="16"/>
      <c r="J11" s="16"/>
      <c r="K11" s="16"/>
      <c r="L11" s="66">
        <f>+L213</f>
        <v>40476610.23944825</v>
      </c>
    </row>
    <row r="12" spans="2:12" ht="15.75" thickBot="1">
      <c r="B12" s="90"/>
      <c r="C12" s="18"/>
      <c r="E12" s="290"/>
      <c r="F12" s="27"/>
      <c r="G12" s="22" t="s">
        <v>726</v>
      </c>
      <c r="H12" s="17"/>
      <c r="I12" s="28" t="s">
        <v>727</v>
      </c>
      <c r="J12" s="28"/>
      <c r="K12" s="16"/>
      <c r="L12" s="25"/>
    </row>
    <row r="13" spans="2:12" ht="15">
      <c r="B13" s="90">
        <f>+B11+1</f>
        <v>2</v>
      </c>
      <c r="C13" s="18"/>
      <c r="D13" s="86" t="s">
        <v>776</v>
      </c>
      <c r="E13" s="319" t="s">
        <v>111</v>
      </c>
      <c r="F13" s="27"/>
      <c r="G13" s="127">
        <f>+'KPCo WS E Rev Credits'!K25</f>
        <v>2434307</v>
      </c>
      <c r="H13" s="27"/>
      <c r="I13" s="47" t="s">
        <v>737</v>
      </c>
      <c r="J13" s="48">
        <f>VLOOKUP(I13,APCo_TU_Allocators,2,FALSE)</f>
        <v>1</v>
      </c>
      <c r="K13" s="17"/>
      <c r="L13" s="157">
        <f>+J13*G13</f>
        <v>2434307</v>
      </c>
    </row>
    <row r="14" spans="2:12" ht="15">
      <c r="B14" s="90"/>
      <c r="C14" s="18"/>
      <c r="D14" s="86"/>
      <c r="F14" s="17"/>
      <c r="L14" s="568"/>
    </row>
    <row r="15" spans="2:12" ht="30.75" thickBot="1">
      <c r="B15" s="94">
        <f>+B13+1</f>
        <v>3</v>
      </c>
      <c r="C15" s="78"/>
      <c r="D15" s="138" t="s">
        <v>314</v>
      </c>
      <c r="E15" s="103" t="str">
        <f>"(ln "&amp;B11&amp;" less ln "&amp;B13&amp;")"</f>
        <v>(ln 1 less ln 2)</v>
      </c>
      <c r="F15" s="16"/>
      <c r="H15" s="17"/>
      <c r="I15" s="30"/>
      <c r="J15" s="17"/>
      <c r="K15" s="17"/>
      <c r="L15" s="289">
        <f>+L11-L13</f>
        <v>38042303.23944825</v>
      </c>
    </row>
    <row r="16" spans="2:12" ht="15.75" thickTop="1">
      <c r="B16" s="94"/>
      <c r="C16" s="78"/>
      <c r="D16" s="86"/>
      <c r="E16" s="103"/>
      <c r="F16" s="16"/>
      <c r="H16" s="17"/>
      <c r="I16" s="30"/>
      <c r="J16" s="17"/>
      <c r="K16" s="17"/>
      <c r="L16" s="104"/>
    </row>
    <row r="17" spans="2:9" ht="15" customHeight="1">
      <c r="B17" s="1110" t="str">
        <f>"MEMO:  The Carrying Charge Calculations on lines "&amp;B23&amp;" to "&amp;B30&amp;" below are used in calculating project revenue requirements billed through PJM Schedule 12, Transmission Enhancement Charges.  The total non-incentive revenue requirements for these projects shown on line "&amp;B20&amp;" is included in the total on line "&amp;B15&amp;"."</f>
        <v>MEMO:  The Carrying Charge Calculations on lines 6 to 11 below are used in calculating project revenue requirements billed through PJM Schedule 12, Transmission Enhancement Charges.  The total non-incentive revenue requirements for these projects shown on line 4 is included in the total on line 3.</v>
      </c>
      <c r="C17" s="1110"/>
      <c r="D17" s="1110"/>
      <c r="E17" s="1110"/>
      <c r="F17" s="1110"/>
      <c r="G17" s="1110"/>
      <c r="H17" s="1110"/>
      <c r="I17" s="1110"/>
    </row>
    <row r="18" spans="2:9" ht="37.5" customHeight="1">
      <c r="B18" s="1110"/>
      <c r="C18" s="1110"/>
      <c r="D18" s="1110"/>
      <c r="E18" s="1110"/>
      <c r="F18" s="1110"/>
      <c r="G18" s="1110"/>
      <c r="H18" s="1110"/>
      <c r="I18" s="1110"/>
    </row>
    <row r="19" spans="2:9" ht="15" customHeight="1">
      <c r="B19" s="675"/>
      <c r="C19" s="675"/>
      <c r="D19" s="675"/>
      <c r="E19" s="675"/>
      <c r="F19" s="675"/>
      <c r="G19" s="675"/>
      <c r="H19" s="675"/>
      <c r="I19" s="675"/>
    </row>
    <row r="20" spans="2:12" ht="15">
      <c r="B20" s="90">
        <f>+B15+1</f>
        <v>4</v>
      </c>
      <c r="C20" s="78"/>
      <c r="D20" s="318" t="s">
        <v>521</v>
      </c>
      <c r="E20" s="319"/>
      <c r="F20" s="27"/>
      <c r="G20" s="120">
        <f>+'KPCo WS K TRUE-UP RTEP RR'!N20</f>
        <v>0</v>
      </c>
      <c r="H20" s="27"/>
      <c r="I20" s="47" t="s">
        <v>737</v>
      </c>
      <c r="J20" s="48">
        <f>VLOOKUP(I20,APCo_TU_Allocators,2,FALSE)</f>
        <v>1</v>
      </c>
      <c r="K20" s="24"/>
      <c r="L20" s="320">
        <f>+J20*G20</f>
        <v>0</v>
      </c>
    </row>
    <row r="21" spans="2:12" ht="15">
      <c r="B21" s="90"/>
      <c r="C21" s="78"/>
      <c r="D21" s="318"/>
      <c r="E21" s="103"/>
      <c r="F21" s="27"/>
      <c r="G21" s="120"/>
      <c r="H21" s="27"/>
      <c r="I21" s="27"/>
      <c r="J21" s="48"/>
      <c r="K21" s="24"/>
      <c r="L21" s="320"/>
    </row>
    <row r="22" spans="2:11" ht="15">
      <c r="B22" s="94">
        <f>+B20+1</f>
        <v>5</v>
      </c>
      <c r="C22" s="78"/>
      <c r="D22" s="318" t="s">
        <v>198</v>
      </c>
      <c r="E22" s="319"/>
      <c r="F22" s="16"/>
      <c r="G22" s="321"/>
      <c r="H22" s="16"/>
      <c r="I22" s="11"/>
      <c r="J22" s="16"/>
      <c r="K22" s="16"/>
    </row>
    <row r="23" spans="2:12" ht="15">
      <c r="B23" s="90">
        <f>B22+1</f>
        <v>6</v>
      </c>
      <c r="C23" s="78"/>
      <c r="D23" s="54" t="s">
        <v>33</v>
      </c>
      <c r="E23" s="24" t="str">
        <f>"( (ln "&amp;B11&amp;" - ln "&amp;B171&amp;" - ln "&amp;B172&amp;")/ ln "&amp;B91&amp;" x 100)"</f>
        <v>( (ln 1 - ln 105 - ln 106)/ ln 48 x 100)</v>
      </c>
      <c r="F23" s="18"/>
      <c r="G23" s="18"/>
      <c r="H23" s="18"/>
      <c r="I23" s="322"/>
      <c r="J23" s="322"/>
      <c r="K23" s="322"/>
      <c r="L23" s="323">
        <f>IF(L11=0,0,(L11-L171-L172)/L91)</f>
        <v>0.1668083687665993</v>
      </c>
    </row>
    <row r="24" spans="2:12" ht="15">
      <c r="B24" s="90">
        <f>B23+1</f>
        <v>7</v>
      </c>
      <c r="C24" s="78"/>
      <c r="D24" s="54" t="s">
        <v>34</v>
      </c>
      <c r="E24" s="24" t="str">
        <f>"(ln "&amp;B23&amp;" / 12)"</f>
        <v>(ln 6 / 12)</v>
      </c>
      <c r="F24" s="18"/>
      <c r="G24" s="18"/>
      <c r="H24" s="18"/>
      <c r="I24" s="322"/>
      <c r="J24" s="322"/>
      <c r="K24" s="322"/>
      <c r="L24" s="324">
        <f>L23/12</f>
        <v>0.013900697397216609</v>
      </c>
    </row>
    <row r="25" spans="2:12" ht="15">
      <c r="B25" s="90"/>
      <c r="C25" s="78"/>
      <c r="D25" s="54"/>
      <c r="E25" s="24"/>
      <c r="F25" s="18"/>
      <c r="G25" s="18"/>
      <c r="H25" s="18"/>
      <c r="I25" s="322"/>
      <c r="J25" s="322"/>
      <c r="K25" s="322"/>
      <c r="L25" s="324"/>
    </row>
    <row r="26" spans="2:12" ht="15">
      <c r="B26" s="90">
        <f>B24+1</f>
        <v>8</v>
      </c>
      <c r="C26" s="78"/>
      <c r="D26" s="318" t="str">
        <f>"NET PLANT CARRYING CHARGE ON LINE "&amp;B23&amp;" , w/o depreciation or ROE incentives (Note B)"</f>
        <v>NET PLANT CARRYING CHARGE ON LINE 6 , w/o depreciation or ROE incentives (Note B)</v>
      </c>
      <c r="E26" s="24"/>
      <c r="F26" s="18"/>
      <c r="G26" s="18"/>
      <c r="H26" s="18"/>
      <c r="I26" s="322"/>
      <c r="J26" s="322"/>
      <c r="K26" s="322"/>
      <c r="L26" s="324"/>
    </row>
    <row r="27" spans="2:12" ht="15">
      <c r="B27" s="90">
        <f>B26+1</f>
        <v>9</v>
      </c>
      <c r="C27" s="78"/>
      <c r="D27" s="54" t="s">
        <v>33</v>
      </c>
      <c r="E27" s="24" t="str">
        <f>"( (ln "&amp;B11&amp;" - ln "&amp;B171&amp;" - ln "&amp;B172&amp;" - ln "&amp;B178&amp;") / ln "&amp;B91&amp;" x 100)"</f>
        <v>( (ln 1 - ln 105 - ln 106 - ln 111) / ln 48 x 100)</v>
      </c>
      <c r="F27" s="18"/>
      <c r="G27" s="18"/>
      <c r="H27" s="18"/>
      <c r="I27" s="322"/>
      <c r="J27" s="322"/>
      <c r="K27" s="322"/>
      <c r="L27" s="323">
        <f>IF(L11=0,0,(L11-L171-L172-L178)/L91)</f>
        <v>0.14180938347488983</v>
      </c>
    </row>
    <row r="28" spans="2:12" ht="15">
      <c r="B28" s="90"/>
      <c r="C28" s="78"/>
      <c r="D28" s="54"/>
      <c r="E28" s="24"/>
      <c r="F28" s="18"/>
      <c r="G28" s="18"/>
      <c r="H28" s="18"/>
      <c r="I28" s="322"/>
      <c r="J28" s="322"/>
      <c r="K28" s="322"/>
      <c r="L28" s="324"/>
    </row>
    <row r="29" spans="2:12" ht="15">
      <c r="B29" s="90">
        <f>B27+1</f>
        <v>10</v>
      </c>
      <c r="C29" s="78"/>
      <c r="D29" s="318" t="str">
        <f>"NET PLANT CARRYING CHARGE ON LINE "&amp;B27&amp;", w/o Return, income taxes or ROE incentives (Note B)"</f>
        <v>NET PLANT CARRYING CHARGE ON LINE 9, w/o Return, income taxes or ROE incentives (Note B)</v>
      </c>
      <c r="E29" s="24"/>
      <c r="F29" s="18"/>
      <c r="G29" s="756"/>
      <c r="H29" s="756"/>
      <c r="I29" s="756"/>
      <c r="J29" s="756"/>
      <c r="K29" s="756"/>
      <c r="L29" s="609"/>
    </row>
    <row r="30" spans="2:12" ht="15">
      <c r="B30" s="90">
        <f>B29+1</f>
        <v>11</v>
      </c>
      <c r="C30" s="78"/>
      <c r="D30" s="15" t="s">
        <v>33</v>
      </c>
      <c r="E30" s="24" t="str">
        <f>"( (ln "&amp;B11&amp;" - ln "&amp;B171&amp;" - ln "&amp;B172&amp;" - ln "&amp;B178&amp;" - ln "&amp;B203&amp;" - ln "&amp;B205&amp;") / ln "&amp;B91&amp;" x 100)"</f>
        <v>( (ln 1 - ln 105 - ln 106 - ln 111 - ln 133 - ln 134) / ln 48 x 100)</v>
      </c>
      <c r="F30" s="18"/>
      <c r="G30" s="756"/>
      <c r="H30" s="756"/>
      <c r="I30" s="756"/>
      <c r="J30" s="756"/>
      <c r="K30" s="756"/>
      <c r="L30" s="609">
        <f>(L11-L171-L172-L178-L203-L205)/L91</f>
        <v>0.03847478535009252</v>
      </c>
    </row>
    <row r="31" spans="2:12" ht="15">
      <c r="B31" s="90"/>
      <c r="C31" s="78"/>
      <c r="D31" s="15"/>
      <c r="E31" s="24"/>
      <c r="F31" s="18"/>
      <c r="G31" s="18"/>
      <c r="H31" s="18"/>
      <c r="I31" s="322"/>
      <c r="J31" s="322"/>
      <c r="K31" s="322"/>
      <c r="L31" s="323"/>
    </row>
    <row r="32" spans="2:12" ht="15">
      <c r="B32" s="90">
        <f>B30+1</f>
        <v>12</v>
      </c>
      <c r="C32" s="18"/>
      <c r="D32" s="479" t="s">
        <v>522</v>
      </c>
      <c r="E32" s="24"/>
      <c r="F32" s="18"/>
      <c r="G32" s="18"/>
      <c r="H32" s="18"/>
      <c r="I32" s="322"/>
      <c r="J32" s="322"/>
      <c r="K32" s="322"/>
      <c r="L32" s="120">
        <f>+'KPCo WS K TRUE-UP RTEP RR'!P20</f>
        <v>0</v>
      </c>
    </row>
    <row r="33" spans="2:12" ht="15">
      <c r="B33" s="90"/>
      <c r="C33" s="18"/>
      <c r="D33" s="11"/>
      <c r="E33" s="24"/>
      <c r="F33" s="18"/>
      <c r="G33" s="18"/>
      <c r="H33" s="18"/>
      <c r="I33" s="322"/>
      <c r="J33" s="322"/>
      <c r="K33" s="322"/>
      <c r="L33" s="323"/>
    </row>
    <row r="34" spans="2:12" ht="15">
      <c r="B34" s="14"/>
      <c r="C34" s="18"/>
      <c r="D34" s="11"/>
      <c r="E34" s="24"/>
      <c r="F34" s="18"/>
      <c r="G34" s="18"/>
      <c r="H34" s="18"/>
      <c r="I34" s="322"/>
      <c r="J34" s="322"/>
      <c r="K34" s="322"/>
      <c r="L34" s="323"/>
    </row>
    <row r="35" spans="2:12" ht="15.75">
      <c r="B35" s="90">
        <f>+B32+1</f>
        <v>13</v>
      </c>
      <c r="C35" s="18"/>
      <c r="D35" s="1097" t="s">
        <v>255</v>
      </c>
      <c r="E35" s="1097"/>
      <c r="F35" s="1097"/>
      <c r="G35" s="1097"/>
      <c r="H35" s="1097"/>
      <c r="I35" s="1097"/>
      <c r="J35" s="1097"/>
      <c r="K35" s="1097"/>
      <c r="L35" s="1097"/>
    </row>
    <row r="36" spans="2:12" ht="15">
      <c r="B36" s="90"/>
      <c r="C36" s="18"/>
      <c r="D36" s="11"/>
      <c r="E36" s="24"/>
      <c r="F36" s="18"/>
      <c r="G36" s="18"/>
      <c r="H36" s="18"/>
      <c r="I36" s="322"/>
      <c r="J36" s="322"/>
      <c r="K36" s="322"/>
      <c r="L36" s="323"/>
    </row>
    <row r="37" spans="2:12" ht="15">
      <c r="B37" s="90">
        <f>+B35+1</f>
        <v>14</v>
      </c>
      <c r="C37" s="18"/>
      <c r="D37" s="85" t="s">
        <v>257</v>
      </c>
      <c r="E37" s="24" t="str">
        <f>"Line "&amp;B149&amp;" Below"</f>
        <v>Line 85 Below</v>
      </c>
      <c r="F37" s="18"/>
      <c r="H37" s="18"/>
      <c r="I37" s="322"/>
      <c r="J37" s="322"/>
      <c r="K37" s="322"/>
      <c r="L37" s="126">
        <f>+G149</f>
        <v>2102150</v>
      </c>
    </row>
    <row r="38" spans="2:12" ht="15">
      <c r="B38" s="90">
        <f>+B37+1</f>
        <v>15</v>
      </c>
      <c r="C38" s="18"/>
      <c r="D38" s="85" t="s">
        <v>563</v>
      </c>
      <c r="E38" s="16"/>
      <c r="F38" s="18"/>
      <c r="H38" s="18"/>
      <c r="I38" s="322"/>
      <c r="J38" s="322"/>
      <c r="K38" s="322"/>
      <c r="L38" s="1075">
        <f>+'KPCo Historic TCOS'!L38</f>
        <v>1089485</v>
      </c>
    </row>
    <row r="39" spans="2:12" ht="15">
      <c r="B39" s="90">
        <f>+B38+1</f>
        <v>16</v>
      </c>
      <c r="C39" s="18"/>
      <c r="D39" s="85" t="s">
        <v>564</v>
      </c>
      <c r="E39" s="16"/>
      <c r="F39" s="18"/>
      <c r="H39" s="18"/>
      <c r="I39" s="322"/>
      <c r="J39" s="322"/>
      <c r="K39" s="322"/>
      <c r="L39" s="1075">
        <f>+'KPCo Historic TCOS'!L39</f>
        <v>205436</v>
      </c>
    </row>
    <row r="40" spans="2:12" ht="15">
      <c r="B40" s="90"/>
      <c r="C40" s="18"/>
      <c r="E40" s="16"/>
      <c r="F40" s="18"/>
      <c r="H40" s="18"/>
      <c r="I40" s="322"/>
      <c r="J40" s="322"/>
      <c r="K40" s="322"/>
      <c r="L40" s="18"/>
    </row>
    <row r="41" spans="2:12" ht="15.75" thickBot="1">
      <c r="B41" s="90">
        <f>+B39+1</f>
        <v>17</v>
      </c>
      <c r="C41" s="18"/>
      <c r="D41" s="85" t="s">
        <v>256</v>
      </c>
      <c r="E41" s="26" t="str">
        <f>"(Line "&amp;B37&amp;" - Line "&amp;B38&amp;" - Line "&amp;B39&amp;")"</f>
        <v>(Line 14 - Line 15 - Line 16)</v>
      </c>
      <c r="F41" s="18"/>
      <c r="H41" s="18"/>
      <c r="I41" s="322"/>
      <c r="J41" s="322"/>
      <c r="K41" s="322"/>
      <c r="L41" s="635">
        <f>+L37-L38-L39</f>
        <v>807229</v>
      </c>
    </row>
    <row r="42" spans="2:12" ht="15.75" thickTop="1">
      <c r="B42" s="90"/>
      <c r="C42" s="18"/>
      <c r="D42" s="11"/>
      <c r="E42" s="24"/>
      <c r="F42" s="18"/>
      <c r="G42" s="18"/>
      <c r="H42" s="18"/>
      <c r="I42" s="322"/>
      <c r="J42" s="322"/>
      <c r="K42" s="322"/>
      <c r="L42" s="323"/>
    </row>
    <row r="43" spans="2:12" ht="15">
      <c r="B43" s="90"/>
      <c r="C43" s="18"/>
      <c r="D43" s="11"/>
      <c r="E43" s="24"/>
      <c r="F43" s="18"/>
      <c r="G43" s="18"/>
      <c r="H43" s="18"/>
      <c r="I43" s="322"/>
      <c r="J43" s="322"/>
      <c r="K43" s="322"/>
      <c r="L43" s="323"/>
    </row>
    <row r="44" spans="2:12" ht="15">
      <c r="B44" s="90"/>
      <c r="C44" s="18"/>
      <c r="D44" s="11"/>
      <c r="E44" s="24"/>
      <c r="F44" s="18"/>
      <c r="G44" s="18"/>
      <c r="H44" s="18"/>
      <c r="I44" s="322"/>
      <c r="J44" s="322"/>
      <c r="K44" s="322"/>
      <c r="L44" s="323"/>
    </row>
    <row r="45" spans="2:12" ht="15">
      <c r="B45" s="89"/>
      <c r="C45" s="11"/>
      <c r="D45" s="15"/>
      <c r="E45" s="15"/>
      <c r="G45" s="26"/>
      <c r="H45" s="15"/>
      <c r="I45" s="15"/>
      <c r="J45" s="15"/>
      <c r="K45" s="15"/>
      <c r="L45" s="15"/>
    </row>
    <row r="46" spans="2:16" ht="15">
      <c r="B46" s="89"/>
      <c r="C46" s="11"/>
      <c r="D46" s="15"/>
      <c r="E46" s="15"/>
      <c r="F46" s="18"/>
      <c r="G46" s="26"/>
      <c r="H46" s="15"/>
      <c r="I46" s="15"/>
      <c r="J46" s="15"/>
      <c r="K46" s="15"/>
      <c r="L46" s="15"/>
      <c r="P46" s="576"/>
    </row>
    <row r="47" spans="2:16" ht="15">
      <c r="B47" s="89"/>
      <c r="C47" s="11"/>
      <c r="D47" s="15"/>
      <c r="E47" s="15"/>
      <c r="F47" s="18" t="str">
        <f>F3</f>
        <v>AEP East Companies </v>
      </c>
      <c r="G47" s="26"/>
      <c r="H47" s="15"/>
      <c r="I47" s="15"/>
      <c r="J47" s="15"/>
      <c r="K47" s="15"/>
      <c r="L47" s="15"/>
      <c r="P47" s="576"/>
    </row>
    <row r="48" spans="2:16" ht="15">
      <c r="B48" s="89"/>
      <c r="C48" s="11"/>
      <c r="D48" s="15"/>
      <c r="E48" s="17"/>
      <c r="F48" s="18" t="str">
        <f>F4</f>
        <v>Transmission Cost of Service Formula Rate</v>
      </c>
      <c r="G48" s="17"/>
      <c r="H48" s="17"/>
      <c r="I48" s="17"/>
      <c r="J48" s="17"/>
      <c r="K48" s="17"/>
      <c r="L48" s="17"/>
      <c r="P48" s="577"/>
    </row>
    <row r="49" spans="2:16" ht="15">
      <c r="B49" s="89"/>
      <c r="C49" s="11"/>
      <c r="D49" s="15"/>
      <c r="E49" s="17"/>
      <c r="F49" s="10" t="str">
        <f>F5</f>
        <v>Utilizing Actual Cost Data for 2009 with Average Ratebase Balances</v>
      </c>
      <c r="G49" s="17"/>
      <c r="H49" s="17"/>
      <c r="I49" s="17"/>
      <c r="J49" s="17"/>
      <c r="K49" s="17"/>
      <c r="L49" s="17"/>
      <c r="P49" s="577"/>
    </row>
    <row r="50" spans="2:16" ht="15">
      <c r="B50" s="89"/>
      <c r="C50" s="11"/>
      <c r="D50" s="15"/>
      <c r="E50" s="17"/>
      <c r="F50" s="692"/>
      <c r="G50" s="17"/>
      <c r="H50" s="17"/>
      <c r="I50" s="17"/>
      <c r="J50" s="17"/>
      <c r="K50" s="17"/>
      <c r="L50" s="17"/>
      <c r="P50" s="577"/>
    </row>
    <row r="51" spans="2:16" ht="15">
      <c r="B51" s="89"/>
      <c r="C51" s="11"/>
      <c r="D51" s="15"/>
      <c r="E51" s="17"/>
      <c r="F51" s="18" t="str">
        <f>F7</f>
        <v>KENTUCKY POWER COMPANY</v>
      </c>
      <c r="G51" s="17"/>
      <c r="H51" s="17"/>
      <c r="I51" s="17"/>
      <c r="J51" s="17"/>
      <c r="K51" s="17"/>
      <c r="L51" s="17"/>
      <c r="P51" s="577"/>
    </row>
    <row r="52" spans="2:16" ht="15">
      <c r="B52" s="89"/>
      <c r="C52" s="11"/>
      <c r="D52" s="15"/>
      <c r="E52" s="30"/>
      <c r="F52" s="30"/>
      <c r="G52" s="30"/>
      <c r="H52" s="30"/>
      <c r="I52" s="30"/>
      <c r="J52" s="30"/>
      <c r="K52" s="30"/>
      <c r="L52" s="17"/>
      <c r="P52" s="577"/>
    </row>
    <row r="53" spans="2:12" ht="15">
      <c r="B53" s="89"/>
      <c r="C53" s="11"/>
      <c r="D53" s="18" t="s">
        <v>729</v>
      </c>
      <c r="E53" s="18" t="s">
        <v>730</v>
      </c>
      <c r="F53" s="18"/>
      <c r="G53" s="18" t="s">
        <v>731</v>
      </c>
      <c r="H53" s="17" t="s">
        <v>722</v>
      </c>
      <c r="I53" s="1146" t="s">
        <v>732</v>
      </c>
      <c r="J53" s="1111"/>
      <c r="K53" s="17"/>
      <c r="L53" s="19" t="s">
        <v>733</v>
      </c>
    </row>
    <row r="54" spans="2:12" ht="15">
      <c r="B54" s="14"/>
      <c r="C54" s="11"/>
      <c r="D54"/>
      <c r="E54"/>
      <c r="F54"/>
      <c r="G54" s="126"/>
      <c r="H54" s="17"/>
      <c r="I54" s="17"/>
      <c r="J54" s="32"/>
      <c r="K54" s="17"/>
      <c r="L54" s="11"/>
    </row>
    <row r="55" spans="2:16" ht="15.75">
      <c r="B55" s="92"/>
      <c r="C55" s="18"/>
      <c r="D55"/>
      <c r="E55" s="33" t="s">
        <v>599</v>
      </c>
      <c r="F55" s="35"/>
      <c r="G55" s="17"/>
      <c r="H55" s="17"/>
      <c r="I55" s="17"/>
      <c r="J55" s="18"/>
      <c r="K55" s="17"/>
      <c r="L55" s="34" t="s">
        <v>726</v>
      </c>
      <c r="P55" s="576"/>
    </row>
    <row r="56" spans="2:12" ht="15.75">
      <c r="B56" s="14"/>
      <c r="C56" s="23"/>
      <c r="D56" s="52" t="s">
        <v>598</v>
      </c>
      <c r="E56" s="115" t="s">
        <v>720</v>
      </c>
      <c r="F56" s="17"/>
      <c r="G56" s="52" t="s">
        <v>585</v>
      </c>
      <c r="H56" s="37"/>
      <c r="I56" s="1144" t="s">
        <v>727</v>
      </c>
      <c r="J56" s="1145"/>
      <c r="K56" s="37"/>
      <c r="L56" s="52" t="s">
        <v>723</v>
      </c>
    </row>
    <row r="57" spans="2:12" ht="15">
      <c r="B57" s="95" t="str">
        <f>B9</f>
        <v>Line</v>
      </c>
      <c r="C57" s="18"/>
      <c r="D57" s="15"/>
      <c r="E57" s="17"/>
      <c r="F57" s="17"/>
      <c r="G57" s="486" t="s">
        <v>142</v>
      </c>
      <c r="H57" s="17"/>
      <c r="I57" s="17"/>
      <c r="J57" s="17"/>
      <c r="K57" s="17"/>
      <c r="L57" s="17"/>
    </row>
    <row r="58" spans="2:12" ht="15.75" thickBot="1">
      <c r="B58" s="91" t="str">
        <f>B10</f>
        <v>No.</v>
      </c>
      <c r="C58" s="18"/>
      <c r="D58" s="15" t="s">
        <v>586</v>
      </c>
      <c r="E58" s="39"/>
      <c r="F58" s="39"/>
      <c r="G58" s="27"/>
      <c r="H58" s="27"/>
      <c r="I58" s="47"/>
      <c r="J58" s="27"/>
      <c r="K58" s="27"/>
      <c r="L58" s="27"/>
    </row>
    <row r="59" spans="2:12" ht="15">
      <c r="B59" s="90">
        <f>+B41+1</f>
        <v>18</v>
      </c>
      <c r="C59" s="18"/>
      <c r="D59" s="40" t="s">
        <v>734</v>
      </c>
      <c r="E59" s="27" t="s">
        <v>523</v>
      </c>
      <c r="F59" s="27"/>
      <c r="G59" s="120">
        <f>+'KPCo WS A  - RB Support '!G14</f>
        <v>533657490.5</v>
      </c>
      <c r="H59" s="120"/>
      <c r="I59" s="47" t="s">
        <v>735</v>
      </c>
      <c r="J59" s="48">
        <f>VLOOKUP(I59,APCo_TU_Allocators,2,FALSE)</f>
        <v>0</v>
      </c>
      <c r="K59" s="27"/>
      <c r="L59" s="120">
        <f>+J59*G59</f>
        <v>0</v>
      </c>
    </row>
    <row r="60" spans="2:12" ht="15">
      <c r="B60" s="90">
        <f aca="true" t="shared" si="0" ref="B60:B70">+B59+1</f>
        <v>19</v>
      </c>
      <c r="C60" s="18"/>
      <c r="D60" s="40" t="s">
        <v>206</v>
      </c>
      <c r="E60" s="27" t="s">
        <v>524</v>
      </c>
      <c r="F60" s="27"/>
      <c r="G60" s="284">
        <f>-'KPCo WS A  - RB Support '!G16</f>
        <v>-3337422</v>
      </c>
      <c r="H60" s="120"/>
      <c r="I60" s="47" t="s">
        <v>735</v>
      </c>
      <c r="J60" s="48">
        <f>VLOOKUP(I60,APCo_TU_Allocators,2,FALSE)</f>
        <v>0</v>
      </c>
      <c r="K60" s="27"/>
      <c r="L60" s="120">
        <f>+J60*G60</f>
        <v>0</v>
      </c>
    </row>
    <row r="61" spans="2:12" ht="15">
      <c r="B61" s="90">
        <f t="shared" si="0"/>
        <v>20</v>
      </c>
      <c r="C61" s="42"/>
      <c r="D61" s="43" t="s">
        <v>736</v>
      </c>
      <c r="E61" s="519" t="str">
        <f>"(Worksheet A ln "&amp;'KPCo WS A  - RB Support '!A18&amp;".C &amp; Ln "&amp;B229&amp;")"</f>
        <v>(Worksheet A ln 3.C &amp; Ln 142)</v>
      </c>
      <c r="F61" s="27"/>
      <c r="G61" s="120">
        <f>+'KPCo WS A  - RB Support '!G18</f>
        <v>435274641.5</v>
      </c>
      <c r="H61" s="120"/>
      <c r="I61" s="285" t="s">
        <v>737</v>
      </c>
      <c r="J61" s="27"/>
      <c r="K61" s="279"/>
      <c r="L61" s="286">
        <f>+L229</f>
        <v>433672214</v>
      </c>
    </row>
    <row r="62" spans="2:12" ht="15">
      <c r="B62" s="90">
        <f t="shared" si="0"/>
        <v>21</v>
      </c>
      <c r="C62" s="42"/>
      <c r="D62" s="58" t="s">
        <v>207</v>
      </c>
      <c r="E62" s="519" t="str">
        <f>"(Worksheet A ln "&amp;'KPCo WS A  - RB Support '!A20&amp;".C&amp; Ln "&amp;B231&amp;")"</f>
        <v>(Worksheet A ln 4.C&amp; Ln 143)</v>
      </c>
      <c r="F62" s="27"/>
      <c r="G62" s="120">
        <f>-+'KPCo WS A  - RB Support '!G20</f>
        <v>0</v>
      </c>
      <c r="H62" s="120"/>
      <c r="I62" s="285" t="s">
        <v>728</v>
      </c>
      <c r="J62" s="48">
        <f aca="true" t="shared" si="1" ref="J62:J69">VLOOKUP(I62,APCo_TU_Allocators,2,FALSE)</f>
        <v>0.9963185829193314</v>
      </c>
      <c r="K62" s="279"/>
      <c r="L62" s="286">
        <f>+G62*J62</f>
        <v>0</v>
      </c>
    </row>
    <row r="63" spans="2:12" ht="15.75">
      <c r="B63" s="90">
        <f t="shared" si="0"/>
        <v>22</v>
      </c>
      <c r="C63" s="42"/>
      <c r="D63" s="480" t="s">
        <v>349</v>
      </c>
      <c r="E63" s="44"/>
      <c r="F63" s="44"/>
      <c r="G63" s="491" t="s">
        <v>203</v>
      </c>
      <c r="H63" s="756"/>
      <c r="I63" s="285" t="s">
        <v>735</v>
      </c>
      <c r="J63" s="48">
        <f t="shared" si="1"/>
        <v>0</v>
      </c>
      <c r="K63" s="279"/>
      <c r="L63" s="491" t="s">
        <v>203</v>
      </c>
    </row>
    <row r="64" spans="2:16" ht="15.75">
      <c r="B64" s="90">
        <f t="shared" si="0"/>
        <v>23</v>
      </c>
      <c r="C64" s="42"/>
      <c r="D64" s="480" t="s">
        <v>350</v>
      </c>
      <c r="E64" s="39"/>
      <c r="F64" s="39"/>
      <c r="G64" s="491" t="s">
        <v>203</v>
      </c>
      <c r="H64" s="756"/>
      <c r="I64" s="30" t="s">
        <v>735</v>
      </c>
      <c r="J64" s="48">
        <f t="shared" si="1"/>
        <v>0</v>
      </c>
      <c r="K64" s="17"/>
      <c r="L64" s="491" t="s">
        <v>203</v>
      </c>
      <c r="P64" s="575"/>
    </row>
    <row r="65" spans="2:12" ht="15">
      <c r="B65" s="90">
        <f t="shared" si="0"/>
        <v>24</v>
      </c>
      <c r="C65" s="42"/>
      <c r="D65" s="15" t="s">
        <v>738</v>
      </c>
      <c r="E65" s="27" t="s">
        <v>525</v>
      </c>
      <c r="F65" s="27"/>
      <c r="G65" s="120">
        <f>+'KPCo WS A  - RB Support '!G22</f>
        <v>548736389.5</v>
      </c>
      <c r="H65" s="120"/>
      <c r="I65" s="47" t="s">
        <v>735</v>
      </c>
      <c r="J65" s="48">
        <f t="shared" si="1"/>
        <v>0</v>
      </c>
      <c r="K65" s="27"/>
      <c r="L65" s="120">
        <f>+J65*G65</f>
        <v>0</v>
      </c>
    </row>
    <row r="66" spans="2:12" ht="15">
      <c r="B66" s="90">
        <f t="shared" si="0"/>
        <v>25</v>
      </c>
      <c r="C66" s="42"/>
      <c r="D66" s="40" t="s">
        <v>204</v>
      </c>
      <c r="E66" s="27" t="s">
        <v>526</v>
      </c>
      <c r="F66" s="27"/>
      <c r="G66" s="284">
        <f>-+'KPCo WS A  - RB Support '!G24</f>
        <v>0</v>
      </c>
      <c r="H66" s="120"/>
      <c r="I66" s="47" t="s">
        <v>735</v>
      </c>
      <c r="J66" s="48">
        <f t="shared" si="1"/>
        <v>0</v>
      </c>
      <c r="K66" s="27"/>
      <c r="L66" s="120">
        <f>+G66*J66</f>
        <v>0</v>
      </c>
    </row>
    <row r="67" spans="2:12" ht="15">
      <c r="B67" s="90">
        <f t="shared" si="0"/>
        <v>26</v>
      </c>
      <c r="C67" s="42"/>
      <c r="D67" s="15" t="s">
        <v>739</v>
      </c>
      <c r="E67" s="27" t="s">
        <v>527</v>
      </c>
      <c r="F67" s="27"/>
      <c r="G67" s="120">
        <f>+'KPCo WS A  - RB Support '!G26</f>
        <v>33810252</v>
      </c>
      <c r="H67" s="120"/>
      <c r="I67" s="47" t="s">
        <v>740</v>
      </c>
      <c r="J67" s="48">
        <f t="shared" si="1"/>
        <v>0.08594475532773929</v>
      </c>
      <c r="K67" s="27"/>
      <c r="L67" s="120">
        <f>+J67*G67</f>
        <v>2905813.835709208</v>
      </c>
    </row>
    <row r="68" spans="2:12" ht="15">
      <c r="B68" s="90">
        <f t="shared" si="0"/>
        <v>27</v>
      </c>
      <c r="C68" s="42"/>
      <c r="D68" s="40" t="s">
        <v>205</v>
      </c>
      <c r="E68" s="27" t="s">
        <v>528</v>
      </c>
      <c r="F68" s="27"/>
      <c r="G68" s="284">
        <f>-'KPCo WS A  - RB Support '!G28</f>
        <v>0</v>
      </c>
      <c r="H68" s="120"/>
      <c r="I68" s="47" t="s">
        <v>740</v>
      </c>
      <c r="J68" s="48">
        <f t="shared" si="1"/>
        <v>0.08594475532773929</v>
      </c>
      <c r="K68" s="27"/>
      <c r="L68" s="120">
        <f>+G68*J68</f>
        <v>0</v>
      </c>
    </row>
    <row r="69" spans="2:15" ht="15.75" thickBot="1">
      <c r="B69" s="90">
        <f t="shared" si="0"/>
        <v>28</v>
      </c>
      <c r="C69" s="42"/>
      <c r="D69" s="15" t="s">
        <v>741</v>
      </c>
      <c r="E69" s="27" t="s">
        <v>529</v>
      </c>
      <c r="F69" s="27"/>
      <c r="G69" s="121">
        <f>+'KPCo WS A  - RB Support '!G30</f>
        <v>19513292</v>
      </c>
      <c r="H69" s="120"/>
      <c r="I69" s="47" t="s">
        <v>740</v>
      </c>
      <c r="J69" s="48">
        <f t="shared" si="1"/>
        <v>0.08594475532773929</v>
      </c>
      <c r="K69" s="27"/>
      <c r="L69" s="121">
        <f>+J69*G69</f>
        <v>1677065.1065787326</v>
      </c>
      <c r="O69" s="31"/>
    </row>
    <row r="70" spans="2:15" ht="15.75">
      <c r="B70" s="92">
        <f t="shared" si="0"/>
        <v>29</v>
      </c>
      <c r="C70" s="42"/>
      <c r="D70" s="15" t="s">
        <v>584</v>
      </c>
      <c r="E70" s="18" t="str">
        <f>"(sum lns "&amp;B59&amp;" to "&amp;B69&amp;")"</f>
        <v>(sum lns 18 to 28)</v>
      </c>
      <c r="F70" s="757"/>
      <c r="G70" s="120">
        <f>SUM(G59:G69)</f>
        <v>1567654643.5</v>
      </c>
      <c r="H70" s="120"/>
      <c r="I70" s="293" t="s">
        <v>414</v>
      </c>
      <c r="J70" s="631">
        <f>IF(G70=0,0,L70/G70)</f>
        <v>0.2795609956309155</v>
      </c>
      <c r="K70" s="27"/>
      <c r="L70" s="120">
        <f>SUM(L59:L69)</f>
        <v>438255092.9422879</v>
      </c>
      <c r="O70" s="31"/>
    </row>
    <row r="71" spans="2:15" ht="15.75">
      <c r="B71" s="92"/>
      <c r="C71" s="18"/>
      <c r="D71" s="15"/>
      <c r="E71" s="745"/>
      <c r="F71" s="757"/>
      <c r="G71" s="120"/>
      <c r="H71" s="120"/>
      <c r="I71" s="293" t="s">
        <v>914</v>
      </c>
      <c r="J71" s="631">
        <f>IF(G71=0,0,L71/G71)</f>
        <v>0</v>
      </c>
      <c r="K71" s="27"/>
      <c r="L71" s="120"/>
      <c r="O71" s="31"/>
    </row>
    <row r="72" spans="2:15" ht="15">
      <c r="B72" s="90">
        <f>+B70+1</f>
        <v>30</v>
      </c>
      <c r="C72" s="18"/>
      <c r="D72" s="15" t="s">
        <v>557</v>
      </c>
      <c r="E72" s="39"/>
      <c r="F72" s="39"/>
      <c r="G72" s="120"/>
      <c r="H72" s="295"/>
      <c r="I72" s="47"/>
      <c r="J72" s="296"/>
      <c r="K72" s="27"/>
      <c r="L72" s="120"/>
      <c r="O72" s="2"/>
    </row>
    <row r="73" spans="2:15" ht="15">
      <c r="B73" s="90">
        <f aca="true" t="shared" si="2" ref="B73:B87">+B72+1</f>
        <v>31</v>
      </c>
      <c r="C73" s="18"/>
      <c r="D73" s="40" t="str">
        <f>+D59</f>
        <v>  Production</v>
      </c>
      <c r="E73" s="27" t="s">
        <v>530</v>
      </c>
      <c r="F73" s="27"/>
      <c r="G73" s="120">
        <f>+'KPCo WS A  - RB Support '!G38</f>
        <v>217947143</v>
      </c>
      <c r="H73" s="120"/>
      <c r="I73" s="47" t="s">
        <v>735</v>
      </c>
      <c r="J73" s="48">
        <f>VLOOKUP(I73,APCo_TU_Allocators,2,FALSE)</f>
        <v>0</v>
      </c>
      <c r="K73" s="27"/>
      <c r="L73" s="120">
        <f>+J73*G73</f>
        <v>0</v>
      </c>
      <c r="O73" s="2"/>
    </row>
    <row r="74" spans="2:15" ht="15">
      <c r="B74" s="90">
        <f t="shared" si="2"/>
        <v>32</v>
      </c>
      <c r="C74" s="18"/>
      <c r="D74" s="40" t="s">
        <v>206</v>
      </c>
      <c r="E74" s="27" t="s">
        <v>531</v>
      </c>
      <c r="F74" s="27"/>
      <c r="G74" s="284">
        <f>-+'KPCo WS A  - RB Support '!G40</f>
        <v>-278323</v>
      </c>
      <c r="H74" s="120"/>
      <c r="I74" s="47" t="s">
        <v>735</v>
      </c>
      <c r="J74" s="48">
        <f>VLOOKUP(I74,APCo_TU_Allocators,2,FALSE)</f>
        <v>0</v>
      </c>
      <c r="K74" s="27"/>
      <c r="L74" s="120">
        <f>+J74*G74</f>
        <v>0</v>
      </c>
      <c r="O74" s="2"/>
    </row>
    <row r="75" spans="2:15" ht="15.75">
      <c r="B75" s="90">
        <f t="shared" si="2"/>
        <v>33</v>
      </c>
      <c r="C75" s="42"/>
      <c r="D75" s="43" t="str">
        <f>D61</f>
        <v>  Transmission</v>
      </c>
      <c r="E75" s="27" t="s">
        <v>532</v>
      </c>
      <c r="F75" s="44"/>
      <c r="G75" s="286">
        <f>+'KPCo WS A  - RB Support '!G42</f>
        <v>138621403.5</v>
      </c>
      <c r="H75" s="120"/>
      <c r="I75" s="297" t="s">
        <v>560</v>
      </c>
      <c r="J75" s="298">
        <f>IF(G75=0,0,L75/G75)</f>
        <v>0.9958931810988337</v>
      </c>
      <c r="K75" s="279"/>
      <c r="L75" s="120">
        <f>+'KPCo WS A  - RB Support '!G74</f>
        <v>138052110.5</v>
      </c>
      <c r="O75" s="2"/>
    </row>
    <row r="76" spans="2:15" ht="15.75">
      <c r="B76" s="90">
        <f t="shared" si="2"/>
        <v>34</v>
      </c>
      <c r="C76" s="42"/>
      <c r="D76" s="40" t="s">
        <v>207</v>
      </c>
      <c r="E76" s="27" t="s">
        <v>533</v>
      </c>
      <c r="F76" s="44"/>
      <c r="G76" s="284">
        <f>-'KPCo WS A  - RB Support '!G44</f>
        <v>0</v>
      </c>
      <c r="H76" s="120"/>
      <c r="I76" s="297" t="s">
        <v>560</v>
      </c>
      <c r="J76" s="48">
        <f>+J75</f>
        <v>0.9958931810988337</v>
      </c>
      <c r="K76" s="279"/>
      <c r="L76" s="120">
        <f>+J76*G76</f>
        <v>0</v>
      </c>
      <c r="O76" s="2"/>
    </row>
    <row r="77" spans="2:15" ht="15.75">
      <c r="B77" s="90">
        <f t="shared" si="2"/>
        <v>35</v>
      </c>
      <c r="C77" s="42"/>
      <c r="D77" s="480" t="s">
        <v>349</v>
      </c>
      <c r="E77" s="44"/>
      <c r="F77" s="44"/>
      <c r="G77" s="491" t="s">
        <v>203</v>
      </c>
      <c r="H77" s="756"/>
      <c r="I77" s="285" t="s">
        <v>737</v>
      </c>
      <c r="J77" s="48">
        <f aca="true" t="shared" si="3" ref="J77:J86">VLOOKUP(I77,APCo_TU_Allocators,2,FALSE)</f>
        <v>1</v>
      </c>
      <c r="K77" s="279"/>
      <c r="L77" s="491" t="s">
        <v>203</v>
      </c>
      <c r="O77" s="2"/>
    </row>
    <row r="78" spans="2:15" ht="15.75">
      <c r="B78" s="90">
        <f t="shared" si="2"/>
        <v>36</v>
      </c>
      <c r="C78" s="42"/>
      <c r="D78" s="480" t="s">
        <v>352</v>
      </c>
      <c r="E78" s="44"/>
      <c r="F78" s="44"/>
      <c r="G78" s="491" t="s">
        <v>203</v>
      </c>
      <c r="H78" s="756"/>
      <c r="I78" s="285" t="s">
        <v>737</v>
      </c>
      <c r="J78" s="48">
        <f t="shared" si="3"/>
        <v>1</v>
      </c>
      <c r="K78" s="279"/>
      <c r="L78" s="491" t="s">
        <v>203</v>
      </c>
      <c r="O78" s="2"/>
    </row>
    <row r="79" spans="2:15" ht="15.75">
      <c r="B79" s="90">
        <f t="shared" si="2"/>
        <v>37</v>
      </c>
      <c r="C79" s="42"/>
      <c r="D79" s="480" t="str">
        <f>"     Plus: Additional Transmission Depreciation for "&amp;N1+1&amp;"  (ln "&amp;B178&amp;")"</f>
        <v>     Plus: Additional Transmission Depreciation for 2010  (ln 111)</v>
      </c>
      <c r="E79" s="44"/>
      <c r="F79" s="44"/>
      <c r="G79" s="491" t="s">
        <v>203</v>
      </c>
      <c r="H79" s="756"/>
      <c r="I79" s="571" t="s">
        <v>559</v>
      </c>
      <c r="J79" s="48">
        <f t="shared" si="3"/>
        <v>0.9958931810988337</v>
      </c>
      <c r="K79" s="279"/>
      <c r="L79" s="491" t="s">
        <v>203</v>
      </c>
      <c r="O79" s="2"/>
    </row>
    <row r="80" spans="2:15" ht="15.75">
      <c r="B80" s="90">
        <f t="shared" si="2"/>
        <v>38</v>
      </c>
      <c r="C80" s="42"/>
      <c r="D80" s="481" t="str">
        <f>"     Plus: Additional General &amp; Intangible Depreciation for "&amp;N1+1&amp;" (ln "&amp;B177&amp;" + ln "&amp;B178&amp;")"</f>
        <v>     Plus: Additional General &amp; Intangible Depreciation for 2010 (ln 110 + ln 111)</v>
      </c>
      <c r="E80" s="44"/>
      <c r="F80" s="44"/>
      <c r="G80" s="491" t="s">
        <v>203</v>
      </c>
      <c r="H80" s="756"/>
      <c r="I80" s="285" t="s">
        <v>740</v>
      </c>
      <c r="J80" s="48">
        <f t="shared" si="3"/>
        <v>0.08594475532773929</v>
      </c>
      <c r="K80" s="279"/>
      <c r="L80" s="491" t="s">
        <v>203</v>
      </c>
      <c r="O80" s="2"/>
    </row>
    <row r="81" spans="2:15" ht="15.75">
      <c r="B81" s="90">
        <f t="shared" si="2"/>
        <v>39</v>
      </c>
      <c r="C81" s="42"/>
      <c r="D81" s="480" t="s">
        <v>351</v>
      </c>
      <c r="E81" s="44"/>
      <c r="F81" s="44"/>
      <c r="G81" s="491" t="s">
        <v>203</v>
      </c>
      <c r="H81" s="756"/>
      <c r="I81" s="285" t="s">
        <v>737</v>
      </c>
      <c r="J81" s="48">
        <f t="shared" si="3"/>
        <v>1</v>
      </c>
      <c r="K81" s="279"/>
      <c r="L81" s="491" t="s">
        <v>203</v>
      </c>
      <c r="O81" s="2"/>
    </row>
    <row r="82" spans="2:15" ht="15">
      <c r="B82" s="90">
        <f t="shared" si="2"/>
        <v>40</v>
      </c>
      <c r="C82" s="42"/>
      <c r="D82" s="15" t="str">
        <f>+D65</f>
        <v>  Distribution</v>
      </c>
      <c r="E82" s="27" t="s">
        <v>534</v>
      </c>
      <c r="F82" s="27"/>
      <c r="G82" s="120">
        <f>+'KPCo WS A  - RB Support '!G46</f>
        <v>136808237</v>
      </c>
      <c r="H82" s="120"/>
      <c r="I82" s="47" t="s">
        <v>735</v>
      </c>
      <c r="J82" s="48">
        <f t="shared" si="3"/>
        <v>0</v>
      </c>
      <c r="K82" s="27"/>
      <c r="L82" s="120">
        <f>+J82*G82</f>
        <v>0</v>
      </c>
      <c r="O82" s="2"/>
    </row>
    <row r="83" spans="2:15" ht="15">
      <c r="B83" s="90">
        <f t="shared" si="2"/>
        <v>41</v>
      </c>
      <c r="C83" s="42"/>
      <c r="D83" s="40" t="s">
        <v>204</v>
      </c>
      <c r="E83" s="27" t="s">
        <v>535</v>
      </c>
      <c r="F83" s="27"/>
      <c r="G83" s="284">
        <f>-'KPCo WS A  - RB Support '!G48</f>
        <v>0</v>
      </c>
      <c r="H83" s="120"/>
      <c r="I83" s="47" t="s">
        <v>735</v>
      </c>
      <c r="J83" s="48">
        <f t="shared" si="3"/>
        <v>0</v>
      </c>
      <c r="K83" s="27"/>
      <c r="L83" s="120">
        <f>+J83*G83</f>
        <v>0</v>
      </c>
      <c r="O83" s="2"/>
    </row>
    <row r="84" spans="2:15" ht="15">
      <c r="B84" s="90">
        <f t="shared" si="2"/>
        <v>42</v>
      </c>
      <c r="C84" s="208"/>
      <c r="D84" s="54" t="str">
        <f>+D67</f>
        <v>  General Plant   </v>
      </c>
      <c r="E84" s="27" t="s">
        <v>536</v>
      </c>
      <c r="F84" s="27"/>
      <c r="G84" s="127">
        <f>+'KPCo WS A  - RB Support '!G50</f>
        <v>6881929.5</v>
      </c>
      <c r="H84" s="120"/>
      <c r="I84" s="47" t="s">
        <v>740</v>
      </c>
      <c r="J84" s="48">
        <f t="shared" si="3"/>
        <v>0.08594475532773929</v>
      </c>
      <c r="K84" s="27"/>
      <c r="L84" s="120">
        <f>+J84*G84</f>
        <v>591465.7470602512</v>
      </c>
      <c r="O84" s="2"/>
    </row>
    <row r="85" spans="2:15" ht="15">
      <c r="B85" s="90">
        <f t="shared" si="2"/>
        <v>43</v>
      </c>
      <c r="C85" s="208"/>
      <c r="D85" s="40" t="s">
        <v>205</v>
      </c>
      <c r="E85" s="27" t="s">
        <v>537</v>
      </c>
      <c r="F85" s="27"/>
      <c r="G85" s="284">
        <f>-'KPCo WS A  - RB Support '!G52</f>
        <v>0</v>
      </c>
      <c r="H85" s="120"/>
      <c r="I85" s="47" t="s">
        <v>740</v>
      </c>
      <c r="J85" s="48">
        <f t="shared" si="3"/>
        <v>0.08594475532773929</v>
      </c>
      <c r="K85" s="27"/>
      <c r="L85" s="120">
        <f>+J85*G85</f>
        <v>0</v>
      </c>
      <c r="O85" s="2"/>
    </row>
    <row r="86" spans="2:15" ht="15.75" thickBot="1">
      <c r="B86" s="90">
        <f t="shared" si="2"/>
        <v>44</v>
      </c>
      <c r="C86" s="208"/>
      <c r="D86" s="54" t="str">
        <f>+D69</f>
        <v>  Intangible Plant</v>
      </c>
      <c r="E86" s="27" t="s">
        <v>538</v>
      </c>
      <c r="F86" s="27"/>
      <c r="G86" s="121">
        <f>+'KPCo WS A  - RB Support '!G54</f>
        <v>18782309.5</v>
      </c>
      <c r="H86" s="120"/>
      <c r="I86" s="47" t="s">
        <v>740</v>
      </c>
      <c r="J86" s="48">
        <f t="shared" si="3"/>
        <v>0.08594475532773929</v>
      </c>
      <c r="K86" s="27"/>
      <c r="L86" s="121">
        <f>+J86*G86</f>
        <v>1614240.9944673732</v>
      </c>
      <c r="O86" s="2"/>
    </row>
    <row r="87" spans="2:15" ht="15">
      <c r="B87" s="90">
        <f t="shared" si="2"/>
        <v>45</v>
      </c>
      <c r="C87" s="208"/>
      <c r="D87" s="54" t="s">
        <v>583</v>
      </c>
      <c r="E87" s="259" t="str">
        <f>"(sum lns "&amp;B73&amp;" to "&amp;B86&amp;")"</f>
        <v>(sum lns 31 to 44)</v>
      </c>
      <c r="F87" s="744"/>
      <c r="G87" s="120">
        <f>SUM(G73:G86)</f>
        <v>518762699.5</v>
      </c>
      <c r="H87" s="120"/>
      <c r="I87" s="47"/>
      <c r="J87" s="27"/>
      <c r="K87" s="120"/>
      <c r="L87" s="120">
        <f>SUM(L73:L86)</f>
        <v>140257817.24152762</v>
      </c>
      <c r="O87" s="2"/>
    </row>
    <row r="88" spans="2:15" ht="15">
      <c r="B88" s="90"/>
      <c r="C88" s="18"/>
      <c r="D88" s="11"/>
      <c r="E88" s="758"/>
      <c r="F88" s="744"/>
      <c r="G88" s="120"/>
      <c r="H88" s="120"/>
      <c r="I88" s="47"/>
      <c r="J88" s="299"/>
      <c r="K88" s="27"/>
      <c r="L88" s="120"/>
      <c r="O88" s="2"/>
    </row>
    <row r="89" spans="2:15" ht="15">
      <c r="B89" s="90">
        <f>+B87+1</f>
        <v>46</v>
      </c>
      <c r="C89" s="18"/>
      <c r="D89" s="15" t="s">
        <v>587</v>
      </c>
      <c r="E89" s="39"/>
      <c r="F89" s="39"/>
      <c r="G89" s="120"/>
      <c r="H89" s="120"/>
      <c r="I89" s="47"/>
      <c r="J89" s="27"/>
      <c r="K89" s="27"/>
      <c r="L89" s="120"/>
      <c r="O89" s="2"/>
    </row>
    <row r="90" spans="2:15" ht="15">
      <c r="B90" s="92">
        <f aca="true" t="shared" si="4" ref="B90:B100">+B89+1</f>
        <v>47</v>
      </c>
      <c r="C90" s="42"/>
      <c r="D90" s="40" t="str">
        <f>+D73</f>
        <v>  Production</v>
      </c>
      <c r="E90" s="27" t="str">
        <f>" (ln "&amp;B59&amp;" + ln "&amp;B60&amp;" - ln "&amp;B73&amp;" - ln "&amp;B74&amp;")"</f>
        <v> (ln 18 + ln 19 - ln 31 - ln 32)</v>
      </c>
      <c r="F90" s="27"/>
      <c r="G90" s="120">
        <f>G59+G60-G73-G74</f>
        <v>312651248.5</v>
      </c>
      <c r="H90" s="120"/>
      <c r="I90" s="47"/>
      <c r="J90" s="300"/>
      <c r="K90" s="27"/>
      <c r="L90" s="120">
        <f>L59+L60-L73-L74</f>
        <v>0</v>
      </c>
      <c r="O90" s="2"/>
    </row>
    <row r="91" spans="2:15" ht="15">
      <c r="B91" s="92">
        <f t="shared" si="4"/>
        <v>48</v>
      </c>
      <c r="C91" s="42"/>
      <c r="D91" s="40" t="str">
        <f>+D75</f>
        <v>  Transmission</v>
      </c>
      <c r="E91" s="27" t="s">
        <v>503</v>
      </c>
      <c r="F91" s="27"/>
      <c r="G91" s="120">
        <f>+G61+G62-G75-G76</f>
        <v>296653238</v>
      </c>
      <c r="H91" s="120"/>
      <c r="I91" s="47"/>
      <c r="J91" s="298"/>
      <c r="K91" s="27"/>
      <c r="L91" s="120">
        <f>+L61+L62-L75-L76</f>
        <v>295620103.5</v>
      </c>
      <c r="O91" s="2"/>
    </row>
    <row r="92" spans="2:15" ht="15.75">
      <c r="B92" s="92">
        <f t="shared" si="4"/>
        <v>49</v>
      </c>
      <c r="C92" s="42"/>
      <c r="D92" s="43" t="str">
        <f>"     Plus: Transmission Plant-in-Service Additions (ln "&amp;B63&amp;" - ln "&amp;B77&amp;")"</f>
        <v>     Plus: Transmission Plant-in-Service Additions (ln 22 - ln 35)</v>
      </c>
      <c r="E92" s="27"/>
      <c r="F92" s="27"/>
      <c r="G92" s="491" t="s">
        <v>203</v>
      </c>
      <c r="H92" s="105"/>
      <c r="I92" s="30"/>
      <c r="J92" s="41"/>
      <c r="K92" s="17"/>
      <c r="L92" s="491" t="s">
        <v>203</v>
      </c>
      <c r="O92" s="2"/>
    </row>
    <row r="93" spans="2:15" ht="15.75">
      <c r="B93" s="92">
        <f t="shared" si="4"/>
        <v>50</v>
      </c>
      <c r="C93" s="42"/>
      <c r="D93" s="43" t="str">
        <f>"     Plus: Additional Trans Plant on Transferred Assets  (ln "&amp;B64&amp;" - ln "&amp;B78&amp;")"</f>
        <v>     Plus: Additional Trans Plant on Transferred Assets  (ln 23 - ln 36)</v>
      </c>
      <c r="E93" s="27"/>
      <c r="F93" s="27"/>
      <c r="G93" s="491" t="s">
        <v>203</v>
      </c>
      <c r="H93" s="105"/>
      <c r="I93" s="30"/>
      <c r="J93" s="41"/>
      <c r="K93" s="17"/>
      <c r="L93" s="491" t="s">
        <v>203</v>
      </c>
      <c r="O93" s="2"/>
    </row>
    <row r="94" spans="2:15" ht="15.75">
      <c r="B94" s="92">
        <f t="shared" si="4"/>
        <v>51</v>
      </c>
      <c r="C94" s="42"/>
      <c r="D94" s="480" t="str">
        <f>"     Plus: Additional Transmission Depreciation for "&amp;N1+1&amp;"  (-ln "&amp;B79&amp;")"</f>
        <v>     Plus: Additional Transmission Depreciation for 2010  (-ln 37)</v>
      </c>
      <c r="E94" s="27"/>
      <c r="F94" s="27"/>
      <c r="G94" s="491" t="s">
        <v>203</v>
      </c>
      <c r="H94" s="105"/>
      <c r="I94" s="30"/>
      <c r="J94" s="41"/>
      <c r="K94" s="17"/>
      <c r="L94" s="491" t="s">
        <v>203</v>
      </c>
      <c r="O94" s="2"/>
    </row>
    <row r="95" spans="2:15" ht="15.75">
      <c r="B95" s="92">
        <f t="shared" si="4"/>
        <v>52</v>
      </c>
      <c r="C95" s="42"/>
      <c r="D95" s="481" t="str">
        <f>"     Plus: Additional General &amp; Intangible Depreciation for "&amp;N1+1&amp;" (-ln "&amp;B80&amp;")"</f>
        <v>     Plus: Additional General &amp; Intangible Depreciation for 2010 (-ln 38)</v>
      </c>
      <c r="E95" s="27"/>
      <c r="F95" s="27"/>
      <c r="G95" s="491" t="s">
        <v>203</v>
      </c>
      <c r="H95" s="105"/>
      <c r="I95" s="30"/>
      <c r="J95" s="41"/>
      <c r="K95" s="17"/>
      <c r="L95" s="491" t="s">
        <v>203</v>
      </c>
      <c r="O95" s="2"/>
    </row>
    <row r="96" spans="2:15" ht="15.75">
      <c r="B96" s="92">
        <f t="shared" si="4"/>
        <v>53</v>
      </c>
      <c r="C96" s="42"/>
      <c r="D96" s="480" t="str">
        <f>"     Plus: Additional Accum Deprec on Transferred Assets (Worksheet I) (-ln "&amp;B81&amp;")"</f>
        <v>     Plus: Additional Accum Deprec on Transferred Assets (Worksheet I) (-ln 39)</v>
      </c>
      <c r="E96" s="27"/>
      <c r="F96" s="27"/>
      <c r="G96" s="491" t="s">
        <v>203</v>
      </c>
      <c r="H96" s="105"/>
      <c r="I96" s="30"/>
      <c r="J96" s="41"/>
      <c r="K96" s="17"/>
      <c r="L96" s="491" t="s">
        <v>203</v>
      </c>
      <c r="O96" s="2"/>
    </row>
    <row r="97" spans="2:15" ht="15">
      <c r="B97" s="92">
        <f t="shared" si="4"/>
        <v>54</v>
      </c>
      <c r="C97" s="42"/>
      <c r="D97" s="40" t="str">
        <f>+D82</f>
        <v>  Distribution</v>
      </c>
      <c r="E97" s="27" t="str">
        <f>" (ln "&amp;B65&amp;" + ln "&amp;B66&amp;" - ln "&amp;B82&amp;" - ln "&amp;B83&amp;")"</f>
        <v> (ln 24 + ln 25 - ln 40 - ln 41)</v>
      </c>
      <c r="F97" s="27"/>
      <c r="G97" s="120">
        <f>+G65+G66-G82-G83</f>
        <v>411928152.5</v>
      </c>
      <c r="H97" s="120"/>
      <c r="I97" s="47"/>
      <c r="J97" s="299"/>
      <c r="K97" s="27"/>
      <c r="L97" s="120">
        <f>+L65+L66-L82-L83</f>
        <v>0</v>
      </c>
      <c r="O97" s="2"/>
    </row>
    <row r="98" spans="2:15" ht="15">
      <c r="B98" s="92">
        <f t="shared" si="4"/>
        <v>55</v>
      </c>
      <c r="C98" s="42"/>
      <c r="D98" s="40" t="str">
        <f>+D84</f>
        <v>  General Plant   </v>
      </c>
      <c r="E98" s="27" t="str">
        <f>" (ln "&amp;B67&amp;" + ln "&amp;B68&amp;" - ln "&amp;B84&amp;" - ln "&amp;B85&amp;")"</f>
        <v> (ln 26 + ln 27 - ln 42 - ln 43)</v>
      </c>
      <c r="F98" s="27"/>
      <c r="G98" s="120">
        <f>+G67+G68-G84-G85</f>
        <v>26928322.5</v>
      </c>
      <c r="H98" s="120"/>
      <c r="I98" s="47"/>
      <c r="J98" s="299"/>
      <c r="K98" s="27"/>
      <c r="L98" s="120">
        <f>+L67+L68-L84-L85</f>
        <v>2314348.088648957</v>
      </c>
      <c r="O98" s="2"/>
    </row>
    <row r="99" spans="2:15" ht="15.75" thickBot="1">
      <c r="B99" s="92">
        <f t="shared" si="4"/>
        <v>56</v>
      </c>
      <c r="C99" s="42"/>
      <c r="D99" s="40" t="str">
        <f>+D86</f>
        <v>  Intangible Plant</v>
      </c>
      <c r="E99" s="27" t="str">
        <f>" (ln "&amp;B69&amp;" - ln "&amp;B86&amp;")"</f>
        <v> (ln 28 - ln 44)</v>
      </c>
      <c r="F99" s="27"/>
      <c r="G99" s="121">
        <f>+G69-G86</f>
        <v>730982.5</v>
      </c>
      <c r="H99" s="120"/>
      <c r="I99" s="47"/>
      <c r="J99" s="299"/>
      <c r="K99" s="27"/>
      <c r="L99" s="121">
        <f>+L69-L86</f>
        <v>62824.11211135937</v>
      </c>
      <c r="O99" s="2"/>
    </row>
    <row r="100" spans="2:15" ht="15.75">
      <c r="B100" s="92">
        <f t="shared" si="4"/>
        <v>57</v>
      </c>
      <c r="C100" s="42"/>
      <c r="D100" s="40" t="s">
        <v>582</v>
      </c>
      <c r="E100" s="40" t="str">
        <f>"(sum lns "&amp;B90&amp;" to "&amp;B99&amp;")"</f>
        <v>(sum lns 47 to 56)</v>
      </c>
      <c r="F100" s="27"/>
      <c r="G100" s="120">
        <f>SUM(G90:G99)</f>
        <v>1048891944</v>
      </c>
      <c r="H100" s="120"/>
      <c r="I100" s="258" t="s">
        <v>413</v>
      </c>
      <c r="J100" s="631">
        <f>IF(G100=0,0,L100/G100)</f>
        <v>0.28410674465124913</v>
      </c>
      <c r="K100" s="27"/>
      <c r="L100" s="120">
        <f>SUM(L91:L99)</f>
        <v>297997275.7007603</v>
      </c>
      <c r="O100" s="2"/>
    </row>
    <row r="101" spans="2:15" ht="15">
      <c r="B101" s="90"/>
      <c r="C101" s="18"/>
      <c r="D101" s="15"/>
      <c r="E101" s="27"/>
      <c r="F101" s="27"/>
      <c r="G101" s="120"/>
      <c r="H101" s="120"/>
      <c r="I101" s="13"/>
      <c r="J101" s="301"/>
      <c r="K101" s="27"/>
      <c r="L101" s="120"/>
      <c r="O101" s="2"/>
    </row>
    <row r="102" spans="2:15" ht="15">
      <c r="B102" s="90"/>
      <c r="C102" s="18"/>
      <c r="D102" s="11"/>
      <c r="G102" s="756"/>
      <c r="H102" s="756"/>
      <c r="I102"/>
      <c r="J102"/>
      <c r="K102"/>
      <c r="L102"/>
      <c r="O102" s="2"/>
    </row>
    <row r="103" spans="2:15" ht="15">
      <c r="B103" s="90">
        <f>+B100+1</f>
        <v>58</v>
      </c>
      <c r="C103" s="18"/>
      <c r="D103" s="15" t="s">
        <v>112</v>
      </c>
      <c r="E103" s="27" t="s">
        <v>90</v>
      </c>
      <c r="F103" s="47"/>
      <c r="G103" s="756"/>
      <c r="H103" s="756"/>
      <c r="I103"/>
      <c r="J103"/>
      <c r="K103"/>
      <c r="L103"/>
      <c r="O103" s="2"/>
    </row>
    <row r="104" spans="2:15" ht="15">
      <c r="B104" s="92">
        <f aca="true" t="shared" si="5" ref="B104:B109">+B103+1</f>
        <v>59</v>
      </c>
      <c r="C104" s="42"/>
      <c r="D104" s="58" t="s">
        <v>823</v>
      </c>
      <c r="E104" s="27" t="str">
        <f>"(Worksheet B, ln "&amp;'KPCo WS B ADIT &amp; ITC'!A15&amp;" &amp; ln "&amp;'KPCo WS B ADIT &amp; ITC'!A18&amp;".E)"</f>
        <v>(Worksheet B, ln 2 &amp; ln 5.E)</v>
      </c>
      <c r="F104" s="27"/>
      <c r="G104" s="120">
        <f>-'KPCo WS B ADIT &amp; ITC'!I15</f>
        <v>-32077284</v>
      </c>
      <c r="H104" s="120"/>
      <c r="I104" s="47" t="s">
        <v>735</v>
      </c>
      <c r="J104" s="48"/>
      <c r="K104" s="27"/>
      <c r="L104" s="120">
        <f>-'KPCo WS B ADIT &amp; ITC'!I18</f>
        <v>0</v>
      </c>
      <c r="O104" s="2"/>
    </row>
    <row r="105" spans="2:15" ht="15">
      <c r="B105" s="92">
        <f t="shared" si="5"/>
        <v>60</v>
      </c>
      <c r="C105" s="42"/>
      <c r="D105" s="58" t="s">
        <v>825</v>
      </c>
      <c r="E105" s="27" t="str">
        <f>"(Worksheet B, ln "&amp;'KPCo WS B ADIT &amp; ITC'!A23&amp;" &amp; ln "&amp;'KPCo WS B ADIT &amp; ITC'!A26&amp;".E)"</f>
        <v>(Worksheet B, ln 7 &amp; ln 10.E)</v>
      </c>
      <c r="F105" s="27"/>
      <c r="G105" s="120">
        <f>-'KPCo WS B ADIT &amp; ITC'!I23</f>
        <v>-146867240</v>
      </c>
      <c r="H105" s="120"/>
      <c r="I105" s="47" t="s">
        <v>737</v>
      </c>
      <c r="J105" s="48"/>
      <c r="K105" s="27"/>
      <c r="L105" s="120">
        <f>-'KPCo WS B ADIT &amp; ITC'!I26</f>
        <v>-44405389</v>
      </c>
      <c r="O105" s="2"/>
    </row>
    <row r="106" spans="2:15" ht="15">
      <c r="B106" s="92">
        <f t="shared" si="5"/>
        <v>61</v>
      </c>
      <c r="C106" s="42"/>
      <c r="D106" s="58" t="s">
        <v>826</v>
      </c>
      <c r="E106" s="27" t="str">
        <f>"(Worksheet B, ln "&amp;'KPCo WS B ADIT &amp; ITC'!A31&amp;" &amp; ln "&amp;'KPCo WS B ADIT &amp; ITC'!A34&amp;".E)"</f>
        <v>(Worksheet B, ln 12 &amp; ln 15.E)</v>
      </c>
      <c r="F106" s="27"/>
      <c r="G106" s="120">
        <f>-'KPCo WS B ADIT &amp; ITC'!I31</f>
        <v>-24718172.5</v>
      </c>
      <c r="H106" s="120"/>
      <c r="I106" s="47" t="s">
        <v>737</v>
      </c>
      <c r="J106" s="48"/>
      <c r="K106" s="27"/>
      <c r="L106" s="120">
        <f>-'KPCo WS B ADIT &amp; ITC'!I34</f>
        <v>-1500922.5</v>
      </c>
      <c r="O106" s="2"/>
    </row>
    <row r="107" spans="2:15" ht="15">
      <c r="B107" s="92">
        <f t="shared" si="5"/>
        <v>62</v>
      </c>
      <c r="C107" s="42"/>
      <c r="D107" s="58" t="s">
        <v>827</v>
      </c>
      <c r="E107" s="27" t="str">
        <f>"(Worksheet B, ln "&amp;'KPCo WS B ADIT &amp; ITC'!A39&amp;" &amp; ln "&amp;'KPCo WS B ADIT &amp; ITC'!A42&amp;".E)"</f>
        <v>(Worksheet B, ln 17 &amp; ln 20.E)</v>
      </c>
      <c r="F107" s="27"/>
      <c r="G107" s="120">
        <f>+'KPCo WS B ADIT &amp; ITC'!I39</f>
        <v>28437136.5</v>
      </c>
      <c r="H107" s="120"/>
      <c r="I107" s="47" t="s">
        <v>737</v>
      </c>
      <c r="J107" s="48"/>
      <c r="K107" s="27"/>
      <c r="L107" s="120">
        <f>+'KPCo WS B ADIT &amp; ITC'!I42</f>
        <v>3550131</v>
      </c>
      <c r="O107" s="2"/>
    </row>
    <row r="108" spans="2:15" ht="15.75" thickBot="1">
      <c r="B108" s="92">
        <f t="shared" si="5"/>
        <v>63</v>
      </c>
      <c r="C108" s="42"/>
      <c r="D108" s="49" t="s">
        <v>742</v>
      </c>
      <c r="E108" s="27" t="str">
        <f>"(Worksheet B, ln "&amp;'KPCo WS B ADIT &amp; ITC'!A49&amp;" &amp; ln "&amp;'KPCo WS B ADIT &amp; ITC'!A50&amp;".E)"</f>
        <v>(Worksheet B, ln 24 &amp; ln 25.E)</v>
      </c>
      <c r="F108" s="13"/>
      <c r="G108" s="121">
        <f>-+'KPCo WS B ADIT &amp; ITC'!I49</f>
        <v>0</v>
      </c>
      <c r="H108" s="120"/>
      <c r="I108" s="47" t="s">
        <v>737</v>
      </c>
      <c r="J108" s="48"/>
      <c r="K108" s="27"/>
      <c r="L108" s="121">
        <f>-+'KPCo WS B ADIT &amp; ITC'!I50</f>
        <v>0</v>
      </c>
      <c r="O108" s="2"/>
    </row>
    <row r="109" spans="2:12" ht="15">
      <c r="B109" s="92">
        <f t="shared" si="5"/>
        <v>64</v>
      </c>
      <c r="C109" s="42"/>
      <c r="D109" s="40" t="s">
        <v>596</v>
      </c>
      <c r="E109" s="40" t="str">
        <f>"(sum lns "&amp;B104&amp;" to "&amp;B108&amp;")"</f>
        <v>(sum lns 59 to 63)</v>
      </c>
      <c r="F109" s="27"/>
      <c r="G109" s="120">
        <f>SUM(G104:G108)</f>
        <v>-175225560</v>
      </c>
      <c r="H109" s="255"/>
      <c r="I109" s="47"/>
      <c r="J109" s="302"/>
      <c r="K109" s="27"/>
      <c r="L109" s="120">
        <f>SUM(L104:L108)</f>
        <v>-42356180.5</v>
      </c>
    </row>
    <row r="110" spans="2:12" ht="15">
      <c r="B110" s="90"/>
      <c r="C110" s="18"/>
      <c r="D110" s="40"/>
      <c r="E110" s="27"/>
      <c r="F110" s="27"/>
      <c r="G110" s="120"/>
      <c r="H110" s="255"/>
      <c r="I110" s="47"/>
      <c r="J110" s="299"/>
      <c r="K110" s="27"/>
      <c r="L110" s="120"/>
    </row>
    <row r="111" spans="2:12" ht="15">
      <c r="B111" s="90">
        <f>+B109+1</f>
        <v>65</v>
      </c>
      <c r="C111" s="18"/>
      <c r="D111" s="40" t="s">
        <v>840</v>
      </c>
      <c r="E111" s="27" t="str">
        <f>"(Worksheet A ln "&amp;'KPCo WS A  - RB Support '!A78&amp;".E &amp; ln "&amp;'KPCo WS A  - RB Support '!A80&amp;".E)"</f>
        <v>(Worksheet A ln 29.E &amp; ln 30.E)</v>
      </c>
      <c r="F111" s="27"/>
      <c r="G111" s="120">
        <f>+'KPCo WS A  - RB Support '!G78</f>
        <v>7122749</v>
      </c>
      <c r="H111" s="255"/>
      <c r="I111" s="47" t="s">
        <v>737</v>
      </c>
      <c r="J111" s="48"/>
      <c r="K111" s="27"/>
      <c r="L111" s="120">
        <f>+'KPCo WS A  - RB Support '!G80</f>
        <v>30592</v>
      </c>
    </row>
    <row r="112" spans="2:12" ht="15">
      <c r="B112" s="90"/>
      <c r="C112" s="18"/>
      <c r="D112" s="40"/>
      <c r="E112" s="27"/>
      <c r="F112" s="27"/>
      <c r="G112" s="120"/>
      <c r="H112" s="255"/>
      <c r="I112" s="47"/>
      <c r="J112" s="48"/>
      <c r="K112" s="27"/>
      <c r="L112" s="120"/>
    </row>
    <row r="113" spans="2:12" ht="15">
      <c r="B113" s="94">
        <f>+B111+1</f>
        <v>66</v>
      </c>
      <c r="C113" s="78"/>
      <c r="D113" s="58" t="s">
        <v>113</v>
      </c>
      <c r="E113" s="27" t="str">
        <f>"(Worksheet A ln "&amp;'KPCo WS A  - RB Support '!A89&amp;". "&amp;'KPCo WS A  - RB Support '!G6&amp;")"</f>
        <v>(Worksheet A ln 36. (E))</v>
      </c>
      <c r="F113" s="27"/>
      <c r="G113" s="120">
        <f>+'KPCo WS A  - RB Support '!G89</f>
        <v>0</v>
      </c>
      <c r="H113" s="255"/>
      <c r="I113" s="47" t="s">
        <v>737</v>
      </c>
      <c r="J113" s="27"/>
      <c r="K113" s="27"/>
      <c r="L113" s="120">
        <f>+G113</f>
        <v>0</v>
      </c>
    </row>
    <row r="114" spans="2:12" ht="15">
      <c r="B114" s="90"/>
      <c r="C114" s="18"/>
      <c r="D114" s="40"/>
      <c r="E114" s="27"/>
      <c r="F114" s="27"/>
      <c r="G114" s="120"/>
      <c r="H114" s="255"/>
      <c r="I114" s="47"/>
      <c r="J114" s="27"/>
      <c r="K114" s="27"/>
      <c r="L114" s="120"/>
    </row>
    <row r="115" spans="2:12" ht="15">
      <c r="B115" s="90">
        <f>+B113+1</f>
        <v>67</v>
      </c>
      <c r="C115" s="18"/>
      <c r="D115" s="40" t="s">
        <v>597</v>
      </c>
      <c r="E115" s="27" t="s">
        <v>388</v>
      </c>
      <c r="F115" s="27"/>
      <c r="G115" s="120"/>
      <c r="H115" s="255"/>
      <c r="I115" s="47"/>
      <c r="J115" s="27"/>
      <c r="K115" s="27"/>
      <c r="L115" s="120"/>
    </row>
    <row r="116" spans="2:12" ht="15">
      <c r="B116" s="92">
        <f aca="true" t="shared" si="6" ref="B116:B124">+B115+1</f>
        <v>68</v>
      </c>
      <c r="C116" s="42"/>
      <c r="D116" s="40" t="s">
        <v>839</v>
      </c>
      <c r="E116" s="27" t="str">
        <f>"(1/8 * ln "&amp;B152&amp;")"</f>
        <v>(1/8 * ln 88)</v>
      </c>
      <c r="F116" s="13"/>
      <c r="G116" s="120">
        <f>+G152/8</f>
        <v>617192.125</v>
      </c>
      <c r="H116" s="27"/>
      <c r="I116" s="47"/>
      <c r="J116" s="299"/>
      <c r="K116" s="27"/>
      <c r="L116" s="120">
        <f>+L152/8</f>
        <v>614919.9833689708</v>
      </c>
    </row>
    <row r="117" spans="2:12" ht="15">
      <c r="B117" s="207">
        <f t="shared" si="6"/>
        <v>69</v>
      </c>
      <c r="C117" s="208"/>
      <c r="D117" s="40" t="s">
        <v>121</v>
      </c>
      <c r="E117" s="27" t="s">
        <v>539</v>
      </c>
      <c r="F117" s="27"/>
      <c r="G117" s="120">
        <f>+'KPCo WS C  - Working Capital'!I15</f>
        <v>70703.5</v>
      </c>
      <c r="H117" s="756"/>
      <c r="I117" s="30" t="s">
        <v>728</v>
      </c>
      <c r="J117" s="48">
        <f aca="true" t="shared" si="7" ref="J117:J123">VLOOKUP(I117,APCo_TU_Allocators,2,FALSE)</f>
        <v>0.9963185829193314</v>
      </c>
      <c r="K117" s="17"/>
      <c r="L117" s="105">
        <f>+J117*G117</f>
        <v>70443.21092743694</v>
      </c>
    </row>
    <row r="118" spans="2:12" ht="15">
      <c r="B118" s="207">
        <f t="shared" si="6"/>
        <v>70</v>
      </c>
      <c r="C118" s="208"/>
      <c r="D118" s="40" t="s">
        <v>122</v>
      </c>
      <c r="E118" s="27" t="s">
        <v>540</v>
      </c>
      <c r="F118" s="27"/>
      <c r="G118" s="120">
        <f>+'KPCo WS C  - Working Capital'!I17</f>
        <v>107406.5</v>
      </c>
      <c r="H118" s="756"/>
      <c r="I118" s="30" t="s">
        <v>740</v>
      </c>
      <c r="J118" s="48">
        <f t="shared" si="7"/>
        <v>0.08594475532773929</v>
      </c>
      <c r="K118" s="17"/>
      <c r="L118" s="105">
        <f>+J118*G118</f>
        <v>9231.02536310883</v>
      </c>
    </row>
    <row r="119" spans="2:12" ht="15">
      <c r="B119" s="207">
        <f t="shared" si="6"/>
        <v>71</v>
      </c>
      <c r="C119" s="208"/>
      <c r="D119" s="40" t="s">
        <v>442</v>
      </c>
      <c r="E119" s="27" t="s">
        <v>509</v>
      </c>
      <c r="F119" s="27"/>
      <c r="G119" s="120">
        <f>+'KPCo WS C  - Working Capital'!I19</f>
        <v>0</v>
      </c>
      <c r="H119" s="756"/>
      <c r="I119" s="30" t="s">
        <v>123</v>
      </c>
      <c r="J119" s="48">
        <f t="shared" si="7"/>
        <v>0.2795609956309155</v>
      </c>
      <c r="K119" s="17"/>
      <c r="L119" s="105">
        <f>+J119*G119</f>
        <v>0</v>
      </c>
    </row>
    <row r="120" spans="2:12" ht="15">
      <c r="B120" s="207">
        <f t="shared" si="6"/>
        <v>72</v>
      </c>
      <c r="C120" s="208"/>
      <c r="D120" s="58" t="s">
        <v>906</v>
      </c>
      <c r="E120" s="27" t="s">
        <v>541</v>
      </c>
      <c r="F120" s="27"/>
      <c r="G120" s="120">
        <f>+'KPCo WS C  - Working Capital'!J29</f>
        <v>15943889</v>
      </c>
      <c r="H120" s="255"/>
      <c r="I120" s="47" t="s">
        <v>740</v>
      </c>
      <c r="J120" s="48">
        <f t="shared" si="7"/>
        <v>0.08594475532773929</v>
      </c>
      <c r="K120" s="27"/>
      <c r="L120" s="120">
        <f>+J120*G120</f>
        <v>1370293.6390776339</v>
      </c>
    </row>
    <row r="121" spans="2:12" ht="15">
      <c r="B121" s="92">
        <f t="shared" si="6"/>
        <v>73</v>
      </c>
      <c r="C121" s="42"/>
      <c r="D121" s="40" t="s">
        <v>907</v>
      </c>
      <c r="E121" s="27" t="s">
        <v>542</v>
      </c>
      <c r="F121" s="27"/>
      <c r="G121" s="120">
        <f>+'KPCo WS C  - Working Capital'!I29</f>
        <v>850574.5</v>
      </c>
      <c r="H121" s="255"/>
      <c r="I121" s="47" t="s">
        <v>123</v>
      </c>
      <c r="J121" s="48">
        <f t="shared" si="7"/>
        <v>0.2795609956309155</v>
      </c>
      <c r="K121" s="27"/>
      <c r="L121" s="120">
        <f>+G121*J121</f>
        <v>237787.45407826814</v>
      </c>
    </row>
    <row r="122" spans="2:12" ht="15">
      <c r="B122" s="92">
        <f t="shared" si="6"/>
        <v>74</v>
      </c>
      <c r="C122" s="42"/>
      <c r="D122" s="40" t="s">
        <v>92</v>
      </c>
      <c r="E122" s="27" t="s">
        <v>543</v>
      </c>
      <c r="F122" s="27"/>
      <c r="G122" s="120">
        <f>+'KPCo WS C  - Working Capital'!G29</f>
        <v>0</v>
      </c>
      <c r="H122" s="255"/>
      <c r="I122" s="47" t="s">
        <v>737</v>
      </c>
      <c r="J122" s="48">
        <f t="shared" si="7"/>
        <v>1</v>
      </c>
      <c r="K122" s="27"/>
      <c r="L122" s="120">
        <f>+G122</f>
        <v>0</v>
      </c>
    </row>
    <row r="123" spans="2:12" ht="15.75" thickBot="1">
      <c r="B123" s="92">
        <f t="shared" si="6"/>
        <v>75</v>
      </c>
      <c r="C123" s="42"/>
      <c r="D123" s="40" t="s">
        <v>712</v>
      </c>
      <c r="E123" s="27" t="s">
        <v>544</v>
      </c>
      <c r="F123" s="27"/>
      <c r="G123" s="121">
        <f>+'KPCo WS C  - Working Capital'!E29</f>
        <v>-15518179.5</v>
      </c>
      <c r="H123" s="120"/>
      <c r="I123" s="47" t="s">
        <v>735</v>
      </c>
      <c r="J123" s="48">
        <f t="shared" si="7"/>
        <v>0</v>
      </c>
      <c r="K123" s="27"/>
      <c r="L123" s="121">
        <f>+G123*J123</f>
        <v>0</v>
      </c>
    </row>
    <row r="124" spans="2:12" ht="15">
      <c r="B124" s="92">
        <f t="shared" si="6"/>
        <v>76</v>
      </c>
      <c r="C124" s="42"/>
      <c r="D124" s="40" t="s">
        <v>581</v>
      </c>
      <c r="E124" s="40" t="str">
        <f>"(sum lns "&amp;B116&amp;" to "&amp;B123&amp;")"</f>
        <v>(sum lns 68 to 75)</v>
      </c>
      <c r="F124" s="24"/>
      <c r="G124" s="120">
        <f>SUM(G116:G123)</f>
        <v>2071586.125</v>
      </c>
      <c r="H124" s="24"/>
      <c r="I124" s="78"/>
      <c r="J124" s="24"/>
      <c r="K124" s="24"/>
      <c r="L124" s="120">
        <f>SUM(L116:L123)</f>
        <v>2302675.3128154185</v>
      </c>
    </row>
    <row r="125" spans="2:12" ht="15">
      <c r="B125" s="90"/>
      <c r="C125" s="18"/>
      <c r="D125" s="40"/>
      <c r="E125" s="16"/>
      <c r="F125" s="16"/>
      <c r="G125" s="105"/>
      <c r="H125" s="16"/>
      <c r="I125" s="18"/>
      <c r="J125" s="16"/>
      <c r="K125" s="16"/>
      <c r="L125" s="105"/>
    </row>
    <row r="126" spans="2:12" ht="15">
      <c r="B126" s="90">
        <f>+B124+1</f>
        <v>77</v>
      </c>
      <c r="C126" s="18"/>
      <c r="D126" s="58" t="s">
        <v>562</v>
      </c>
      <c r="E126" s="15" t="s">
        <v>545</v>
      </c>
      <c r="F126" s="16"/>
      <c r="G126" s="120">
        <f>+'KPCo WS D IPP Credits'!C21</f>
        <v>-232207</v>
      </c>
      <c r="H126" s="16"/>
      <c r="I126" s="130" t="s">
        <v>737</v>
      </c>
      <c r="J126" s="48">
        <f>VLOOKUP(I126,APCo_TU_Allocators,2,FALSE)</f>
        <v>1</v>
      </c>
      <c r="K126" s="17"/>
      <c r="L126" s="105">
        <f>+J126*G126</f>
        <v>-232207</v>
      </c>
    </row>
    <row r="127" spans="2:12" ht="15.75" thickBot="1">
      <c r="B127" s="89"/>
      <c r="C127" s="11"/>
      <c r="D127" s="49"/>
      <c r="E127" s="17"/>
      <c r="F127" s="17"/>
      <c r="G127" s="106"/>
      <c r="H127" s="17"/>
      <c r="I127" s="30"/>
      <c r="J127" s="17"/>
      <c r="K127" s="17"/>
      <c r="L127" s="106"/>
    </row>
    <row r="128" spans="2:14" ht="15.75" thickBot="1">
      <c r="B128" s="90">
        <f>+B126+1</f>
        <v>78</v>
      </c>
      <c r="C128" s="18"/>
      <c r="D128" s="15" t="str">
        <f>"RATE BASE  (sum lns "&amp;B100&amp;", "&amp;B109&amp;", "&amp;B111&amp;", "&amp;B113&amp;", "&amp;B124&amp;", "&amp;B126&amp;")"</f>
        <v>RATE BASE  (sum lns 57, 64, 65, 66, 76, 77)</v>
      </c>
      <c r="E128" s="17"/>
      <c r="F128" s="17"/>
      <c r="G128" s="117">
        <f>+G124+G111+G109+G100+G126+G113</f>
        <v>882628512.125</v>
      </c>
      <c r="H128" s="17"/>
      <c r="I128" s="17"/>
      <c r="J128" s="46"/>
      <c r="K128" s="17"/>
      <c r="L128" s="117">
        <f>+L124+L111+L109+L100+L126+L113</f>
        <v>257742155.51357573</v>
      </c>
      <c r="N128">
        <f>+L128*N258</f>
        <v>0</v>
      </c>
    </row>
    <row r="129" spans="2:12" ht="16.5" thickTop="1">
      <c r="B129" s="90"/>
      <c r="C129" s="756"/>
      <c r="D129" s="756"/>
      <c r="E129" s="756"/>
      <c r="F129" s="756"/>
      <c r="G129" s="756"/>
      <c r="H129" s="756"/>
      <c r="I129" s="12"/>
      <c r="J129" s="12"/>
      <c r="K129" s="12"/>
      <c r="L129" s="13"/>
    </row>
    <row r="130" spans="2:12" ht="15">
      <c r="B130" s="90"/>
      <c r="C130" s="18"/>
      <c r="D130" s="15"/>
      <c r="E130" s="17"/>
      <c r="F130" s="17"/>
      <c r="G130" s="17"/>
      <c r="H130" s="17"/>
      <c r="I130" s="17"/>
      <c r="J130" s="17"/>
      <c r="K130" s="17"/>
      <c r="L130" s="17"/>
    </row>
    <row r="131" spans="2:12" ht="15">
      <c r="B131" s="90"/>
      <c r="C131" s="18"/>
      <c r="D131" s="15"/>
      <c r="E131" s="17"/>
      <c r="F131" s="30" t="str">
        <f>F47</f>
        <v>AEP East Companies </v>
      </c>
      <c r="G131" s="30"/>
      <c r="H131" s="17"/>
      <c r="I131" s="17"/>
      <c r="J131" s="17"/>
      <c r="K131" s="17"/>
      <c r="L131" s="17"/>
    </row>
    <row r="132" spans="2:12" ht="15">
      <c r="B132" s="90"/>
      <c r="C132" s="18"/>
      <c r="D132" s="15"/>
      <c r="E132" s="17"/>
      <c r="F132" s="30" t="str">
        <f>F48</f>
        <v>Transmission Cost of Service Formula Rate</v>
      </c>
      <c r="G132" s="30"/>
      <c r="H132" s="17"/>
      <c r="I132" s="17"/>
      <c r="J132" s="17"/>
      <c r="K132" s="17"/>
      <c r="L132" s="17"/>
    </row>
    <row r="133" spans="2:12" ht="15">
      <c r="B133" s="90"/>
      <c r="C133" s="18"/>
      <c r="D133" s="11"/>
      <c r="E133" s="17"/>
      <c r="F133" s="10" t="str">
        <f>+F49</f>
        <v>Utilizing Actual Cost Data for 2009 with Average Ratebase Balances</v>
      </c>
      <c r="G133" s="17"/>
      <c r="H133" s="17"/>
      <c r="I133" s="17"/>
      <c r="J133" s="17"/>
      <c r="K133" s="17"/>
      <c r="L133" s="17"/>
    </row>
    <row r="134" spans="2:12" ht="15">
      <c r="B134" s="90"/>
      <c r="C134" s="18"/>
      <c r="D134" s="11"/>
      <c r="E134" s="17"/>
      <c r="F134" s="761"/>
      <c r="G134" s="17"/>
      <c r="H134" s="17"/>
      <c r="I134" s="17"/>
      <c r="J134" s="17"/>
      <c r="K134" s="17"/>
      <c r="L134" s="17"/>
    </row>
    <row r="135" spans="2:12" ht="15">
      <c r="B135" s="90"/>
      <c r="C135" s="18"/>
      <c r="D135" s="11"/>
      <c r="E135" s="21"/>
      <c r="F135" s="30" t="str">
        <f>F51</f>
        <v>KENTUCKY POWER COMPANY</v>
      </c>
      <c r="G135" s="21"/>
      <c r="H135" s="83"/>
      <c r="I135" s="21"/>
      <c r="J135" s="21"/>
      <c r="K135" s="21"/>
      <c r="L135" s="11"/>
    </row>
    <row r="136" spans="2:12" ht="15">
      <c r="B136" s="90"/>
      <c r="C136" s="18"/>
      <c r="D136" s="11"/>
      <c r="E136" s="21"/>
      <c r="F136" s="30"/>
      <c r="G136" s="21"/>
      <c r="H136" s="83"/>
      <c r="I136" s="21"/>
      <c r="J136" s="21"/>
      <c r="K136" s="21"/>
      <c r="L136" s="11"/>
    </row>
    <row r="137" spans="2:12" ht="15">
      <c r="B137" s="89"/>
      <c r="C137" s="11"/>
      <c r="D137" s="18" t="s">
        <v>729</v>
      </c>
      <c r="E137" s="18" t="s">
        <v>730</v>
      </c>
      <c r="F137" s="18"/>
      <c r="G137" s="18" t="s">
        <v>731</v>
      </c>
      <c r="H137" s="27"/>
      <c r="I137" s="1146" t="s">
        <v>732</v>
      </c>
      <c r="J137" s="1111"/>
      <c r="K137" s="17"/>
      <c r="L137" s="19" t="s">
        <v>733</v>
      </c>
    </row>
    <row r="138" spans="2:15" ht="15.75">
      <c r="B138" s="14"/>
      <c r="C138" s="11"/>
      <c r="D138" s="18"/>
      <c r="E138" s="18"/>
      <c r="F138" s="18"/>
      <c r="G138" s="18"/>
      <c r="H138" s="27"/>
      <c r="I138" s="17"/>
      <c r="J138" s="32"/>
      <c r="K138" s="17"/>
      <c r="L138" s="11"/>
      <c r="O138" s="51"/>
    </row>
    <row r="139" spans="2:15" ht="15.75">
      <c r="B139" s="92"/>
      <c r="C139" s="18"/>
      <c r="D139" s="36" t="s">
        <v>704</v>
      </c>
      <c r="E139" s="33" t="str">
        <f>E55</f>
        <v>Data Sources</v>
      </c>
      <c r="F139" s="35"/>
      <c r="G139" s="17"/>
      <c r="H139" s="27"/>
      <c r="I139" s="17"/>
      <c r="J139" s="18"/>
      <c r="K139" s="17"/>
      <c r="L139" s="33" t="str">
        <f>L55</f>
        <v>Total</v>
      </c>
      <c r="O139" s="51"/>
    </row>
    <row r="140" spans="2:15" ht="15.75">
      <c r="B140" s="14"/>
      <c r="C140" s="23"/>
      <c r="D140" s="52" t="s">
        <v>705</v>
      </c>
      <c r="E140" s="119" t="str">
        <f>E56</f>
        <v>(See "General Notes")</v>
      </c>
      <c r="F140" s="17"/>
      <c r="G140" s="119" t="str">
        <f>G56</f>
        <v>TO Total</v>
      </c>
      <c r="H140" s="292"/>
      <c r="I140" s="1144" t="str">
        <f>I56</f>
        <v>Allocator</v>
      </c>
      <c r="J140" s="1145"/>
      <c r="K140" s="37"/>
      <c r="L140" s="119" t="str">
        <f>L56</f>
        <v>Transmission</v>
      </c>
      <c r="O140" s="51"/>
    </row>
    <row r="141" spans="2:12" ht="15.75">
      <c r="B141" s="116" t="str">
        <f>B57</f>
        <v>Line</v>
      </c>
      <c r="C141" s="11"/>
      <c r="D141" s="15"/>
      <c r="E141" s="17"/>
      <c r="F141" s="17"/>
      <c r="G141" s="52"/>
      <c r="H141" s="283"/>
      <c r="I141" s="36"/>
      <c r="J141" s="11"/>
      <c r="K141" s="53"/>
      <c r="L141" s="52"/>
    </row>
    <row r="142" spans="2:12" ht="15.75" thickBot="1">
      <c r="B142" s="91" t="str">
        <f>B58</f>
        <v>No.</v>
      </c>
      <c r="C142" s="18"/>
      <c r="D142" s="15" t="s">
        <v>706</v>
      </c>
      <c r="E142" s="17"/>
      <c r="F142" s="17"/>
      <c r="G142" s="17"/>
      <c r="H142" s="27"/>
      <c r="I142" s="30"/>
      <c r="J142" s="17"/>
      <c r="K142" s="17"/>
      <c r="L142" s="17"/>
    </row>
    <row r="143" spans="2:12" ht="15">
      <c r="B143" s="95">
        <f>+B128+1</f>
        <v>79</v>
      </c>
      <c r="C143" s="18"/>
      <c r="D143" s="15" t="s">
        <v>734</v>
      </c>
      <c r="E143" s="17" t="s">
        <v>515</v>
      </c>
      <c r="F143" s="17"/>
      <c r="G143" s="120">
        <f>+'KPCo Historic TCOS'!G143</f>
        <v>457856290</v>
      </c>
      <c r="H143" s="27"/>
      <c r="I143" s="30"/>
      <c r="J143" s="48"/>
      <c r="K143" s="17"/>
      <c r="L143" s="120"/>
    </row>
    <row r="144" spans="2:12" ht="15">
      <c r="B144" s="95">
        <f aca="true" t="shared" si="8" ref="B144:B150">+B143+1</f>
        <v>80</v>
      </c>
      <c r="C144" s="18"/>
      <c r="D144" s="54" t="s">
        <v>738</v>
      </c>
      <c r="E144" s="17" t="s">
        <v>516</v>
      </c>
      <c r="F144" s="27"/>
      <c r="G144" s="120">
        <f>+'KPCo Historic TCOS'!G144</f>
        <v>29693612</v>
      </c>
      <c r="H144" s="27"/>
      <c r="I144" s="30"/>
      <c r="J144" s="48"/>
      <c r="K144" s="17"/>
      <c r="L144" s="120"/>
    </row>
    <row r="145" spans="2:12" ht="15">
      <c r="B145" s="95">
        <f t="shared" si="8"/>
        <v>81</v>
      </c>
      <c r="C145" s="18"/>
      <c r="D145" s="54" t="s">
        <v>29</v>
      </c>
      <c r="E145" s="17" t="s">
        <v>238</v>
      </c>
      <c r="F145" s="27"/>
      <c r="G145" s="120">
        <f>+'KPCo Historic TCOS'!G145</f>
        <v>8740355</v>
      </c>
      <c r="H145" s="27"/>
      <c r="I145" s="47"/>
      <c r="J145" s="48"/>
      <c r="K145" s="27"/>
      <c r="L145" s="120"/>
    </row>
    <row r="146" spans="2:12" ht="15">
      <c r="B146" s="95">
        <f t="shared" si="8"/>
        <v>82</v>
      </c>
      <c r="C146" s="18"/>
      <c r="D146" s="54" t="s">
        <v>30</v>
      </c>
      <c r="E146" s="17" t="s">
        <v>239</v>
      </c>
      <c r="F146" s="27"/>
      <c r="G146" s="120">
        <f>+'KPCo Historic TCOS'!G146</f>
        <v>1168311</v>
      </c>
      <c r="H146" s="27"/>
      <c r="I146" s="47"/>
      <c r="J146" s="48"/>
      <c r="K146" s="27"/>
      <c r="L146" s="120"/>
    </row>
    <row r="147" spans="2:15" ht="15.75" thickBot="1">
      <c r="B147" s="95">
        <f t="shared" si="8"/>
        <v>83</v>
      </c>
      <c r="C147" s="18"/>
      <c r="D147" s="54" t="s">
        <v>743</v>
      </c>
      <c r="E147" s="17" t="s">
        <v>237</v>
      </c>
      <c r="F147" s="27"/>
      <c r="G147" s="121">
        <f>+'KPCo Historic TCOS'!G147</f>
        <v>-821880</v>
      </c>
      <c r="H147" s="120"/>
      <c r="I147" s="100"/>
      <c r="J147" s="100"/>
      <c r="K147" s="100"/>
      <c r="L147"/>
      <c r="O147" s="2"/>
    </row>
    <row r="148" spans="2:15" ht="15">
      <c r="B148" s="95">
        <f t="shared" si="8"/>
        <v>84</v>
      </c>
      <c r="C148" s="18"/>
      <c r="D148" s="54" t="s">
        <v>31</v>
      </c>
      <c r="E148" s="27" t="str">
        <f>"(sum lns "&amp;B143&amp;"  to "&amp;B147&amp;")"</f>
        <v>(sum lns 79  to 83)</v>
      </c>
      <c r="F148" s="27"/>
      <c r="G148" s="120">
        <f>SUM(G143:G147)</f>
        <v>496636688</v>
      </c>
      <c r="H148" s="120"/>
      <c r="I148" s="100"/>
      <c r="J148" s="100"/>
      <c r="K148" s="100"/>
      <c r="L148"/>
      <c r="O148" s="2"/>
    </row>
    <row r="149" spans="2:15" ht="15">
      <c r="B149" s="95">
        <f t="shared" si="8"/>
        <v>85</v>
      </c>
      <c r="C149" s="18"/>
      <c r="D149" s="54" t="s">
        <v>114</v>
      </c>
      <c r="E149" s="519" t="str">
        <f>"(Note G) (Worksheet F, ln "&amp;'KPCo WS F Misc Exp'!A31&amp;".C)"</f>
        <v>(Note G) (Worksheet F, ln 14.C)</v>
      </c>
      <c r="F149" s="27"/>
      <c r="G149" s="120">
        <f>+'KPCo Historic TCOS'!G149</f>
        <v>2102150</v>
      </c>
      <c r="H149" s="120"/>
      <c r="I149" s="100"/>
      <c r="J149" s="100"/>
      <c r="K149" s="100"/>
      <c r="L149"/>
      <c r="O149" s="2"/>
    </row>
    <row r="150" spans="2:15" ht="15">
      <c r="B150" s="95">
        <f t="shared" si="8"/>
        <v>86</v>
      </c>
      <c r="C150" s="18"/>
      <c r="D150" s="54" t="s">
        <v>556</v>
      </c>
      <c r="E150" s="27" t="s">
        <v>606</v>
      </c>
      <c r="F150" s="27"/>
      <c r="G150" s="120">
        <f>+'KPCo Historic TCOS'!G150</f>
        <v>-7861567</v>
      </c>
      <c r="H150" s="120"/>
      <c r="I150" s="100"/>
      <c r="J150" s="100"/>
      <c r="K150" s="100"/>
      <c r="L150"/>
      <c r="O150" s="2"/>
    </row>
    <row r="151" spans="2:15" ht="15.75" thickBot="1">
      <c r="B151" s="518">
        <f>+B150+1</f>
        <v>87</v>
      </c>
      <c r="C151" s="78"/>
      <c r="D151" s="54" t="s">
        <v>118</v>
      </c>
      <c r="E151" s="27" t="s">
        <v>357</v>
      </c>
      <c r="F151" s="27"/>
      <c r="G151" s="121">
        <f>+'KPCo WS F Misc Exp'!D19</f>
        <v>0</v>
      </c>
      <c r="H151" s="120"/>
      <c r="I151" s="99"/>
      <c r="J151" s="99"/>
      <c r="K151" s="100"/>
      <c r="L151"/>
      <c r="O151" s="2"/>
    </row>
    <row r="152" spans="2:15" ht="15">
      <c r="B152" s="90">
        <f>+B151+1</f>
        <v>88</v>
      </c>
      <c r="C152" s="18"/>
      <c r="D152" s="54" t="s">
        <v>227</v>
      </c>
      <c r="E152" s="17" t="str">
        <f>"(lns "&amp;B147&amp;" - "&amp;B149&amp;" - "&amp;B150&amp;" - "&amp;B151&amp;")"</f>
        <v>(lns 83 - 85 - 86 - 87)</v>
      </c>
      <c r="F152" s="54"/>
      <c r="G152" s="120">
        <f>G147-G149-G150-G151</f>
        <v>4937537</v>
      </c>
      <c r="H152" s="27"/>
      <c r="I152" s="30" t="s">
        <v>728</v>
      </c>
      <c r="J152" s="48">
        <f>VLOOKUP(I152,APCo_TU_Allocators,2,FALSE)</f>
        <v>0.9963185829193314</v>
      </c>
      <c r="K152" s="27"/>
      <c r="L152" s="120">
        <f>+J152*G152</f>
        <v>4919359.866951766</v>
      </c>
      <c r="O152" s="2"/>
    </row>
    <row r="153" spans="2:15" ht="15">
      <c r="B153" s="90"/>
      <c r="C153" s="18"/>
      <c r="D153" s="54"/>
      <c r="E153" s="27"/>
      <c r="F153" s="27"/>
      <c r="G153" s="354"/>
      <c r="H153" s="120"/>
      <c r="I153" s="100"/>
      <c r="J153" s="100"/>
      <c r="K153" s="100"/>
      <c r="L153"/>
      <c r="O153" s="2"/>
    </row>
    <row r="154" spans="2:15" ht="15">
      <c r="B154" s="90">
        <f>+B152+1</f>
        <v>89</v>
      </c>
      <c r="C154" s="18"/>
      <c r="D154" s="15" t="s">
        <v>711</v>
      </c>
      <c r="E154" s="17" t="s">
        <v>358</v>
      </c>
      <c r="F154" s="17"/>
      <c r="G154" s="120">
        <f>+'KPCo Historic TCOS'!G154</f>
        <v>24046450</v>
      </c>
      <c r="H154" s="120"/>
      <c r="I154" s="41"/>
      <c r="J154" s="41"/>
      <c r="K154" s="17"/>
      <c r="L154" s="105"/>
      <c r="O154" s="2"/>
    </row>
    <row r="155" spans="2:15" ht="15">
      <c r="B155" s="90">
        <f aca="true" t="shared" si="9" ref="B155:B164">+B154+1</f>
        <v>90</v>
      </c>
      <c r="C155" s="18"/>
      <c r="D155" s="54" t="s">
        <v>116</v>
      </c>
      <c r="E155" s="17" t="s">
        <v>240</v>
      </c>
      <c r="F155" s="17"/>
      <c r="G155" s="120">
        <f>+'KPCo Historic TCOS'!G155</f>
        <v>406399</v>
      </c>
      <c r="H155" s="120"/>
      <c r="I155" s="41"/>
      <c r="J155" s="15"/>
      <c r="K155" s="17"/>
      <c r="L155" s="105"/>
      <c r="O155" s="2"/>
    </row>
    <row r="156" spans="2:15" ht="15">
      <c r="B156" s="90">
        <f t="shared" si="9"/>
        <v>91</v>
      </c>
      <c r="C156" s="18"/>
      <c r="D156" s="15" t="s">
        <v>383</v>
      </c>
      <c r="E156" s="27" t="str">
        <f>'KPCo Historic TCOS'!E156</f>
        <v>PBOP Worksheet O Line 9 &amp; 10, (Note K)</v>
      </c>
      <c r="F156" s="17"/>
      <c r="G156" s="120">
        <f>'KPCo Historic TCOS'!G156</f>
        <v>4099565</v>
      </c>
      <c r="H156" s="120"/>
      <c r="I156" s="41"/>
      <c r="J156" s="15"/>
      <c r="K156" s="17"/>
      <c r="L156" s="105"/>
      <c r="O156" s="2"/>
    </row>
    <row r="157" spans="2:15" ht="15">
      <c r="B157" s="90">
        <f t="shared" si="9"/>
        <v>92</v>
      </c>
      <c r="C157" s="18"/>
      <c r="D157" s="15" t="s">
        <v>636</v>
      </c>
      <c r="E157" s="27" t="str">
        <f>'KPCo Historic TCOS'!E157</f>
        <v>PBOP Worksheet O  Line 11, (Note K)</v>
      </c>
      <c r="F157" s="17"/>
      <c r="G157" s="120">
        <f>'KPCo Historic TCOS'!G157</f>
        <v>-867380</v>
      </c>
      <c r="H157" s="120"/>
      <c r="I157" s="41"/>
      <c r="J157" s="15"/>
      <c r="K157" s="17"/>
      <c r="L157" s="105"/>
      <c r="O157" s="2"/>
    </row>
    <row r="158" spans="2:15" ht="15">
      <c r="B158" s="90">
        <f t="shared" si="9"/>
        <v>93</v>
      </c>
      <c r="C158" s="18"/>
      <c r="D158" s="15" t="s">
        <v>369</v>
      </c>
      <c r="E158" s="27" t="str">
        <f>'KPCo Historic TCOS'!E158</f>
        <v>PBOP Worksheet O Line 13, (Note K)</v>
      </c>
      <c r="F158" s="17"/>
      <c r="G158" s="120">
        <f>'KPCo Historic TCOS'!G158</f>
        <v>297334.9856326827</v>
      </c>
      <c r="H158" s="120"/>
      <c r="I158" s="41"/>
      <c r="J158" s="15"/>
      <c r="K158" s="17"/>
      <c r="L158" s="105"/>
      <c r="O158" s="2"/>
    </row>
    <row r="159" spans="2:15" ht="15">
      <c r="B159" s="90">
        <f t="shared" si="9"/>
        <v>94</v>
      </c>
      <c r="C159" s="18"/>
      <c r="D159" s="15" t="s">
        <v>115</v>
      </c>
      <c r="E159" s="17" t="s">
        <v>600</v>
      </c>
      <c r="F159" s="27"/>
      <c r="G159" s="120">
        <f>+'KPCo Historic TCOS'!G159</f>
        <v>-496</v>
      </c>
      <c r="H159" s="120"/>
      <c r="I159" s="41"/>
      <c r="J159" s="253"/>
      <c r="K159" s="17"/>
      <c r="L159" s="105"/>
      <c r="O159" s="2"/>
    </row>
    <row r="160" spans="2:15" ht="15">
      <c r="B160" s="90">
        <f t="shared" si="9"/>
        <v>95</v>
      </c>
      <c r="C160" s="18"/>
      <c r="D160" s="54" t="s">
        <v>715</v>
      </c>
      <c r="E160" s="17" t="s">
        <v>601</v>
      </c>
      <c r="F160" s="27"/>
      <c r="G160" s="120">
        <f>+'KPCo Historic TCOS'!G160</f>
        <v>398905</v>
      </c>
      <c r="H160" s="120"/>
      <c r="I160" s="41"/>
      <c r="J160" s="41"/>
      <c r="K160" s="17"/>
      <c r="L160" s="105"/>
      <c r="O160" s="2"/>
    </row>
    <row r="161" spans="2:15" ht="15.75" thickBot="1">
      <c r="B161" s="90">
        <f t="shared" si="9"/>
        <v>96</v>
      </c>
      <c r="C161" s="18"/>
      <c r="D161" s="54" t="s">
        <v>117</v>
      </c>
      <c r="E161" s="17" t="s">
        <v>602</v>
      </c>
      <c r="F161" s="27"/>
      <c r="G161" s="121">
        <f>+'KPCo Historic TCOS'!G161</f>
        <v>507618</v>
      </c>
      <c r="H161" s="120"/>
      <c r="I161" s="41"/>
      <c r="J161" s="41"/>
      <c r="K161" s="17"/>
      <c r="L161" s="105"/>
      <c r="O161" s="2"/>
    </row>
    <row r="162" spans="2:15" ht="15">
      <c r="B162" s="90">
        <f t="shared" si="9"/>
        <v>97</v>
      </c>
      <c r="C162" s="18"/>
      <c r="D162" s="15" t="s">
        <v>716</v>
      </c>
      <c r="E162" s="27" t="str">
        <f>"(ln "&amp;B154&amp;" - sum ln "&amp;B155&amp;"  to ln "&amp;B161&amp;")"</f>
        <v>(ln 89 - sum ln 90  to ln 96)</v>
      </c>
      <c r="F162" s="27"/>
      <c r="G162" s="120">
        <f>G154-SUM(G155:G161)</f>
        <v>19204504.01436732</v>
      </c>
      <c r="H162" s="120"/>
      <c r="I162" s="30" t="s">
        <v>740</v>
      </c>
      <c r="J162" s="48">
        <f aca="true" t="shared" si="10" ref="J162:J167">VLOOKUP(I162,APCo_TU_Allocators,2,FALSE)</f>
        <v>0.08594475532773929</v>
      </c>
      <c r="K162" s="17"/>
      <c r="L162" s="105">
        <f>+J162*G162</f>
        <v>1650526.3987053863</v>
      </c>
      <c r="O162" s="2"/>
    </row>
    <row r="163" spans="2:15" ht="15">
      <c r="B163" s="94">
        <f t="shared" si="9"/>
        <v>98</v>
      </c>
      <c r="C163" s="78"/>
      <c r="D163" s="54" t="s">
        <v>829</v>
      </c>
      <c r="E163" s="27" t="str">
        <f>"(ln "&amp;B155&amp;")"</f>
        <v>(ln 90)</v>
      </c>
      <c r="F163" s="27"/>
      <c r="G163" s="120">
        <f>+G155</f>
        <v>406399</v>
      </c>
      <c r="H163" s="120"/>
      <c r="I163" s="210" t="s">
        <v>123</v>
      </c>
      <c r="J163" s="48">
        <f t="shared" si="10"/>
        <v>0.2795609956309155</v>
      </c>
      <c r="K163" s="27"/>
      <c r="L163" s="120">
        <f>+J163*G163</f>
        <v>113613.30906340844</v>
      </c>
      <c r="O163" s="2"/>
    </row>
    <row r="164" spans="2:15" ht="15">
      <c r="B164" s="90">
        <f t="shared" si="9"/>
        <v>99</v>
      </c>
      <c r="C164" s="18"/>
      <c r="D164" s="54" t="s">
        <v>7</v>
      </c>
      <c r="E164" s="27" t="e">
        <f>"Worksheet F ln "&amp;'KPCo WS F Misc Exp'!#REF!&amp;".(E) (Note L)"</f>
        <v>#REF!</v>
      </c>
      <c r="F164" s="27"/>
      <c r="G164" s="120">
        <f>+'KPCo WS F Misc Exp'!F39</f>
        <v>0</v>
      </c>
      <c r="H164" s="120"/>
      <c r="I164" s="30" t="s">
        <v>728</v>
      </c>
      <c r="J164" s="48">
        <f>VLOOKUP(I164,APCo_Proj_Allocators,2,FALSE)</f>
        <v>0.9963409919422282</v>
      </c>
      <c r="K164" s="17"/>
      <c r="L164" s="105">
        <f>J164*G164</f>
        <v>0</v>
      </c>
      <c r="O164" s="2"/>
    </row>
    <row r="165" spans="2:15" ht="15">
      <c r="B165" s="90">
        <f>B164+1</f>
        <v>100</v>
      </c>
      <c r="C165" s="18"/>
      <c r="D165" s="54" t="s">
        <v>22</v>
      </c>
      <c r="E165" s="27" t="str">
        <f>"Worksheet F ln "&amp;'KPCo WS F Misc Exp'!A53&amp;".(E) (Note L)"</f>
        <v>Worksheet F ln 29.(E) (Note L)</v>
      </c>
      <c r="F165" s="27"/>
      <c r="G165" s="127">
        <f>+'KPCo WS F Misc Exp'!F53</f>
        <v>0</v>
      </c>
      <c r="H165" s="27"/>
      <c r="I165" s="47" t="s">
        <v>728</v>
      </c>
      <c r="J165" s="48">
        <f>VLOOKUP(I165,APCo_Proj_Allocators,2,FALSE)</f>
        <v>0.9963409919422282</v>
      </c>
      <c r="K165" s="17"/>
      <c r="L165" s="105">
        <f>+J165*G165</f>
        <v>0</v>
      </c>
      <c r="O165" s="2"/>
    </row>
    <row r="166" spans="2:15" ht="15">
      <c r="B166" s="90">
        <f>+B165+1</f>
        <v>101</v>
      </c>
      <c r="C166" s="18"/>
      <c r="D166" s="54" t="s">
        <v>23</v>
      </c>
      <c r="E166" s="27" t="str">
        <f>"Worksheet F ln "&amp;'KPCo WS F Misc Exp'!A62&amp;".(E) (Note L)"</f>
        <v>Worksheet F ln 35.(E) (Note L)</v>
      </c>
      <c r="F166" s="27"/>
      <c r="G166" s="127">
        <f>+'KPCo WS F Misc Exp'!F62</f>
        <v>83295</v>
      </c>
      <c r="H166" s="747"/>
      <c r="I166" s="47" t="s">
        <v>737</v>
      </c>
      <c r="J166" s="48">
        <f>VLOOKUP(I166,APCo_Proj_Allocators,2,FALSE)</f>
        <v>1</v>
      </c>
      <c r="K166" s="17"/>
      <c r="L166" s="144">
        <f>+J166*G166</f>
        <v>83295</v>
      </c>
      <c r="O166" s="2"/>
    </row>
    <row r="167" spans="2:15" ht="15.75" thickBot="1">
      <c r="B167" s="90">
        <f>+B166+1</f>
        <v>102</v>
      </c>
      <c r="C167" s="18"/>
      <c r="D167" s="54" t="s">
        <v>273</v>
      </c>
      <c r="E167" s="27" t="str">
        <f>'KPCo Historic TCOS'!E167</f>
        <v>PBOP Worksheet O, Col. C, Line 4, (Note M)</v>
      </c>
      <c r="F167" s="27"/>
      <c r="G167" s="121">
        <f>'KPCo Historic TCOS'!G167</f>
        <v>2693481</v>
      </c>
      <c r="H167" s="27"/>
      <c r="I167" s="47" t="s">
        <v>740</v>
      </c>
      <c r="J167" s="48">
        <f t="shared" si="10"/>
        <v>0.08594475532773929</v>
      </c>
      <c r="K167" s="27"/>
      <c r="L167" s="121">
        <f>+G167*J167</f>
        <v>231490.56552491456</v>
      </c>
      <c r="M167" s="99"/>
      <c r="O167" s="2"/>
    </row>
    <row r="168" spans="2:15" ht="15">
      <c r="B168" s="90">
        <f>+B167+1</f>
        <v>103</v>
      </c>
      <c r="C168" s="18"/>
      <c r="D168" s="15" t="s">
        <v>717</v>
      </c>
      <c r="E168" s="27" t="str">
        <f>"(sum lns "&amp;B162&amp;"  to "&amp;B167&amp;")"</f>
        <v>(sum lns 97  to 102)</v>
      </c>
      <c r="F168" s="27"/>
      <c r="G168" s="105">
        <f>SUM(G162:G167)</f>
        <v>22387679.01436732</v>
      </c>
      <c r="H168" s="120"/>
      <c r="I168" s="30"/>
      <c r="J168" s="41"/>
      <c r="K168" s="17"/>
      <c r="L168" s="105">
        <f>SUM(L162:L167)</f>
        <v>2078925.2732937094</v>
      </c>
      <c r="N168" s="105"/>
      <c r="O168" s="2"/>
    </row>
    <row r="169" spans="2:15" ht="15.75" thickBot="1">
      <c r="B169" s="90"/>
      <c r="C169" s="18"/>
      <c r="D169" s="54"/>
      <c r="E169" s="27"/>
      <c r="F169" s="27"/>
      <c r="G169" s="121"/>
      <c r="H169" s="27"/>
      <c r="I169" s="30"/>
      <c r="J169" s="41"/>
      <c r="K169" s="17"/>
      <c r="L169" s="106"/>
      <c r="O169" s="2"/>
    </row>
    <row r="170" spans="2:15" ht="15">
      <c r="B170" s="94">
        <f>+B168+1</f>
        <v>104</v>
      </c>
      <c r="C170" s="78"/>
      <c r="D170" s="54" t="s">
        <v>234</v>
      </c>
      <c r="E170" s="27" t="str">
        <f>"(ln "&amp;B152&amp;" + ln "&amp;B168&amp;")"</f>
        <v>(ln 88 + ln 103)</v>
      </c>
      <c r="F170" s="27"/>
      <c r="G170" s="120">
        <f>+G152+G168</f>
        <v>27325216.01436732</v>
      </c>
      <c r="H170" s="120"/>
      <c r="I170" s="47"/>
      <c r="J170" s="27"/>
      <c r="K170" s="27"/>
      <c r="L170" s="120">
        <f>L152+L168</f>
        <v>6998285.140245476</v>
      </c>
      <c r="O170" s="2"/>
    </row>
    <row r="171" spans="2:15" ht="15">
      <c r="B171" s="90">
        <f>+B170+1</f>
        <v>105</v>
      </c>
      <c r="C171" s="78"/>
      <c r="D171" s="54" t="s">
        <v>353</v>
      </c>
      <c r="E171" s="27" t="s">
        <v>362</v>
      </c>
      <c r="F171" s="27"/>
      <c r="G171" s="127">
        <f>+'KPCo Historic TCOS'!G171</f>
        <v>-8835297</v>
      </c>
      <c r="H171" s="120"/>
      <c r="I171" s="30" t="s">
        <v>737</v>
      </c>
      <c r="J171" s="48">
        <f>VLOOKUP(I171,APCo_TU_Allocators,2,FALSE)</f>
        <v>1</v>
      </c>
      <c r="K171" s="27"/>
      <c r="L171" s="105">
        <f>J171*G171</f>
        <v>-8835297</v>
      </c>
      <c r="O171" s="2"/>
    </row>
    <row r="172" spans="2:15" ht="15.75" thickBot="1">
      <c r="B172" s="90">
        <f>+B171+1</f>
        <v>106</v>
      </c>
      <c r="C172" s="78"/>
      <c r="D172" s="54" t="s">
        <v>363</v>
      </c>
      <c r="E172" s="54"/>
      <c r="F172" s="27"/>
      <c r="G172" s="121">
        <f>+'KPCo Historic TCOS'!G172</f>
        <v>0</v>
      </c>
      <c r="H172" s="120"/>
      <c r="I172" s="30" t="s">
        <v>737</v>
      </c>
      <c r="J172" s="48">
        <f>VLOOKUP(I172,APCo_TU_Allocators,2,FALSE)</f>
        <v>1</v>
      </c>
      <c r="K172" s="27"/>
      <c r="L172" s="106">
        <f>J172*G172</f>
        <v>0</v>
      </c>
      <c r="O172" s="2"/>
    </row>
    <row r="173" spans="2:15" ht="15">
      <c r="B173" s="90">
        <f>+B172+1</f>
        <v>107</v>
      </c>
      <c r="C173" s="18"/>
      <c r="D173" s="54" t="s">
        <v>718</v>
      </c>
      <c r="E173" s="27" t="str">
        <f>"(ln "&amp;B170&amp;" + ln "&amp;B171&amp;" + ln "&amp;B172&amp;")"</f>
        <v>(ln 104 + ln 105 + ln 106)</v>
      </c>
      <c r="F173" s="27"/>
      <c r="G173" s="120">
        <f>+G170+G171+G172</f>
        <v>18489919.01436732</v>
      </c>
      <c r="H173" s="120"/>
      <c r="I173" s="47"/>
      <c r="J173" s="27"/>
      <c r="K173" s="27"/>
      <c r="L173" s="120">
        <f>+L170+L171+L172</f>
        <v>-1837011.8597545242</v>
      </c>
      <c r="O173" s="2"/>
    </row>
    <row r="174" spans="2:15" ht="15">
      <c r="B174" s="90"/>
      <c r="C174" s="18"/>
      <c r="D174" s="54"/>
      <c r="E174" s="17"/>
      <c r="F174" s="17"/>
      <c r="G174" s="105"/>
      <c r="H174" s="27"/>
      <c r="I174" s="17"/>
      <c r="J174" s="17"/>
      <c r="K174" s="17"/>
      <c r="L174" s="105"/>
      <c r="O174" s="2"/>
    </row>
    <row r="175" spans="2:15" ht="15">
      <c r="B175" s="90">
        <f>+B173+1</f>
        <v>108</v>
      </c>
      <c r="C175" s="18"/>
      <c r="D175" s="40" t="s">
        <v>721</v>
      </c>
      <c r="E175" s="47"/>
      <c r="F175" s="47"/>
      <c r="G175" s="105"/>
      <c r="H175" s="27"/>
      <c r="I175" s="30"/>
      <c r="J175" s="17"/>
      <c r="K175" s="17"/>
      <c r="L175" s="105"/>
      <c r="O175" s="2"/>
    </row>
    <row r="176" spans="2:15" ht="15">
      <c r="B176" s="90">
        <f aca="true" t="shared" si="11" ref="B176:B182">+B175+1</f>
        <v>109</v>
      </c>
      <c r="C176" s="18"/>
      <c r="D176" s="15" t="s">
        <v>734</v>
      </c>
      <c r="E176" s="319" t="s">
        <v>246</v>
      </c>
      <c r="F176" s="47"/>
      <c r="G176" s="286">
        <f>+'KPCo Historic TCOS'!G176</f>
        <v>20344274</v>
      </c>
      <c r="H176" s="27"/>
      <c r="I176" s="30" t="s">
        <v>735</v>
      </c>
      <c r="J176" s="48">
        <f>VLOOKUP(I176,APCo_TU_Allocators,2,FALSE)</f>
        <v>0</v>
      </c>
      <c r="K176" s="17"/>
      <c r="L176" s="120">
        <f>+G176*J176</f>
        <v>0</v>
      </c>
      <c r="O176" s="2"/>
    </row>
    <row r="177" spans="2:15" ht="15">
      <c r="B177" s="90">
        <f t="shared" si="11"/>
        <v>110</v>
      </c>
      <c r="C177" s="18"/>
      <c r="D177" s="54" t="s">
        <v>738</v>
      </c>
      <c r="E177" s="319" t="s">
        <v>245</v>
      </c>
      <c r="F177" s="47"/>
      <c r="G177" s="286">
        <f>+'KPCo Historic TCOS'!G177</f>
        <v>19366762</v>
      </c>
      <c r="H177" s="27"/>
      <c r="I177" s="30" t="s">
        <v>735</v>
      </c>
      <c r="J177" s="48">
        <f>VLOOKUP(I177,APCo_TU_Allocators,2,FALSE)</f>
        <v>0</v>
      </c>
      <c r="K177" s="17"/>
      <c r="L177" s="120">
        <f>+G177*J177</f>
        <v>0</v>
      </c>
      <c r="O177" s="2"/>
    </row>
    <row r="178" spans="2:15" ht="15">
      <c r="B178" s="90">
        <f t="shared" si="11"/>
        <v>111</v>
      </c>
      <c r="C178" s="18"/>
      <c r="D178" s="43" t="str">
        <f>+D147</f>
        <v>  Transmission </v>
      </c>
      <c r="E178" s="319" t="s">
        <v>241</v>
      </c>
      <c r="F178" s="55"/>
      <c r="G178" s="286">
        <f>+'KPCo Historic TCOS'!G178</f>
        <v>7420678</v>
      </c>
      <c r="H178" s="741"/>
      <c r="I178" s="748" t="s">
        <v>559</v>
      </c>
      <c r="J178" s="48">
        <f>VLOOKUP(I178,APCo_TU_Allocators,2,FALSE)</f>
        <v>0.9958931810988337</v>
      </c>
      <c r="K178" s="45"/>
      <c r="L178" s="118">
        <f>J178*G178</f>
        <v>7390202.619330131</v>
      </c>
      <c r="O178" s="2"/>
    </row>
    <row r="179" spans="2:15" ht="15.75">
      <c r="B179" s="90">
        <f t="shared" si="11"/>
        <v>112</v>
      </c>
      <c r="C179" s="18"/>
      <c r="D179" s="480" t="s">
        <v>349</v>
      </c>
      <c r="E179" s="44"/>
      <c r="F179" s="44"/>
      <c r="G179" s="491" t="s">
        <v>203</v>
      </c>
      <c r="H179" s="105"/>
      <c r="I179" s="30"/>
      <c r="J179" s="41"/>
      <c r="K179" s="17"/>
      <c r="L179" s="491" t="s">
        <v>203</v>
      </c>
      <c r="O179" s="2"/>
    </row>
    <row r="180" spans="2:15" ht="15">
      <c r="B180" s="90">
        <f>+B179+1</f>
        <v>113</v>
      </c>
      <c r="C180" s="18"/>
      <c r="D180" s="40" t="s">
        <v>744</v>
      </c>
      <c r="E180" s="55" t="s">
        <v>242</v>
      </c>
      <c r="F180" s="17"/>
      <c r="G180" s="120">
        <f>+'KPCo Historic TCOS'!G180</f>
        <v>802099</v>
      </c>
      <c r="H180" s="120"/>
      <c r="I180" s="30" t="s">
        <v>740</v>
      </c>
      <c r="J180" s="48">
        <f>VLOOKUP(I180,APCo_TU_Allocators,2,FALSE)</f>
        <v>0.08594475532773929</v>
      </c>
      <c r="K180" s="17"/>
      <c r="L180" s="105">
        <f>+J180*G180</f>
        <v>68936.20230362436</v>
      </c>
      <c r="O180" s="2"/>
    </row>
    <row r="181" spans="2:15" ht="15.75" thickBot="1">
      <c r="B181" s="90">
        <f t="shared" si="11"/>
        <v>114</v>
      </c>
      <c r="C181" s="18"/>
      <c r="D181" s="40" t="s">
        <v>745</v>
      </c>
      <c r="E181" s="44" t="s">
        <v>243</v>
      </c>
      <c r="F181" s="27"/>
      <c r="G181" s="121">
        <f>+'KPCo Historic TCOS'!G181</f>
        <v>3725967</v>
      </c>
      <c r="H181" s="120"/>
      <c r="I181" s="30" t="s">
        <v>740</v>
      </c>
      <c r="J181" s="48">
        <f>VLOOKUP(I181,APCo_TU_Allocators,2,FALSE)</f>
        <v>0.08594475532773929</v>
      </c>
      <c r="K181" s="17"/>
      <c r="L181" s="106">
        <f>+J181*G181</f>
        <v>320227.32217423077</v>
      </c>
      <c r="O181" s="2"/>
    </row>
    <row r="182" spans="2:15" ht="15">
      <c r="B182" s="90">
        <f t="shared" si="11"/>
        <v>115</v>
      </c>
      <c r="C182" s="18"/>
      <c r="D182" s="40" t="s">
        <v>88</v>
      </c>
      <c r="E182" s="1101" t="str">
        <f>"(Ln "&amp;B176&amp;"+"&amp;B177&amp;"+
"&amp;B178&amp;"+"&amp;B179&amp;"+"&amp;B180&amp;"+"&amp;B181&amp;")"</f>
        <v>(Ln 109+110+
111+112+113+114)</v>
      </c>
      <c r="F182" s="87"/>
      <c r="G182" s="120">
        <f>+G176+G177+G178+G180+G181</f>
        <v>51659780</v>
      </c>
      <c r="H182" s="27"/>
      <c r="I182" s="30"/>
      <c r="J182" s="17"/>
      <c r="K182" s="17"/>
      <c r="L182" s="120">
        <f>+L176+L177+L178+L180+L181</f>
        <v>7779366.143807987</v>
      </c>
      <c r="O182" s="2"/>
    </row>
    <row r="183" spans="2:15" ht="15">
      <c r="B183" s="90"/>
      <c r="C183" s="18"/>
      <c r="D183" s="40"/>
      <c r="E183" s="1149"/>
      <c r="F183" s="87"/>
      <c r="G183" s="105"/>
      <c r="H183" s="27"/>
      <c r="I183" s="30"/>
      <c r="J183" s="17"/>
      <c r="K183" s="17"/>
      <c r="L183" s="105"/>
      <c r="O183" s="2"/>
    </row>
    <row r="184" spans="2:15" ht="15">
      <c r="B184" s="90">
        <f>+B182+1</f>
        <v>116</v>
      </c>
      <c r="C184" s="18"/>
      <c r="D184" s="40" t="s">
        <v>569</v>
      </c>
      <c r="E184" s="13" t="s">
        <v>244</v>
      </c>
      <c r="F184" s="11"/>
      <c r="G184" s="105"/>
      <c r="H184" s="27"/>
      <c r="I184" s="30"/>
      <c r="J184" s="17"/>
      <c r="K184" s="17"/>
      <c r="L184" s="105"/>
      <c r="O184" s="2"/>
    </row>
    <row r="185" spans="2:15" ht="15">
      <c r="B185" s="90">
        <f aca="true" t="shared" si="12" ref="B185:B191">+B184+1</f>
        <v>117</v>
      </c>
      <c r="C185" s="18"/>
      <c r="D185" s="40" t="s">
        <v>746</v>
      </c>
      <c r="E185" s="11"/>
      <c r="F185" s="11"/>
      <c r="G185" s="105"/>
      <c r="H185" s="27"/>
      <c r="I185" s="30"/>
      <c r="J185" s="11"/>
      <c r="K185" s="17"/>
      <c r="L185" s="105"/>
      <c r="O185" s="2"/>
    </row>
    <row r="186" spans="2:15" ht="15">
      <c r="B186" s="90">
        <f t="shared" si="12"/>
        <v>118</v>
      </c>
      <c r="C186" s="18"/>
      <c r="D186" s="40" t="s">
        <v>747</v>
      </c>
      <c r="E186" s="27" t="str">
        <f>"Worksheet H ln "&amp;'KPCo WS H Other Taxes'!A39&amp;"."&amp;'KPCo WS H Other Taxes'!I8&amp;""</f>
        <v>Worksheet H ln 21.(D)</v>
      </c>
      <c r="F186" s="17"/>
      <c r="G186" s="120">
        <f>+'KPCo Historic TCOS'!G186</f>
        <v>1655606</v>
      </c>
      <c r="H186" s="120"/>
      <c r="I186" s="30" t="s">
        <v>740</v>
      </c>
      <c r="J186" s="48">
        <f>VLOOKUP(I186,APCo_TU_Allocators,2,FALSE)</f>
        <v>0.08594475532773929</v>
      </c>
      <c r="K186" s="17"/>
      <c r="L186" s="105">
        <f>+J186*G186</f>
        <v>142290.65258913714</v>
      </c>
      <c r="O186" s="2"/>
    </row>
    <row r="187" spans="2:15" ht="15">
      <c r="B187" s="90">
        <f t="shared" si="12"/>
        <v>119</v>
      </c>
      <c r="C187" s="18"/>
      <c r="D187" s="40" t="s">
        <v>748</v>
      </c>
      <c r="E187" s="27" t="s">
        <v>722</v>
      </c>
      <c r="F187" s="17"/>
      <c r="G187" s="120"/>
      <c r="H187" s="120"/>
      <c r="I187" s="30"/>
      <c r="J187" s="11"/>
      <c r="K187" s="17"/>
      <c r="L187" s="105"/>
      <c r="O187" s="2"/>
    </row>
    <row r="188" spans="2:15" ht="15">
      <c r="B188" s="94">
        <f t="shared" si="12"/>
        <v>120</v>
      </c>
      <c r="C188" s="78"/>
      <c r="D188" s="58" t="s">
        <v>749</v>
      </c>
      <c r="E188" s="27" t="str">
        <f>"Worksheet H ln "&amp;'KPCo WS H Other Taxes'!A39&amp;".(C) &amp; ln "&amp;'KPCo WS H Other Taxes'!A60&amp;"."&amp;'KPCo WS H Other Taxes'!G8&amp;""</f>
        <v>Worksheet H ln 21.(C) &amp; ln 35.(C)</v>
      </c>
      <c r="F188" s="27"/>
      <c r="G188" s="120">
        <f>+'KPCo Historic TCOS'!G188</f>
        <v>9619712</v>
      </c>
      <c r="H188" s="120"/>
      <c r="I188" s="47" t="s">
        <v>737</v>
      </c>
      <c r="J188" s="48"/>
      <c r="K188" s="27"/>
      <c r="L188" s="120">
        <f>IF(G188=0,0,+'KPCo WS H Other Taxes'!G60)</f>
        <v>3618146.62857503</v>
      </c>
      <c r="O188" s="6"/>
    </row>
    <row r="189" spans="2:15" ht="15">
      <c r="B189" s="90">
        <f t="shared" si="12"/>
        <v>121</v>
      </c>
      <c r="C189" s="18"/>
      <c r="D189" s="40" t="s">
        <v>833</v>
      </c>
      <c r="E189" s="27" t="str">
        <f>"Worksheet H ln "&amp;'KPCo WS H Other Taxes'!A39&amp;"."&amp;'KPCo WS H Other Taxes'!M8&amp;""</f>
        <v>Worksheet H ln 21.(F)</v>
      </c>
      <c r="F189" s="17"/>
      <c r="G189" s="120">
        <f>+'KPCo Historic TCOS'!G189</f>
        <v>-371606</v>
      </c>
      <c r="H189" s="99"/>
      <c r="I189" s="30" t="s">
        <v>735</v>
      </c>
      <c r="J189" s="48">
        <f>VLOOKUP(I189,APCo_TU_Allocators,2,FALSE)</f>
        <v>0</v>
      </c>
      <c r="K189" s="17"/>
      <c r="L189" s="105">
        <f>+J189*G189</f>
        <v>0</v>
      </c>
      <c r="O189" s="2"/>
    </row>
    <row r="190" spans="2:15" ht="15.75" thickBot="1">
      <c r="B190" s="90">
        <f t="shared" si="12"/>
        <v>122</v>
      </c>
      <c r="C190" s="18"/>
      <c r="D190" s="40" t="s">
        <v>750</v>
      </c>
      <c r="E190" s="27" t="str">
        <f>"Worksheet H ln "&amp;'KPCo WS H Other Taxes'!A39&amp;"."&amp;'KPCo WS H Other Taxes'!K8&amp;""</f>
        <v>Worksheet H ln 21.(E)</v>
      </c>
      <c r="F190" s="17"/>
      <c r="G190" s="121">
        <f>+'KPCo Historic TCOS'!G190</f>
        <v>778850</v>
      </c>
      <c r="H190" s="99"/>
      <c r="I190" s="30" t="s">
        <v>123</v>
      </c>
      <c r="J190" s="48">
        <f>VLOOKUP(I190,APCo_TU_Allocators,2,FALSE)</f>
        <v>0.2795609956309155</v>
      </c>
      <c r="K190" s="17"/>
      <c r="L190" s="106">
        <f>+J190*G190</f>
        <v>217736.08144713857</v>
      </c>
      <c r="O190" s="2"/>
    </row>
    <row r="191" spans="2:15" ht="15">
      <c r="B191" s="90">
        <f t="shared" si="12"/>
        <v>123</v>
      </c>
      <c r="C191" s="18"/>
      <c r="D191" s="40" t="s">
        <v>570</v>
      </c>
      <c r="E191" s="103" t="str">
        <f>"(sum lns "&amp;B186&amp;" to "&amp;B190&amp;")"</f>
        <v>(sum lns 118 to 122)</v>
      </c>
      <c r="F191" s="17"/>
      <c r="G191" s="120">
        <f>SUM(G186:G190)</f>
        <v>11682562</v>
      </c>
      <c r="H191" s="27"/>
      <c r="I191" s="30"/>
      <c r="J191" s="29"/>
      <c r="K191" s="17"/>
      <c r="L191" s="105">
        <f>SUM(L186:L190)</f>
        <v>3978173.3626113054</v>
      </c>
      <c r="O191" s="2"/>
    </row>
    <row r="192" spans="2:15" ht="15">
      <c r="B192" s="90"/>
      <c r="C192" s="18"/>
      <c r="D192" s="40"/>
      <c r="E192" s="17"/>
      <c r="F192" s="17"/>
      <c r="G192" s="17"/>
      <c r="H192" s="27"/>
      <c r="I192" s="30"/>
      <c r="J192" s="29"/>
      <c r="K192" s="17"/>
      <c r="L192" s="17"/>
      <c r="O192" s="2"/>
    </row>
    <row r="193" spans="2:15" ht="15">
      <c r="B193" s="90">
        <f>+B191+1</f>
        <v>124</v>
      </c>
      <c r="C193" s="18"/>
      <c r="D193" s="40" t="s">
        <v>125</v>
      </c>
      <c r="E193" s="27" t="s">
        <v>247</v>
      </c>
      <c r="F193" s="61"/>
      <c r="G193" s="17"/>
      <c r="H193" s="100"/>
      <c r="I193" s="21"/>
      <c r="J193" s="11"/>
      <c r="K193" s="17"/>
      <c r="L193" s="492"/>
      <c r="O193" s="2"/>
    </row>
    <row r="194" spans="2:15" ht="15">
      <c r="B194" s="90">
        <f aca="true" t="shared" si="13" ref="B194:B199">+B193+1</f>
        <v>125</v>
      </c>
      <c r="C194" s="18"/>
      <c r="D194" s="57" t="s">
        <v>126</v>
      </c>
      <c r="E194" s="17"/>
      <c r="F194" s="520"/>
      <c r="G194" s="441">
        <f>IF(F339&gt;0,1-(((1-F340)*(1-F339))/(1-F340*F339*F341)),0)</f>
        <v>0.38204499999999997</v>
      </c>
      <c r="H194" s="383"/>
      <c r="I194" s="21"/>
      <c r="J194" s="383"/>
      <c r="K194" s="17"/>
      <c r="L194" s="492"/>
      <c r="O194" s="2"/>
    </row>
    <row r="195" spans="2:15" ht="15">
      <c r="B195" s="90">
        <f t="shared" si="13"/>
        <v>126</v>
      </c>
      <c r="C195" s="18"/>
      <c r="D195" s="49" t="s">
        <v>127</v>
      </c>
      <c r="E195" s="17"/>
      <c r="F195" s="520"/>
      <c r="G195" s="441">
        <f>IF(L255&gt;0,($G194/(1-$G194))*(1-$L255/$L258),0)</f>
        <v>0.3756120419454258</v>
      </c>
      <c r="H195" s="383"/>
      <c r="I195" s="21"/>
      <c r="J195" s="11"/>
      <c r="K195" s="17"/>
      <c r="L195" s="492"/>
      <c r="O195" s="2"/>
    </row>
    <row r="196" spans="2:15" ht="15">
      <c r="B196" s="90">
        <f t="shared" si="13"/>
        <v>127</v>
      </c>
      <c r="C196" s="18"/>
      <c r="D196" s="58" t="str">
        <f>"       where WCLTD=(ln "&amp;B255&amp;") and WACC = (ln "&amp;B258&amp;")"</f>
        <v>       where WCLTD=(ln 162) and WACC = (ln 165)</v>
      </c>
      <c r="E196" s="27"/>
      <c r="F196" s="749"/>
      <c r="G196" s="17"/>
      <c r="H196" s="100"/>
      <c r="I196" s="21"/>
      <c r="J196" s="750"/>
      <c r="K196" s="17"/>
      <c r="L196" s="483"/>
      <c r="O196" s="2"/>
    </row>
    <row r="197" spans="2:15" ht="15">
      <c r="B197" s="90">
        <f t="shared" si="13"/>
        <v>128</v>
      </c>
      <c r="C197" s="18"/>
      <c r="D197" s="40" t="s">
        <v>251</v>
      </c>
      <c r="E197" s="752"/>
      <c r="F197" s="520"/>
      <c r="G197" s="17"/>
      <c r="H197" s="100"/>
      <c r="I197" s="21"/>
      <c r="J197" s="750"/>
      <c r="K197" s="17"/>
      <c r="L197" s="492"/>
      <c r="O197" s="2"/>
    </row>
    <row r="198" spans="2:15" ht="15">
      <c r="B198" s="90">
        <f t="shared" si="13"/>
        <v>129</v>
      </c>
      <c r="C198" s="18"/>
      <c r="D198" s="59" t="str">
        <f>"      GRCF=1 / (1 - T)  = (from ln "&amp;B194&amp;")"</f>
        <v>      GRCF=1 / (1 - T)  = (from ln 125)</v>
      </c>
      <c r="E198" s="61"/>
      <c r="F198" s="61"/>
      <c r="G198" s="442">
        <f>IF(G194&gt;0,1/(1-G194),0)</f>
        <v>1.6182408104149977</v>
      </c>
      <c r="H198" s="100"/>
      <c r="I198" s="126"/>
      <c r="J198" s="753"/>
      <c r="K198" s="105"/>
      <c r="L198" s="484"/>
      <c r="O198" s="2"/>
    </row>
    <row r="199" spans="2:15" ht="15">
      <c r="B199" s="90">
        <f t="shared" si="13"/>
        <v>130</v>
      </c>
      <c r="C199" s="18"/>
      <c r="D199" s="40" t="s">
        <v>128</v>
      </c>
      <c r="E199" s="41" t="s">
        <v>397</v>
      </c>
      <c r="F199" s="61"/>
      <c r="G199" s="120">
        <f>+'KPCo Historic TCOS'!G199</f>
        <v>-821956</v>
      </c>
      <c r="H199" s="100"/>
      <c r="I199" s="126"/>
      <c r="J199" s="754"/>
      <c r="K199" s="105"/>
      <c r="L199" s="160"/>
      <c r="O199" s="2"/>
    </row>
    <row r="200" spans="2:15" ht="15">
      <c r="B200" s="90"/>
      <c r="C200" s="18"/>
      <c r="D200" s="40"/>
      <c r="E200" s="17"/>
      <c r="F200" s="520"/>
      <c r="G200" s="105"/>
      <c r="H200" s="100"/>
      <c r="I200" s="126"/>
      <c r="J200" s="751"/>
      <c r="K200" s="105"/>
      <c r="L200" s="492"/>
      <c r="O200" s="2"/>
    </row>
    <row r="201" spans="2:15" ht="15">
      <c r="B201" s="90">
        <f>+B199+1</f>
        <v>131</v>
      </c>
      <c r="C201" s="18"/>
      <c r="D201" s="57" t="s">
        <v>129</v>
      </c>
      <c r="E201" s="60" t="str">
        <f>"(ln "&amp;B195&amp;" * ln "&amp;B205&amp;")"</f>
        <v>(ln 126 * ln 134)</v>
      </c>
      <c r="F201" s="161"/>
      <c r="G201" s="105">
        <f>+G195*G205</f>
        <v>28917138.328197207</v>
      </c>
      <c r="H201" s="100"/>
      <c r="I201" s="126"/>
      <c r="J201" s="751"/>
      <c r="K201" s="105"/>
      <c r="L201" s="105">
        <f>+L205*G195</f>
        <v>8444283.706686161</v>
      </c>
      <c r="O201" s="2"/>
    </row>
    <row r="202" spans="2:15" ht="15.75" thickBot="1">
      <c r="B202" s="90">
        <f>+B201+1</f>
        <v>132</v>
      </c>
      <c r="C202" s="18"/>
      <c r="D202" s="49" t="s">
        <v>130</v>
      </c>
      <c r="E202" s="60" t="str">
        <f>"(ln "&amp;B198&amp;" * ln "&amp;B199&amp;")"</f>
        <v>(ln 129 * ln 130)</v>
      </c>
      <c r="F202" s="60"/>
      <c r="G202" s="106">
        <f>G198*G199</f>
        <v>-1330122.7435654697</v>
      </c>
      <c r="H202" s="100"/>
      <c r="I202" s="201" t="s">
        <v>124</v>
      </c>
      <c r="J202" s="48">
        <f>VLOOKUP(I202,APCo_TU_Allocators,2,FALSE)</f>
        <v>0.28410674465124913</v>
      </c>
      <c r="K202" s="105"/>
      <c r="L202" s="106">
        <f>+G202*J202</f>
        <v>-377896.84266097384</v>
      </c>
      <c r="O202" s="2"/>
    </row>
    <row r="203" spans="2:15" ht="15">
      <c r="B203" s="90">
        <f>+B202+1</f>
        <v>133</v>
      </c>
      <c r="C203" s="18"/>
      <c r="D203" s="57" t="s">
        <v>571</v>
      </c>
      <c r="E203" s="17" t="str">
        <f>"(sum lns "&amp;B201&amp;" to "&amp;B202&amp;")"</f>
        <v>(sum lns 131 to 132)</v>
      </c>
      <c r="F203" s="60"/>
      <c r="G203" s="129">
        <f>SUM(G201:G202)</f>
        <v>27587015.584631737</v>
      </c>
      <c r="H203" s="100"/>
      <c r="I203" s="126" t="s">
        <v>722</v>
      </c>
      <c r="J203" s="755"/>
      <c r="K203" s="105"/>
      <c r="L203" s="129">
        <f>SUM(L201:L202)</f>
        <v>8066386.864025188</v>
      </c>
      <c r="O203" s="2"/>
    </row>
    <row r="204" spans="2:15" ht="15">
      <c r="B204" s="90"/>
      <c r="C204" s="18"/>
      <c r="D204" s="40"/>
      <c r="E204" s="17"/>
      <c r="F204" s="17"/>
      <c r="G204" s="17"/>
      <c r="H204" s="27"/>
      <c r="I204" s="30"/>
      <c r="J204" s="29"/>
      <c r="K204" s="17"/>
      <c r="L204" s="17"/>
      <c r="O204" s="2"/>
    </row>
    <row r="205" spans="2:15" ht="15">
      <c r="B205" s="90">
        <f>+B203+1</f>
        <v>134</v>
      </c>
      <c r="C205" s="18"/>
      <c r="D205" s="59" t="s">
        <v>832</v>
      </c>
      <c r="E205" s="59" t="str">
        <f>"(ln "&amp;B128&amp;" * ln "&amp;B258&amp;")"</f>
        <v>(ln 78 * ln 165)</v>
      </c>
      <c r="F205" s="46"/>
      <c r="G205" s="105">
        <f>+$L258*G128</f>
        <v>76986717.9402057</v>
      </c>
      <c r="H205" s="27"/>
      <c r="I205" s="126"/>
      <c r="J205" s="105"/>
      <c r="K205" s="105"/>
      <c r="L205" s="105">
        <f>+L258*L128</f>
        <v>22481397.728758294</v>
      </c>
      <c r="O205" s="160"/>
    </row>
    <row r="206" spans="2:12" ht="15">
      <c r="B206" s="90"/>
      <c r="C206" s="18"/>
      <c r="D206" s="57"/>
      <c r="E206" s="11"/>
      <c r="F206" s="11"/>
      <c r="G206" s="105"/>
      <c r="H206" s="105"/>
      <c r="I206" s="126"/>
      <c r="J206" s="126"/>
      <c r="K206" s="105"/>
      <c r="L206" s="105"/>
    </row>
    <row r="207" spans="2:12" ht="15">
      <c r="B207" s="90">
        <f>+B205+1</f>
        <v>135</v>
      </c>
      <c r="C207" s="18"/>
      <c r="D207" s="740" t="s">
        <v>605</v>
      </c>
      <c r="E207" s="11"/>
      <c r="F207" s="55"/>
      <c r="G207" s="120">
        <f>-'KPCo WS D IPP Credits'!C11</f>
        <v>8298</v>
      </c>
      <c r="H207" s="120"/>
      <c r="I207" s="130" t="s">
        <v>737</v>
      </c>
      <c r="J207" s="48">
        <f>VLOOKUP(I207,APCo_TU_Allocators,2,FALSE)</f>
        <v>1</v>
      </c>
      <c r="K207" s="118"/>
      <c r="L207" s="105">
        <f>+J207*G207</f>
        <v>8298</v>
      </c>
    </row>
    <row r="208" spans="2:12" ht="15">
      <c r="B208" s="679"/>
      <c r="C208" s="18"/>
      <c r="D208" s="740"/>
      <c r="E208" s="11"/>
      <c r="F208" s="55"/>
      <c r="G208" s="120"/>
      <c r="H208" s="120"/>
      <c r="I208" s="130"/>
      <c r="J208" s="48"/>
      <c r="K208" s="118"/>
      <c r="L208" s="105"/>
    </row>
    <row r="209" spans="2:14" ht="15">
      <c r="B209" s="90">
        <f>+B207+1</f>
        <v>136</v>
      </c>
      <c r="C209" s="18"/>
      <c r="D209" s="740" t="str">
        <f>"(Gains) / Losses on Sales of Plant Held for Future Use (Worksheet N, ln "&amp;'KPCo WS N - Sale of Plant Held'!A31&amp;", Cols. ("&amp;'KPCo WS N - Sale of Plant Held'!O10&amp;" &amp; "&amp;'KPCo WS N - Sale of Plant Held'!S10&amp;")"</f>
        <v>(Gains) / Losses on Sales of Plant Held for Future Use (Worksheet N, ln 4, Cols. ((F) &amp; (H))</v>
      </c>
      <c r="E209" s="13"/>
      <c r="F209" s="44"/>
      <c r="G209" s="120">
        <f>+'KPCo WS N - Sale of Plant Held'!O31</f>
        <v>0</v>
      </c>
      <c r="H209" s="120"/>
      <c r="I209" s="598"/>
      <c r="J209" s="48"/>
      <c r="K209" s="286"/>
      <c r="L209" s="120">
        <f>'KPCo WS N - Sale of Plant Held'!S31</f>
        <v>0</v>
      </c>
      <c r="M209" s="255"/>
      <c r="N209" s="756"/>
    </row>
    <row r="210" spans="2:14" ht="15">
      <c r="B210" s="90"/>
      <c r="C210" s="18"/>
      <c r="D210" s="740"/>
      <c r="E210" s="13"/>
      <c r="F210" s="44"/>
      <c r="G210" s="120"/>
      <c r="H210" s="120"/>
      <c r="I210" s="598"/>
      <c r="J210" s="48"/>
      <c r="K210" s="286"/>
      <c r="L210" s="120"/>
      <c r="M210" s="255"/>
      <c r="N210" s="756"/>
    </row>
    <row r="211" spans="2:14" ht="15">
      <c r="B211" s="90">
        <f>+B209+1</f>
        <v>137</v>
      </c>
      <c r="C211" s="18"/>
      <c r="D211" s="740" t="str">
        <f>" Tax Impact on Net Loss / (Gain) on Sales of Plant Held for Future Use (ln "&amp;B209&amp;" * ln"&amp;B195&amp;")"</f>
        <v> Tax Impact on Net Loss / (Gain) on Sales of Plant Held for Future Use (ln 136 * ln126)</v>
      </c>
      <c r="E211" s="13"/>
      <c r="F211" s="44"/>
      <c r="G211" s="120">
        <f>+-G209*G195</f>
        <v>0</v>
      </c>
      <c r="H211" s="120"/>
      <c r="I211" s="598"/>
      <c r="J211" s="48"/>
      <c r="K211" s="286"/>
      <c r="L211" s="120">
        <f>L209*-G195</f>
        <v>0</v>
      </c>
      <c r="M211" s="255"/>
      <c r="N211" s="756"/>
    </row>
    <row r="212" spans="2:12" ht="15.75" thickBot="1">
      <c r="B212" s="679"/>
      <c r="C212" s="18"/>
      <c r="D212" s="40"/>
      <c r="E212" s="11"/>
      <c r="F212" s="11"/>
      <c r="G212" s="106"/>
      <c r="H212" s="140"/>
      <c r="I212" s="126"/>
      <c r="J212" s="126"/>
      <c r="K212" s="105"/>
      <c r="L212" s="106"/>
    </row>
    <row r="213" spans="2:12" ht="15.75" thickBot="1">
      <c r="B213" s="90">
        <f>+B211+1</f>
        <v>138</v>
      </c>
      <c r="C213" s="18"/>
      <c r="D213" s="11" t="s">
        <v>32</v>
      </c>
      <c r="E213" s="11"/>
      <c r="F213" s="11"/>
      <c r="G213" s="158">
        <f>+G207+G205+G203+G191+G182+G173+G209+G211</f>
        <v>186414292.53920475</v>
      </c>
      <c r="H213" s="11"/>
      <c r="I213" s="11"/>
      <c r="J213" s="11"/>
      <c r="K213" s="11"/>
      <c r="L213" s="158">
        <f>+L207+L205+L203+L191+L182+L173+L209+L211</f>
        <v>40476610.23944825</v>
      </c>
    </row>
    <row r="214" spans="2:12" ht="15.75" thickTop="1">
      <c r="B214" s="90"/>
      <c r="C214" s="18"/>
      <c r="D214" s="15" t="str">
        <f>"    (sum lns "&amp;B173&amp;", "&amp;B182&amp;", "&amp;B191&amp;", "&amp;B203&amp;", "&amp;B205&amp;", "&amp;B207&amp;")"</f>
        <v>    (sum lns 107, 115, 123, 133, 134, 135)</v>
      </c>
      <c r="E214" s="11"/>
      <c r="F214" s="123"/>
      <c r="G214" s="11"/>
      <c r="H214" s="11"/>
      <c r="I214" s="11"/>
      <c r="J214" s="11"/>
      <c r="K214" s="11"/>
      <c r="L214" s="11"/>
    </row>
    <row r="215" spans="2:12" ht="15">
      <c r="B215" s="90"/>
      <c r="C215" s="18"/>
      <c r="D215" s="11"/>
      <c r="E215" s="11"/>
      <c r="F215" s="123"/>
      <c r="G215" s="11"/>
      <c r="H215" s="11"/>
      <c r="I215" s="11"/>
      <c r="J215" s="11"/>
      <c r="K215" s="11"/>
      <c r="L215" s="11"/>
    </row>
    <row r="216" spans="2:12" ht="15">
      <c r="B216" s="90"/>
      <c r="C216" s="18"/>
      <c r="D216" s="15"/>
      <c r="E216" s="11"/>
      <c r="F216" s="21" t="str">
        <f>F131</f>
        <v>AEP East Companies </v>
      </c>
      <c r="G216" s="11"/>
      <c r="H216" s="11"/>
      <c r="I216" s="11"/>
      <c r="J216" s="11"/>
      <c r="K216" s="11"/>
      <c r="L216" s="11"/>
    </row>
    <row r="217" spans="2:12" ht="15">
      <c r="B217" s="90"/>
      <c r="C217" s="18"/>
      <c r="D217" s="15"/>
      <c r="E217" s="11"/>
      <c r="F217" s="21" t="str">
        <f>F132</f>
        <v>Transmission Cost of Service Formula Rate</v>
      </c>
      <c r="G217" s="11"/>
      <c r="H217" s="11"/>
      <c r="I217" s="11"/>
      <c r="J217" s="11"/>
      <c r="K217" s="11"/>
      <c r="L217" s="11"/>
    </row>
    <row r="218" spans="2:11" ht="15">
      <c r="B218" s="11"/>
      <c r="C218" s="18"/>
      <c r="D218" s="11"/>
      <c r="E218" s="11"/>
      <c r="F218" s="21" t="str">
        <f>F133</f>
        <v>Utilizing Actual Cost Data for 2009 with Average Ratebase Balances</v>
      </c>
      <c r="G218" s="11"/>
      <c r="H218" s="11"/>
      <c r="I218" s="11"/>
      <c r="J218" s="11"/>
      <c r="K218" s="11"/>
    </row>
    <row r="219" spans="2:11" ht="15">
      <c r="B219" s="90"/>
      <c r="C219" s="18"/>
      <c r="E219" s="21"/>
      <c r="F219" s="762"/>
      <c r="G219" s="21"/>
      <c r="H219" s="21"/>
      <c r="I219" s="21"/>
      <c r="J219" s="21"/>
      <c r="K219" s="21"/>
    </row>
    <row r="220" spans="2:12" ht="15">
      <c r="B220" s="90"/>
      <c r="C220" s="18"/>
      <c r="D220" s="11"/>
      <c r="E220" s="15"/>
      <c r="F220" s="21" t="str">
        <f>F135</f>
        <v>KENTUCKY POWER COMPANY</v>
      </c>
      <c r="G220" s="15"/>
      <c r="H220" s="15"/>
      <c r="I220" s="15"/>
      <c r="J220" s="15"/>
      <c r="K220" s="15"/>
      <c r="L220" s="15"/>
    </row>
    <row r="221" spans="2:12" ht="15">
      <c r="B221" s="90"/>
      <c r="C221" s="18"/>
      <c r="D221" s="11"/>
      <c r="E221" s="15"/>
      <c r="F221" s="21"/>
      <c r="G221" s="15"/>
      <c r="H221" s="15"/>
      <c r="I221" s="15"/>
      <c r="J221" s="15"/>
      <c r="K221" s="15"/>
      <c r="L221" s="15"/>
    </row>
    <row r="222" spans="2:12" ht="15.75">
      <c r="B222" s="90"/>
      <c r="C222" s="18"/>
      <c r="D222" s="11"/>
      <c r="F222" s="36" t="s">
        <v>576</v>
      </c>
      <c r="G222" s="11"/>
      <c r="H222" s="16"/>
      <c r="I222" s="16"/>
      <c r="J222" s="16"/>
      <c r="K222" s="16"/>
      <c r="L222" s="16"/>
    </row>
    <row r="223" spans="2:12" ht="15.75">
      <c r="B223" s="90"/>
      <c r="C223" s="18"/>
      <c r="D223" s="38"/>
      <c r="E223" s="16"/>
      <c r="F223" s="16"/>
      <c r="G223" s="16"/>
      <c r="H223" s="16"/>
      <c r="I223" s="16"/>
      <c r="J223" s="16"/>
      <c r="K223" s="16"/>
      <c r="L223" s="16"/>
    </row>
    <row r="224" spans="2:15" ht="15.75">
      <c r="B224" s="90" t="s">
        <v>724</v>
      </c>
      <c r="C224" s="18"/>
      <c r="D224" s="38"/>
      <c r="E224" s="16"/>
      <c r="F224" s="16"/>
      <c r="G224" s="16"/>
      <c r="H224" s="16"/>
      <c r="I224" s="16"/>
      <c r="J224" s="16"/>
      <c r="K224" s="16"/>
      <c r="L224" s="16"/>
      <c r="O224" s="56"/>
    </row>
    <row r="225" spans="2:16" ht="15.75" thickBot="1">
      <c r="B225" s="91" t="s">
        <v>725</v>
      </c>
      <c r="C225" s="23"/>
      <c r="D225" s="54" t="s">
        <v>919</v>
      </c>
      <c r="E225" s="24"/>
      <c r="F225" s="24"/>
      <c r="G225" s="24"/>
      <c r="H225" s="24"/>
      <c r="I225" s="24"/>
      <c r="J225" s="24"/>
      <c r="K225" s="13"/>
      <c r="L225" s="11"/>
      <c r="O225" s="56"/>
      <c r="P225"/>
    </row>
    <row r="226" spans="2:16" ht="15">
      <c r="B226" s="90">
        <f>+B213+1</f>
        <v>139</v>
      </c>
      <c r="C226" s="18"/>
      <c r="D226" s="24" t="s">
        <v>774</v>
      </c>
      <c r="E226" s="143" t="str">
        <f>"(ln "&amp;B61&amp;")"</f>
        <v>(ln 20)</v>
      </c>
      <c r="F226" s="68"/>
      <c r="H226" s="69"/>
      <c r="I226" s="69"/>
      <c r="J226" s="69"/>
      <c r="K226" s="69"/>
      <c r="L226" s="127">
        <f>+G61</f>
        <v>435274641.5</v>
      </c>
      <c r="O226" s="56"/>
      <c r="P226"/>
    </row>
    <row r="227" spans="2:16" ht="15">
      <c r="B227" s="90">
        <f>+B226+1</f>
        <v>140</v>
      </c>
      <c r="C227" s="18"/>
      <c r="D227" s="24" t="s">
        <v>248</v>
      </c>
      <c r="E227" s="70"/>
      <c r="F227" s="70"/>
      <c r="G227" s="71"/>
      <c r="H227" s="70"/>
      <c r="I227" s="70"/>
      <c r="J227" s="70"/>
      <c r="K227" s="70"/>
      <c r="L227" s="673">
        <v>0</v>
      </c>
      <c r="P227"/>
    </row>
    <row r="228" spans="2:16" ht="15.75" thickBot="1">
      <c r="B228" s="90">
        <f>+B227+1</f>
        <v>141</v>
      </c>
      <c r="C228" s="18"/>
      <c r="D228" s="68" t="str">
        <f>"  Less transmission plant included in OATT Ancillary Services (Worksheet A, ln "&amp;'KPCo WS A  - RB Support '!A62&amp;", Col. "&amp;'KPCo WS A  - RB Support '!E6&amp;")  (Note Q)"</f>
        <v>  Less transmission plant included in OATT Ancillary Services (Worksheet A, ln 23, Col. (C))  (Note Q)</v>
      </c>
      <c r="E228" s="68"/>
      <c r="F228" s="68"/>
      <c r="G228" s="39"/>
      <c r="H228" s="69"/>
      <c r="I228" s="69"/>
      <c r="J228" s="39"/>
      <c r="K228" s="69"/>
      <c r="L228" s="213">
        <f>+'KPCo WS A  - RB Support '!G62</f>
        <v>1602427.5</v>
      </c>
      <c r="P228"/>
    </row>
    <row r="229" spans="2:16" ht="15">
      <c r="B229" s="90">
        <f>+B228+1</f>
        <v>142</v>
      </c>
      <c r="C229" s="18"/>
      <c r="D229" s="24" t="s">
        <v>920</v>
      </c>
      <c r="E229" s="122" t="str">
        <f>"(ln "&amp;B226&amp;" - ln "&amp;B227&amp;" - ln "&amp;B228&amp;")"</f>
        <v>(ln 139 - ln 140 - ln 141)</v>
      </c>
      <c r="F229" s="68"/>
      <c r="H229" s="69"/>
      <c r="I229" s="69"/>
      <c r="J229" s="39"/>
      <c r="K229" s="69"/>
      <c r="L229" s="127">
        <f>L226-L227-L228</f>
        <v>433672214</v>
      </c>
      <c r="P229"/>
    </row>
    <row r="230" spans="2:16" ht="15">
      <c r="B230" s="90"/>
      <c r="C230" s="18"/>
      <c r="D230" s="13"/>
      <c r="E230" s="68"/>
      <c r="F230" s="68"/>
      <c r="G230" s="39"/>
      <c r="H230" s="69"/>
      <c r="I230" s="69"/>
      <c r="J230" s="39"/>
      <c r="K230" s="69"/>
      <c r="L230" s="70"/>
      <c r="P230"/>
    </row>
    <row r="231" spans="2:16" ht="15.75">
      <c r="B231" s="90">
        <f>+B229+1</f>
        <v>143</v>
      </c>
      <c r="C231" s="18"/>
      <c r="D231" s="24" t="s">
        <v>921</v>
      </c>
      <c r="E231" s="73" t="str">
        <f>"(ln "&amp;B229&amp;" / ln "&amp;B226&amp;")"</f>
        <v>(ln 142 / ln 139)</v>
      </c>
      <c r="F231" s="72"/>
      <c r="H231" s="74"/>
      <c r="I231" s="75"/>
      <c r="J231" s="75"/>
      <c r="K231" s="979" t="s">
        <v>751</v>
      </c>
      <c r="L231" s="77">
        <f>IF(L226&gt;0,L229/L226,0)</f>
        <v>0.9963185829193314</v>
      </c>
      <c r="P231"/>
    </row>
    <row r="232" spans="2:12" ht="15.75">
      <c r="B232" s="90"/>
      <c r="C232" s="18"/>
      <c r="D232" s="67"/>
      <c r="E232" s="24"/>
      <c r="F232" s="24"/>
      <c r="G232" s="142"/>
      <c r="H232" s="24"/>
      <c r="I232" s="78"/>
      <c r="J232" s="24"/>
      <c r="K232" s="24"/>
      <c r="L232" s="16"/>
    </row>
    <row r="233" spans="2:12" ht="30">
      <c r="B233" s="94">
        <f>B231+1</f>
        <v>144</v>
      </c>
      <c r="C233" s="78"/>
      <c r="D233" s="54" t="s">
        <v>577</v>
      </c>
      <c r="E233" s="47" t="s">
        <v>131</v>
      </c>
      <c r="F233" s="47" t="s">
        <v>813</v>
      </c>
      <c r="G233" s="209" t="s">
        <v>912</v>
      </c>
      <c r="H233" s="204" t="s">
        <v>726</v>
      </c>
      <c r="I233" s="30"/>
      <c r="J233" s="17"/>
      <c r="K233" s="17"/>
      <c r="L233" s="17"/>
    </row>
    <row r="234" spans="2:12" ht="15">
      <c r="B234" s="94">
        <f aca="true" t="shared" si="14" ref="B234:B239">+B233+1</f>
        <v>145</v>
      </c>
      <c r="C234" s="78"/>
      <c r="D234" s="54" t="s">
        <v>734</v>
      </c>
      <c r="E234" s="17" t="s">
        <v>254</v>
      </c>
      <c r="F234" s="27">
        <f>+'KPCo Historic TCOS'!F234</f>
        <v>9541025</v>
      </c>
      <c r="G234" s="27">
        <f>+'KPCo Historic TCOS'!G234</f>
        <v>2878391</v>
      </c>
      <c r="H234" s="205">
        <f>+F234+G234</f>
        <v>12419416</v>
      </c>
      <c r="I234" s="30" t="s">
        <v>735</v>
      </c>
      <c r="J234" s="48">
        <f>VLOOKUP(I234,APCo_TU_Allocators,2,FALSE)</f>
        <v>0</v>
      </c>
      <c r="K234" s="80"/>
      <c r="L234" s="105">
        <f>(F234+G234)*J234</f>
        <v>0</v>
      </c>
    </row>
    <row r="235" spans="2:12" ht="15">
      <c r="B235" s="94">
        <f t="shared" si="14"/>
        <v>146</v>
      </c>
      <c r="C235" s="78"/>
      <c r="D235" s="58" t="s">
        <v>736</v>
      </c>
      <c r="E235" s="27" t="s">
        <v>518</v>
      </c>
      <c r="F235" s="27">
        <f>+'KPCo Historic TCOS'!F235</f>
        <v>1320732</v>
      </c>
      <c r="G235" s="27">
        <f>+'KPCo Historic TCOS'!G235</f>
        <v>1123582</v>
      </c>
      <c r="H235" s="205">
        <f>+F235+G235</f>
        <v>2444314</v>
      </c>
      <c r="I235" s="78" t="s">
        <v>728</v>
      </c>
      <c r="J235" s="48">
        <f>VLOOKUP(I235,APCo_TU_Allocators,2,FALSE)</f>
        <v>0.9963185829193314</v>
      </c>
      <c r="K235" s="80"/>
      <c r="L235" s="105">
        <f>(F235+G235)*J235</f>
        <v>2435315.4606898827</v>
      </c>
    </row>
    <row r="236" spans="2:12" ht="15">
      <c r="B236" s="94">
        <f t="shared" si="14"/>
        <v>147</v>
      </c>
      <c r="C236" s="78"/>
      <c r="D236" s="58" t="s">
        <v>930</v>
      </c>
      <c r="E236" s="17" t="s">
        <v>319</v>
      </c>
      <c r="F236" s="27">
        <f>+'KPCo Historic TCOS'!F236</f>
        <v>0</v>
      </c>
      <c r="G236" s="27">
        <f>+'KPCo Historic TCOS'!G236</f>
        <v>0</v>
      </c>
      <c r="H236" s="205">
        <f>+F236+G236</f>
        <v>0</v>
      </c>
      <c r="I236" s="30" t="s">
        <v>735</v>
      </c>
      <c r="J236" s="48">
        <f>VLOOKUP(I236,APCo_TU_Allocators,2,FALSE)</f>
        <v>0</v>
      </c>
      <c r="K236" s="80"/>
      <c r="L236" s="159">
        <f>(F236+G236)*J236</f>
        <v>0</v>
      </c>
    </row>
    <row r="237" spans="2:12" ht="15">
      <c r="B237" s="94">
        <f t="shared" si="14"/>
        <v>148</v>
      </c>
      <c r="C237" s="78"/>
      <c r="D237" s="58" t="s">
        <v>738</v>
      </c>
      <c r="E237" s="17" t="s">
        <v>252</v>
      </c>
      <c r="F237" s="27">
        <f>+'KPCo Historic TCOS'!F237</f>
        <v>8965083</v>
      </c>
      <c r="G237" s="27">
        <f>+'KPCo Historic TCOS'!G237</f>
        <v>782203</v>
      </c>
      <c r="H237" s="205">
        <f>+F237+G237</f>
        <v>9747286</v>
      </c>
      <c r="I237" s="30" t="s">
        <v>735</v>
      </c>
      <c r="J237" s="48">
        <f>VLOOKUP(I237,APCo_TU_Allocators,2,FALSE)</f>
        <v>0</v>
      </c>
      <c r="K237" s="80"/>
      <c r="L237" s="105">
        <f>(F237+G237)*J237</f>
        <v>0</v>
      </c>
    </row>
    <row r="238" spans="2:12" ht="15.75" thickBot="1">
      <c r="B238" s="94">
        <f t="shared" si="14"/>
        <v>149</v>
      </c>
      <c r="C238" s="78"/>
      <c r="D238" s="58" t="s">
        <v>834</v>
      </c>
      <c r="E238" s="17" t="s">
        <v>253</v>
      </c>
      <c r="F238" s="303">
        <f>+'KPCo Historic TCOS'!F238</f>
        <v>1828519</v>
      </c>
      <c r="G238" s="303">
        <f>+'KPCo Historic TCOS'!G238</f>
        <v>1896289</v>
      </c>
      <c r="H238" s="206">
        <f>+F238+G238</f>
        <v>3724808</v>
      </c>
      <c r="I238" s="30" t="s">
        <v>735</v>
      </c>
      <c r="J238" s="48">
        <f>VLOOKUP(I238,APCo_TU_Allocators,2,FALSE)</f>
        <v>0</v>
      </c>
      <c r="K238" s="80"/>
      <c r="L238" s="106">
        <f>(F238+G238)*J238</f>
        <v>0</v>
      </c>
    </row>
    <row r="239" spans="2:12" ht="15">
      <c r="B239" s="94">
        <f t="shared" si="14"/>
        <v>150</v>
      </c>
      <c r="C239" s="78"/>
      <c r="D239" s="58" t="s">
        <v>726</v>
      </c>
      <c r="E239" s="58" t="str">
        <f>"(sum lns "&amp;B234&amp;" to "&amp;B238&amp;")"</f>
        <v>(sum lns 145 to 149)</v>
      </c>
      <c r="F239" s="27">
        <f>SUM(F234:F238)</f>
        <v>21655359</v>
      </c>
      <c r="G239" s="27">
        <f>SUM(G234:G238)</f>
        <v>6680465</v>
      </c>
      <c r="H239" s="27">
        <f>SUM(H234:H238)</f>
        <v>28335824</v>
      </c>
      <c r="I239" s="30"/>
      <c r="J239" s="17"/>
      <c r="K239" s="17"/>
      <c r="L239" s="105">
        <f>SUM(L234:L238)</f>
        <v>2435315.4606898827</v>
      </c>
    </row>
    <row r="240" spans="2:9" ht="15">
      <c r="B240" s="94"/>
      <c r="C240" s="78"/>
      <c r="D240" s="58" t="s">
        <v>722</v>
      </c>
      <c r="E240" s="27" t="s">
        <v>722</v>
      </c>
      <c r="F240" s="27"/>
      <c r="G240" s="13"/>
      <c r="H240" s="27"/>
      <c r="I240" s="141"/>
    </row>
    <row r="241" spans="2:12" ht="15.75">
      <c r="B241" s="90">
        <f>B239+1</f>
        <v>151</v>
      </c>
      <c r="C241" s="18"/>
      <c r="D241" s="40" t="s">
        <v>579</v>
      </c>
      <c r="E241" s="27"/>
      <c r="F241" s="27"/>
      <c r="G241" s="27"/>
      <c r="H241" s="27"/>
      <c r="I241" s="141"/>
      <c r="K241" s="124" t="s">
        <v>580</v>
      </c>
      <c r="L241" s="125">
        <f>IF(H239&lt;&gt;0,L239/(F239+G239),0)</f>
        <v>0.08594475532773929</v>
      </c>
    </row>
    <row r="242" spans="2:12" ht="15">
      <c r="B242" s="90"/>
      <c r="C242" s="18"/>
      <c r="D242" s="40"/>
      <c r="E242" s="27"/>
      <c r="F242" s="27"/>
      <c r="G242" s="27"/>
      <c r="H242" s="27"/>
      <c r="I242" s="30"/>
      <c r="J242" s="17"/>
      <c r="K242" s="17"/>
      <c r="L242" s="17"/>
    </row>
    <row r="243" spans="2:12" ht="15.75">
      <c r="B243" s="90"/>
      <c r="C243" s="18"/>
      <c r="D243" s="40"/>
      <c r="E243" s="123"/>
      <c r="F243" s="17"/>
      <c r="G243" s="11"/>
      <c r="H243" s="17"/>
      <c r="I243" s="17"/>
      <c r="J243" s="17"/>
      <c r="K243" s="37"/>
      <c r="L243" s="79"/>
    </row>
    <row r="244" spans="2:12" ht="15.75" thickBot="1">
      <c r="B244" s="94">
        <f>+B241+1</f>
        <v>152</v>
      </c>
      <c r="C244" s="78"/>
      <c r="D244" s="58" t="s">
        <v>831</v>
      </c>
      <c r="E244" s="27"/>
      <c r="F244" s="27"/>
      <c r="G244" s="27"/>
      <c r="H244" s="27"/>
      <c r="I244" s="27"/>
      <c r="J244" s="27"/>
      <c r="K244" s="27"/>
      <c r="L244" s="211" t="s">
        <v>752</v>
      </c>
    </row>
    <row r="245" spans="2:12" ht="15">
      <c r="B245" s="94">
        <f aca="true" t="shared" si="15" ref="B245:B252">+B244+1</f>
        <v>153</v>
      </c>
      <c r="C245" s="78"/>
      <c r="D245" s="27" t="s">
        <v>917</v>
      </c>
      <c r="E245" s="984" t="str">
        <f>"(Worksheet M, ln. "&amp;'KPCo WS M - Avg Cap Structure'!A37&amp;", col. "&amp;'KPCo WS M - Avg Cap Structure'!E6&amp;")"</f>
        <v>(Worksheet M, ln. 21, col. (E))</v>
      </c>
      <c r="F245" s="27"/>
      <c r="G245" s="27"/>
      <c r="H245" s="27"/>
      <c r="I245" s="27"/>
      <c r="J245" s="27"/>
      <c r="K245" s="27"/>
      <c r="L245" s="120">
        <f>+'KPCo WS M - Avg Cap Structure'!E37</f>
        <v>30813817</v>
      </c>
    </row>
    <row r="246" spans="2:12" ht="15">
      <c r="B246" s="94">
        <f t="shared" si="15"/>
        <v>154</v>
      </c>
      <c r="C246" s="78"/>
      <c r="D246" s="27" t="s">
        <v>918</v>
      </c>
      <c r="E246" s="984" t="str">
        <f>"(Worksheet M, ln. "&amp;'KPCo WS M - Avg Cap Structure'!A86&amp;", col. "&amp;'KPCo WS M - Avg Cap Structure'!E$6&amp;")"</f>
        <v>(Worksheet M, ln. 56, col. (E))</v>
      </c>
      <c r="F246" s="27"/>
      <c r="G246" s="27"/>
      <c r="H246" s="27"/>
      <c r="I246" s="27"/>
      <c r="J246" s="100"/>
      <c r="K246" s="27"/>
      <c r="L246" s="120">
        <f>+'KPCo WS M - Avg Cap Structure'!E86</f>
        <v>0</v>
      </c>
    </row>
    <row r="247" spans="2:12" ht="15.75" thickBot="1">
      <c r="B247" s="94">
        <f t="shared" si="15"/>
        <v>155</v>
      </c>
      <c r="C247" s="78"/>
      <c r="D247" s="291" t="s">
        <v>24</v>
      </c>
      <c r="E247" s="27"/>
      <c r="F247" s="27"/>
      <c r="G247" s="27"/>
      <c r="H247" s="100"/>
      <c r="I247" s="100"/>
      <c r="J247" s="100"/>
      <c r="K247" s="27"/>
      <c r="L247" s="600" t="s">
        <v>399</v>
      </c>
    </row>
    <row r="248" spans="2:12" ht="15">
      <c r="B248" s="94">
        <f t="shared" si="15"/>
        <v>156</v>
      </c>
      <c r="C248" s="78"/>
      <c r="D248" s="27" t="s">
        <v>25</v>
      </c>
      <c r="E248" s="14" t="str">
        <f>"(Worksheet M, ln. "&amp;'KPCo WS M - Avg Cap Structure'!A11&amp;", col. "&amp;'KPCo WS M - Avg Cap Structure'!E$6&amp;")"</f>
        <v>(Worksheet M, ln. 1, col. (E))</v>
      </c>
      <c r="F248" s="27"/>
      <c r="G248" s="24"/>
      <c r="H248" s="100"/>
      <c r="I248" s="100"/>
      <c r="J248" s="100"/>
      <c r="K248" s="27"/>
      <c r="L248" s="478">
        <f>+'KPCo WS M - Avg Cap Structure'!E11</f>
        <v>414896185</v>
      </c>
    </row>
    <row r="249" spans="2:12" ht="15">
      <c r="B249" s="94">
        <f t="shared" si="15"/>
        <v>157</v>
      </c>
      <c r="C249" s="78"/>
      <c r="D249" s="27" t="s">
        <v>192</v>
      </c>
      <c r="E249" s="14" t="str">
        <f>"(Worksheet M, ln. "&amp;'KPCo WS M - Avg Cap Structure'!A12&amp;", col. "&amp;'KPCo WS M - Avg Cap Structure'!E$6&amp;")"</f>
        <v>(Worksheet M, ln. 2, col. (E))</v>
      </c>
      <c r="F249" s="27"/>
      <c r="G249" s="27"/>
      <c r="H249" s="100"/>
      <c r="I249" s="100"/>
      <c r="J249" s="100"/>
      <c r="K249" s="27"/>
      <c r="L249" s="478">
        <f>+'KPCo WS M - Avg Cap Structure'!E85</f>
        <v>0</v>
      </c>
    </row>
    <row r="250" spans="2:12" ht="15">
      <c r="B250" s="94">
        <f t="shared" si="15"/>
        <v>158</v>
      </c>
      <c r="C250" s="78"/>
      <c r="D250" s="27" t="s">
        <v>191</v>
      </c>
      <c r="E250" s="14" t="str">
        <f>"(Worksheet M, ln. "&amp;'KPCo WS M - Avg Cap Structure'!A13&amp;", col. "&amp;'KPCo WS M - Avg Cap Structure'!E$6&amp;")"</f>
        <v>(Worksheet M, ln. 3, col. (E))</v>
      </c>
      <c r="F250" s="27"/>
      <c r="G250" s="27"/>
      <c r="H250" s="100"/>
      <c r="I250" s="100"/>
      <c r="J250" s="100"/>
      <c r="K250" s="27"/>
      <c r="L250" s="478">
        <f>+'KPCo WS M - Avg Cap Structure'!E13</f>
        <v>0</v>
      </c>
    </row>
    <row r="251" spans="2:13" ht="15.75" thickBot="1">
      <c r="B251" s="94">
        <f t="shared" si="15"/>
        <v>159</v>
      </c>
      <c r="C251" s="78"/>
      <c r="D251" s="27" t="s">
        <v>189</v>
      </c>
      <c r="E251" s="14" t="str">
        <f>"(Worksheet M, ln. "&amp;'KPCo WS M - Avg Cap Structure'!A14&amp;", col. "&amp;'KPCo WS M - Avg Cap Structure'!E$6&amp;")"</f>
        <v>(Worksheet M, ln. 4, col. (E))</v>
      </c>
      <c r="F251" s="27"/>
      <c r="G251" s="27"/>
      <c r="H251" s="100"/>
      <c r="I251" s="100"/>
      <c r="J251" s="100"/>
      <c r="K251" s="27"/>
      <c r="L251" s="213">
        <f>+'KPCo WS M - Avg Cap Structure'!E14</f>
        <v>-270679</v>
      </c>
      <c r="M251" s="756"/>
    </row>
    <row r="252" spans="2:13" ht="15">
      <c r="B252" s="94">
        <f t="shared" si="15"/>
        <v>160</v>
      </c>
      <c r="C252" s="78"/>
      <c r="D252" s="14" t="s">
        <v>26</v>
      </c>
      <c r="E252" s="27" t="str">
        <f>"(ln "&amp;B248&amp;" - ln "&amp;B249&amp;" - ln "&amp;B250&amp;" - ln "&amp;B251&amp;")"</f>
        <v>(ln 156 - ln 157 - ln 158 - ln 159)</v>
      </c>
      <c r="F252" s="256"/>
      <c r="G252" s="56"/>
      <c r="H252" s="100"/>
      <c r="I252" s="100"/>
      <c r="J252" s="100"/>
      <c r="K252" s="24"/>
      <c r="L252" s="284">
        <f>+L248-L249-L250-L251</f>
        <v>415166864</v>
      </c>
      <c r="M252" s="756"/>
    </row>
    <row r="253" spans="2:13" ht="15.75">
      <c r="B253" s="94"/>
      <c r="C253" s="78"/>
      <c r="D253" s="58"/>
      <c r="E253" s="27"/>
      <c r="F253" s="27"/>
      <c r="G253" s="1115" t="s">
        <v>812</v>
      </c>
      <c r="H253" s="1115"/>
      <c r="I253" s="27"/>
      <c r="J253" s="876" t="s">
        <v>753</v>
      </c>
      <c r="K253" s="27"/>
      <c r="L253" s="27"/>
      <c r="M253" s="756"/>
    </row>
    <row r="254" spans="2:21" ht="15.75" thickBot="1">
      <c r="B254" s="94">
        <f>+B252+1</f>
        <v>161</v>
      </c>
      <c r="C254" s="78"/>
      <c r="D254" s="58"/>
      <c r="E254" s="257" t="s">
        <v>401</v>
      </c>
      <c r="F254" s="27"/>
      <c r="G254" s="257" t="s">
        <v>377</v>
      </c>
      <c r="H254" s="877" t="s">
        <v>378</v>
      </c>
      <c r="I254" s="27"/>
      <c r="J254" s="878" t="s">
        <v>250</v>
      </c>
      <c r="K254" s="27"/>
      <c r="L254" s="257" t="s">
        <v>755</v>
      </c>
      <c r="M254" s="756"/>
      <c r="O254" s="31"/>
      <c r="P254" s="31"/>
      <c r="Q254" s="31"/>
      <c r="R254" s="31"/>
      <c r="S254" s="31"/>
      <c r="T254" s="31"/>
      <c r="U254" s="31"/>
    </row>
    <row r="255" spans="2:21" ht="15">
      <c r="B255" s="94">
        <f>+B254+1</f>
        <v>162</v>
      </c>
      <c r="C255" s="78"/>
      <c r="D255" s="985" t="str">
        <f>"  Long Term Debt  (Note T) W/S M, ln "&amp;'KPCo WS M - Avg Cap Structure'!A24&amp;", ln "&amp;'KPCo WS M - Avg Cap Structure'!A39&amp;", col. "&amp;'KPCo WS M - Avg Cap Structure'!E6&amp;")"</f>
        <v>  Long Term Debt  (Note T) W/S M, ln 11, ln 22, col. (E))</v>
      </c>
      <c r="E255" s="120">
        <f>+'KPCo WS M - Avg Cap Structure'!E24</f>
        <v>485000000</v>
      </c>
      <c r="F255" s="27"/>
      <c r="G255" s="879">
        <f>IF($E$258&gt;0,E255/$E$258,0)</f>
        <v>0.5387889950145954</v>
      </c>
      <c r="H255" s="880">
        <f>IF(G257&gt;E260,1-H256-H257,0)</f>
        <v>0</v>
      </c>
      <c r="I255" s="881"/>
      <c r="J255" s="882">
        <f>IF(E255&gt;0,L245/E255,0)</f>
        <v>0.06353364329896907</v>
      </c>
      <c r="K255" s="13"/>
      <c r="L255" s="883">
        <f>IF(G$255&gt;H$255,J255*G255,J255*H255)</f>
        <v>0.03423122782266733</v>
      </c>
      <c r="M255" s="756"/>
      <c r="O255" s="31"/>
      <c r="P255" s="31"/>
      <c r="Q255" s="31"/>
      <c r="R255" s="31"/>
      <c r="S255" s="31"/>
      <c r="T255" s="31"/>
      <c r="U255" s="31"/>
    </row>
    <row r="256" spans="2:13" ht="15">
      <c r="B256" s="94">
        <f>+B255+1</f>
        <v>163</v>
      </c>
      <c r="C256" s="78"/>
      <c r="D256" s="58" t="str">
        <f>"  Preferred Stock (ln "&amp;B249&amp;")"</f>
        <v>  Preferred Stock (ln 157)</v>
      </c>
      <c r="E256" s="120">
        <f>+L249</f>
        <v>0</v>
      </c>
      <c r="F256" s="13"/>
      <c r="G256" s="879">
        <f>IF($E$258&gt;0,E256/$E$258,0)</f>
        <v>0</v>
      </c>
      <c r="H256" s="880">
        <f>IF(G257&gt;E260,G256,0)</f>
        <v>0</v>
      </c>
      <c r="I256" s="881"/>
      <c r="J256" s="882">
        <f>IF(E256&gt;0,L246/E256,0)</f>
        <v>0</v>
      </c>
      <c r="K256" s="13"/>
      <c r="L256" s="884">
        <f>IF(G$255&gt;H$255,J256*G256,J256*H256)</f>
        <v>0</v>
      </c>
      <c r="M256" s="756"/>
    </row>
    <row r="257" spans="2:13" ht="15.75" thickBot="1">
      <c r="B257" s="94">
        <f>+B256+1</f>
        <v>164</v>
      </c>
      <c r="C257" s="78"/>
      <c r="D257" s="58" t="str">
        <f>"  Commone Stock (ln "&amp;B252&amp;")"</f>
        <v>  Commone Stock (ln 160)</v>
      </c>
      <c r="E257" s="121">
        <f>+L252</f>
        <v>415166864</v>
      </c>
      <c r="F257" s="13"/>
      <c r="G257" s="879">
        <f>IF($E$258&gt;0,E257/$E$258,0)</f>
        <v>0.46121100498540457</v>
      </c>
      <c r="H257" s="880">
        <f>IF(G257&gt;E260,E260,0)</f>
        <v>0</v>
      </c>
      <c r="I257" s="881"/>
      <c r="J257" s="302">
        <f>+'KPCo Historic TCOS'!J257</f>
        <v>0.1149</v>
      </c>
      <c r="K257" s="13"/>
      <c r="L257" s="885">
        <f>IF(G$255&gt;H$255,J257*G257,J257*H257)</f>
        <v>0.05299314447282299</v>
      </c>
      <c r="M257" s="756"/>
    </row>
    <row r="258" spans="2:14" ht="15.75">
      <c r="B258" s="94">
        <f>+B257+1</f>
        <v>165</v>
      </c>
      <c r="C258" s="78"/>
      <c r="D258" s="58" t="str">
        <f>" Total (Sum lns "&amp;B255&amp;" to "&amp;B257&amp;")"</f>
        <v> Total (Sum lns 162 to 164)</v>
      </c>
      <c r="E258" s="120">
        <f>E257+E256+E255</f>
        <v>900166864</v>
      </c>
      <c r="F258" s="13"/>
      <c r="G258" s="27" t="s">
        <v>722</v>
      </c>
      <c r="I258" s="27"/>
      <c r="J258" s="886"/>
      <c r="K258" s="258" t="s">
        <v>558</v>
      </c>
      <c r="L258" s="887">
        <f>SUM(L255:L257)</f>
        <v>0.08722437229549032</v>
      </c>
      <c r="M258" s="756"/>
      <c r="N258" s="830"/>
    </row>
    <row r="259" spans="2:21" ht="15">
      <c r="B259" s="93"/>
      <c r="C259" s="756"/>
      <c r="D259" s="756"/>
      <c r="E259" s="255"/>
      <c r="F259" s="255"/>
      <c r="G259" s="255"/>
      <c r="H259" s="255"/>
      <c r="I259" s="255"/>
      <c r="J259" s="139"/>
      <c r="K259" s="139"/>
      <c r="L259" s="139"/>
      <c r="M259" s="756"/>
      <c r="O259" s="84"/>
      <c r="P259" s="84"/>
      <c r="Q259" s="84"/>
      <c r="R259" s="84"/>
      <c r="S259" s="84"/>
      <c r="T259" s="84"/>
      <c r="U259" s="84"/>
    </row>
    <row r="260" spans="2:21" ht="15">
      <c r="B260" s="90">
        <f>+B258+1</f>
        <v>166</v>
      </c>
      <c r="C260" s="756"/>
      <c r="D260" s="582" t="s">
        <v>379</v>
      </c>
      <c r="E260" s="975">
        <v>0.5</v>
      </c>
      <c r="F260" s="831"/>
      <c r="G260" s="891"/>
      <c r="H260" s="255"/>
      <c r="I260" s="255"/>
      <c r="J260" s="27"/>
      <c r="K260" s="24"/>
      <c r="L260" s="27"/>
      <c r="M260" s="756"/>
      <c r="O260" s="84"/>
      <c r="P260" s="84"/>
      <c r="Q260" s="84"/>
      <c r="R260" s="84"/>
      <c r="S260" s="84"/>
      <c r="T260" s="84"/>
      <c r="U260" s="84"/>
    </row>
    <row r="261" spans="2:21" ht="15">
      <c r="B261" s="90"/>
      <c r="C261" s="756"/>
      <c r="D261" s="756"/>
      <c r="E261" s="756"/>
      <c r="F261" s="756"/>
      <c r="G261" s="756"/>
      <c r="H261" s="756"/>
      <c r="I261" s="756"/>
      <c r="J261" s="17"/>
      <c r="K261" s="16"/>
      <c r="L261" s="17"/>
      <c r="M261" s="756"/>
      <c r="O261" s="84"/>
      <c r="P261" s="84"/>
      <c r="Q261" s="84"/>
      <c r="R261" s="84"/>
      <c r="S261" s="84"/>
      <c r="T261" s="84"/>
      <c r="U261" s="84"/>
    </row>
    <row r="262" spans="2:21" ht="15.75">
      <c r="B262" s="679"/>
      <c r="C262" s="18"/>
      <c r="D262" s="63"/>
      <c r="E262" s="63"/>
      <c r="F262" s="21" t="str">
        <f>F216</f>
        <v>AEP East Companies </v>
      </c>
      <c r="G262" s="64"/>
      <c r="H262" s="17"/>
      <c r="I262" s="17"/>
      <c r="J262" s="17"/>
      <c r="K262" s="16"/>
      <c r="L262" s="17"/>
      <c r="O262" s="84"/>
      <c r="P262" s="84"/>
      <c r="Q262" s="84"/>
      <c r="R262" s="84"/>
      <c r="S262" s="84"/>
      <c r="T262" s="84"/>
      <c r="U262" s="84"/>
    </row>
    <row r="263" spans="2:21" ht="15">
      <c r="B263" s="679"/>
      <c r="C263" s="18"/>
      <c r="D263" s="65"/>
      <c r="E263" s="18"/>
      <c r="F263" s="21" t="str">
        <f>F217</f>
        <v>Transmission Cost of Service Formula Rate</v>
      </c>
      <c r="G263" s="17"/>
      <c r="H263" s="17"/>
      <c r="I263" s="17"/>
      <c r="J263" s="17"/>
      <c r="K263" s="16"/>
      <c r="L263" s="66"/>
      <c r="O263" s="84"/>
      <c r="P263" s="84"/>
      <c r="Q263" s="84"/>
      <c r="R263" s="84"/>
      <c r="S263" s="84"/>
      <c r="T263" s="84"/>
      <c r="U263" s="84"/>
    </row>
    <row r="264" spans="2:21" ht="15.75">
      <c r="B264" s="679"/>
      <c r="C264" s="18"/>
      <c r="D264" s="65"/>
      <c r="E264" s="36"/>
      <c r="F264" s="21" t="str">
        <f>F218</f>
        <v>Utilizing Actual Cost Data for 2009 with Average Ratebase Balances</v>
      </c>
      <c r="G264" s="17"/>
      <c r="H264" s="17"/>
      <c r="I264" s="17"/>
      <c r="J264" s="17"/>
      <c r="K264" s="16"/>
      <c r="L264" s="66"/>
      <c r="O264" s="84"/>
      <c r="P264" s="84"/>
      <c r="Q264" s="84"/>
      <c r="R264" s="84"/>
      <c r="S264" s="84"/>
      <c r="T264" s="84"/>
      <c r="U264" s="84"/>
    </row>
    <row r="265" spans="2:21" ht="15.75">
      <c r="B265" s="90"/>
      <c r="C265" s="18"/>
      <c r="D265" s="65"/>
      <c r="E265" s="36"/>
      <c r="F265" s="21"/>
      <c r="G265" s="17"/>
      <c r="H265" s="17"/>
      <c r="I265" s="17"/>
      <c r="J265" s="17"/>
      <c r="K265" s="16"/>
      <c r="L265" s="66"/>
      <c r="O265" s="84"/>
      <c r="P265" s="84"/>
      <c r="Q265" s="84"/>
      <c r="R265" s="84"/>
      <c r="S265" s="84"/>
      <c r="T265" s="84"/>
      <c r="U265" s="84"/>
    </row>
    <row r="266" spans="2:21" ht="15.75">
      <c r="B266" s="90"/>
      <c r="C266" s="18"/>
      <c r="D266" s="65"/>
      <c r="E266" s="36"/>
      <c r="F266" s="21" t="str">
        <f>F220</f>
        <v>KENTUCKY POWER COMPANY</v>
      </c>
      <c r="G266" s="17"/>
      <c r="H266" s="17"/>
      <c r="I266" s="17"/>
      <c r="J266" s="17"/>
      <c r="K266" s="16"/>
      <c r="L266" s="66"/>
      <c r="O266" s="84"/>
      <c r="P266" s="84"/>
      <c r="Q266" s="84"/>
      <c r="R266" s="84"/>
      <c r="S266" s="84"/>
      <c r="T266" s="84"/>
      <c r="U266" s="84"/>
    </row>
    <row r="267" spans="2:21" ht="15.75">
      <c r="B267" s="90"/>
      <c r="C267" s="18"/>
      <c r="D267" s="65"/>
      <c r="E267" s="36"/>
      <c r="F267" s="21"/>
      <c r="G267" s="17"/>
      <c r="H267" s="17"/>
      <c r="I267" s="17"/>
      <c r="J267" s="17"/>
      <c r="K267" s="16"/>
      <c r="L267" s="66"/>
      <c r="O267" s="84"/>
      <c r="P267" s="84"/>
      <c r="Q267" s="84"/>
      <c r="R267" s="84"/>
      <c r="S267" s="84"/>
      <c r="T267" s="84"/>
      <c r="U267" s="84"/>
    </row>
    <row r="268" spans="2:21" ht="15.75">
      <c r="B268" s="200" t="s">
        <v>784</v>
      </c>
      <c r="C268" s="23"/>
      <c r="D268" s="54"/>
      <c r="E268" s="24"/>
      <c r="F268" s="200" t="s">
        <v>783</v>
      </c>
      <c r="G268" s="27"/>
      <c r="H268" s="27"/>
      <c r="I268" s="27"/>
      <c r="J268" s="27"/>
      <c r="K268" s="24"/>
      <c r="L268" s="27"/>
      <c r="O268" s="84"/>
      <c r="P268" s="84"/>
      <c r="Q268" s="84"/>
      <c r="R268" s="84"/>
      <c r="S268" s="84"/>
      <c r="T268" s="84"/>
      <c r="U268" s="84"/>
    </row>
    <row r="269" spans="3:21" ht="15">
      <c r="C269" s="23"/>
      <c r="L269" s="66"/>
      <c r="O269" s="84"/>
      <c r="P269" s="84"/>
      <c r="Q269" s="84"/>
      <c r="R269" s="84"/>
      <c r="S269" s="84"/>
      <c r="T269" s="84"/>
      <c r="U269" s="84"/>
    </row>
    <row r="270" spans="2:21" ht="15">
      <c r="B270" s="90"/>
      <c r="C270" s="18"/>
      <c r="D270" s="15" t="s">
        <v>461</v>
      </c>
      <c r="E270" s="78"/>
      <c r="F270" s="78"/>
      <c r="G270" s="27"/>
      <c r="H270" s="27"/>
      <c r="I270" s="27"/>
      <c r="J270" s="27"/>
      <c r="K270" s="24"/>
      <c r="L270" s="27"/>
      <c r="O270" s="84"/>
      <c r="P270" s="84"/>
      <c r="Q270" s="84"/>
      <c r="R270" s="84"/>
      <c r="S270" s="84"/>
      <c r="T270" s="84"/>
      <c r="U270" s="84"/>
    </row>
    <row r="271" spans="2:21" ht="15">
      <c r="B271" s="14"/>
      <c r="D271" s="54"/>
      <c r="E271" s="24"/>
      <c r="F271" s="24"/>
      <c r="G271" s="27"/>
      <c r="H271" s="27"/>
      <c r="I271" s="27"/>
      <c r="J271" s="27"/>
      <c r="K271" s="24"/>
      <c r="L271" s="27"/>
      <c r="O271" s="84"/>
      <c r="P271" s="84"/>
      <c r="Q271" s="84"/>
      <c r="R271" s="84"/>
      <c r="S271" s="84"/>
      <c r="T271" s="84"/>
      <c r="U271" s="84"/>
    </row>
    <row r="272" spans="2:21" ht="3.75" customHeight="1">
      <c r="B272" s="14"/>
      <c r="D272" s="54"/>
      <c r="E272" s="24"/>
      <c r="F272" s="24"/>
      <c r="G272" s="27"/>
      <c r="H272" s="27"/>
      <c r="I272" s="27"/>
      <c r="J272" s="27"/>
      <c r="K272" s="24"/>
      <c r="L272" s="27"/>
      <c r="O272" s="84"/>
      <c r="P272" s="84"/>
      <c r="Q272" s="84"/>
      <c r="R272" s="84"/>
      <c r="S272" s="84"/>
      <c r="T272" s="84"/>
      <c r="U272" s="84"/>
    </row>
    <row r="273" spans="2:21" ht="15">
      <c r="B273" s="96" t="s">
        <v>756</v>
      </c>
      <c r="C273" s="23"/>
      <c r="D273" s="54" t="s">
        <v>354</v>
      </c>
      <c r="E273" s="24"/>
      <c r="F273" s="24"/>
      <c r="G273" s="27"/>
      <c r="H273" s="27"/>
      <c r="I273" s="27"/>
      <c r="J273" s="27"/>
      <c r="K273" s="24"/>
      <c r="L273" s="27"/>
      <c r="O273" s="84"/>
      <c r="P273" s="84"/>
      <c r="Q273" s="84"/>
      <c r="R273" s="84"/>
      <c r="S273" s="84"/>
      <c r="T273" s="84"/>
      <c r="U273" s="84"/>
    </row>
    <row r="274" spans="2:21" ht="15">
      <c r="B274" s="96"/>
      <c r="C274" s="83"/>
      <c r="D274" s="54" t="s">
        <v>193</v>
      </c>
      <c r="E274" s="24"/>
      <c r="F274" s="24"/>
      <c r="G274" s="24"/>
      <c r="H274" s="24"/>
      <c r="I274" s="24"/>
      <c r="J274" s="24"/>
      <c r="K274" s="24"/>
      <c r="L274" s="24"/>
      <c r="O274" s="84"/>
      <c r="P274" s="84"/>
      <c r="Q274" s="84"/>
      <c r="R274" s="84"/>
      <c r="S274" s="84"/>
      <c r="T274" s="84"/>
      <c r="U274" s="84"/>
    </row>
    <row r="275" spans="2:21" ht="15">
      <c r="B275" s="97"/>
      <c r="C275" s="13"/>
      <c r="D275" s="14" t="s">
        <v>194</v>
      </c>
      <c r="E275" s="88"/>
      <c r="F275" s="88"/>
      <c r="G275" s="24"/>
      <c r="H275" s="24"/>
      <c r="I275" s="24"/>
      <c r="J275" s="24"/>
      <c r="K275" s="24"/>
      <c r="L275" s="24"/>
      <c r="O275" s="84"/>
      <c r="P275" s="84"/>
      <c r="Q275" s="84"/>
      <c r="R275" s="84"/>
      <c r="S275" s="84"/>
      <c r="T275" s="84"/>
      <c r="U275" s="84"/>
    </row>
    <row r="276" spans="2:21" ht="15">
      <c r="B276" s="97"/>
      <c r="C276" s="13"/>
      <c r="D276" s="54" t="s">
        <v>355</v>
      </c>
      <c r="E276" s="24"/>
      <c r="F276" s="24"/>
      <c r="G276" s="24"/>
      <c r="H276" s="24"/>
      <c r="I276" s="24"/>
      <c r="J276" s="24"/>
      <c r="K276" s="24"/>
      <c r="L276" s="24"/>
      <c r="O276" s="84"/>
      <c r="P276" s="84"/>
      <c r="Q276" s="84"/>
      <c r="R276" s="84"/>
      <c r="S276" s="84"/>
      <c r="T276" s="84"/>
      <c r="U276" s="84"/>
    </row>
    <row r="277" spans="2:21" ht="15">
      <c r="B277" s="94"/>
      <c r="C277" s="78"/>
      <c r="D277" s="54" t="s">
        <v>356</v>
      </c>
      <c r="E277" s="24"/>
      <c r="F277" s="24"/>
      <c r="G277" s="24"/>
      <c r="H277" s="24"/>
      <c r="I277" s="24"/>
      <c r="J277" s="24"/>
      <c r="K277" s="24"/>
      <c r="L277" s="24"/>
      <c r="O277" s="84"/>
      <c r="P277" s="84"/>
      <c r="Q277" s="84"/>
      <c r="R277" s="84"/>
      <c r="S277" s="84"/>
      <c r="T277" s="84"/>
      <c r="U277" s="84"/>
    </row>
    <row r="278" spans="2:21" ht="15">
      <c r="B278" s="94"/>
      <c r="C278" s="78"/>
      <c r="D278" s="54" t="s">
        <v>195</v>
      </c>
      <c r="E278" s="24"/>
      <c r="F278" s="24"/>
      <c r="G278" s="24"/>
      <c r="H278" s="24"/>
      <c r="I278" s="24"/>
      <c r="J278" s="24"/>
      <c r="K278" s="24"/>
      <c r="L278" s="24"/>
      <c r="O278" s="84"/>
      <c r="P278" s="84"/>
      <c r="Q278" s="84"/>
      <c r="R278" s="84"/>
      <c r="S278" s="84"/>
      <c r="T278" s="84"/>
      <c r="U278" s="84"/>
    </row>
    <row r="279" spans="2:21" ht="15">
      <c r="B279" s="94"/>
      <c r="C279" s="78"/>
      <c r="D279" s="54" t="s">
        <v>196</v>
      </c>
      <c r="E279" s="24"/>
      <c r="F279" s="24"/>
      <c r="G279" s="24"/>
      <c r="H279" s="24"/>
      <c r="I279" s="24"/>
      <c r="J279" s="24"/>
      <c r="K279" s="24"/>
      <c r="L279" s="24"/>
      <c r="O279" s="84"/>
      <c r="P279" s="84"/>
      <c r="Q279" s="84"/>
      <c r="R279" s="84"/>
      <c r="S279" s="84"/>
      <c r="T279" s="84"/>
      <c r="U279" s="84"/>
    </row>
    <row r="280" spans="2:21" ht="15">
      <c r="B280" s="94"/>
      <c r="C280" s="78"/>
      <c r="D280" s="54" t="s">
        <v>364</v>
      </c>
      <c r="E280" s="24"/>
      <c r="F280" s="24"/>
      <c r="G280" s="24"/>
      <c r="H280" s="24"/>
      <c r="I280" s="24"/>
      <c r="J280" s="24"/>
      <c r="K280" s="24"/>
      <c r="L280" s="24"/>
      <c r="O280" s="84"/>
      <c r="P280" s="84"/>
      <c r="Q280" s="84"/>
      <c r="R280" s="84"/>
      <c r="S280" s="84"/>
      <c r="T280" s="84"/>
      <c r="U280" s="84"/>
    </row>
    <row r="281" spans="2:21" ht="15">
      <c r="B281" s="94"/>
      <c r="C281" s="78"/>
      <c r="D281" s="139"/>
      <c r="E281" s="24"/>
      <c r="F281" s="24"/>
      <c r="G281" s="24"/>
      <c r="H281" s="24"/>
      <c r="I281" s="24"/>
      <c r="J281" s="24"/>
      <c r="K281" s="24"/>
      <c r="L281" s="54"/>
      <c r="O281" s="84"/>
      <c r="P281" s="84"/>
      <c r="Q281" s="84"/>
      <c r="R281" s="84"/>
      <c r="S281" s="84"/>
      <c r="T281" s="84"/>
      <c r="U281" s="84"/>
    </row>
    <row r="282" spans="2:21" ht="15" customHeight="1">
      <c r="B282" s="94" t="s">
        <v>757</v>
      </c>
      <c r="C282" s="78"/>
      <c r="D282" s="1148" t="s">
        <v>236</v>
      </c>
      <c r="E282" s="1149"/>
      <c r="F282" s="1149"/>
      <c r="G282" s="1149"/>
      <c r="H282" s="1149"/>
      <c r="I282" s="1149"/>
      <c r="J282" s="1149"/>
      <c r="K282" s="1149"/>
      <c r="L282" s="54"/>
      <c r="O282" s="84"/>
      <c r="P282" s="84"/>
      <c r="Q282" s="84"/>
      <c r="R282" s="84"/>
      <c r="S282" s="84"/>
      <c r="T282" s="84"/>
      <c r="U282" s="84"/>
    </row>
    <row r="283" spans="2:21" ht="15">
      <c r="B283" s="94"/>
      <c r="C283" s="78"/>
      <c r="D283" s="1149"/>
      <c r="E283" s="1149"/>
      <c r="F283" s="1149"/>
      <c r="G283" s="1149"/>
      <c r="H283" s="1149"/>
      <c r="I283" s="1149"/>
      <c r="J283" s="1149"/>
      <c r="K283" s="1149"/>
      <c r="L283" s="54"/>
      <c r="O283" s="84"/>
      <c r="P283" s="84"/>
      <c r="Q283" s="84"/>
      <c r="R283" s="84"/>
      <c r="S283" s="84"/>
      <c r="T283" s="84"/>
      <c r="U283" s="84"/>
    </row>
    <row r="284" spans="5:21" ht="15">
      <c r="E284" s="24"/>
      <c r="F284" s="24"/>
      <c r="G284" s="24"/>
      <c r="H284" s="24"/>
      <c r="I284" s="24"/>
      <c r="J284" s="24"/>
      <c r="K284" s="24"/>
      <c r="L284" s="24"/>
      <c r="O284" s="84"/>
      <c r="P284" s="84"/>
      <c r="Q284" s="84"/>
      <c r="R284" s="84"/>
      <c r="S284" s="84"/>
      <c r="T284" s="84"/>
      <c r="U284" s="84"/>
    </row>
    <row r="285" spans="2:21" ht="15">
      <c r="B285" s="94" t="s">
        <v>758</v>
      </c>
      <c r="C285" s="78"/>
      <c r="D285" s="1073" t="str">
        <f>"Transmission Plant balances in this study reflect the average of the balances at December 31, "&amp;'KPCo Historic TCOS'!O2-2&amp;" and December 31, "&amp;'KPCo Historic TCOS'!O1&amp;"."</f>
        <v>Transmission Plant balances in this study reflect the average of the balances at December 31, 2008 and December 31, 2009.</v>
      </c>
      <c r="E285" s="24"/>
      <c r="F285" s="24"/>
      <c r="G285" s="24"/>
      <c r="H285" s="24"/>
      <c r="I285" s="24"/>
      <c r="J285" s="24"/>
      <c r="K285" s="24"/>
      <c r="L285" s="24"/>
      <c r="O285" s="84"/>
      <c r="P285" s="84"/>
      <c r="Q285" s="84"/>
      <c r="R285" s="84"/>
      <c r="S285" s="84"/>
      <c r="T285" s="84"/>
      <c r="U285" s="84"/>
    </row>
    <row r="286" spans="2:21" ht="15">
      <c r="B286" s="94"/>
      <c r="C286" s="78"/>
      <c r="D286" s="5"/>
      <c r="E286" s="24"/>
      <c r="F286" s="24"/>
      <c r="G286" s="24"/>
      <c r="H286" s="24"/>
      <c r="I286" s="24"/>
      <c r="J286" s="24"/>
      <c r="K286" s="24"/>
      <c r="L286" s="24"/>
      <c r="O286" s="84"/>
      <c r="P286" s="84"/>
      <c r="Q286" s="84"/>
      <c r="R286" s="84"/>
      <c r="S286" s="84"/>
      <c r="T286" s="84"/>
      <c r="U286" s="84"/>
    </row>
    <row r="287" spans="2:21" ht="15">
      <c r="B287" s="94" t="s">
        <v>759</v>
      </c>
      <c r="C287" s="78"/>
      <c r="D287" s="54" t="s">
        <v>27</v>
      </c>
      <c r="E287" s="24"/>
      <c r="F287" s="24"/>
      <c r="G287" s="24"/>
      <c r="H287" s="24"/>
      <c r="I287" s="24"/>
      <c r="J287" s="24"/>
      <c r="K287" s="24"/>
      <c r="L287" s="24"/>
      <c r="O287" s="84"/>
      <c r="P287" s="54"/>
      <c r="Q287" s="54"/>
      <c r="R287" s="84"/>
      <c r="S287" s="84"/>
      <c r="T287" s="84"/>
      <c r="U287" s="84"/>
    </row>
    <row r="288" spans="2:21" ht="15">
      <c r="B288" s="94"/>
      <c r="C288" s="78"/>
      <c r="D288" s="54" t="s">
        <v>372</v>
      </c>
      <c r="E288" s="24"/>
      <c r="F288" s="24"/>
      <c r="G288" s="24"/>
      <c r="H288" s="24"/>
      <c r="I288" s="24"/>
      <c r="J288" s="24"/>
      <c r="K288" s="24"/>
      <c r="L288" s="24"/>
      <c r="O288" s="84"/>
      <c r="P288" s="54"/>
      <c r="Q288" s="54"/>
      <c r="R288" s="84"/>
      <c r="S288" s="84"/>
      <c r="T288" s="84"/>
      <c r="U288" s="84"/>
    </row>
    <row r="289" spans="2:21" ht="15">
      <c r="B289" s="94"/>
      <c r="C289" s="78"/>
      <c r="D289" s="54" t="s">
        <v>386</v>
      </c>
      <c r="E289" s="24"/>
      <c r="F289" s="24"/>
      <c r="G289" s="24"/>
      <c r="H289" s="24"/>
      <c r="I289" s="24"/>
      <c r="J289" s="24"/>
      <c r="K289" s="24"/>
      <c r="L289" s="68"/>
      <c r="O289" s="84"/>
      <c r="P289" s="54"/>
      <c r="Q289" s="54"/>
      <c r="R289" s="84"/>
      <c r="S289" s="84"/>
      <c r="T289" s="84"/>
      <c r="U289" s="84"/>
    </row>
    <row r="290" spans="2:21" ht="15">
      <c r="B290" s="94"/>
      <c r="C290" s="78"/>
      <c r="D290" s="54" t="s">
        <v>181</v>
      </c>
      <c r="E290" s="24"/>
      <c r="F290" s="24"/>
      <c r="G290" s="24"/>
      <c r="H290" s="24"/>
      <c r="I290" s="24"/>
      <c r="J290" s="24"/>
      <c r="K290" s="24"/>
      <c r="L290" s="68"/>
      <c r="O290" s="84"/>
      <c r="P290" s="54"/>
      <c r="Q290" s="84"/>
      <c r="R290" s="84"/>
      <c r="S290" s="84"/>
      <c r="T290" s="84"/>
      <c r="U290" s="84"/>
    </row>
    <row r="291" spans="2:21" ht="15">
      <c r="B291" s="94"/>
      <c r="C291" s="78"/>
      <c r="D291" s="1068" t="s">
        <v>44</v>
      </c>
      <c r="E291" s="24"/>
      <c r="F291" s="24"/>
      <c r="G291" s="24"/>
      <c r="H291" s="24"/>
      <c r="I291" s="24"/>
      <c r="J291" s="24"/>
      <c r="K291" s="24"/>
      <c r="L291" s="68"/>
      <c r="O291" s="84"/>
      <c r="P291" s="54"/>
      <c r="Q291" s="84"/>
      <c r="R291" s="84"/>
      <c r="S291" s="84"/>
      <c r="T291" s="84"/>
      <c r="U291" s="84"/>
    </row>
    <row r="292" spans="2:21" ht="9" customHeight="1">
      <c r="B292" s="94"/>
      <c r="C292" s="78"/>
      <c r="D292" s="54"/>
      <c r="E292" s="24"/>
      <c r="F292" s="24"/>
      <c r="G292" s="24"/>
      <c r="H292" s="24"/>
      <c r="I292" s="24"/>
      <c r="J292" s="24"/>
      <c r="K292" s="24"/>
      <c r="L292" s="68"/>
      <c r="O292" s="84"/>
      <c r="P292" s="84"/>
      <c r="Q292" s="84"/>
      <c r="R292" s="84"/>
      <c r="S292" s="84"/>
      <c r="T292" s="84"/>
      <c r="U292" s="84"/>
    </row>
    <row r="293" spans="2:21" ht="15">
      <c r="B293" s="94" t="s">
        <v>760</v>
      </c>
      <c r="C293" s="78"/>
      <c r="D293" s="54" t="str">
        <f>"Cash Working Capital assigned to transmission is one-eighth of O&amp;M allocated to transmission, as shown on line "&amp;B152&amp;". It excludes:"</f>
        <v>Cash Working Capital assigned to transmission is one-eighth of O&amp;M allocated to transmission, as shown on line 88. It excludes:</v>
      </c>
      <c r="E293"/>
      <c r="F293"/>
      <c r="G293"/>
      <c r="H293"/>
      <c r="I293"/>
      <c r="J293"/>
      <c r="K293"/>
      <c r="L293"/>
      <c r="O293" s="84"/>
      <c r="P293" s="84"/>
      <c r="Q293" s="84"/>
      <c r="R293" s="84"/>
      <c r="S293" s="84"/>
      <c r="T293" s="84"/>
      <c r="U293" s="84"/>
    </row>
    <row r="294" spans="2:21" ht="15">
      <c r="B294" s="94"/>
      <c r="C294" s="78"/>
      <c r="D294" s="54" t="str">
        <f>+"1)  Load Scheduling &amp; Dispatch Charges in account 561 that are collected in the OATT Ancilliary Services Revenue, as shown on line "&amp;B149&amp;"."</f>
        <v>1)  Load Scheduling &amp; Dispatch Charges in account 561 that are collected in the OATT Ancilliary Services Revenue, as shown on line 85.</v>
      </c>
      <c r="E294"/>
      <c r="F294"/>
      <c r="G294"/>
      <c r="H294"/>
      <c r="I294"/>
      <c r="J294"/>
      <c r="K294"/>
      <c r="L294"/>
      <c r="O294" s="84"/>
      <c r="P294" s="84"/>
      <c r="Q294" s="84"/>
      <c r="R294" s="84"/>
      <c r="S294" s="84"/>
      <c r="T294" s="84"/>
      <c r="U294" s="84"/>
    </row>
    <row r="295" spans="2:21" ht="15">
      <c r="B295" s="94"/>
      <c r="C295" s="78"/>
      <c r="D295" s="54" t="str">
        <f>+"2)  AEP transmission equalization transfers, as shown on line "&amp;B150&amp;""</f>
        <v>2)  AEP transmission equalization transfers, as shown on line 86</v>
      </c>
      <c r="E295" s="857"/>
      <c r="F295" s="857"/>
      <c r="G295" s="857"/>
      <c r="H295" s="857"/>
      <c r="I295" s="857"/>
      <c r="J295" s="857"/>
      <c r="K295" s="857"/>
      <c r="L295" s="857"/>
      <c r="O295" s="84"/>
      <c r="P295" s="84"/>
      <c r="Q295" s="84"/>
      <c r="R295" s="84"/>
      <c r="S295" s="84"/>
      <c r="T295" s="84"/>
      <c r="U295" s="84"/>
    </row>
    <row r="296" spans="2:21" ht="15">
      <c r="B296" s="94"/>
      <c r="C296" s="78"/>
      <c r="D296" s="54" t="str">
        <f>+"3)  The impact of state regulatory deferrals and amortizations, as shown on line  "&amp;B151&amp;""</f>
        <v>3)  The impact of state regulatory deferrals and amortizations, as shown on line  87</v>
      </c>
      <c r="E296" s="857"/>
      <c r="F296" s="857"/>
      <c r="G296" s="857"/>
      <c r="H296" s="857"/>
      <c r="I296" s="857"/>
      <c r="J296" s="857"/>
      <c r="K296" s="857"/>
      <c r="L296" s="857"/>
      <c r="O296" s="84"/>
      <c r="P296" s="84"/>
      <c r="Q296" s="84"/>
      <c r="R296" s="84"/>
      <c r="S296" s="84"/>
      <c r="T296" s="84"/>
      <c r="U296" s="84"/>
    </row>
    <row r="297" spans="2:21" ht="15">
      <c r="B297" s="94"/>
      <c r="C297" s="78"/>
      <c r="D297" s="54" t="str">
        <f>"4) All A&amp;G Expenses, as shown on line "&amp;B168&amp;"."</f>
        <v>4) All A&amp;G Expenses, as shown on line 103.</v>
      </c>
      <c r="E297" s="857"/>
      <c r="F297" s="857"/>
      <c r="G297" s="857"/>
      <c r="H297" s="857"/>
      <c r="I297" s="857"/>
      <c r="J297" s="857"/>
      <c r="K297" s="857"/>
      <c r="L297" s="857"/>
      <c r="O297" s="84"/>
      <c r="P297" s="84"/>
      <c r="Q297" s="84"/>
      <c r="R297" s="84"/>
      <c r="S297" s="84"/>
      <c r="T297" s="84"/>
      <c r="U297" s="84"/>
    </row>
    <row r="298" spans="2:21" ht="15">
      <c r="B298" s="94"/>
      <c r="C298" s="78"/>
      <c r="D298" s="54"/>
      <c r="E298" s="24"/>
      <c r="F298" s="24"/>
      <c r="G298" s="24"/>
      <c r="H298" s="24"/>
      <c r="I298" s="24"/>
      <c r="J298" s="24"/>
      <c r="K298" s="24"/>
      <c r="L298" s="24"/>
      <c r="O298" s="84"/>
      <c r="P298" s="84"/>
      <c r="Q298" s="84"/>
      <c r="R298" s="84"/>
      <c r="S298" s="84"/>
      <c r="T298" s="84"/>
      <c r="U298" s="84"/>
    </row>
    <row r="299" spans="2:21" ht="15">
      <c r="B299" s="96" t="s">
        <v>761</v>
      </c>
      <c r="C299" s="83"/>
      <c r="D299" s="13" t="str">
        <f>"Consistent with Paragraph 657 of Order 2003-A, the amount on line "&amp;B126&amp;" is equal to the balance of IPP System Upgrade Credits owed to transmission customers that"</f>
        <v>Consistent with Paragraph 657 of Order 2003-A, the amount on line 77 is equal to the balance of IPP System Upgrade Credits owed to transmission customers that</v>
      </c>
      <c r="E299" s="13"/>
      <c r="F299" s="13"/>
      <c r="G299" s="13"/>
      <c r="H299" s="13"/>
      <c r="I299" s="13"/>
      <c r="J299" s="13"/>
      <c r="K299" s="13"/>
      <c r="L299" s="13"/>
      <c r="O299" s="84"/>
      <c r="P299" s="84"/>
      <c r="Q299" s="84"/>
      <c r="R299" s="84"/>
      <c r="S299" s="84"/>
      <c r="T299" s="84"/>
      <c r="U299" s="84"/>
    </row>
    <row r="300" spans="2:21" ht="15">
      <c r="B300" s="97"/>
      <c r="C300" s="13"/>
      <c r="D300" s="13" t="s">
        <v>916</v>
      </c>
      <c r="E300" s="13"/>
      <c r="F300" s="13"/>
      <c r="G300" s="13"/>
      <c r="H300" s="13"/>
      <c r="I300" s="13"/>
      <c r="J300" s="13"/>
      <c r="K300" s="13"/>
      <c r="L300" s="13"/>
      <c r="O300" s="84"/>
      <c r="P300" s="84"/>
      <c r="Q300" s="84"/>
      <c r="R300" s="84"/>
      <c r="S300" s="84"/>
      <c r="T300" s="84"/>
      <c r="U300" s="84"/>
    </row>
    <row r="301" spans="2:21" ht="15">
      <c r="B301" s="97"/>
      <c r="C301" s="13"/>
      <c r="D301" s="13" t="str">
        <f>"expense is included on line "&amp;B207&amp;"."</f>
        <v>expense is included on line 135.</v>
      </c>
      <c r="E301" s="13"/>
      <c r="F301" s="13"/>
      <c r="G301" s="13"/>
      <c r="H301" s="13"/>
      <c r="I301" s="13"/>
      <c r="J301" s="13"/>
      <c r="K301" s="13"/>
      <c r="L301" s="13"/>
      <c r="O301" s="84"/>
      <c r="P301" s="84"/>
      <c r="Q301" s="84"/>
      <c r="R301" s="84"/>
      <c r="S301" s="84"/>
      <c r="T301" s="84"/>
      <c r="U301" s="84"/>
    </row>
    <row r="302" spans="2:21" ht="15">
      <c r="B302" s="97"/>
      <c r="C302" s="13"/>
      <c r="D302" s="13"/>
      <c r="E302" s="13"/>
      <c r="F302" s="13"/>
      <c r="G302" s="13"/>
      <c r="H302" s="13"/>
      <c r="I302" s="13"/>
      <c r="J302" s="13"/>
      <c r="K302" s="13"/>
      <c r="L302" s="13"/>
      <c r="O302" s="84"/>
      <c r="P302" s="84"/>
      <c r="Q302" s="84"/>
      <c r="R302" s="84"/>
      <c r="S302" s="84"/>
      <c r="T302" s="84"/>
      <c r="U302" s="84"/>
    </row>
    <row r="303" spans="2:21" ht="15">
      <c r="B303" s="96" t="s">
        <v>762</v>
      </c>
      <c r="C303" s="13"/>
      <c r="D303" s="1109" t="str">
        <f>"Removes from the cost of service the Load Scheduling and Dispatch expenses booked to accounts 561.1 through 561.8.  Expenses recorded in these accounts, with the exception of 561.4 &amp; 561.8 (lines "&amp;B38&amp;" &amp; "&amp;B39&amp;" above) are recovered in Schedule 1A, OATT ancillary services rates. See Worksheet F, lines "&amp;'KPCo WS F Misc Exp'!A22&amp;" through "&amp;'KPCo WS F Misc Exp'!A31&amp;", for descriptions and the Form 1 Source of these accounts' balances."</f>
        <v>Removes from the cost of service the Load Scheduling and Dispatch expenses booked to accounts 561.1 through 561.8.  Expenses recorded in these accounts, with the exception of 561.4 &amp; 561.8 (lines 15 &amp; 16 above) are recovered in Schedule 1A, OATT ancillary services rates. See Worksheet F, lines 5 through 14, for descriptions and the Form 1 Source of these accounts' balances.</v>
      </c>
      <c r="E303" s="1109"/>
      <c r="F303" s="1109"/>
      <c r="G303" s="1109"/>
      <c r="H303" s="1109"/>
      <c r="I303" s="1109"/>
      <c r="J303" s="1109"/>
      <c r="K303" s="1109"/>
      <c r="L303" s="13"/>
      <c r="O303" s="84"/>
      <c r="P303" s="84"/>
      <c r="Q303" s="84"/>
      <c r="R303" s="84"/>
      <c r="S303" s="84"/>
      <c r="T303" s="84"/>
      <c r="U303" s="84"/>
    </row>
    <row r="304" spans="2:21" ht="15">
      <c r="B304" s="96"/>
      <c r="C304" s="13"/>
      <c r="D304" s="1109"/>
      <c r="E304" s="1109"/>
      <c r="F304" s="1109"/>
      <c r="G304" s="1109"/>
      <c r="H304" s="1109"/>
      <c r="I304" s="1109"/>
      <c r="J304" s="1109"/>
      <c r="K304" s="1109"/>
      <c r="L304" s="13"/>
      <c r="O304" s="84"/>
      <c r="P304" s="84"/>
      <c r="Q304" s="84"/>
      <c r="R304" s="84"/>
      <c r="S304" s="84"/>
      <c r="T304" s="84"/>
      <c r="U304" s="84"/>
    </row>
    <row r="305" spans="2:21" ht="15">
      <c r="B305" s="96"/>
      <c r="C305" s="13"/>
      <c r="D305" s="1109"/>
      <c r="E305" s="1109"/>
      <c r="F305" s="1109"/>
      <c r="G305" s="1109"/>
      <c r="H305" s="1109"/>
      <c r="I305" s="1109"/>
      <c r="J305" s="1109"/>
      <c r="K305" s="1109"/>
      <c r="L305" s="13"/>
      <c r="O305" s="84"/>
      <c r="P305" s="84"/>
      <c r="Q305" s="84"/>
      <c r="R305" s="84"/>
      <c r="S305" s="84"/>
      <c r="T305" s="84"/>
      <c r="U305" s="84"/>
    </row>
    <row r="306" spans="2:21" ht="15">
      <c r="B306" s="96"/>
      <c r="C306" s="13"/>
      <c r="D306" s="54"/>
      <c r="E306" s="13"/>
      <c r="F306" s="13"/>
      <c r="G306" s="13"/>
      <c r="H306" s="13"/>
      <c r="I306" s="13"/>
      <c r="J306" s="13"/>
      <c r="K306" s="13"/>
      <c r="L306" s="13"/>
      <c r="O306" s="84"/>
      <c r="P306" s="84"/>
      <c r="Q306" s="84"/>
      <c r="R306" s="84"/>
      <c r="S306" s="84"/>
      <c r="T306" s="84"/>
      <c r="U306" s="84"/>
    </row>
    <row r="307" spans="2:21" ht="15">
      <c r="B307" s="96" t="s">
        <v>763</v>
      </c>
      <c r="C307" s="13"/>
      <c r="D307" s="1095" t="str">
        <f>"Removes cost of transmission service provided by others to determine the basis of cash working capital on line "&amp;B152&amp;". To the extent such service is incurred to provide the PJM service at issue, e.g. transmission equalization agreement, such costs are added back on lines "&amp;B171&amp;" and "&amp;B172&amp;" to determine the total O&amp;M collected in the formula.  The amounts on lines "&amp;B171&amp;" and "&amp;B172&amp;" are also excluded in the calculation of the FCR percentage calculated on lines "&amp;B22&amp;" through "&amp;B30&amp;"."</f>
        <v>Removes cost of transmission service provided by others to determine the basis of cash working capital on line 88. To the extent such service is incurred to provide the PJM service at issue, e.g. transmission equalization agreement, such costs are added back on lines 105 and 106 to determine the total O&amp;M collected in the formula.  The amounts on lines 105 and 106 are also excluded in the calculation of the FCR percentage calculated on lines 5 through 11.</v>
      </c>
      <c r="E307" s="1095"/>
      <c r="F307" s="1095"/>
      <c r="G307" s="1095"/>
      <c r="H307" s="1095"/>
      <c r="I307" s="1095"/>
      <c r="J307" s="1095"/>
      <c r="K307" s="1095"/>
      <c r="L307" s="13"/>
      <c r="O307" s="84"/>
      <c r="P307" s="84"/>
      <c r="Q307" s="84"/>
      <c r="R307" s="84"/>
      <c r="S307" s="84"/>
      <c r="T307" s="84"/>
      <c r="U307" s="84"/>
    </row>
    <row r="308" spans="2:21" ht="15">
      <c r="B308" s="96"/>
      <c r="C308" s="13"/>
      <c r="D308" s="1095"/>
      <c r="E308" s="1095"/>
      <c r="F308" s="1095"/>
      <c r="G308" s="1095"/>
      <c r="H308" s="1095"/>
      <c r="I308" s="1095"/>
      <c r="J308" s="1095"/>
      <c r="K308" s="1095"/>
      <c r="L308" s="13"/>
      <c r="O308" s="84"/>
      <c r="P308" s="84"/>
      <c r="Q308" s="84"/>
      <c r="R308" s="84"/>
      <c r="S308" s="84"/>
      <c r="T308" s="84"/>
      <c r="U308" s="84"/>
    </row>
    <row r="309" spans="2:21" ht="15">
      <c r="B309" s="96"/>
      <c r="C309" s="13"/>
      <c r="D309" s="1096"/>
      <c r="E309" s="1096"/>
      <c r="F309" s="1096"/>
      <c r="G309" s="1096"/>
      <c r="H309" s="1096"/>
      <c r="I309" s="1096"/>
      <c r="J309" s="1096"/>
      <c r="K309" s="1096"/>
      <c r="L309" s="13"/>
      <c r="O309" s="84"/>
      <c r="P309" s="84"/>
      <c r="Q309" s="84"/>
      <c r="R309" s="84"/>
      <c r="S309" s="84"/>
      <c r="T309" s="84"/>
      <c r="U309" s="84"/>
    </row>
    <row r="310" spans="2:21" ht="15">
      <c r="B310" s="96"/>
      <c r="C310" s="13"/>
      <c r="D310" s="1098" t="str">
        <f>"The addbacks  on lines "&amp;B171&amp;" and "&amp;B172&amp;" of activity recorded in 565 represents inter-company sales or purchases of transmission capacity necessary to meet each AEP company's transmission load relative to their available transmission capacity."</f>
        <v>The addbacks  on lines 105 and 106 of activity recorded in 565 represents inter-company sales or purchases of transmission capacity necessary to meet each AEP company's transmission load relative to their available transmission capacity.</v>
      </c>
      <c r="E310" s="1098"/>
      <c r="F310" s="1098"/>
      <c r="G310" s="1098"/>
      <c r="H310" s="1098"/>
      <c r="I310" s="1098"/>
      <c r="J310" s="1098"/>
      <c r="K310" s="792"/>
      <c r="L310" s="13"/>
      <c r="O310" s="84"/>
      <c r="P310" s="84"/>
      <c r="Q310" s="84"/>
      <c r="R310" s="84"/>
      <c r="S310" s="84"/>
      <c r="T310" s="84"/>
      <c r="U310" s="84"/>
    </row>
    <row r="311" spans="2:21" ht="15">
      <c r="B311" s="96"/>
      <c r="C311" s="13"/>
      <c r="D311" s="1098"/>
      <c r="E311" s="1098"/>
      <c r="F311" s="1098"/>
      <c r="G311" s="1098"/>
      <c r="H311" s="1098"/>
      <c r="I311" s="1098"/>
      <c r="J311" s="1098"/>
      <c r="K311" s="792"/>
      <c r="L311" s="13"/>
      <c r="O311" s="84"/>
      <c r="P311" s="84"/>
      <c r="Q311" s="84"/>
      <c r="R311" s="84"/>
      <c r="S311" s="84"/>
      <c r="T311" s="84"/>
      <c r="U311" s="84"/>
    </row>
    <row r="312" spans="2:21" ht="15">
      <c r="B312" s="96"/>
      <c r="C312" s="13"/>
      <c r="D312" s="781" t="str">
        <f>"The company records referenced on lines "&amp;B171&amp;" and "&amp;B172&amp;" is the "&amp;F7&amp;" general ledger."</f>
        <v>The company records referenced on lines 105 and 106 is the KENTUCKY POWER COMPANY general ledger.</v>
      </c>
      <c r="E312" s="607"/>
      <c r="F312" s="607"/>
      <c r="G312" s="607"/>
      <c r="H312" s="607"/>
      <c r="I312" s="607"/>
      <c r="J312" s="607"/>
      <c r="K312" s="607"/>
      <c r="L312" s="13"/>
      <c r="O312" s="84"/>
      <c r="P312" s="84"/>
      <c r="Q312" s="84"/>
      <c r="R312" s="84"/>
      <c r="S312" s="84"/>
      <c r="T312" s="84"/>
      <c r="U312" s="84"/>
    </row>
    <row r="313" spans="2:21" ht="15">
      <c r="B313" s="96"/>
      <c r="C313" s="13"/>
      <c r="D313" s="781"/>
      <c r="E313" s="607"/>
      <c r="F313" s="607"/>
      <c r="G313" s="607"/>
      <c r="H313" s="607"/>
      <c r="I313" s="607"/>
      <c r="J313" s="607"/>
      <c r="K313" s="607"/>
      <c r="L313" s="13"/>
      <c r="O313" s="84"/>
      <c r="P313" s="84"/>
      <c r="Q313" s="84"/>
      <c r="R313" s="84"/>
      <c r="S313" s="84"/>
      <c r="T313" s="84"/>
      <c r="U313" s="84"/>
    </row>
    <row r="314" spans="2:21" ht="15">
      <c r="B314" s="96" t="s">
        <v>764</v>
      </c>
      <c r="C314" s="13"/>
      <c r="D314" s="13" t="s">
        <v>160</v>
      </c>
      <c r="E314" s="13"/>
      <c r="F314" s="13"/>
      <c r="G314" s="13"/>
      <c r="H314" s="13"/>
      <c r="I314" s="13"/>
      <c r="J314" s="13"/>
      <c r="K314" s="13"/>
      <c r="L314" s="13"/>
      <c r="O314" s="84"/>
      <c r="P314" s="84"/>
      <c r="Q314" s="84"/>
      <c r="R314" s="84"/>
      <c r="S314" s="84"/>
      <c r="T314" s="84"/>
      <c r="U314" s="84"/>
    </row>
    <row r="315" spans="2:21" ht="15">
      <c r="B315" s="96"/>
      <c r="C315" s="13"/>
      <c r="D315" s="13"/>
      <c r="E315" s="13"/>
      <c r="F315" s="13"/>
      <c r="G315" s="13"/>
      <c r="H315" s="13"/>
      <c r="I315" s="13"/>
      <c r="J315" s="13"/>
      <c r="K315" s="13"/>
      <c r="L315" s="13"/>
      <c r="O315" s="84"/>
      <c r="P315" s="84"/>
      <c r="Q315" s="84"/>
      <c r="R315" s="84"/>
      <c r="S315" s="84"/>
      <c r="T315" s="84"/>
      <c r="U315" s="84"/>
    </row>
    <row r="316" spans="2:21" ht="15">
      <c r="B316" s="96" t="s">
        <v>765</v>
      </c>
      <c r="C316" s="13"/>
      <c r="D316" s="1099" t="s">
        <v>607</v>
      </c>
      <c r="E316" s="1142"/>
      <c r="F316" s="1142"/>
      <c r="G316" s="1142"/>
      <c r="H316" s="1142"/>
      <c r="I316" s="1142"/>
      <c r="J316" s="1142"/>
      <c r="K316" s="13"/>
      <c r="L316" s="13"/>
      <c r="O316" s="84"/>
      <c r="P316" s="84"/>
      <c r="Q316" s="84"/>
      <c r="R316" s="84"/>
      <c r="S316" s="84"/>
      <c r="T316" s="84"/>
      <c r="U316" s="84"/>
    </row>
    <row r="317" spans="2:21" ht="15">
      <c r="B317" s="96"/>
      <c r="C317" s="13"/>
      <c r="D317" s="1142"/>
      <c r="E317" s="1142"/>
      <c r="F317" s="1142"/>
      <c r="G317" s="1142"/>
      <c r="H317" s="1142"/>
      <c r="I317" s="1142"/>
      <c r="J317" s="1142"/>
      <c r="K317" s="13"/>
      <c r="L317" s="13"/>
      <c r="O317" s="84"/>
      <c r="P317" s="84"/>
      <c r="Q317" s="84"/>
      <c r="R317" s="84"/>
      <c r="S317" s="84"/>
      <c r="T317" s="84"/>
      <c r="U317" s="84"/>
    </row>
    <row r="318" spans="2:21" ht="15">
      <c r="B318" s="96"/>
      <c r="C318" s="13"/>
      <c r="D318" s="1142"/>
      <c r="E318" s="1142"/>
      <c r="F318" s="1142"/>
      <c r="G318" s="1142"/>
      <c r="H318" s="1142"/>
      <c r="I318" s="1142"/>
      <c r="J318" s="1142"/>
      <c r="K318" s="13"/>
      <c r="L318" s="13"/>
      <c r="O318" s="84"/>
      <c r="P318" s="84"/>
      <c r="Q318" s="84"/>
      <c r="R318" s="84"/>
      <c r="S318" s="84"/>
      <c r="T318" s="84"/>
      <c r="U318" s="84"/>
    </row>
    <row r="319" spans="2:21" ht="15">
      <c r="B319" s="96"/>
      <c r="C319" s="13"/>
      <c r="D319" s="13"/>
      <c r="E319" s="13"/>
      <c r="F319" s="13"/>
      <c r="G319" s="13"/>
      <c r="H319" s="13"/>
      <c r="I319" s="13"/>
      <c r="J319" s="13"/>
      <c r="K319" s="13"/>
      <c r="L319" s="13"/>
      <c r="O319" s="84"/>
      <c r="P319" s="84"/>
      <c r="Q319" s="84"/>
      <c r="R319" s="84"/>
      <c r="S319" s="84"/>
      <c r="T319" s="84"/>
      <c r="U319" s="84"/>
    </row>
    <row r="320" spans="2:21" ht="15">
      <c r="B320" s="94" t="s">
        <v>766</v>
      </c>
      <c r="C320" s="13"/>
      <c r="D320" s="1100" t="str">
        <f>"These deductions on lines "&amp;B156&amp;" through "&amp;B158&amp;" are to remove from the cost of service the expenses recorded by the company for Postemplyoment Benefits Other than Pensions (PBOP). See Note M below for the recoverable PBOP expense."</f>
        <v>These deductions on lines 91 through 93 are to remove from the cost of service the expenses recorded by the company for Postemplyoment Benefits Other than Pensions (PBOP). See Note M below for the recoverable PBOP expense.</v>
      </c>
      <c r="E320" s="1149"/>
      <c r="F320" s="1149"/>
      <c r="G320" s="1149"/>
      <c r="H320" s="1149"/>
      <c r="I320" s="1149"/>
      <c r="J320" s="1149"/>
      <c r="K320" s="1149"/>
      <c r="L320" s="13"/>
      <c r="O320" s="84"/>
      <c r="P320" s="84"/>
      <c r="Q320" s="84"/>
      <c r="R320" s="84"/>
      <c r="S320" s="84"/>
      <c r="T320" s="84"/>
      <c r="U320" s="84"/>
    </row>
    <row r="321" spans="2:21" ht="15">
      <c r="B321" s="94"/>
      <c r="C321" s="13"/>
      <c r="D321" s="1149"/>
      <c r="E321" s="1149"/>
      <c r="F321" s="1149"/>
      <c r="G321" s="1149"/>
      <c r="H321" s="1149"/>
      <c r="I321" s="1149"/>
      <c r="J321" s="1149"/>
      <c r="K321" s="1149"/>
      <c r="L321" s="13"/>
      <c r="O321" s="84"/>
      <c r="P321" s="84"/>
      <c r="Q321" s="84"/>
      <c r="R321" s="84"/>
      <c r="S321" s="84"/>
      <c r="T321" s="84"/>
      <c r="U321" s="84"/>
    </row>
    <row r="322" spans="2:21" ht="15">
      <c r="B322" s="96"/>
      <c r="C322" s="13"/>
      <c r="D322" s="13"/>
      <c r="E322" s="13"/>
      <c r="F322" s="13"/>
      <c r="G322" s="13"/>
      <c r="H322" s="13"/>
      <c r="I322" s="13"/>
      <c r="J322" s="13"/>
      <c r="K322" s="13"/>
      <c r="L322" s="13"/>
      <c r="O322" s="84"/>
      <c r="P322" s="84"/>
      <c r="Q322" s="84"/>
      <c r="R322" s="84"/>
      <c r="S322" s="84"/>
      <c r="T322" s="84"/>
      <c r="U322" s="84"/>
    </row>
    <row r="323" spans="2:21" ht="15">
      <c r="B323" s="94" t="s">
        <v>767</v>
      </c>
      <c r="C323" s="78"/>
      <c r="D323" s="54" t="s">
        <v>157</v>
      </c>
      <c r="E323" s="24"/>
      <c r="F323" s="24"/>
      <c r="G323" s="24"/>
      <c r="H323" s="24"/>
      <c r="I323" s="24"/>
      <c r="J323" s="24"/>
      <c r="K323" s="24"/>
      <c r="L323" s="24"/>
      <c r="O323" s="84"/>
      <c r="P323" s="84"/>
      <c r="Q323" s="84"/>
      <c r="R323" s="84"/>
      <c r="S323" s="84"/>
      <c r="T323" s="84"/>
      <c r="U323" s="84"/>
    </row>
    <row r="324" spans="2:21" ht="15">
      <c r="B324" s="94"/>
      <c r="C324" s="78"/>
      <c r="D324" s="54" t="s">
        <v>359</v>
      </c>
      <c r="E324" s="24"/>
      <c r="F324" s="24"/>
      <c r="G324" s="24"/>
      <c r="H324" s="24"/>
      <c r="I324" s="24"/>
      <c r="J324" s="24"/>
      <c r="K324" s="24"/>
      <c r="L324" s="24"/>
      <c r="O324" s="84"/>
      <c r="P324" s="84"/>
      <c r="Q324" s="84"/>
      <c r="R324" s="84"/>
      <c r="S324" s="84"/>
      <c r="T324" s="84"/>
      <c r="U324" s="84"/>
    </row>
    <row r="325" spans="2:21" ht="15">
      <c r="B325" s="94"/>
      <c r="C325" s="78"/>
      <c r="D325" s="54" t="s">
        <v>360</v>
      </c>
      <c r="E325" s="24"/>
      <c r="F325" s="24"/>
      <c r="G325" s="24"/>
      <c r="H325" s="24"/>
      <c r="I325" s="24"/>
      <c r="J325" s="24"/>
      <c r="K325" s="24"/>
      <c r="L325" s="24"/>
      <c r="O325" s="84"/>
      <c r="P325" s="84"/>
      <c r="Q325" s="84"/>
      <c r="R325" s="84"/>
      <c r="S325" s="84"/>
      <c r="T325" s="84"/>
      <c r="U325" s="84"/>
    </row>
    <row r="326" spans="2:21" ht="15">
      <c r="B326" s="94"/>
      <c r="C326" s="78"/>
      <c r="D326" s="13" t="s">
        <v>361</v>
      </c>
      <c r="E326" s="24"/>
      <c r="F326" s="24"/>
      <c r="G326" s="24"/>
      <c r="H326" s="24"/>
      <c r="I326" s="24"/>
      <c r="J326" s="24"/>
      <c r="K326" s="24"/>
      <c r="L326" s="24"/>
      <c r="O326" s="84"/>
      <c r="P326" s="84"/>
      <c r="Q326" s="84"/>
      <c r="R326" s="84"/>
      <c r="S326" s="84"/>
      <c r="T326" s="84"/>
      <c r="U326" s="84"/>
    </row>
    <row r="327" spans="2:21" ht="15">
      <c r="B327" s="94"/>
      <c r="C327" s="78"/>
      <c r="D327" s="13"/>
      <c r="E327" s="24"/>
      <c r="F327" s="24"/>
      <c r="G327" s="24"/>
      <c r="H327" s="24"/>
      <c r="I327" s="24"/>
      <c r="J327" s="24"/>
      <c r="K327" s="24"/>
      <c r="L327" s="24"/>
      <c r="O327" s="84"/>
      <c r="P327" s="84"/>
      <c r="Q327" s="84"/>
      <c r="R327" s="84"/>
      <c r="S327" s="84"/>
      <c r="T327" s="84"/>
      <c r="U327" s="84"/>
    </row>
    <row r="328" spans="2:21" ht="15" customHeight="1">
      <c r="B328" s="94" t="s">
        <v>768</v>
      </c>
      <c r="C328" s="78"/>
      <c r="D328" s="1112" t="s">
        <v>859</v>
      </c>
      <c r="E328" s="1113"/>
      <c r="F328" s="1113"/>
      <c r="G328" s="1113"/>
      <c r="H328" s="1113"/>
      <c r="I328" s="1113"/>
      <c r="J328" s="1113"/>
      <c r="K328" s="1113"/>
      <c r="L328" s="1114"/>
      <c r="O328" s="84"/>
      <c r="P328" s="84"/>
      <c r="Q328" s="84"/>
      <c r="R328" s="84"/>
      <c r="S328" s="84"/>
      <c r="T328" s="84"/>
      <c r="U328" s="84"/>
    </row>
    <row r="329" spans="2:21" ht="15">
      <c r="B329" s="94"/>
      <c r="C329" s="78"/>
      <c r="D329" s="1113"/>
      <c r="E329" s="1113"/>
      <c r="F329" s="1113"/>
      <c r="G329" s="1113"/>
      <c r="H329" s="1113"/>
      <c r="I329" s="1113"/>
      <c r="J329" s="1113"/>
      <c r="K329" s="1113"/>
      <c r="L329" s="1114"/>
      <c r="O329" s="84"/>
      <c r="P329" s="84"/>
      <c r="Q329" s="84"/>
      <c r="R329" s="84"/>
      <c r="S329" s="84"/>
      <c r="T329" s="84"/>
      <c r="U329" s="84"/>
    </row>
    <row r="330" spans="2:21" ht="15">
      <c r="B330" s="94"/>
      <c r="C330" s="78"/>
      <c r="D330" s="1114"/>
      <c r="E330" s="1114"/>
      <c r="F330" s="1114"/>
      <c r="G330" s="1114"/>
      <c r="H330" s="1114"/>
      <c r="I330" s="1114"/>
      <c r="J330" s="1114"/>
      <c r="K330" s="1114"/>
      <c r="L330" s="1114"/>
      <c r="O330" s="84"/>
      <c r="P330" s="84"/>
      <c r="Q330" s="84"/>
      <c r="R330" s="84"/>
      <c r="S330" s="84"/>
      <c r="T330" s="84"/>
      <c r="U330" s="84"/>
    </row>
    <row r="331" spans="2:21" ht="15">
      <c r="B331" s="94"/>
      <c r="C331" s="78"/>
      <c r="D331" s="781"/>
      <c r="E331" s="24"/>
      <c r="F331" s="24"/>
      <c r="G331" s="24"/>
      <c r="H331" s="24"/>
      <c r="I331" s="24"/>
      <c r="J331" s="24"/>
      <c r="K331" s="24"/>
      <c r="L331" s="24"/>
      <c r="O331" s="84"/>
      <c r="P331" s="84"/>
      <c r="Q331" s="84"/>
      <c r="R331" s="84"/>
      <c r="S331" s="84"/>
      <c r="T331" s="84"/>
      <c r="U331" s="84"/>
    </row>
    <row r="332" spans="2:21" ht="15">
      <c r="B332" s="141" t="s">
        <v>28</v>
      </c>
      <c r="C332" s="78"/>
      <c r="D332" s="54" t="s">
        <v>158</v>
      </c>
      <c r="E332" s="13"/>
      <c r="F332" s="13"/>
      <c r="G332" s="13"/>
      <c r="H332" s="13"/>
      <c r="I332" s="13"/>
      <c r="J332" s="13"/>
      <c r="K332" s="13"/>
      <c r="L332" s="13"/>
      <c r="O332" s="84"/>
      <c r="P332" s="84"/>
      <c r="Q332" s="84"/>
      <c r="R332" s="84"/>
      <c r="S332" s="84"/>
      <c r="T332" s="84"/>
      <c r="U332" s="84"/>
    </row>
    <row r="333" spans="2:21" ht="15">
      <c r="B333" s="141"/>
      <c r="C333" s="78"/>
      <c r="D333" s="54"/>
      <c r="E333" s="13"/>
      <c r="F333" s="13"/>
      <c r="G333" s="13"/>
      <c r="H333" s="13"/>
      <c r="I333" s="13"/>
      <c r="J333" s="13"/>
      <c r="K333" s="13"/>
      <c r="L333" s="13"/>
      <c r="O333" s="84"/>
      <c r="P333" s="84"/>
      <c r="Q333" s="84"/>
      <c r="R333" s="84"/>
      <c r="S333" s="84"/>
      <c r="T333" s="84"/>
      <c r="U333" s="84"/>
    </row>
    <row r="334" spans="2:21" ht="15">
      <c r="B334" s="94" t="s">
        <v>91</v>
      </c>
      <c r="C334" s="78"/>
      <c r="D334" s="54" t="s">
        <v>132</v>
      </c>
      <c r="H334" s="13"/>
      <c r="I334" s="13"/>
      <c r="J334" s="13"/>
      <c r="K334" s="13"/>
      <c r="L334" s="13"/>
      <c r="O334" s="84"/>
      <c r="P334" s="84"/>
      <c r="Q334" s="84"/>
      <c r="R334" s="84"/>
      <c r="S334" s="84"/>
      <c r="T334" s="84"/>
      <c r="U334" s="84"/>
    </row>
    <row r="335" spans="2:21" ht="15">
      <c r="B335" s="94"/>
      <c r="C335" s="78"/>
      <c r="D335" s="54" t="s">
        <v>14</v>
      </c>
      <c r="H335" s="13"/>
      <c r="I335" s="13"/>
      <c r="J335" s="13"/>
      <c r="K335" s="13"/>
      <c r="L335" s="13"/>
      <c r="O335" s="84"/>
      <c r="P335" s="84"/>
      <c r="Q335" s="84"/>
      <c r="R335" s="84"/>
      <c r="S335" s="84"/>
      <c r="T335" s="84"/>
      <c r="U335" s="84"/>
    </row>
    <row r="336" spans="2:21" ht="15">
      <c r="B336" s="94"/>
      <c r="C336" s="78"/>
      <c r="D336" s="54" t="s">
        <v>9</v>
      </c>
      <c r="H336" s="13"/>
      <c r="I336" s="13"/>
      <c r="J336" s="13"/>
      <c r="K336" s="13"/>
      <c r="L336" s="13"/>
      <c r="O336" s="84"/>
      <c r="P336" s="84"/>
      <c r="Q336" s="84"/>
      <c r="R336" s="84"/>
      <c r="S336" s="84"/>
      <c r="T336" s="84"/>
      <c r="U336" s="84"/>
    </row>
    <row r="337" spans="2:21" ht="15">
      <c r="B337" s="94"/>
      <c r="C337" s="78"/>
      <c r="D337" s="54" t="s">
        <v>10</v>
      </c>
      <c r="E337" s="84"/>
      <c r="F337" s="84"/>
      <c r="G337" s="84"/>
      <c r="H337" s="13"/>
      <c r="I337" s="13"/>
      <c r="J337" s="13"/>
      <c r="K337" s="13"/>
      <c r="L337" s="13"/>
      <c r="O337" s="84"/>
      <c r="P337" s="84"/>
      <c r="Q337" s="84"/>
      <c r="R337" s="84"/>
      <c r="S337" s="84"/>
      <c r="T337" s="84"/>
      <c r="U337" s="84"/>
    </row>
    <row r="338" spans="2:21" ht="15">
      <c r="B338" s="94"/>
      <c r="C338" s="78"/>
      <c r="D338" s="54" t="str">
        <f>"(ln "&amp;B199&amp;") multiplied by (1/1-T) .  If the applicable tax rates are zero enter 0."</f>
        <v>(ln 130) multiplied by (1/1-T) .  If the applicable tax rates are zero enter 0.</v>
      </c>
      <c r="E338" s="84"/>
      <c r="F338" s="84"/>
      <c r="G338" s="84"/>
      <c r="H338" s="13"/>
      <c r="I338" s="13"/>
      <c r="J338" s="13"/>
      <c r="K338" s="13"/>
      <c r="L338" s="13"/>
      <c r="O338" s="84"/>
      <c r="P338" s="84"/>
      <c r="Q338" s="84"/>
      <c r="R338" s="84"/>
      <c r="S338" s="84"/>
      <c r="T338" s="84"/>
      <c r="U338" s="84"/>
    </row>
    <row r="339" spans="2:21" ht="15">
      <c r="B339" s="3"/>
      <c r="C339" s="84"/>
      <c r="D339" s="54" t="s">
        <v>133</v>
      </c>
      <c r="E339" s="24" t="s">
        <v>134</v>
      </c>
      <c r="F339" s="88">
        <f>'KPCo Historic TCOS'!F337</f>
        <v>0.35</v>
      </c>
      <c r="G339" s="24"/>
      <c r="H339" s="13"/>
      <c r="I339" s="13"/>
      <c r="J339" s="13"/>
      <c r="K339" s="13"/>
      <c r="L339" s="13"/>
      <c r="O339" s="84"/>
      <c r="P339" s="84"/>
      <c r="Q339" s="84"/>
      <c r="R339" s="84"/>
      <c r="S339" s="84"/>
      <c r="T339" s="84"/>
      <c r="U339" s="84"/>
    </row>
    <row r="340" spans="2:21" ht="15">
      <c r="B340" s="3"/>
      <c r="C340" s="84"/>
      <c r="D340" s="54"/>
      <c r="E340" s="24" t="s">
        <v>135</v>
      </c>
      <c r="F340" s="88">
        <f>+'KPCo WS G  State Tax Rate'!F28</f>
        <v>0.0493</v>
      </c>
      <c r="G340" s="24" t="s">
        <v>398</v>
      </c>
      <c r="H340" s="13"/>
      <c r="I340" s="13"/>
      <c r="J340" s="13"/>
      <c r="K340" s="13"/>
      <c r="L340" s="13"/>
      <c r="O340" s="84"/>
      <c r="P340" s="84"/>
      <c r="Q340" s="84"/>
      <c r="R340" s="84"/>
      <c r="S340" s="84"/>
      <c r="T340" s="84"/>
      <c r="U340" s="84"/>
    </row>
    <row r="341" spans="2:21" ht="15">
      <c r="B341" s="3"/>
      <c r="C341" s="84"/>
      <c r="D341" s="54"/>
      <c r="E341" s="24" t="s">
        <v>136</v>
      </c>
      <c r="F341" s="88">
        <f>+H215</f>
        <v>0</v>
      </c>
      <c r="G341" s="24" t="s">
        <v>137</v>
      </c>
      <c r="H341" s="13"/>
      <c r="I341" s="13"/>
      <c r="J341" s="13"/>
      <c r="K341" s="13"/>
      <c r="L341" s="13"/>
      <c r="O341" s="84"/>
      <c r="P341" s="84"/>
      <c r="Q341" s="84"/>
      <c r="R341" s="84"/>
      <c r="S341" s="84"/>
      <c r="T341" s="84"/>
      <c r="U341" s="84"/>
    </row>
    <row r="342" spans="2:21" ht="15">
      <c r="B342" s="141"/>
      <c r="C342" s="78"/>
      <c r="D342" s="54"/>
      <c r="E342" s="13"/>
      <c r="F342" s="13"/>
      <c r="G342" s="13"/>
      <c r="H342" s="13"/>
      <c r="I342" s="13"/>
      <c r="J342" s="13"/>
      <c r="K342" s="13"/>
      <c r="L342" s="13"/>
      <c r="O342" s="84"/>
      <c r="P342" s="84"/>
      <c r="Q342" s="84"/>
      <c r="R342" s="84"/>
      <c r="S342" s="84"/>
      <c r="T342" s="84"/>
      <c r="U342" s="84"/>
    </row>
    <row r="343" spans="2:21" ht="15">
      <c r="B343" s="94" t="s">
        <v>138</v>
      </c>
      <c r="C343" s="78"/>
      <c r="D343" s="54" t="s">
        <v>922</v>
      </c>
      <c r="E343" s="13"/>
      <c r="F343" s="13"/>
      <c r="G343" s="13"/>
      <c r="H343" s="13"/>
      <c r="I343" s="13"/>
      <c r="J343" s="13"/>
      <c r="K343" s="13"/>
      <c r="L343" s="13"/>
      <c r="O343" s="84"/>
      <c r="P343" s="84"/>
      <c r="Q343" s="84"/>
      <c r="R343" s="84"/>
      <c r="S343" s="84"/>
      <c r="T343" s="84"/>
      <c r="U343" s="84"/>
    </row>
    <row r="344" spans="2:21" ht="15">
      <c r="B344" s="14"/>
      <c r="D344" s="54"/>
      <c r="E344" s="13"/>
      <c r="F344" s="13"/>
      <c r="G344" s="13"/>
      <c r="H344" s="13"/>
      <c r="I344" s="13"/>
      <c r="J344" s="13"/>
      <c r="K344" s="13"/>
      <c r="L344" s="13"/>
      <c r="O344" s="84"/>
      <c r="P344" s="84"/>
      <c r="Q344" s="84"/>
      <c r="R344" s="84"/>
      <c r="S344" s="84"/>
      <c r="T344" s="84"/>
      <c r="U344" s="84"/>
    </row>
    <row r="345" spans="2:21" ht="15">
      <c r="B345" s="94" t="s">
        <v>139</v>
      </c>
      <c r="C345" s="78"/>
      <c r="D345" s="54" t="s">
        <v>555</v>
      </c>
      <c r="E345" s="13"/>
      <c r="F345" s="13"/>
      <c r="G345" s="13"/>
      <c r="H345" s="13"/>
      <c r="I345" s="13"/>
      <c r="J345" s="13"/>
      <c r="K345" s="13"/>
      <c r="L345" s="13"/>
      <c r="O345" s="84"/>
      <c r="P345" s="84"/>
      <c r="Q345" s="84"/>
      <c r="R345" s="84"/>
      <c r="S345" s="84"/>
      <c r="T345" s="84"/>
      <c r="U345" s="84"/>
    </row>
    <row r="346" spans="2:21" ht="15">
      <c r="B346" s="94"/>
      <c r="C346" s="78"/>
      <c r="D346" s="54"/>
      <c r="E346" s="24"/>
      <c r="F346" s="24"/>
      <c r="G346" s="24"/>
      <c r="H346" s="24"/>
      <c r="I346" s="24"/>
      <c r="J346" s="24"/>
      <c r="K346" s="24"/>
      <c r="L346" s="24"/>
      <c r="O346" s="84"/>
      <c r="P346" s="84"/>
      <c r="Q346" s="84"/>
      <c r="R346" s="84"/>
      <c r="S346" s="84"/>
      <c r="T346" s="84"/>
      <c r="U346" s="84"/>
    </row>
    <row r="347" spans="2:21" ht="15">
      <c r="B347" s="94" t="s">
        <v>140</v>
      </c>
      <c r="C347" s="78"/>
      <c r="D347" s="54" t="s">
        <v>235</v>
      </c>
      <c r="E347" s="24"/>
      <c r="F347" s="24"/>
      <c r="G347" s="24"/>
      <c r="H347" s="24"/>
      <c r="I347" s="24"/>
      <c r="J347" s="24"/>
      <c r="K347" s="24"/>
      <c r="L347" s="24"/>
      <c r="O347" s="84"/>
      <c r="P347" s="84"/>
      <c r="Q347" s="84"/>
      <c r="R347" s="84"/>
      <c r="S347" s="84"/>
      <c r="T347" s="84"/>
      <c r="U347" s="84"/>
    </row>
    <row r="348" spans="2:21" ht="15">
      <c r="B348" s="94"/>
      <c r="C348" s="78"/>
      <c r="D348" s="54"/>
      <c r="E348" s="24"/>
      <c r="F348" s="24"/>
      <c r="G348" s="24"/>
      <c r="H348" s="24"/>
      <c r="I348" s="24"/>
      <c r="J348" s="24"/>
      <c r="K348" s="24"/>
      <c r="L348" s="24"/>
      <c r="O348" s="84"/>
      <c r="P348" s="84"/>
      <c r="Q348" s="84"/>
      <c r="R348" s="84"/>
      <c r="S348" s="84"/>
      <c r="T348" s="84"/>
      <c r="U348" s="84"/>
    </row>
    <row r="349" spans="2:21" ht="15">
      <c r="B349" s="96" t="s">
        <v>141</v>
      </c>
      <c r="C349" s="83"/>
      <c r="D349" s="54" t="str">
        <f>"Long Term Debt cost rate = long-term interest (ln "&amp;B245&amp;") / long term debt (ln "&amp;B255&amp;").  Preferred Stock cost rate = preferred dividends (ln "&amp;B246&amp;") / preferred outstanding (ln "&amp;B256&amp;")."</f>
        <v>Long Term Debt cost rate = long-term interest (ln 153) / long term debt (ln 162).  Preferred Stock cost rate = preferred dividends (ln 154) / preferred outstanding (ln 163).</v>
      </c>
      <c r="O349" s="84"/>
      <c r="P349" s="84"/>
      <c r="Q349" s="84"/>
      <c r="R349" s="84"/>
      <c r="S349" s="84"/>
      <c r="T349" s="84"/>
      <c r="U349" s="84"/>
    </row>
    <row r="350" spans="2:21" ht="15">
      <c r="B350" s="97"/>
      <c r="C350" s="13"/>
      <c r="D350" s="54" t="str">
        <f>"Common Stock cost rate (ROE) = "&amp;J257*100&amp;"%, the rate accepted by FERC in Docket No. ER08-1329.  It includes an additional 50 basis points for PJM RTO membership."</f>
        <v>Common Stock cost rate (ROE) = 11.49%, the rate accepted by FERC in Docket No. ER08-1329.  It includes an additional 50 basis points for PJM RTO membership.</v>
      </c>
      <c r="O350" s="84"/>
      <c r="P350" s="84"/>
      <c r="Q350" s="84"/>
      <c r="R350" s="84"/>
      <c r="S350" s="84"/>
      <c r="T350" s="84"/>
      <c r="U350" s="84"/>
    </row>
    <row r="351" spans="2:21" ht="15">
      <c r="B351" s="97"/>
      <c r="C351" s="13"/>
      <c r="D351" s="1105" t="s">
        <v>699</v>
      </c>
      <c r="E351" s="1087"/>
      <c r="F351" s="1087"/>
      <c r="G351" s="1087"/>
      <c r="H351" s="1087"/>
      <c r="I351" s="1087"/>
      <c r="J351" s="1087"/>
      <c r="O351" s="84"/>
      <c r="P351" s="84"/>
      <c r="Q351" s="84"/>
      <c r="R351" s="84"/>
      <c r="S351" s="84"/>
      <c r="T351" s="84"/>
      <c r="U351" s="84"/>
    </row>
    <row r="352" spans="2:21" ht="15">
      <c r="B352" s="97"/>
      <c r="C352" s="13"/>
      <c r="D352" s="1087"/>
      <c r="E352" s="1087"/>
      <c r="F352" s="1087"/>
      <c r="G352" s="1087"/>
      <c r="H352" s="1087"/>
      <c r="I352" s="1087"/>
      <c r="J352" s="1087"/>
      <c r="O352" s="84"/>
      <c r="P352" s="84"/>
      <c r="Q352" s="84"/>
      <c r="R352" s="84"/>
      <c r="S352" s="84"/>
      <c r="T352" s="84"/>
      <c r="U352" s="84"/>
    </row>
    <row r="353" spans="2:21" ht="15">
      <c r="B353" s="97"/>
      <c r="C353" s="13"/>
      <c r="D353" s="1087"/>
      <c r="E353" s="1087"/>
      <c r="F353" s="1087"/>
      <c r="G353" s="1087"/>
      <c r="H353" s="1087"/>
      <c r="I353" s="1087"/>
      <c r="J353" s="1087"/>
      <c r="O353" s="84"/>
      <c r="P353" s="84"/>
      <c r="Q353" s="84"/>
      <c r="R353" s="84"/>
      <c r="S353" s="84"/>
      <c r="T353" s="84"/>
      <c r="U353" s="84"/>
    </row>
    <row r="354" spans="2:21" ht="15">
      <c r="B354" s="97"/>
      <c r="C354" s="13"/>
      <c r="D354" s="1087"/>
      <c r="E354" s="1087"/>
      <c r="F354" s="1087"/>
      <c r="G354" s="1087"/>
      <c r="H354" s="1087"/>
      <c r="I354" s="1087"/>
      <c r="J354" s="1087"/>
      <c r="O354" s="84"/>
      <c r="P354" s="84"/>
      <c r="Q354" s="84"/>
      <c r="R354" s="84"/>
      <c r="S354" s="84"/>
      <c r="T354" s="84"/>
      <c r="U354" s="84"/>
    </row>
    <row r="355" spans="2:21" ht="15">
      <c r="B355" s="97"/>
      <c r="C355" s="13"/>
      <c r="D355" s="54"/>
      <c r="O355" s="84"/>
      <c r="P355" s="84"/>
      <c r="Q355" s="84"/>
      <c r="R355" s="84"/>
      <c r="S355" s="84"/>
      <c r="T355" s="84"/>
      <c r="U355" s="84"/>
    </row>
    <row r="356" spans="2:21" ht="15">
      <c r="B356" s="94" t="s">
        <v>249</v>
      </c>
      <c r="C356" s="78"/>
      <c r="D356" s="14" t="s">
        <v>294</v>
      </c>
      <c r="O356" s="84"/>
      <c r="P356" s="84"/>
      <c r="Q356" s="84"/>
      <c r="R356" s="84"/>
      <c r="S356" s="84"/>
      <c r="T356" s="84"/>
      <c r="U356" s="84"/>
    </row>
    <row r="357" spans="2:21" ht="15">
      <c r="B357" s="94"/>
      <c r="C357" s="78"/>
      <c r="O357" s="84"/>
      <c r="P357" s="84"/>
      <c r="Q357" s="84"/>
      <c r="R357" s="84"/>
      <c r="S357" s="84"/>
      <c r="T357" s="84"/>
      <c r="U357" s="84"/>
    </row>
    <row r="358" spans="2:21" ht="15" customHeight="1">
      <c r="B358" s="976" t="s">
        <v>380</v>
      </c>
      <c r="C358" s="783"/>
      <c r="D358" s="1104" t="str">
        <f>"Per Settlement, equity for "&amp;F7&amp;"  is limited to "&amp;E260*100&amp;"% of Capital Structure.  If the percentage of equity exceeds the cap, the excess is included in weighted percentage of long term debt in the capital structure."</f>
        <v>Per Settlement, equity for KENTUCKY POWER COMPANY  is limited to 50% of Capital Structure.  If the percentage of equity exceeds the cap, the excess is included in weighted percentage of long term debt in the capital structure.</v>
      </c>
      <c r="E358" s="1142"/>
      <c r="F358" s="1142"/>
      <c r="G358" s="1142"/>
      <c r="H358" s="1142"/>
      <c r="I358" s="1142"/>
      <c r="J358" s="1142"/>
      <c r="O358" s="84"/>
      <c r="P358" s="84"/>
      <c r="Q358" s="84"/>
      <c r="R358" s="84"/>
      <c r="S358" s="84"/>
      <c r="T358" s="84"/>
      <c r="U358" s="84"/>
    </row>
    <row r="359" spans="2:21" ht="15">
      <c r="B359" s="94"/>
      <c r="C359" s="78"/>
      <c r="D359" s="1142"/>
      <c r="E359" s="1142"/>
      <c r="F359" s="1142"/>
      <c r="G359" s="1142"/>
      <c r="H359" s="1142"/>
      <c r="I359" s="1142"/>
      <c r="J359" s="1142"/>
      <c r="O359" s="84"/>
      <c r="P359" s="84"/>
      <c r="Q359" s="84"/>
      <c r="R359" s="84"/>
      <c r="S359" s="84"/>
      <c r="T359" s="84"/>
      <c r="U359" s="84"/>
    </row>
    <row r="360" spans="2:21" ht="15">
      <c r="B360" s="94"/>
      <c r="C360" s="78"/>
      <c r="D360" s="160" t="s">
        <v>278</v>
      </c>
      <c r="O360" s="84"/>
      <c r="P360" s="84"/>
      <c r="Q360" s="84"/>
      <c r="R360" s="84"/>
      <c r="S360" s="84"/>
      <c r="T360" s="84"/>
      <c r="U360" s="84"/>
    </row>
    <row r="361" spans="2:21" ht="15">
      <c r="B361" s="94"/>
      <c r="C361" s="78"/>
      <c r="O361" s="84"/>
      <c r="P361" s="84"/>
      <c r="Q361" s="84"/>
      <c r="R361" s="84"/>
      <c r="S361" s="84"/>
      <c r="T361" s="84"/>
      <c r="U361" s="84"/>
    </row>
    <row r="362" spans="2:21" ht="15">
      <c r="B362" s="94"/>
      <c r="C362" s="78"/>
      <c r="O362" s="84"/>
      <c r="P362" s="84"/>
      <c r="Q362" s="84"/>
      <c r="R362" s="84"/>
      <c r="S362" s="84"/>
      <c r="T362" s="84"/>
      <c r="U362" s="84"/>
    </row>
    <row r="363" spans="2:21" ht="15">
      <c r="B363" s="94"/>
      <c r="C363" s="78"/>
      <c r="O363" s="84"/>
      <c r="P363" s="84"/>
      <c r="Q363" s="84"/>
      <c r="R363" s="84"/>
      <c r="S363" s="84"/>
      <c r="T363" s="84"/>
      <c r="U363" s="84"/>
    </row>
    <row r="364" spans="2:21" ht="15">
      <c r="B364" s="94"/>
      <c r="C364" s="78"/>
      <c r="O364" s="84"/>
      <c r="P364" s="84"/>
      <c r="Q364" s="84"/>
      <c r="R364" s="84"/>
      <c r="S364" s="84"/>
      <c r="T364" s="84"/>
      <c r="U364" s="84"/>
    </row>
    <row r="365" spans="2:21" ht="15">
      <c r="B365" s="94"/>
      <c r="C365" s="78"/>
      <c r="O365" s="84"/>
      <c r="P365" s="84"/>
      <c r="Q365" s="84"/>
      <c r="R365" s="84"/>
      <c r="S365" s="84"/>
      <c r="T365" s="84"/>
      <c r="U365" s="84"/>
    </row>
    <row r="366" spans="2:21" ht="15">
      <c r="B366" s="94"/>
      <c r="C366" s="78"/>
      <c r="O366" s="84"/>
      <c r="P366" s="84"/>
      <c r="Q366" s="84"/>
      <c r="R366" s="84"/>
      <c r="S366" s="84"/>
      <c r="T366" s="84"/>
      <c r="U366" s="84"/>
    </row>
    <row r="367" spans="2:21" ht="15">
      <c r="B367"/>
      <c r="C367"/>
      <c r="D367"/>
      <c r="E367"/>
      <c r="F367"/>
      <c r="G367"/>
      <c r="H367"/>
      <c r="O367" s="84"/>
      <c r="P367" s="84"/>
      <c r="Q367" s="84"/>
      <c r="R367" s="84"/>
      <c r="S367" s="84"/>
      <c r="T367" s="84"/>
      <c r="U367" s="84"/>
    </row>
    <row r="368" spans="2:21" ht="15">
      <c r="B368"/>
      <c r="C368"/>
      <c r="D368"/>
      <c r="E368"/>
      <c r="F368"/>
      <c r="G368"/>
      <c r="H368"/>
      <c r="O368" s="84"/>
      <c r="P368" s="84"/>
      <c r="Q368" s="84"/>
      <c r="R368" s="84"/>
      <c r="S368" s="84"/>
      <c r="T368" s="84"/>
      <c r="U368" s="84"/>
    </row>
    <row r="369" spans="2:21" ht="15">
      <c r="B369"/>
      <c r="C369"/>
      <c r="D369"/>
      <c r="E369"/>
      <c r="F369"/>
      <c r="G369"/>
      <c r="H369"/>
      <c r="O369" s="84"/>
      <c r="P369" s="84"/>
      <c r="Q369" s="84"/>
      <c r="R369" s="84"/>
      <c r="S369" s="84"/>
      <c r="T369" s="84"/>
      <c r="U369" s="84"/>
    </row>
    <row r="370" spans="2:21" ht="15">
      <c r="B370"/>
      <c r="C370"/>
      <c r="D370"/>
      <c r="E370"/>
      <c r="F370"/>
      <c r="G370"/>
      <c r="H370"/>
      <c r="O370" s="84"/>
      <c r="P370" s="84"/>
      <c r="Q370" s="84"/>
      <c r="R370" s="84"/>
      <c r="S370" s="84"/>
      <c r="T370" s="84"/>
      <c r="U370" s="84"/>
    </row>
    <row r="371" spans="2:21" ht="15">
      <c r="B371"/>
      <c r="C371"/>
      <c r="D371" s="1143"/>
      <c r="E371" s="1143"/>
      <c r="F371" s="1143"/>
      <c r="G371" s="1143"/>
      <c r="H371" s="1143"/>
      <c r="I371" s="1143"/>
      <c r="J371" s="1143"/>
      <c r="O371" s="84"/>
      <c r="P371" s="84"/>
      <c r="Q371" s="84"/>
      <c r="R371" s="84"/>
      <c r="S371" s="84"/>
      <c r="T371" s="84"/>
      <c r="U371" s="84"/>
    </row>
    <row r="372" spans="2:21" ht="15">
      <c r="B372"/>
      <c r="C372"/>
      <c r="D372" s="1143"/>
      <c r="E372" s="1143"/>
      <c r="F372" s="1143"/>
      <c r="G372" s="1143"/>
      <c r="H372" s="1143"/>
      <c r="I372" s="1143"/>
      <c r="J372" s="1143"/>
      <c r="O372" s="84"/>
      <c r="P372" s="84"/>
      <c r="Q372" s="84"/>
      <c r="R372" s="84"/>
      <c r="S372" s="84"/>
      <c r="T372" s="84"/>
      <c r="U372" s="84"/>
    </row>
    <row r="373" spans="2:21" ht="15">
      <c r="B373"/>
      <c r="C373"/>
      <c r="D373"/>
      <c r="E373"/>
      <c r="F373"/>
      <c r="G373"/>
      <c r="H373"/>
      <c r="O373" s="84"/>
      <c r="P373" s="84"/>
      <c r="Q373" s="84"/>
      <c r="R373" s="84"/>
      <c r="S373" s="84"/>
      <c r="T373" s="84"/>
      <c r="U373" s="84"/>
    </row>
    <row r="374" spans="2:21" ht="15">
      <c r="B374"/>
      <c r="C374"/>
      <c r="D374"/>
      <c r="E374"/>
      <c r="F374"/>
      <c r="G374"/>
      <c r="H374"/>
      <c r="O374" s="84"/>
      <c r="P374" s="84"/>
      <c r="Q374" s="84"/>
      <c r="R374" s="84"/>
      <c r="S374" s="84"/>
      <c r="T374" s="84"/>
      <c r="U374" s="84"/>
    </row>
    <row r="375" spans="2:21" ht="15">
      <c r="B375"/>
      <c r="C375"/>
      <c r="D375"/>
      <c r="E375"/>
      <c r="F375"/>
      <c r="G375"/>
      <c r="H375"/>
      <c r="O375" s="84"/>
      <c r="P375" s="84"/>
      <c r="Q375" s="84"/>
      <c r="R375" s="84"/>
      <c r="S375" s="84"/>
      <c r="T375" s="84"/>
      <c r="U375" s="84"/>
    </row>
    <row r="376" spans="2:21" ht="15">
      <c r="B376"/>
      <c r="C376"/>
      <c r="D376"/>
      <c r="E376"/>
      <c r="F376"/>
      <c r="G376"/>
      <c r="H376"/>
      <c r="O376" s="84"/>
      <c r="P376" s="84"/>
      <c r="Q376" s="84"/>
      <c r="R376" s="84"/>
      <c r="S376" s="84"/>
      <c r="T376" s="84"/>
      <c r="U376" s="84"/>
    </row>
    <row r="377" spans="2:21" ht="15">
      <c r="B377"/>
      <c r="C377"/>
      <c r="D377"/>
      <c r="E377"/>
      <c r="F377"/>
      <c r="G377"/>
      <c r="H377"/>
      <c r="O377" s="84"/>
      <c r="P377" s="84"/>
      <c r="Q377" s="84"/>
      <c r="R377" s="84"/>
      <c r="S377" s="84"/>
      <c r="T377" s="84"/>
      <c r="U377" s="84"/>
    </row>
    <row r="378" spans="2:21" ht="15">
      <c r="B378" s="94"/>
      <c r="C378" s="78"/>
      <c r="O378" s="84"/>
      <c r="P378" s="84"/>
      <c r="Q378" s="84"/>
      <c r="R378" s="84"/>
      <c r="S378" s="84"/>
      <c r="T378" s="84"/>
      <c r="U378" s="84"/>
    </row>
    <row r="379" spans="2:21" ht="15">
      <c r="B379" s="14"/>
      <c r="O379" s="84"/>
      <c r="P379" s="84"/>
      <c r="Q379" s="84"/>
      <c r="R379" s="84"/>
      <c r="S379" s="84"/>
      <c r="T379" s="84"/>
      <c r="U379" s="84"/>
    </row>
    <row r="380" spans="2:21" ht="15">
      <c r="B380" s="14"/>
      <c r="O380" s="84"/>
      <c r="P380" s="84"/>
      <c r="Q380" s="84"/>
      <c r="R380" s="84"/>
      <c r="S380" s="84"/>
      <c r="T380" s="84"/>
      <c r="U380" s="84"/>
    </row>
    <row r="381" spans="2:21" ht="15">
      <c r="B381" s="14"/>
      <c r="O381" s="84"/>
      <c r="P381" s="84"/>
      <c r="Q381" s="84"/>
      <c r="R381" s="84"/>
      <c r="S381" s="84"/>
      <c r="T381" s="84"/>
      <c r="U381" s="84"/>
    </row>
    <row r="382" spans="2:21" ht="15">
      <c r="B382" s="14"/>
      <c r="H382" s="84"/>
      <c r="I382" s="84"/>
      <c r="J382" s="84"/>
      <c r="K382" s="84"/>
      <c r="L382" s="84"/>
      <c r="O382" s="84"/>
      <c r="P382" s="84"/>
      <c r="Q382" s="84"/>
      <c r="R382" s="84"/>
      <c r="S382" s="84"/>
      <c r="T382" s="84"/>
      <c r="U382" s="84"/>
    </row>
    <row r="383" spans="2:21" ht="15">
      <c r="B383" s="14"/>
      <c r="H383" s="84"/>
      <c r="K383" s="84"/>
      <c r="L383" s="84"/>
      <c r="O383" s="84"/>
      <c r="P383" s="84"/>
      <c r="Q383" s="84"/>
      <c r="R383" s="84"/>
      <c r="S383" s="84"/>
      <c r="T383" s="84"/>
      <c r="U383" s="84"/>
    </row>
    <row r="384" spans="2:21" ht="15">
      <c r="B384" s="14"/>
      <c r="H384" s="84"/>
      <c r="I384" s="84" t="s">
        <v>297</v>
      </c>
      <c r="J384" s="198"/>
      <c r="K384" s="84"/>
      <c r="L384" s="84"/>
      <c r="O384" s="84"/>
      <c r="P384" s="84"/>
      <c r="Q384" s="84"/>
      <c r="R384" s="84"/>
      <c r="S384" s="84"/>
      <c r="T384" s="84"/>
      <c r="U384" s="84"/>
    </row>
    <row r="385" spans="2:21" ht="15">
      <c r="B385" s="14"/>
      <c r="H385" s="84"/>
      <c r="I385" s="197" t="s">
        <v>737</v>
      </c>
      <c r="J385" s="198">
        <v>1</v>
      </c>
      <c r="K385" s="84"/>
      <c r="L385" s="84"/>
      <c r="O385" s="84"/>
      <c r="P385" s="84"/>
      <c r="Q385" s="84"/>
      <c r="R385" s="84"/>
      <c r="S385" s="84"/>
      <c r="T385" s="84"/>
      <c r="U385" s="84"/>
    </row>
    <row r="386" spans="2:21" ht="15">
      <c r="B386" s="14"/>
      <c r="H386" s="84"/>
      <c r="I386" s="197" t="s">
        <v>123</v>
      </c>
      <c r="J386" s="198">
        <f>'KPCo True-UP TCOS'!$J$70</f>
        <v>0.2795609956309155</v>
      </c>
      <c r="K386" s="84"/>
      <c r="L386" s="84"/>
      <c r="O386" s="84"/>
      <c r="P386" s="84"/>
      <c r="Q386" s="84"/>
      <c r="R386" s="84"/>
      <c r="S386" s="84"/>
      <c r="T386" s="84"/>
      <c r="U386" s="84"/>
    </row>
    <row r="387" spans="2:21" ht="15">
      <c r="B387" s="14"/>
      <c r="H387" s="84"/>
      <c r="I387" s="197" t="s">
        <v>915</v>
      </c>
      <c r="J387" s="198">
        <f>'KPCo True-UP TCOS'!$J$71</f>
        <v>0</v>
      </c>
      <c r="K387" s="84"/>
      <c r="L387" s="84"/>
      <c r="O387" s="84"/>
      <c r="P387" s="84"/>
      <c r="Q387" s="84"/>
      <c r="R387" s="84"/>
      <c r="S387" s="84"/>
      <c r="T387" s="84"/>
      <c r="U387" s="84"/>
    </row>
    <row r="388" spans="2:21" ht="15">
      <c r="B388" s="3"/>
      <c r="C388" s="84"/>
      <c r="D388" s="84"/>
      <c r="E388" s="84"/>
      <c r="F388" s="84"/>
      <c r="G388" s="84"/>
      <c r="H388" s="84"/>
      <c r="I388" s="197" t="s">
        <v>735</v>
      </c>
      <c r="J388" s="199">
        <v>0</v>
      </c>
      <c r="K388" s="84"/>
      <c r="L388" s="84"/>
      <c r="O388" s="84"/>
      <c r="P388" s="84"/>
      <c r="Q388" s="84"/>
      <c r="R388" s="84"/>
      <c r="S388" s="84"/>
      <c r="T388" s="84"/>
      <c r="U388" s="84"/>
    </row>
    <row r="389" spans="2:21" ht="15">
      <c r="B389" s="3"/>
      <c r="C389" s="84"/>
      <c r="D389" s="84"/>
      <c r="E389" s="84"/>
      <c r="F389" s="84"/>
      <c r="G389" s="84"/>
      <c r="H389" s="84"/>
      <c r="I389" s="197" t="s">
        <v>124</v>
      </c>
      <c r="J389" s="198">
        <f>$J$100</f>
        <v>0.28410674465124913</v>
      </c>
      <c r="K389" s="84"/>
      <c r="L389" s="84"/>
      <c r="O389" s="84"/>
      <c r="P389" s="84"/>
      <c r="Q389" s="84"/>
      <c r="R389" s="84"/>
      <c r="S389" s="84"/>
      <c r="T389" s="84"/>
      <c r="U389" s="84"/>
    </row>
    <row r="390" spans="2:21" ht="15">
      <c r="B390" s="3"/>
      <c r="C390" s="84"/>
      <c r="D390" s="84"/>
      <c r="E390" s="84"/>
      <c r="F390" s="84"/>
      <c r="G390" s="84"/>
      <c r="H390" s="84"/>
      <c r="I390" s="197" t="s">
        <v>728</v>
      </c>
      <c r="J390" s="198">
        <f>$L$231</f>
        <v>0.9963185829193314</v>
      </c>
      <c r="K390" s="84"/>
      <c r="L390" s="84"/>
      <c r="O390" s="84"/>
      <c r="P390" s="84"/>
      <c r="Q390" s="84"/>
      <c r="R390" s="84"/>
      <c r="S390" s="84"/>
      <c r="T390" s="84"/>
      <c r="U390" s="84"/>
    </row>
    <row r="391" spans="2:12" ht="15">
      <c r="B391" s="7"/>
      <c r="C391" s="56"/>
      <c r="D391" s="56"/>
      <c r="E391" s="56"/>
      <c r="F391" s="56"/>
      <c r="G391" s="56"/>
      <c r="H391" s="56"/>
      <c r="I391" s="197" t="s">
        <v>559</v>
      </c>
      <c r="J391" s="198">
        <f>$J$75</f>
        <v>0.9958931810988337</v>
      </c>
      <c r="K391" s="56"/>
      <c r="L391" s="56"/>
    </row>
    <row r="392" spans="2:12" ht="15">
      <c r="B392" s="7"/>
      <c r="C392" s="56"/>
      <c r="D392" s="56"/>
      <c r="E392" s="56"/>
      <c r="F392" s="56"/>
      <c r="G392" s="56"/>
      <c r="H392" s="56"/>
      <c r="I392" s="197" t="s">
        <v>740</v>
      </c>
      <c r="J392" s="198">
        <f>$L$241</f>
        <v>0.08594475532773929</v>
      </c>
      <c r="K392" s="56"/>
      <c r="L392" s="56"/>
    </row>
    <row r="393" spans="2:12" ht="15">
      <c r="B393" s="7"/>
      <c r="C393" s="56"/>
      <c r="D393" s="56"/>
      <c r="E393" s="56"/>
      <c r="F393" s="56"/>
      <c r="G393" s="56"/>
      <c r="H393" s="56"/>
      <c r="I393" s="56"/>
      <c r="J393" s="56"/>
      <c r="K393" s="56"/>
      <c r="L393" s="56"/>
    </row>
    <row r="394" spans="2:12" ht="15">
      <c r="B394" s="7"/>
      <c r="C394" s="56"/>
      <c r="D394" s="56"/>
      <c r="E394" s="56"/>
      <c r="F394" s="56"/>
      <c r="G394" s="56"/>
      <c r="H394" s="56"/>
      <c r="I394" s="56"/>
      <c r="J394" s="56"/>
      <c r="K394" s="56"/>
      <c r="L394" s="56"/>
    </row>
    <row r="395" spans="2:12" ht="15">
      <c r="B395" s="7"/>
      <c r="C395" s="56"/>
      <c r="D395" s="56"/>
      <c r="E395" s="56"/>
      <c r="F395" s="56"/>
      <c r="G395" s="56"/>
      <c r="H395" s="56"/>
      <c r="I395" s="56"/>
      <c r="J395" s="56"/>
      <c r="K395" s="56"/>
      <c r="L395" s="56"/>
    </row>
    <row r="396" spans="2:12" ht="15">
      <c r="B396" s="7"/>
      <c r="C396" s="56"/>
      <c r="D396" s="56"/>
      <c r="E396" s="56"/>
      <c r="F396" s="56"/>
      <c r="G396" s="56"/>
      <c r="H396" s="56"/>
      <c r="I396" s="56"/>
      <c r="J396" s="56"/>
      <c r="K396" s="56"/>
      <c r="L396" s="56"/>
    </row>
    <row r="397" spans="2:12" ht="15">
      <c r="B397" s="7"/>
      <c r="C397" s="56"/>
      <c r="D397" s="56"/>
      <c r="E397" s="56"/>
      <c r="F397" s="56"/>
      <c r="G397" s="56"/>
      <c r="H397" s="56"/>
      <c r="I397" s="56"/>
      <c r="J397" s="56"/>
      <c r="K397" s="56"/>
      <c r="L397" s="56"/>
    </row>
    <row r="398" spans="2:12" ht="15">
      <c r="B398" s="7"/>
      <c r="C398" s="56"/>
      <c r="D398" s="56"/>
      <c r="E398" s="56"/>
      <c r="F398" s="56"/>
      <c r="G398" s="56"/>
      <c r="H398" s="56"/>
      <c r="I398" s="56"/>
      <c r="J398" s="56"/>
      <c r="K398" s="56"/>
      <c r="L398" s="56"/>
    </row>
    <row r="399" spans="2:12" ht="15">
      <c r="B399" s="7"/>
      <c r="C399" s="56"/>
      <c r="D399" s="56"/>
      <c r="E399" s="56"/>
      <c r="F399" s="56"/>
      <c r="G399" s="56"/>
      <c r="H399" s="56"/>
      <c r="I399" s="56"/>
      <c r="J399" s="56"/>
      <c r="K399" s="56"/>
      <c r="L399" s="56"/>
    </row>
    <row r="400" spans="2:12" ht="15">
      <c r="B400" s="7"/>
      <c r="C400" s="56"/>
      <c r="D400" s="56"/>
      <c r="E400" s="56"/>
      <c r="F400" s="56"/>
      <c r="G400" s="56"/>
      <c r="H400" s="56"/>
      <c r="I400" s="56"/>
      <c r="J400" s="56"/>
      <c r="K400" s="56"/>
      <c r="L400" s="56"/>
    </row>
    <row r="401" spans="2:12" ht="15">
      <c r="B401" s="7"/>
      <c r="C401" s="56"/>
      <c r="D401" s="56"/>
      <c r="E401" s="56"/>
      <c r="F401" s="56"/>
      <c r="G401" s="56"/>
      <c r="H401" s="56"/>
      <c r="I401" s="56"/>
      <c r="J401" s="56"/>
      <c r="K401" s="56"/>
      <c r="L401" s="56"/>
    </row>
    <row r="402" spans="2:12" ht="15">
      <c r="B402" s="7"/>
      <c r="C402" s="56"/>
      <c r="D402" s="56"/>
      <c r="E402" s="56"/>
      <c r="F402" s="56"/>
      <c r="G402" s="56"/>
      <c r="H402" s="56"/>
      <c r="I402" s="56"/>
      <c r="J402" s="56"/>
      <c r="K402" s="56"/>
      <c r="L402" s="56"/>
    </row>
    <row r="403" spans="2:12" ht="15">
      <c r="B403" s="7"/>
      <c r="C403" s="56"/>
      <c r="D403" s="56"/>
      <c r="E403" s="56"/>
      <c r="F403" s="56"/>
      <c r="G403" s="56"/>
      <c r="H403" s="56"/>
      <c r="I403" s="56"/>
      <c r="J403" s="56"/>
      <c r="K403" s="56"/>
      <c r="L403" s="56"/>
    </row>
    <row r="404" spans="2:12" ht="15">
      <c r="B404" s="7"/>
      <c r="C404" s="56"/>
      <c r="D404" s="56"/>
      <c r="E404" s="56"/>
      <c r="F404" s="56"/>
      <c r="G404" s="56"/>
      <c r="H404" s="56"/>
      <c r="I404" s="56"/>
      <c r="J404" s="56"/>
      <c r="K404" s="56"/>
      <c r="L404" s="56"/>
    </row>
    <row r="405" spans="2:12" ht="15">
      <c r="B405" s="7"/>
      <c r="C405" s="56"/>
      <c r="D405" s="56"/>
      <c r="E405" s="56"/>
      <c r="F405" s="56"/>
      <c r="G405" s="56"/>
      <c r="H405" s="56"/>
      <c r="I405" s="56"/>
      <c r="J405" s="56"/>
      <c r="K405" s="56"/>
      <c r="L405" s="56"/>
    </row>
    <row r="406" spans="2:12" ht="15">
      <c r="B406" s="7"/>
      <c r="C406" s="56"/>
      <c r="D406" s="56"/>
      <c r="E406" s="56"/>
      <c r="F406" s="56"/>
      <c r="G406" s="56"/>
      <c r="H406" s="56"/>
      <c r="I406" s="56"/>
      <c r="J406" s="56"/>
      <c r="K406" s="56"/>
      <c r="L406" s="56"/>
    </row>
    <row r="407" spans="2:12" ht="15">
      <c r="B407" s="7"/>
      <c r="C407" s="56"/>
      <c r="D407" s="56"/>
      <c r="E407" s="56"/>
      <c r="F407" s="56"/>
      <c r="G407" s="56"/>
      <c r="H407" s="56"/>
      <c r="I407" s="56"/>
      <c r="J407" s="56"/>
      <c r="K407" s="56"/>
      <c r="L407" s="56"/>
    </row>
    <row r="408" spans="2:12" ht="15">
      <c r="B408" s="7"/>
      <c r="C408" s="56"/>
      <c r="D408" s="56"/>
      <c r="E408" s="56"/>
      <c r="F408" s="56"/>
      <c r="G408" s="56"/>
      <c r="H408" s="56"/>
      <c r="I408" s="56"/>
      <c r="J408" s="56"/>
      <c r="K408" s="56"/>
      <c r="L408" s="56"/>
    </row>
    <row r="409" spans="2:12" ht="15">
      <c r="B409" s="7"/>
      <c r="C409" s="56"/>
      <c r="D409" s="56"/>
      <c r="E409" s="56"/>
      <c r="F409" s="56"/>
      <c r="G409" s="56"/>
      <c r="H409" s="56"/>
      <c r="I409" s="56"/>
      <c r="J409" s="56"/>
      <c r="K409" s="56"/>
      <c r="L409" s="56"/>
    </row>
    <row r="410" spans="2:12" ht="15">
      <c r="B410" s="7"/>
      <c r="C410" s="56"/>
      <c r="D410" s="56"/>
      <c r="E410" s="56"/>
      <c r="F410" s="56"/>
      <c r="G410" s="56"/>
      <c r="H410" s="56"/>
      <c r="I410" s="56"/>
      <c r="J410" s="56"/>
      <c r="K410" s="56"/>
      <c r="L410" s="56"/>
    </row>
    <row r="411" spans="2:12" ht="15">
      <c r="B411" s="7"/>
      <c r="C411" s="56"/>
      <c r="D411" s="56"/>
      <c r="E411" s="56"/>
      <c r="F411" s="56"/>
      <c r="G411" s="56"/>
      <c r="H411" s="56"/>
      <c r="I411" s="56"/>
      <c r="J411" s="56"/>
      <c r="K411" s="56"/>
      <c r="L411" s="56"/>
    </row>
    <row r="412" spans="2:12" ht="15">
      <c r="B412" s="7"/>
      <c r="C412" s="56"/>
      <c r="D412" s="56"/>
      <c r="E412" s="56"/>
      <c r="F412" s="56"/>
      <c r="G412" s="56"/>
      <c r="H412" s="56"/>
      <c r="I412" s="56"/>
      <c r="J412" s="56"/>
      <c r="K412" s="56"/>
      <c r="L412" s="56"/>
    </row>
    <row r="413" spans="2:12" ht="15">
      <c r="B413" s="7"/>
      <c r="C413" s="56"/>
      <c r="D413" s="56"/>
      <c r="E413" s="56"/>
      <c r="F413" s="56"/>
      <c r="G413" s="56"/>
      <c r="H413" s="56"/>
      <c r="I413" s="56"/>
      <c r="J413" s="56"/>
      <c r="K413" s="56"/>
      <c r="L413" s="56"/>
    </row>
    <row r="414" spans="2:12" ht="15">
      <c r="B414" s="7"/>
      <c r="C414" s="56"/>
      <c r="D414" s="56"/>
      <c r="E414" s="56"/>
      <c r="F414" s="56"/>
      <c r="G414" s="56"/>
      <c r="H414" s="56"/>
      <c r="I414" s="56"/>
      <c r="J414" s="56"/>
      <c r="K414" s="56"/>
      <c r="L414" s="56"/>
    </row>
    <row r="415" spans="2:12" ht="15">
      <c r="B415" s="7"/>
      <c r="C415" s="56"/>
      <c r="D415" s="56"/>
      <c r="E415" s="56"/>
      <c r="F415" s="56"/>
      <c r="G415" s="56"/>
      <c r="H415" s="56"/>
      <c r="I415" s="56"/>
      <c r="J415" s="56"/>
      <c r="K415" s="56"/>
      <c r="L415" s="56"/>
    </row>
    <row r="416" spans="2:12" ht="15">
      <c r="B416" s="7"/>
      <c r="C416" s="56"/>
      <c r="D416" s="56"/>
      <c r="E416" s="56"/>
      <c r="F416" s="56"/>
      <c r="G416" s="56"/>
      <c r="H416" s="56"/>
      <c r="I416" s="56"/>
      <c r="J416" s="56"/>
      <c r="K416" s="56"/>
      <c r="L416" s="56"/>
    </row>
    <row r="417" spans="2:12" ht="15">
      <c r="B417" s="7"/>
      <c r="C417" s="56"/>
      <c r="D417" s="56"/>
      <c r="E417" s="56"/>
      <c r="F417" s="56"/>
      <c r="G417" s="56"/>
      <c r="H417" s="56"/>
      <c r="I417" s="56"/>
      <c r="J417" s="56"/>
      <c r="K417" s="56"/>
      <c r="L417" s="56"/>
    </row>
    <row r="418" spans="2:12" ht="15">
      <c r="B418" s="7"/>
      <c r="C418" s="56"/>
      <c r="D418" s="56"/>
      <c r="E418" s="56"/>
      <c r="F418" s="56"/>
      <c r="G418" s="56"/>
      <c r="H418" s="56"/>
      <c r="I418" s="56"/>
      <c r="J418" s="56"/>
      <c r="K418" s="56"/>
      <c r="L418" s="56"/>
    </row>
    <row r="419" spans="2:12" ht="15">
      <c r="B419" s="7"/>
      <c r="C419" s="56"/>
      <c r="D419" s="56"/>
      <c r="E419" s="56"/>
      <c r="F419" s="56"/>
      <c r="G419" s="56"/>
      <c r="H419" s="56"/>
      <c r="I419" s="56"/>
      <c r="J419" s="56"/>
      <c r="K419" s="56"/>
      <c r="L419" s="56"/>
    </row>
    <row r="420" spans="2:12" ht="15">
      <c r="B420" s="7"/>
      <c r="C420" s="56"/>
      <c r="D420" s="56"/>
      <c r="E420" s="56"/>
      <c r="F420" s="56"/>
      <c r="G420" s="56"/>
      <c r="H420" s="56"/>
      <c r="I420" s="56"/>
      <c r="J420" s="56"/>
      <c r="K420" s="56"/>
      <c r="L420" s="56"/>
    </row>
    <row r="421" spans="2:12" ht="15">
      <c r="B421" s="7"/>
      <c r="C421" s="56"/>
      <c r="D421" s="56"/>
      <c r="E421" s="56"/>
      <c r="F421" s="56"/>
      <c r="G421" s="56"/>
      <c r="H421" s="56"/>
      <c r="I421" s="56"/>
      <c r="J421" s="56"/>
      <c r="K421" s="56"/>
      <c r="L421" s="56"/>
    </row>
    <row r="422" spans="2:12" ht="15">
      <c r="B422" s="7"/>
      <c r="C422" s="56"/>
      <c r="D422" s="56"/>
      <c r="E422" s="56"/>
      <c r="F422" s="56"/>
      <c r="G422" s="56"/>
      <c r="H422" s="56"/>
      <c r="I422" s="56"/>
      <c r="J422" s="56"/>
      <c r="K422" s="56"/>
      <c r="L422" s="56"/>
    </row>
    <row r="423" spans="2:12" ht="15">
      <c r="B423" s="7"/>
      <c r="C423" s="56"/>
      <c r="D423" s="56"/>
      <c r="E423" s="56"/>
      <c r="F423" s="56"/>
      <c r="G423" s="56"/>
      <c r="H423" s="56"/>
      <c r="I423" s="56"/>
      <c r="J423" s="56"/>
      <c r="K423" s="56"/>
      <c r="L423" s="56"/>
    </row>
    <row r="424" spans="2:12" ht="15">
      <c r="B424" s="7"/>
      <c r="C424" s="56"/>
      <c r="D424" s="56"/>
      <c r="E424" s="56"/>
      <c r="F424" s="56"/>
      <c r="G424" s="56"/>
      <c r="H424" s="56"/>
      <c r="I424" s="56"/>
      <c r="J424" s="56"/>
      <c r="K424" s="56"/>
      <c r="L424" s="56"/>
    </row>
    <row r="425" spans="2:12" ht="15">
      <c r="B425" s="7"/>
      <c r="C425" s="56"/>
      <c r="D425" s="56"/>
      <c r="E425" s="56"/>
      <c r="F425" s="56"/>
      <c r="G425" s="56"/>
      <c r="H425" s="56"/>
      <c r="I425" s="56"/>
      <c r="J425" s="56"/>
      <c r="K425" s="56"/>
      <c r="L425" s="56"/>
    </row>
    <row r="426" spans="2:12" ht="15">
      <c r="B426" s="7"/>
      <c r="C426" s="56"/>
      <c r="D426" s="56"/>
      <c r="E426" s="56"/>
      <c r="F426" s="56"/>
      <c r="G426" s="56"/>
      <c r="H426" s="56"/>
      <c r="I426" s="56"/>
      <c r="J426" s="56"/>
      <c r="K426" s="56"/>
      <c r="L426" s="56"/>
    </row>
    <row r="427" spans="2:12" ht="15">
      <c r="B427" s="7"/>
      <c r="C427" s="56"/>
      <c r="D427" s="56"/>
      <c r="E427" s="56"/>
      <c r="F427" s="56"/>
      <c r="G427" s="56"/>
      <c r="H427" s="56"/>
      <c r="I427" s="56"/>
      <c r="J427" s="56"/>
      <c r="K427" s="56"/>
      <c r="L427" s="56"/>
    </row>
    <row r="428" spans="2:12" ht="15">
      <c r="B428" s="7"/>
      <c r="C428" s="56"/>
      <c r="D428" s="56"/>
      <c r="E428" s="56"/>
      <c r="F428" s="56"/>
      <c r="G428" s="56"/>
      <c r="H428" s="56"/>
      <c r="I428" s="56"/>
      <c r="J428" s="56"/>
      <c r="K428" s="56"/>
      <c r="L428" s="56"/>
    </row>
    <row r="429" spans="2:12" ht="15">
      <c r="B429" s="7"/>
      <c r="C429" s="56"/>
      <c r="D429" s="56"/>
      <c r="E429" s="56"/>
      <c r="F429" s="56"/>
      <c r="G429" s="56"/>
      <c r="H429" s="56"/>
      <c r="I429" s="56"/>
      <c r="J429" s="56"/>
      <c r="K429" s="56"/>
      <c r="L429" s="56"/>
    </row>
    <row r="430" spans="2:12" ht="15">
      <c r="B430" s="7"/>
      <c r="C430" s="56"/>
      <c r="D430" s="56"/>
      <c r="E430" s="56"/>
      <c r="F430" s="56"/>
      <c r="G430" s="56"/>
      <c r="H430" s="56"/>
      <c r="I430" s="56"/>
      <c r="J430" s="56"/>
      <c r="K430" s="56"/>
      <c r="L430" s="56"/>
    </row>
    <row r="431" spans="2:12" ht="15">
      <c r="B431" s="7"/>
      <c r="C431" s="56"/>
      <c r="D431" s="56"/>
      <c r="E431" s="56"/>
      <c r="F431" s="56"/>
      <c r="G431" s="56"/>
      <c r="H431" s="56"/>
      <c r="I431" s="56"/>
      <c r="J431" s="56"/>
      <c r="K431" s="56"/>
      <c r="L431" s="56"/>
    </row>
    <row r="432" spans="2:12" ht="15">
      <c r="B432" s="7"/>
      <c r="C432" s="56"/>
      <c r="D432" s="56"/>
      <c r="E432" s="56"/>
      <c r="F432" s="56"/>
      <c r="G432" s="56"/>
      <c r="H432" s="56"/>
      <c r="I432" s="56"/>
      <c r="J432" s="56"/>
      <c r="K432" s="56"/>
      <c r="L432" s="56"/>
    </row>
    <row r="433" spans="2:12" ht="15">
      <c r="B433" s="7"/>
      <c r="C433" s="56"/>
      <c r="D433" s="56"/>
      <c r="E433" s="56"/>
      <c r="F433" s="56"/>
      <c r="G433" s="56"/>
      <c r="H433" s="56"/>
      <c r="I433" s="56"/>
      <c r="J433" s="56"/>
      <c r="K433" s="56"/>
      <c r="L433" s="56"/>
    </row>
    <row r="434" spans="2:12" ht="15">
      <c r="B434" s="7"/>
      <c r="C434" s="56"/>
      <c r="D434" s="56"/>
      <c r="E434" s="56"/>
      <c r="F434" s="56"/>
      <c r="G434" s="56"/>
      <c r="H434" s="56"/>
      <c r="I434" s="56"/>
      <c r="J434" s="56"/>
      <c r="K434" s="56"/>
      <c r="L434" s="56"/>
    </row>
    <row r="435" spans="2:12" ht="15">
      <c r="B435" s="7"/>
      <c r="C435" s="56"/>
      <c r="D435" s="56"/>
      <c r="E435" s="56"/>
      <c r="F435" s="56"/>
      <c r="G435" s="56"/>
      <c r="H435" s="56"/>
      <c r="I435" s="56"/>
      <c r="J435" s="56"/>
      <c r="K435" s="56"/>
      <c r="L435" s="56"/>
    </row>
    <row r="436" spans="2:12" ht="15">
      <c r="B436" s="7"/>
      <c r="C436" s="56"/>
      <c r="D436" s="56"/>
      <c r="E436" s="56"/>
      <c r="F436" s="56"/>
      <c r="G436" s="56"/>
      <c r="H436" s="56"/>
      <c r="I436" s="56"/>
      <c r="J436" s="56"/>
      <c r="K436" s="56"/>
      <c r="L436" s="56"/>
    </row>
    <row r="437" spans="2:12" ht="15">
      <c r="B437" s="7"/>
      <c r="C437" s="56"/>
      <c r="D437" s="56"/>
      <c r="E437" s="56"/>
      <c r="F437" s="56"/>
      <c r="G437" s="56"/>
      <c r="H437" s="56"/>
      <c r="I437" s="56"/>
      <c r="J437" s="56"/>
      <c r="K437" s="56"/>
      <c r="L437" s="56"/>
    </row>
    <row r="438" spans="2:12" ht="15">
      <c r="B438" s="7"/>
      <c r="C438" s="56"/>
      <c r="D438" s="56"/>
      <c r="E438" s="56"/>
      <c r="F438" s="56"/>
      <c r="G438" s="56"/>
      <c r="H438" s="56"/>
      <c r="I438" s="56"/>
      <c r="J438" s="56"/>
      <c r="K438" s="56"/>
      <c r="L438" s="56"/>
    </row>
    <row r="439" spans="2:12" ht="15">
      <c r="B439" s="7"/>
      <c r="C439" s="56"/>
      <c r="D439" s="56"/>
      <c r="E439" s="56"/>
      <c r="F439" s="56"/>
      <c r="G439" s="56"/>
      <c r="H439" s="56"/>
      <c r="I439" s="56"/>
      <c r="J439" s="56"/>
      <c r="K439" s="56"/>
      <c r="L439" s="56"/>
    </row>
    <row r="440" spans="2:12" ht="15">
      <c r="B440" s="7"/>
      <c r="C440" s="56"/>
      <c r="D440" s="56"/>
      <c r="E440" s="56"/>
      <c r="F440" s="56"/>
      <c r="G440" s="56"/>
      <c r="H440" s="56"/>
      <c r="I440" s="56"/>
      <c r="J440" s="56"/>
      <c r="K440" s="56"/>
      <c r="L440" s="56"/>
    </row>
    <row r="441" spans="2:12" ht="15">
      <c r="B441" s="7"/>
      <c r="C441" s="56"/>
      <c r="D441" s="56"/>
      <c r="E441" s="56"/>
      <c r="F441" s="56"/>
      <c r="G441" s="56"/>
      <c r="H441" s="56"/>
      <c r="I441" s="56"/>
      <c r="J441" s="56"/>
      <c r="K441" s="56"/>
      <c r="L441" s="56"/>
    </row>
    <row r="442" spans="2:12" ht="15">
      <c r="B442" s="7"/>
      <c r="C442" s="56"/>
      <c r="D442" s="56"/>
      <c r="E442" s="56"/>
      <c r="F442" s="56"/>
      <c r="G442" s="56"/>
      <c r="H442" s="56"/>
      <c r="I442" s="56"/>
      <c r="J442" s="56"/>
      <c r="K442" s="56"/>
      <c r="L442" s="56"/>
    </row>
    <row r="443" spans="2:12" ht="15">
      <c r="B443" s="7"/>
      <c r="C443" s="56"/>
      <c r="D443" s="56"/>
      <c r="E443" s="56"/>
      <c r="F443" s="56"/>
      <c r="G443" s="56"/>
      <c r="H443" s="56"/>
      <c r="I443" s="56"/>
      <c r="J443" s="56"/>
      <c r="K443" s="56"/>
      <c r="L443" s="56"/>
    </row>
    <row r="444" spans="2:12" ht="15">
      <c r="B444" s="7"/>
      <c r="C444" s="56"/>
      <c r="D444" s="56"/>
      <c r="E444" s="56"/>
      <c r="F444" s="56"/>
      <c r="G444" s="56"/>
      <c r="H444" s="56"/>
      <c r="I444" s="56"/>
      <c r="J444" s="56"/>
      <c r="K444" s="56"/>
      <c r="L444" s="56"/>
    </row>
    <row r="445" spans="2:12" ht="15">
      <c r="B445" s="7"/>
      <c r="C445" s="56"/>
      <c r="D445" s="56"/>
      <c r="E445" s="56"/>
      <c r="F445" s="56"/>
      <c r="G445" s="56"/>
      <c r="H445" s="56"/>
      <c r="I445" s="56"/>
      <c r="J445" s="56"/>
      <c r="K445" s="56"/>
      <c r="L445" s="56"/>
    </row>
    <row r="446" spans="2:12" ht="15">
      <c r="B446" s="7"/>
      <c r="C446" s="56"/>
      <c r="D446" s="56"/>
      <c r="E446" s="56"/>
      <c r="F446" s="56"/>
      <c r="G446" s="56"/>
      <c r="H446" s="56"/>
      <c r="I446" s="56"/>
      <c r="J446" s="56"/>
      <c r="K446" s="56"/>
      <c r="L446" s="56"/>
    </row>
    <row r="447" spans="2:12" ht="15">
      <c r="B447" s="7"/>
      <c r="C447" s="56"/>
      <c r="D447" s="56"/>
      <c r="E447" s="56"/>
      <c r="F447" s="56"/>
      <c r="G447" s="56"/>
      <c r="H447" s="56"/>
      <c r="I447" s="56"/>
      <c r="J447" s="56"/>
      <c r="K447" s="56"/>
      <c r="L447" s="56"/>
    </row>
    <row r="448" spans="2:12" ht="15">
      <c r="B448" s="7"/>
      <c r="C448" s="56"/>
      <c r="D448" s="56"/>
      <c r="E448" s="56"/>
      <c r="F448" s="56"/>
      <c r="G448" s="56"/>
      <c r="H448" s="56"/>
      <c r="I448" s="56"/>
      <c r="J448" s="56"/>
      <c r="K448" s="56"/>
      <c r="L448" s="56"/>
    </row>
    <row r="449" spans="2:12" ht="15">
      <c r="B449" s="7"/>
      <c r="C449" s="56"/>
      <c r="D449" s="56"/>
      <c r="E449" s="56"/>
      <c r="F449" s="56"/>
      <c r="G449" s="56"/>
      <c r="H449" s="56"/>
      <c r="I449" s="56"/>
      <c r="J449" s="56"/>
      <c r="K449" s="56"/>
      <c r="L449" s="56"/>
    </row>
    <row r="450" spans="2:12" ht="15">
      <c r="B450" s="7"/>
      <c r="C450" s="56"/>
      <c r="D450" s="56"/>
      <c r="E450" s="56"/>
      <c r="F450" s="56"/>
      <c r="G450" s="56"/>
      <c r="H450" s="56"/>
      <c r="I450" s="56"/>
      <c r="J450" s="56"/>
      <c r="K450" s="56"/>
      <c r="L450" s="56"/>
    </row>
    <row r="451" spans="2:12" ht="15">
      <c r="B451" s="7"/>
      <c r="C451" s="56"/>
      <c r="D451" s="56"/>
      <c r="E451" s="56"/>
      <c r="F451" s="56"/>
      <c r="G451" s="56"/>
      <c r="H451" s="56"/>
      <c r="I451" s="56"/>
      <c r="J451" s="56"/>
      <c r="K451" s="56"/>
      <c r="L451" s="56"/>
    </row>
    <row r="452" spans="2:12" ht="15">
      <c r="B452" s="7"/>
      <c r="C452" s="56"/>
      <c r="D452" s="56"/>
      <c r="E452" s="56"/>
      <c r="F452" s="56"/>
      <c r="G452" s="56"/>
      <c r="H452" s="56"/>
      <c r="I452" s="56"/>
      <c r="J452" s="56"/>
      <c r="K452" s="56"/>
      <c r="L452" s="56"/>
    </row>
    <row r="453" spans="2:12" ht="15">
      <c r="B453" s="7"/>
      <c r="C453" s="56"/>
      <c r="D453" s="56"/>
      <c r="E453" s="56"/>
      <c r="F453" s="56"/>
      <c r="G453" s="56"/>
      <c r="H453" s="56"/>
      <c r="I453" s="56"/>
      <c r="J453" s="56"/>
      <c r="K453" s="56"/>
      <c r="L453" s="56"/>
    </row>
    <row r="454" spans="2:12" ht="15">
      <c r="B454" s="7"/>
      <c r="C454" s="56"/>
      <c r="D454" s="56"/>
      <c r="E454" s="56"/>
      <c r="F454" s="56"/>
      <c r="G454" s="56"/>
      <c r="H454" s="56"/>
      <c r="I454" s="56"/>
      <c r="J454" s="56"/>
      <c r="K454" s="56"/>
      <c r="L454" s="56"/>
    </row>
    <row r="455" spans="2:12" ht="15">
      <c r="B455" s="7"/>
      <c r="C455" s="56"/>
      <c r="D455" s="56"/>
      <c r="E455" s="56"/>
      <c r="F455" s="56"/>
      <c r="G455" s="56"/>
      <c r="H455" s="56"/>
      <c r="I455" s="56"/>
      <c r="J455" s="56"/>
      <c r="K455" s="56"/>
      <c r="L455" s="56"/>
    </row>
    <row r="456" spans="2:12" ht="15">
      <c r="B456" s="7"/>
      <c r="C456" s="56"/>
      <c r="D456" s="56"/>
      <c r="E456" s="56"/>
      <c r="F456" s="56"/>
      <c r="G456" s="56"/>
      <c r="H456" s="56"/>
      <c r="I456" s="56"/>
      <c r="J456" s="56"/>
      <c r="K456" s="56"/>
      <c r="L456" s="56"/>
    </row>
    <row r="457" spans="2:12" ht="15">
      <c r="B457" s="7"/>
      <c r="C457" s="56"/>
      <c r="D457" s="56"/>
      <c r="E457" s="56"/>
      <c r="F457" s="56"/>
      <c r="G457" s="56"/>
      <c r="H457" s="56"/>
      <c r="I457" s="56"/>
      <c r="J457" s="56"/>
      <c r="K457" s="56"/>
      <c r="L457" s="56"/>
    </row>
    <row r="458" spans="2:12" ht="15">
      <c r="B458" s="7"/>
      <c r="C458" s="56"/>
      <c r="D458" s="56"/>
      <c r="E458" s="56"/>
      <c r="F458" s="56"/>
      <c r="G458" s="56"/>
      <c r="H458" s="56"/>
      <c r="I458" s="56"/>
      <c r="J458" s="56"/>
      <c r="K458" s="56"/>
      <c r="L458" s="56"/>
    </row>
    <row r="459" spans="2:12" ht="15">
      <c r="B459" s="7"/>
      <c r="C459" s="56"/>
      <c r="D459" s="56"/>
      <c r="E459" s="56"/>
      <c r="F459" s="56"/>
      <c r="G459" s="56"/>
      <c r="H459" s="56"/>
      <c r="I459" s="56"/>
      <c r="J459" s="56"/>
      <c r="K459" s="56"/>
      <c r="L459" s="56"/>
    </row>
    <row r="460" spans="2:12" ht="15">
      <c r="B460" s="7"/>
      <c r="C460" s="56"/>
      <c r="D460" s="56"/>
      <c r="E460" s="56"/>
      <c r="F460" s="56"/>
      <c r="G460" s="56"/>
      <c r="H460" s="56"/>
      <c r="I460" s="56"/>
      <c r="J460" s="56"/>
      <c r="K460" s="56"/>
      <c r="L460" s="56"/>
    </row>
    <row r="461" spans="2:12" ht="15">
      <c r="B461" s="7"/>
      <c r="C461" s="56"/>
      <c r="D461" s="56"/>
      <c r="E461" s="56"/>
      <c r="F461" s="56"/>
      <c r="G461" s="56"/>
      <c r="H461" s="56"/>
      <c r="I461" s="56"/>
      <c r="J461" s="56"/>
      <c r="K461" s="56"/>
      <c r="L461" s="56"/>
    </row>
    <row r="462" spans="2:12" ht="15">
      <c r="B462" s="7"/>
      <c r="C462" s="56"/>
      <c r="D462" s="56"/>
      <c r="E462" s="56"/>
      <c r="F462" s="56"/>
      <c r="G462" s="56"/>
      <c r="H462" s="56"/>
      <c r="I462" s="56"/>
      <c r="J462" s="56"/>
      <c r="K462" s="56"/>
      <c r="L462" s="56"/>
    </row>
    <row r="463" spans="2:12" ht="15">
      <c r="B463" s="7"/>
      <c r="C463" s="56"/>
      <c r="D463" s="56"/>
      <c r="E463" s="56"/>
      <c r="F463" s="56"/>
      <c r="G463" s="56"/>
      <c r="H463" s="56"/>
      <c r="I463" s="56"/>
      <c r="J463" s="56"/>
      <c r="K463" s="56"/>
      <c r="L463" s="56"/>
    </row>
    <row r="464" spans="2:12" ht="15">
      <c r="B464" s="7"/>
      <c r="C464" s="56"/>
      <c r="D464" s="56"/>
      <c r="E464" s="56"/>
      <c r="F464" s="56"/>
      <c r="G464" s="56"/>
      <c r="H464" s="56"/>
      <c r="I464" s="56"/>
      <c r="J464" s="56"/>
      <c r="K464" s="56"/>
      <c r="L464" s="56"/>
    </row>
    <row r="465" spans="2:12" ht="15">
      <c r="B465" s="7"/>
      <c r="C465" s="56"/>
      <c r="D465" s="56"/>
      <c r="E465" s="56"/>
      <c r="F465" s="56"/>
      <c r="G465" s="56"/>
      <c r="H465" s="56"/>
      <c r="I465" s="56"/>
      <c r="J465" s="56"/>
      <c r="K465" s="56"/>
      <c r="L465" s="56"/>
    </row>
    <row r="466" spans="2:12" ht="15">
      <c r="B466" s="7"/>
      <c r="C466" s="56"/>
      <c r="D466" s="56"/>
      <c r="E466" s="56"/>
      <c r="F466" s="56"/>
      <c r="G466" s="56"/>
      <c r="H466" s="56"/>
      <c r="I466" s="56"/>
      <c r="J466" s="56"/>
      <c r="K466" s="56"/>
      <c r="L466" s="56"/>
    </row>
    <row r="467" spans="2:12" ht="15">
      <c r="B467" s="7"/>
      <c r="C467" s="56"/>
      <c r="D467" s="56"/>
      <c r="E467" s="56"/>
      <c r="F467" s="56"/>
      <c r="G467" s="56"/>
      <c r="H467" s="56"/>
      <c r="I467" s="56"/>
      <c r="J467" s="56"/>
      <c r="K467" s="56"/>
      <c r="L467" s="56"/>
    </row>
    <row r="468" spans="2:12" ht="15">
      <c r="B468" s="7"/>
      <c r="C468" s="56"/>
      <c r="D468" s="56"/>
      <c r="E468" s="56"/>
      <c r="F468" s="56"/>
      <c r="G468" s="56"/>
      <c r="H468" s="56"/>
      <c r="I468" s="56"/>
      <c r="J468" s="56"/>
      <c r="K468" s="56"/>
      <c r="L468" s="56"/>
    </row>
    <row r="469" spans="2:12" ht="15">
      <c r="B469" s="7"/>
      <c r="C469" s="56"/>
      <c r="D469" s="56"/>
      <c r="E469" s="56"/>
      <c r="F469" s="56"/>
      <c r="G469" s="56"/>
      <c r="H469" s="56"/>
      <c r="I469" s="56"/>
      <c r="J469" s="56"/>
      <c r="K469" s="56"/>
      <c r="L469" s="56"/>
    </row>
    <row r="470" spans="2:12" ht="15">
      <c r="B470" s="7"/>
      <c r="C470" s="56"/>
      <c r="D470" s="56"/>
      <c r="E470" s="56"/>
      <c r="F470" s="56"/>
      <c r="G470" s="56"/>
      <c r="H470" s="56"/>
      <c r="I470" s="56"/>
      <c r="J470" s="56"/>
      <c r="K470" s="56"/>
      <c r="L470" s="56"/>
    </row>
    <row r="471" spans="2:12" ht="15">
      <c r="B471" s="7"/>
      <c r="C471" s="56"/>
      <c r="D471" s="56"/>
      <c r="E471" s="56"/>
      <c r="F471" s="56"/>
      <c r="G471" s="56"/>
      <c r="H471" s="56"/>
      <c r="I471" s="56"/>
      <c r="J471" s="56"/>
      <c r="K471" s="56"/>
      <c r="L471" s="56"/>
    </row>
    <row r="472" spans="2:12" ht="15">
      <c r="B472" s="7"/>
      <c r="C472" s="56"/>
      <c r="D472" s="56"/>
      <c r="E472" s="56"/>
      <c r="F472" s="56"/>
      <c r="G472" s="56"/>
      <c r="H472" s="56"/>
      <c r="I472" s="56"/>
      <c r="J472" s="56"/>
      <c r="K472" s="56"/>
      <c r="L472" s="56"/>
    </row>
    <row r="473" spans="2:12" ht="15">
      <c r="B473" s="7"/>
      <c r="C473" s="56"/>
      <c r="D473" s="56"/>
      <c r="E473" s="56"/>
      <c r="F473" s="56"/>
      <c r="G473" s="56"/>
      <c r="H473" s="56"/>
      <c r="I473" s="56"/>
      <c r="J473" s="56"/>
      <c r="K473" s="56"/>
      <c r="L473" s="56"/>
    </row>
    <row r="474" spans="2:12" ht="15">
      <c r="B474" s="7"/>
      <c r="C474" s="56"/>
      <c r="D474" s="56"/>
      <c r="E474" s="56"/>
      <c r="F474" s="56"/>
      <c r="G474" s="56"/>
      <c r="H474" s="56"/>
      <c r="I474" s="56"/>
      <c r="J474" s="56"/>
      <c r="K474" s="56"/>
      <c r="L474" s="56"/>
    </row>
    <row r="475" spans="2:12" ht="15">
      <c r="B475" s="7"/>
      <c r="C475" s="56"/>
      <c r="D475" s="56"/>
      <c r="E475" s="56"/>
      <c r="F475" s="56"/>
      <c r="G475" s="56"/>
      <c r="H475" s="56"/>
      <c r="I475" s="56"/>
      <c r="J475" s="56"/>
      <c r="K475" s="56"/>
      <c r="L475" s="56"/>
    </row>
    <row r="476" spans="2:12" ht="15">
      <c r="B476" s="7"/>
      <c r="C476" s="56"/>
      <c r="D476" s="56"/>
      <c r="E476" s="56"/>
      <c r="F476" s="56"/>
      <c r="G476" s="56"/>
      <c r="H476" s="56"/>
      <c r="I476" s="56"/>
      <c r="J476" s="56"/>
      <c r="K476" s="56"/>
      <c r="L476" s="56"/>
    </row>
    <row r="477" spans="2:12" ht="15">
      <c r="B477" s="7"/>
      <c r="C477" s="56"/>
      <c r="D477" s="56"/>
      <c r="E477" s="56"/>
      <c r="F477" s="56"/>
      <c r="G477" s="56"/>
      <c r="H477" s="56"/>
      <c r="I477" s="56"/>
      <c r="J477" s="56"/>
      <c r="K477" s="56"/>
      <c r="L477" s="56"/>
    </row>
    <row r="478" spans="2:12" ht="15">
      <c r="B478" s="7"/>
      <c r="C478" s="56"/>
      <c r="D478" s="56"/>
      <c r="E478" s="56"/>
      <c r="F478" s="56"/>
      <c r="G478" s="56"/>
      <c r="H478" s="56"/>
      <c r="I478" s="56"/>
      <c r="J478" s="56"/>
      <c r="K478" s="56"/>
      <c r="L478" s="56"/>
    </row>
    <row r="479" spans="2:12" ht="15">
      <c r="B479" s="7"/>
      <c r="C479" s="56"/>
      <c r="D479" s="56"/>
      <c r="E479" s="56"/>
      <c r="F479" s="56"/>
      <c r="G479" s="56"/>
      <c r="H479" s="56"/>
      <c r="I479" s="56"/>
      <c r="J479" s="56"/>
      <c r="K479" s="56"/>
      <c r="L479" s="56"/>
    </row>
    <row r="480" spans="2:12" ht="15">
      <c r="B480" s="7"/>
      <c r="C480" s="56"/>
      <c r="D480" s="56"/>
      <c r="E480" s="56"/>
      <c r="F480" s="56"/>
      <c r="G480" s="56"/>
      <c r="H480" s="56"/>
      <c r="I480" s="56"/>
      <c r="J480" s="56"/>
      <c r="K480" s="56"/>
      <c r="L480" s="56"/>
    </row>
    <row r="481" spans="2:12" ht="15">
      <c r="B481" s="7"/>
      <c r="C481" s="56"/>
      <c r="D481" s="56"/>
      <c r="E481" s="56"/>
      <c r="F481" s="56"/>
      <c r="G481" s="56"/>
      <c r="H481" s="56"/>
      <c r="I481" s="56"/>
      <c r="J481" s="56"/>
      <c r="K481" s="56"/>
      <c r="L481" s="56"/>
    </row>
    <row r="482" spans="2:12" ht="15">
      <c r="B482" s="7"/>
      <c r="C482" s="56"/>
      <c r="D482" s="56"/>
      <c r="E482" s="56"/>
      <c r="F482" s="56"/>
      <c r="G482" s="56"/>
      <c r="H482" s="56"/>
      <c r="I482" s="56"/>
      <c r="J482" s="56"/>
      <c r="K482" s="56"/>
      <c r="L482" s="56"/>
    </row>
    <row r="483" spans="2:12" ht="15">
      <c r="B483" s="7"/>
      <c r="C483" s="56"/>
      <c r="D483" s="56"/>
      <c r="E483" s="56"/>
      <c r="F483" s="56"/>
      <c r="G483" s="56"/>
      <c r="H483" s="56"/>
      <c r="I483" s="56"/>
      <c r="J483" s="56"/>
      <c r="K483" s="56"/>
      <c r="L483" s="56"/>
    </row>
    <row r="484" spans="2:12" ht="15">
      <c r="B484" s="7"/>
      <c r="C484" s="56"/>
      <c r="D484" s="56"/>
      <c r="E484" s="56"/>
      <c r="F484" s="56"/>
      <c r="G484" s="56"/>
      <c r="H484" s="56"/>
      <c r="I484" s="56"/>
      <c r="J484" s="56"/>
      <c r="K484" s="56"/>
      <c r="L484" s="56"/>
    </row>
    <row r="485" spans="2:12" ht="15">
      <c r="B485" s="7"/>
      <c r="C485" s="56"/>
      <c r="D485" s="56"/>
      <c r="E485" s="56"/>
      <c r="F485" s="56"/>
      <c r="G485" s="56"/>
      <c r="H485" s="56"/>
      <c r="I485" s="56"/>
      <c r="J485" s="56"/>
      <c r="K485" s="56"/>
      <c r="L485" s="56"/>
    </row>
    <row r="486" spans="2:12" ht="15">
      <c r="B486" s="7"/>
      <c r="C486" s="56"/>
      <c r="D486" s="56"/>
      <c r="E486" s="56"/>
      <c r="F486" s="56"/>
      <c r="G486" s="56"/>
      <c r="H486" s="56"/>
      <c r="I486" s="56"/>
      <c r="J486" s="56"/>
      <c r="K486" s="56"/>
      <c r="L486" s="56"/>
    </row>
    <row r="487" spans="2:12" ht="15">
      <c r="B487" s="7"/>
      <c r="C487" s="56"/>
      <c r="D487" s="56"/>
      <c r="E487" s="56"/>
      <c r="F487" s="56"/>
      <c r="G487" s="56"/>
      <c r="H487" s="56"/>
      <c r="I487" s="56"/>
      <c r="J487" s="56"/>
      <c r="K487" s="56"/>
      <c r="L487" s="56"/>
    </row>
    <row r="488" spans="2:12" ht="15">
      <c r="B488" s="7"/>
      <c r="C488" s="56"/>
      <c r="D488" s="56"/>
      <c r="E488" s="56"/>
      <c r="F488" s="56"/>
      <c r="G488" s="56"/>
      <c r="H488" s="56"/>
      <c r="I488" s="56"/>
      <c r="J488" s="56"/>
      <c r="K488" s="56"/>
      <c r="L488" s="56"/>
    </row>
    <row r="489" spans="2:12" ht="15">
      <c r="B489" s="7"/>
      <c r="C489" s="56"/>
      <c r="D489" s="56"/>
      <c r="E489" s="56"/>
      <c r="F489" s="56"/>
      <c r="G489" s="56"/>
      <c r="H489" s="56"/>
      <c r="I489" s="56"/>
      <c r="J489" s="56"/>
      <c r="K489" s="56"/>
      <c r="L489" s="56"/>
    </row>
    <row r="490" spans="2:12" ht="15">
      <c r="B490" s="7"/>
      <c r="C490" s="56"/>
      <c r="D490" s="56"/>
      <c r="E490" s="56"/>
      <c r="F490" s="56"/>
      <c r="G490" s="56"/>
      <c r="H490" s="56"/>
      <c r="I490" s="56"/>
      <c r="J490" s="56"/>
      <c r="K490" s="56"/>
      <c r="L490" s="56"/>
    </row>
    <row r="491" spans="2:12" ht="15">
      <c r="B491" s="7"/>
      <c r="C491" s="56"/>
      <c r="D491" s="56"/>
      <c r="E491" s="56"/>
      <c r="F491" s="56"/>
      <c r="G491" s="56"/>
      <c r="H491" s="56"/>
      <c r="I491" s="56"/>
      <c r="J491" s="56"/>
      <c r="K491" s="56"/>
      <c r="L491" s="56"/>
    </row>
    <row r="492" spans="2:12" ht="15">
      <c r="B492" s="7"/>
      <c r="C492" s="56"/>
      <c r="D492" s="56"/>
      <c r="E492" s="56"/>
      <c r="F492" s="56"/>
      <c r="G492" s="56"/>
      <c r="H492" s="56"/>
      <c r="I492" s="56"/>
      <c r="J492" s="56"/>
      <c r="K492" s="56"/>
      <c r="L492" s="56"/>
    </row>
    <row r="493" spans="2:12" ht="15">
      <c r="B493" s="7"/>
      <c r="C493" s="56"/>
      <c r="D493" s="56"/>
      <c r="E493" s="56"/>
      <c r="F493" s="56"/>
      <c r="G493" s="56"/>
      <c r="H493" s="56"/>
      <c r="I493" s="56"/>
      <c r="J493" s="56"/>
      <c r="K493" s="56"/>
      <c r="L493" s="56"/>
    </row>
    <row r="494" spans="2:12" ht="15">
      <c r="B494" s="7"/>
      <c r="C494" s="56"/>
      <c r="D494" s="56"/>
      <c r="E494" s="56"/>
      <c r="F494" s="56"/>
      <c r="G494" s="56"/>
      <c r="H494" s="56"/>
      <c r="I494" s="56"/>
      <c r="J494" s="56"/>
      <c r="K494" s="56"/>
      <c r="L494" s="56"/>
    </row>
    <row r="495" spans="2:12" ht="15">
      <c r="B495" s="7"/>
      <c r="C495" s="56"/>
      <c r="D495" s="56"/>
      <c r="E495" s="56"/>
      <c r="F495" s="56"/>
      <c r="G495" s="56"/>
      <c r="H495" s="56"/>
      <c r="I495" s="56"/>
      <c r="J495" s="56"/>
      <c r="K495" s="56"/>
      <c r="L495" s="56"/>
    </row>
    <row r="496" spans="2:12" ht="15">
      <c r="B496" s="7"/>
      <c r="C496" s="56"/>
      <c r="D496" s="56"/>
      <c r="E496" s="56"/>
      <c r="F496" s="56"/>
      <c r="G496" s="56"/>
      <c r="H496" s="56"/>
      <c r="I496" s="56"/>
      <c r="J496" s="56"/>
      <c r="K496" s="56"/>
      <c r="L496" s="56"/>
    </row>
    <row r="497" spans="2:12" ht="15">
      <c r="B497" s="7"/>
      <c r="C497" s="56"/>
      <c r="D497" s="56"/>
      <c r="E497" s="56"/>
      <c r="F497" s="56"/>
      <c r="G497" s="56"/>
      <c r="H497" s="56"/>
      <c r="I497" s="56"/>
      <c r="J497" s="56"/>
      <c r="K497" s="56"/>
      <c r="L497" s="56"/>
    </row>
    <row r="498" spans="2:12" ht="15">
      <c r="B498" s="7"/>
      <c r="C498" s="56"/>
      <c r="D498" s="56"/>
      <c r="E498" s="56"/>
      <c r="F498" s="56"/>
      <c r="G498" s="56"/>
      <c r="H498" s="56"/>
      <c r="I498" s="56"/>
      <c r="J498" s="56"/>
      <c r="K498" s="56"/>
      <c r="L498" s="56"/>
    </row>
    <row r="499" spans="2:12" ht="15">
      <c r="B499" s="7"/>
      <c r="C499" s="56"/>
      <c r="D499" s="56"/>
      <c r="E499" s="56"/>
      <c r="F499" s="56"/>
      <c r="G499" s="56"/>
      <c r="H499" s="56"/>
      <c r="I499" s="56"/>
      <c r="J499" s="56"/>
      <c r="K499" s="56"/>
      <c r="L499" s="56"/>
    </row>
    <row r="500" spans="2:12" ht="15">
      <c r="B500" s="7"/>
      <c r="C500" s="56"/>
      <c r="D500" s="56"/>
      <c r="E500" s="56"/>
      <c r="F500" s="56"/>
      <c r="G500" s="56"/>
      <c r="H500" s="56"/>
      <c r="I500" s="56"/>
      <c r="J500" s="56"/>
      <c r="K500" s="56"/>
      <c r="L500" s="56"/>
    </row>
    <row r="501" spans="2:12" ht="15">
      <c r="B501" s="7"/>
      <c r="C501" s="56"/>
      <c r="D501" s="56"/>
      <c r="E501" s="56"/>
      <c r="F501" s="56"/>
      <c r="G501" s="56"/>
      <c r="H501" s="56"/>
      <c r="I501" s="56"/>
      <c r="J501" s="56"/>
      <c r="K501" s="56"/>
      <c r="L501" s="56"/>
    </row>
    <row r="502" spans="2:12" ht="15">
      <c r="B502" s="7"/>
      <c r="C502" s="56"/>
      <c r="D502" s="56"/>
      <c r="E502" s="56"/>
      <c r="F502" s="56"/>
      <c r="G502" s="56"/>
      <c r="H502" s="56"/>
      <c r="I502" s="56"/>
      <c r="J502" s="56"/>
      <c r="K502" s="56"/>
      <c r="L502" s="56"/>
    </row>
    <row r="503" spans="2:12" ht="15">
      <c r="B503" s="7"/>
      <c r="C503" s="56"/>
      <c r="D503" s="56"/>
      <c r="E503" s="56"/>
      <c r="F503" s="56"/>
      <c r="G503" s="56"/>
      <c r="H503" s="56"/>
      <c r="I503" s="56"/>
      <c r="J503" s="56"/>
      <c r="K503" s="56"/>
      <c r="L503" s="56"/>
    </row>
    <row r="504" spans="2:12" ht="15">
      <c r="B504" s="7"/>
      <c r="C504" s="56"/>
      <c r="D504" s="56"/>
      <c r="E504" s="56"/>
      <c r="F504" s="56"/>
      <c r="G504" s="56"/>
      <c r="H504" s="56"/>
      <c r="I504" s="56"/>
      <c r="J504" s="56"/>
      <c r="K504" s="56"/>
      <c r="L504" s="56"/>
    </row>
    <row r="505" spans="2:12" ht="15">
      <c r="B505" s="7"/>
      <c r="C505" s="56"/>
      <c r="D505" s="56"/>
      <c r="E505" s="56"/>
      <c r="F505" s="56"/>
      <c r="G505" s="56"/>
      <c r="H505" s="56"/>
      <c r="I505" s="56"/>
      <c r="J505" s="56"/>
      <c r="K505" s="56"/>
      <c r="L505" s="56"/>
    </row>
    <row r="506" spans="2:12" ht="15">
      <c r="B506" s="7"/>
      <c r="C506" s="56"/>
      <c r="D506" s="56"/>
      <c r="E506" s="56"/>
      <c r="F506" s="56"/>
      <c r="G506" s="56"/>
      <c r="H506" s="56"/>
      <c r="I506" s="56"/>
      <c r="J506" s="56"/>
      <c r="K506" s="56"/>
      <c r="L506" s="56"/>
    </row>
    <row r="507" spans="2:12" ht="15">
      <c r="B507" s="7"/>
      <c r="C507" s="56"/>
      <c r="D507" s="56"/>
      <c r="E507" s="56"/>
      <c r="F507" s="56"/>
      <c r="G507" s="56"/>
      <c r="H507" s="56"/>
      <c r="I507" s="56"/>
      <c r="J507" s="56"/>
      <c r="K507" s="56"/>
      <c r="L507" s="56"/>
    </row>
    <row r="508" spans="2:12" ht="15">
      <c r="B508" s="7"/>
      <c r="C508" s="56"/>
      <c r="D508" s="56"/>
      <c r="E508" s="56"/>
      <c r="F508" s="56"/>
      <c r="G508" s="56"/>
      <c r="H508" s="56"/>
      <c r="I508" s="56"/>
      <c r="J508" s="56"/>
      <c r="K508" s="56"/>
      <c r="L508" s="56"/>
    </row>
    <row r="509" spans="2:12" ht="15">
      <c r="B509" s="7"/>
      <c r="C509" s="56"/>
      <c r="D509" s="56"/>
      <c r="E509" s="56"/>
      <c r="F509" s="56"/>
      <c r="G509" s="56"/>
      <c r="H509" s="56"/>
      <c r="I509" s="56"/>
      <c r="J509" s="56"/>
      <c r="K509" s="56"/>
      <c r="L509" s="56"/>
    </row>
    <row r="510" spans="2:12" ht="15">
      <c r="B510" s="7"/>
      <c r="C510" s="56"/>
      <c r="D510" s="56"/>
      <c r="E510" s="56"/>
      <c r="F510" s="56"/>
      <c r="G510" s="56"/>
      <c r="H510" s="56"/>
      <c r="I510" s="56"/>
      <c r="J510" s="56"/>
      <c r="K510" s="56"/>
      <c r="L510" s="56"/>
    </row>
    <row r="511" spans="2:12" ht="15">
      <c r="B511" s="7"/>
      <c r="C511" s="56"/>
      <c r="D511" s="56"/>
      <c r="E511" s="56"/>
      <c r="F511" s="56"/>
      <c r="G511" s="56"/>
      <c r="H511" s="56"/>
      <c r="I511" s="56"/>
      <c r="J511" s="56"/>
      <c r="K511" s="56"/>
      <c r="L511" s="56"/>
    </row>
    <row r="512" spans="2:12" ht="15">
      <c r="B512" s="7"/>
      <c r="C512" s="56"/>
      <c r="D512" s="56"/>
      <c r="E512" s="56"/>
      <c r="F512" s="56"/>
      <c r="G512" s="56"/>
      <c r="H512" s="56"/>
      <c r="I512" s="56"/>
      <c r="J512" s="56"/>
      <c r="K512" s="56"/>
      <c r="L512" s="56"/>
    </row>
    <row r="513" spans="2:12" ht="15">
      <c r="B513" s="7"/>
      <c r="C513" s="56"/>
      <c r="D513" s="56"/>
      <c r="E513" s="56"/>
      <c r="F513" s="56"/>
      <c r="G513" s="56"/>
      <c r="H513" s="56"/>
      <c r="I513" s="56"/>
      <c r="J513" s="56"/>
      <c r="K513" s="56"/>
      <c r="L513" s="56"/>
    </row>
    <row r="514" spans="2:12" ht="15">
      <c r="B514" s="7"/>
      <c r="C514" s="56"/>
      <c r="D514" s="56"/>
      <c r="E514" s="56"/>
      <c r="F514" s="56"/>
      <c r="G514" s="56"/>
      <c r="H514" s="56"/>
      <c r="I514" s="56"/>
      <c r="J514" s="56"/>
      <c r="K514" s="56"/>
      <c r="L514" s="56"/>
    </row>
    <row r="515" spans="2:12" ht="15">
      <c r="B515" s="7"/>
      <c r="C515" s="56"/>
      <c r="D515" s="56"/>
      <c r="E515" s="56"/>
      <c r="F515" s="56"/>
      <c r="G515" s="56"/>
      <c r="H515" s="56"/>
      <c r="I515" s="56"/>
      <c r="J515" s="56"/>
      <c r="K515" s="56"/>
      <c r="L515" s="56"/>
    </row>
    <row r="516" spans="2:12" ht="15">
      <c r="B516" s="7"/>
      <c r="C516" s="56"/>
      <c r="D516" s="56"/>
      <c r="E516" s="56"/>
      <c r="F516" s="56"/>
      <c r="G516" s="56"/>
      <c r="H516" s="56"/>
      <c r="I516" s="56"/>
      <c r="J516" s="56"/>
      <c r="K516" s="56"/>
      <c r="L516" s="56"/>
    </row>
    <row r="517" spans="2:12" ht="15">
      <c r="B517" s="7"/>
      <c r="C517" s="56"/>
      <c r="D517" s="56"/>
      <c r="E517" s="56"/>
      <c r="F517" s="56"/>
      <c r="G517" s="56"/>
      <c r="H517" s="56"/>
      <c r="I517" s="56"/>
      <c r="J517" s="56"/>
      <c r="K517" s="56"/>
      <c r="L517" s="56"/>
    </row>
    <row r="518" spans="2:12" ht="15">
      <c r="B518" s="7"/>
      <c r="C518" s="56"/>
      <c r="D518" s="56"/>
      <c r="E518" s="56"/>
      <c r="F518" s="56"/>
      <c r="G518" s="56"/>
      <c r="H518" s="56"/>
      <c r="I518" s="56"/>
      <c r="J518" s="56"/>
      <c r="K518" s="56"/>
      <c r="L518" s="56"/>
    </row>
    <row r="519" spans="2:12" ht="15">
      <c r="B519" s="7"/>
      <c r="C519" s="56"/>
      <c r="D519" s="56"/>
      <c r="E519" s="56"/>
      <c r="F519" s="56"/>
      <c r="G519" s="56"/>
      <c r="H519" s="56"/>
      <c r="I519" s="56"/>
      <c r="J519" s="56"/>
      <c r="K519" s="56"/>
      <c r="L519" s="56"/>
    </row>
    <row r="520" spans="2:12" ht="15">
      <c r="B520" s="7"/>
      <c r="C520" s="56"/>
      <c r="D520" s="56"/>
      <c r="E520" s="56"/>
      <c r="F520" s="56"/>
      <c r="G520" s="56"/>
      <c r="H520" s="56"/>
      <c r="I520" s="56"/>
      <c r="J520" s="56"/>
      <c r="K520" s="56"/>
      <c r="L520" s="56"/>
    </row>
    <row r="521" spans="2:12" ht="15">
      <c r="B521" s="7"/>
      <c r="C521" s="56"/>
      <c r="D521" s="56"/>
      <c r="E521" s="56"/>
      <c r="F521" s="56"/>
      <c r="G521" s="56"/>
      <c r="H521" s="56"/>
      <c r="I521" s="56"/>
      <c r="J521" s="56"/>
      <c r="K521" s="56"/>
      <c r="L521" s="56"/>
    </row>
    <row r="522" spans="2:12" ht="15">
      <c r="B522" s="7"/>
      <c r="C522" s="56"/>
      <c r="D522" s="56"/>
      <c r="E522" s="56"/>
      <c r="F522" s="56"/>
      <c r="G522" s="56"/>
      <c r="H522" s="56"/>
      <c r="I522" s="56"/>
      <c r="J522" s="56"/>
      <c r="K522" s="56"/>
      <c r="L522" s="56"/>
    </row>
    <row r="523" spans="2:12" ht="15">
      <c r="B523" s="7"/>
      <c r="C523" s="56"/>
      <c r="D523" s="56"/>
      <c r="E523" s="56"/>
      <c r="F523" s="56"/>
      <c r="G523" s="56"/>
      <c r="H523" s="56"/>
      <c r="I523" s="56"/>
      <c r="J523" s="56"/>
      <c r="K523" s="56"/>
      <c r="L523" s="56"/>
    </row>
    <row r="524" spans="2:12" ht="15">
      <c r="B524" s="7"/>
      <c r="C524" s="56"/>
      <c r="D524" s="56"/>
      <c r="E524" s="56"/>
      <c r="F524" s="56"/>
      <c r="G524" s="56"/>
      <c r="H524" s="56"/>
      <c r="I524" s="56"/>
      <c r="J524" s="56"/>
      <c r="K524" s="56"/>
      <c r="L524" s="56"/>
    </row>
    <row r="525" spans="2:12" ht="15">
      <c r="B525" s="7"/>
      <c r="C525" s="56"/>
      <c r="D525" s="56"/>
      <c r="E525" s="56"/>
      <c r="F525" s="56"/>
      <c r="G525" s="56"/>
      <c r="H525" s="56"/>
      <c r="I525" s="56"/>
      <c r="J525" s="56"/>
      <c r="K525" s="56"/>
      <c r="L525" s="56"/>
    </row>
    <row r="526" spans="2:12" ht="15">
      <c r="B526" s="7"/>
      <c r="C526" s="56"/>
      <c r="D526" s="56"/>
      <c r="E526" s="56"/>
      <c r="F526" s="56"/>
      <c r="G526" s="56"/>
      <c r="H526" s="56"/>
      <c r="I526" s="56"/>
      <c r="J526" s="56"/>
      <c r="K526" s="56"/>
      <c r="L526" s="56"/>
    </row>
    <row r="527" spans="2:12" ht="15">
      <c r="B527" s="7"/>
      <c r="C527" s="56"/>
      <c r="D527" s="56"/>
      <c r="E527" s="56"/>
      <c r="F527" s="56"/>
      <c r="G527" s="56"/>
      <c r="H527" s="56"/>
      <c r="I527" s="56"/>
      <c r="J527" s="56"/>
      <c r="K527" s="56"/>
      <c r="L527" s="56"/>
    </row>
    <row r="528" spans="2:12" ht="15">
      <c r="B528" s="7"/>
      <c r="C528" s="56"/>
      <c r="D528" s="56"/>
      <c r="E528" s="56"/>
      <c r="F528" s="56"/>
      <c r="G528" s="56"/>
      <c r="H528" s="56"/>
      <c r="I528" s="56"/>
      <c r="J528" s="56"/>
      <c r="K528" s="56"/>
      <c r="L528" s="56"/>
    </row>
    <row r="529" spans="2:12" ht="15">
      <c r="B529" s="7"/>
      <c r="C529" s="56"/>
      <c r="D529" s="56"/>
      <c r="E529" s="56"/>
      <c r="F529" s="56"/>
      <c r="G529" s="56"/>
      <c r="H529" s="56"/>
      <c r="I529" s="56"/>
      <c r="J529" s="56"/>
      <c r="K529" s="56"/>
      <c r="L529" s="56"/>
    </row>
    <row r="530" spans="2:12" ht="15">
      <c r="B530" s="7"/>
      <c r="C530" s="56"/>
      <c r="D530" s="56"/>
      <c r="E530" s="56"/>
      <c r="F530" s="56"/>
      <c r="G530" s="56"/>
      <c r="H530" s="56"/>
      <c r="I530" s="56"/>
      <c r="J530" s="56"/>
      <c r="K530" s="56"/>
      <c r="L530" s="56"/>
    </row>
    <row r="531" spans="2:12" ht="15">
      <c r="B531" s="7"/>
      <c r="C531" s="56"/>
      <c r="D531" s="56"/>
      <c r="E531" s="56"/>
      <c r="F531" s="56"/>
      <c r="G531" s="56"/>
      <c r="H531" s="56"/>
      <c r="I531" s="56"/>
      <c r="J531" s="56"/>
      <c r="K531" s="56"/>
      <c r="L531" s="56"/>
    </row>
    <row r="532" spans="2:12" ht="15">
      <c r="B532" s="7"/>
      <c r="C532" s="56"/>
      <c r="D532" s="56"/>
      <c r="E532" s="56"/>
      <c r="F532" s="56"/>
      <c r="G532" s="56"/>
      <c r="H532" s="56"/>
      <c r="I532" s="56"/>
      <c r="J532" s="56"/>
      <c r="K532" s="56"/>
      <c r="L532" s="56"/>
    </row>
    <row r="533" spans="2:12" ht="15">
      <c r="B533" s="7"/>
      <c r="C533" s="56"/>
      <c r="D533" s="56"/>
      <c r="E533" s="56"/>
      <c r="F533" s="56"/>
      <c r="G533" s="56"/>
      <c r="H533" s="56"/>
      <c r="I533" s="56"/>
      <c r="J533" s="56"/>
      <c r="K533" s="56"/>
      <c r="L533" s="56"/>
    </row>
    <row r="534" spans="2:12" ht="15">
      <c r="B534" s="7"/>
      <c r="C534" s="56"/>
      <c r="D534" s="56"/>
      <c r="E534" s="56"/>
      <c r="F534" s="56"/>
      <c r="G534" s="56"/>
      <c r="H534" s="56"/>
      <c r="I534" s="56"/>
      <c r="J534" s="56"/>
      <c r="K534" s="56"/>
      <c r="L534" s="56"/>
    </row>
    <row r="535" spans="2:12" ht="15">
      <c r="B535" s="7"/>
      <c r="C535" s="56"/>
      <c r="D535" s="56"/>
      <c r="E535" s="56"/>
      <c r="F535" s="56"/>
      <c r="G535" s="56"/>
      <c r="H535" s="56"/>
      <c r="I535" s="56"/>
      <c r="J535" s="56"/>
      <c r="K535" s="56"/>
      <c r="L535" s="56"/>
    </row>
    <row r="536" spans="2:12" ht="15">
      <c r="B536" s="7"/>
      <c r="C536" s="56"/>
      <c r="D536" s="56"/>
      <c r="E536" s="56"/>
      <c r="F536" s="56"/>
      <c r="G536" s="56"/>
      <c r="H536" s="56"/>
      <c r="I536" s="56"/>
      <c r="J536" s="56"/>
      <c r="K536" s="56"/>
      <c r="L536" s="56"/>
    </row>
    <row r="537" spans="2:12" ht="15">
      <c r="B537" s="7"/>
      <c r="C537" s="56"/>
      <c r="D537" s="56"/>
      <c r="E537" s="56"/>
      <c r="F537" s="56"/>
      <c r="G537" s="56"/>
      <c r="H537" s="56"/>
      <c r="I537" s="56"/>
      <c r="J537" s="56"/>
      <c r="K537" s="56"/>
      <c r="L537" s="56"/>
    </row>
    <row r="538" spans="2:12" ht="15">
      <c r="B538" s="7"/>
      <c r="C538" s="56"/>
      <c r="D538" s="56"/>
      <c r="E538" s="56"/>
      <c r="F538" s="56"/>
      <c r="G538" s="56"/>
      <c r="H538" s="56"/>
      <c r="I538" s="56"/>
      <c r="J538" s="56"/>
      <c r="K538" s="56"/>
      <c r="L538" s="56"/>
    </row>
    <row r="539" spans="2:12" ht="15">
      <c r="B539" s="7"/>
      <c r="C539" s="56"/>
      <c r="D539" s="56"/>
      <c r="E539" s="56"/>
      <c r="F539" s="56"/>
      <c r="G539" s="56"/>
      <c r="H539" s="56"/>
      <c r="I539" s="56"/>
      <c r="J539" s="56"/>
      <c r="K539" s="56"/>
      <c r="L539" s="56"/>
    </row>
    <row r="540" spans="2:12" ht="15">
      <c r="B540" s="7"/>
      <c r="C540" s="56"/>
      <c r="D540" s="56"/>
      <c r="E540" s="56"/>
      <c r="F540" s="56"/>
      <c r="G540" s="56"/>
      <c r="H540" s="56"/>
      <c r="I540" s="56"/>
      <c r="J540" s="56"/>
      <c r="K540" s="56"/>
      <c r="L540" s="56"/>
    </row>
    <row r="541" spans="2:12" ht="15">
      <c r="B541" s="7"/>
      <c r="C541" s="56"/>
      <c r="D541" s="56"/>
      <c r="E541" s="56"/>
      <c r="F541" s="56"/>
      <c r="G541" s="56"/>
      <c r="H541" s="56"/>
      <c r="I541" s="56"/>
      <c r="J541" s="56"/>
      <c r="K541" s="56"/>
      <c r="L541" s="56"/>
    </row>
    <row r="542" spans="2:12" ht="15">
      <c r="B542" s="7"/>
      <c r="C542" s="56"/>
      <c r="D542" s="56"/>
      <c r="E542" s="56"/>
      <c r="F542" s="56"/>
      <c r="G542" s="56"/>
      <c r="H542" s="56"/>
      <c r="I542" s="56"/>
      <c r="J542" s="56"/>
      <c r="K542" s="56"/>
      <c r="L542" s="56"/>
    </row>
    <row r="543" spans="2:12" ht="15">
      <c r="B543" s="7"/>
      <c r="C543" s="56"/>
      <c r="D543" s="56"/>
      <c r="E543" s="56"/>
      <c r="F543" s="56"/>
      <c r="G543" s="56"/>
      <c r="H543" s="56"/>
      <c r="I543" s="56"/>
      <c r="J543" s="56"/>
      <c r="K543" s="56"/>
      <c r="L543" s="56"/>
    </row>
    <row r="544" spans="2:12" ht="15">
      <c r="B544" s="7"/>
      <c r="C544" s="56"/>
      <c r="D544" s="56"/>
      <c r="E544" s="56"/>
      <c r="F544" s="56"/>
      <c r="G544" s="56"/>
      <c r="H544" s="56"/>
      <c r="I544" s="56"/>
      <c r="J544" s="56"/>
      <c r="K544" s="56"/>
      <c r="L544" s="56"/>
    </row>
    <row r="545" spans="2:12" ht="15">
      <c r="B545" s="7"/>
      <c r="C545" s="56"/>
      <c r="D545" s="56"/>
      <c r="E545" s="56"/>
      <c r="F545" s="56"/>
      <c r="G545" s="56"/>
      <c r="H545" s="56"/>
      <c r="I545" s="56"/>
      <c r="J545" s="56"/>
      <c r="K545" s="56"/>
      <c r="L545" s="56"/>
    </row>
    <row r="546" spans="2:12" ht="15">
      <c r="B546" s="7"/>
      <c r="C546" s="56"/>
      <c r="D546" s="56"/>
      <c r="E546" s="56"/>
      <c r="F546" s="56"/>
      <c r="G546" s="56"/>
      <c r="H546" s="56"/>
      <c r="I546" s="56"/>
      <c r="J546" s="56"/>
      <c r="K546" s="56"/>
      <c r="L546" s="56"/>
    </row>
    <row r="547" spans="2:12" ht="15">
      <c r="B547" s="7"/>
      <c r="C547" s="56"/>
      <c r="D547" s="56"/>
      <c r="E547" s="56"/>
      <c r="F547" s="56"/>
      <c r="G547" s="56"/>
      <c r="H547" s="56"/>
      <c r="I547" s="56"/>
      <c r="J547" s="56"/>
      <c r="K547" s="56"/>
      <c r="L547" s="56"/>
    </row>
    <row r="548" spans="2:12" ht="15">
      <c r="B548" s="7"/>
      <c r="C548" s="56"/>
      <c r="D548" s="56"/>
      <c r="E548" s="56"/>
      <c r="F548" s="56"/>
      <c r="G548" s="56"/>
      <c r="H548" s="56"/>
      <c r="I548" s="56"/>
      <c r="J548" s="56"/>
      <c r="K548" s="56"/>
      <c r="L548" s="56"/>
    </row>
    <row r="549" spans="2:12" ht="15">
      <c r="B549" s="7"/>
      <c r="C549" s="56"/>
      <c r="D549" s="56"/>
      <c r="E549" s="56"/>
      <c r="F549" s="56"/>
      <c r="G549" s="56"/>
      <c r="H549" s="56"/>
      <c r="I549" s="56"/>
      <c r="J549" s="56"/>
      <c r="K549" s="56"/>
      <c r="L549" s="56"/>
    </row>
    <row r="550" spans="2:12" ht="15">
      <c r="B550" s="7"/>
      <c r="C550" s="56"/>
      <c r="D550" s="56"/>
      <c r="E550" s="56"/>
      <c r="F550" s="56"/>
      <c r="G550" s="56"/>
      <c r="H550" s="56"/>
      <c r="I550" s="56"/>
      <c r="J550" s="56"/>
      <c r="K550" s="56"/>
      <c r="L550" s="56"/>
    </row>
    <row r="551" spans="2:12" ht="15">
      <c r="B551" s="7"/>
      <c r="C551" s="56"/>
      <c r="D551" s="56"/>
      <c r="E551" s="56"/>
      <c r="F551" s="56"/>
      <c r="G551" s="56"/>
      <c r="H551" s="56"/>
      <c r="I551" s="56"/>
      <c r="J551" s="56"/>
      <c r="K551" s="56"/>
      <c r="L551" s="56"/>
    </row>
    <row r="552" spans="2:12" ht="15">
      <c r="B552" s="7"/>
      <c r="C552" s="56"/>
      <c r="D552" s="56"/>
      <c r="E552" s="56"/>
      <c r="F552" s="56"/>
      <c r="G552" s="56"/>
      <c r="H552" s="56"/>
      <c r="I552" s="56"/>
      <c r="J552" s="56"/>
      <c r="K552" s="56"/>
      <c r="L552" s="56"/>
    </row>
    <row r="553" spans="2:12" ht="15">
      <c r="B553" s="7"/>
      <c r="C553" s="56"/>
      <c r="D553" s="56"/>
      <c r="E553" s="56"/>
      <c r="F553" s="56"/>
      <c r="G553" s="56"/>
      <c r="H553" s="56"/>
      <c r="I553" s="56"/>
      <c r="J553" s="56"/>
      <c r="K553" s="56"/>
      <c r="L553" s="56"/>
    </row>
    <row r="554" spans="2:12" ht="15">
      <c r="B554" s="7"/>
      <c r="C554" s="56"/>
      <c r="D554" s="56"/>
      <c r="E554" s="56"/>
      <c r="F554" s="56"/>
      <c r="G554" s="56"/>
      <c r="H554" s="56"/>
      <c r="I554" s="56"/>
      <c r="J554" s="56"/>
      <c r="K554" s="56"/>
      <c r="L554" s="56"/>
    </row>
    <row r="555" spans="2:12" ht="15">
      <c r="B555" s="7"/>
      <c r="C555" s="56"/>
      <c r="D555" s="56"/>
      <c r="E555" s="56"/>
      <c r="F555" s="56"/>
      <c r="G555" s="56"/>
      <c r="H555" s="56"/>
      <c r="I555" s="56"/>
      <c r="J555" s="56"/>
      <c r="K555" s="56"/>
      <c r="L555" s="56"/>
    </row>
    <row r="556" spans="2:12" ht="15">
      <c r="B556" s="7"/>
      <c r="C556" s="56"/>
      <c r="D556" s="56"/>
      <c r="E556" s="56"/>
      <c r="F556" s="56"/>
      <c r="G556" s="56"/>
      <c r="H556" s="56"/>
      <c r="I556" s="56"/>
      <c r="J556" s="56"/>
      <c r="K556" s="56"/>
      <c r="L556" s="56"/>
    </row>
    <row r="557" spans="2:12" ht="15">
      <c r="B557" s="7"/>
      <c r="C557" s="56"/>
      <c r="D557" s="56"/>
      <c r="E557" s="56"/>
      <c r="F557" s="56"/>
      <c r="G557" s="56"/>
      <c r="H557" s="56"/>
      <c r="I557" s="56"/>
      <c r="J557" s="56"/>
      <c r="K557" s="56"/>
      <c r="L557" s="56"/>
    </row>
    <row r="558" spans="2:12" ht="15">
      <c r="B558" s="7"/>
      <c r="C558" s="56"/>
      <c r="D558" s="56"/>
      <c r="E558" s="56"/>
      <c r="F558" s="56"/>
      <c r="G558" s="56"/>
      <c r="H558" s="56"/>
      <c r="I558" s="56"/>
      <c r="J558" s="56"/>
      <c r="K558" s="56"/>
      <c r="L558" s="56"/>
    </row>
    <row r="559" spans="2:12" ht="15">
      <c r="B559" s="7"/>
      <c r="C559" s="56"/>
      <c r="D559" s="56"/>
      <c r="E559" s="56"/>
      <c r="F559" s="56"/>
      <c r="G559" s="56"/>
      <c r="H559" s="56"/>
      <c r="I559" s="56"/>
      <c r="J559" s="56"/>
      <c r="K559" s="56"/>
      <c r="L559" s="56"/>
    </row>
    <row r="560" spans="2:12" ht="15">
      <c r="B560" s="7"/>
      <c r="C560" s="56"/>
      <c r="D560" s="56"/>
      <c r="E560" s="56"/>
      <c r="F560" s="56"/>
      <c r="G560" s="56"/>
      <c r="H560" s="56"/>
      <c r="I560" s="56"/>
      <c r="J560" s="56"/>
      <c r="K560" s="56"/>
      <c r="L560" s="56"/>
    </row>
    <row r="561" spans="2:12" ht="15">
      <c r="B561" s="7"/>
      <c r="C561" s="56"/>
      <c r="D561" s="56"/>
      <c r="E561" s="56"/>
      <c r="F561" s="56"/>
      <c r="G561" s="56"/>
      <c r="H561" s="56"/>
      <c r="I561" s="56"/>
      <c r="J561" s="56"/>
      <c r="K561" s="56"/>
      <c r="L561" s="56"/>
    </row>
    <row r="562" spans="2:12" ht="15">
      <c r="B562" s="7"/>
      <c r="C562" s="56"/>
      <c r="D562" s="56"/>
      <c r="E562" s="56"/>
      <c r="F562" s="56"/>
      <c r="G562" s="56"/>
      <c r="H562" s="56"/>
      <c r="I562" s="56"/>
      <c r="J562" s="56"/>
      <c r="K562" s="56"/>
      <c r="L562" s="56"/>
    </row>
    <row r="563" spans="2:12" ht="15">
      <c r="B563" s="7"/>
      <c r="C563" s="56"/>
      <c r="D563" s="56"/>
      <c r="E563" s="56"/>
      <c r="F563" s="56"/>
      <c r="G563" s="56"/>
      <c r="H563" s="56"/>
      <c r="I563" s="56"/>
      <c r="J563" s="56"/>
      <c r="K563" s="56"/>
      <c r="L563" s="56"/>
    </row>
    <row r="564" spans="2:12" ht="15">
      <c r="B564" s="7"/>
      <c r="C564" s="56"/>
      <c r="D564" s="56"/>
      <c r="E564" s="56"/>
      <c r="F564" s="56"/>
      <c r="G564" s="56"/>
      <c r="H564" s="56"/>
      <c r="I564" s="56"/>
      <c r="J564" s="56"/>
      <c r="K564" s="56"/>
      <c r="L564" s="56"/>
    </row>
    <row r="565" spans="2:12" ht="15">
      <c r="B565" s="7"/>
      <c r="C565" s="56"/>
      <c r="D565" s="56"/>
      <c r="E565" s="56"/>
      <c r="F565" s="56"/>
      <c r="G565" s="56"/>
      <c r="H565" s="56"/>
      <c r="I565" s="56"/>
      <c r="J565" s="56"/>
      <c r="K565" s="56"/>
      <c r="L565" s="56"/>
    </row>
    <row r="566" spans="2:12" ht="15">
      <c r="B566" s="7"/>
      <c r="C566" s="56"/>
      <c r="D566" s="56"/>
      <c r="E566" s="56"/>
      <c r="F566" s="56"/>
      <c r="G566" s="56"/>
      <c r="H566" s="56"/>
      <c r="I566" s="56"/>
      <c r="J566" s="56"/>
      <c r="K566" s="56"/>
      <c r="L566" s="56"/>
    </row>
    <row r="567" spans="2:12" ht="15">
      <c r="B567" s="7"/>
      <c r="C567" s="56"/>
      <c r="D567" s="56"/>
      <c r="E567" s="56"/>
      <c r="F567" s="56"/>
      <c r="G567" s="56"/>
      <c r="H567" s="56"/>
      <c r="I567" s="56"/>
      <c r="J567" s="56"/>
      <c r="K567" s="56"/>
      <c r="L567" s="56"/>
    </row>
    <row r="568" spans="2:12" ht="15">
      <c r="B568" s="7"/>
      <c r="C568" s="56"/>
      <c r="D568" s="56"/>
      <c r="E568" s="56"/>
      <c r="F568" s="56"/>
      <c r="G568" s="56"/>
      <c r="H568" s="56"/>
      <c r="I568" s="56"/>
      <c r="J568" s="56"/>
      <c r="K568" s="56"/>
      <c r="L568" s="56"/>
    </row>
    <row r="569" spans="2:12" ht="15">
      <c r="B569" s="7"/>
      <c r="C569" s="56"/>
      <c r="D569" s="56"/>
      <c r="E569" s="56"/>
      <c r="F569" s="56"/>
      <c r="G569" s="56"/>
      <c r="H569" s="56"/>
      <c r="I569" s="56"/>
      <c r="J569" s="56"/>
      <c r="K569" s="56"/>
      <c r="L569" s="56"/>
    </row>
    <row r="570" spans="2:12" ht="15">
      <c r="B570" s="7"/>
      <c r="C570" s="56"/>
      <c r="D570" s="56"/>
      <c r="E570" s="56"/>
      <c r="F570" s="56"/>
      <c r="G570" s="56"/>
      <c r="H570" s="56"/>
      <c r="I570" s="56"/>
      <c r="J570" s="56"/>
      <c r="K570" s="56"/>
      <c r="L570" s="56"/>
    </row>
    <row r="571" spans="2:12" ht="15">
      <c r="B571" s="7"/>
      <c r="C571" s="56"/>
      <c r="D571" s="56"/>
      <c r="E571" s="56"/>
      <c r="F571" s="56"/>
      <c r="G571" s="56"/>
      <c r="H571" s="56"/>
      <c r="I571" s="56"/>
      <c r="J571" s="56"/>
      <c r="K571" s="56"/>
      <c r="L571" s="56"/>
    </row>
    <row r="572" spans="2:12" ht="15">
      <c r="B572" s="7"/>
      <c r="C572" s="56"/>
      <c r="D572" s="56"/>
      <c r="E572" s="56"/>
      <c r="F572" s="56"/>
      <c r="G572" s="56"/>
      <c r="H572" s="56"/>
      <c r="I572" s="56"/>
      <c r="J572" s="56"/>
      <c r="K572" s="56"/>
      <c r="L572" s="56"/>
    </row>
    <row r="573" spans="2:12" ht="15">
      <c r="B573" s="7"/>
      <c r="C573" s="56"/>
      <c r="D573" s="56"/>
      <c r="E573" s="56"/>
      <c r="F573" s="56"/>
      <c r="G573" s="56"/>
      <c r="H573" s="56"/>
      <c r="I573" s="56"/>
      <c r="J573" s="56"/>
      <c r="K573" s="56"/>
      <c r="L573" s="56"/>
    </row>
    <row r="574" spans="2:12" ht="15">
      <c r="B574" s="7"/>
      <c r="C574" s="56"/>
      <c r="D574" s="56"/>
      <c r="E574" s="56"/>
      <c r="F574" s="56"/>
      <c r="G574" s="56"/>
      <c r="H574" s="56"/>
      <c r="I574" s="56"/>
      <c r="J574" s="56"/>
      <c r="K574" s="56"/>
      <c r="L574" s="56"/>
    </row>
    <row r="575" spans="2:12" ht="15">
      <c r="B575" s="7"/>
      <c r="C575" s="56"/>
      <c r="D575" s="56"/>
      <c r="E575" s="56"/>
      <c r="F575" s="56"/>
      <c r="G575" s="56"/>
      <c r="H575" s="56"/>
      <c r="I575" s="56"/>
      <c r="J575" s="56"/>
      <c r="K575" s="56"/>
      <c r="L575" s="56"/>
    </row>
    <row r="576" spans="2:12" ht="15">
      <c r="B576" s="7"/>
      <c r="C576" s="56"/>
      <c r="D576" s="56"/>
      <c r="E576" s="56"/>
      <c r="F576" s="56"/>
      <c r="G576" s="56"/>
      <c r="H576" s="56"/>
      <c r="I576" s="56"/>
      <c r="J576" s="56"/>
      <c r="K576" s="56"/>
      <c r="L576" s="56"/>
    </row>
    <row r="577" spans="2:12" ht="15">
      <c r="B577" s="7"/>
      <c r="C577" s="56"/>
      <c r="D577" s="56"/>
      <c r="E577" s="56"/>
      <c r="F577" s="56"/>
      <c r="G577" s="56"/>
      <c r="H577" s="56"/>
      <c r="I577" s="56"/>
      <c r="J577" s="56"/>
      <c r="K577" s="56"/>
      <c r="L577" s="56"/>
    </row>
    <row r="578" spans="2:12" ht="15">
      <c r="B578" s="7"/>
      <c r="C578" s="56"/>
      <c r="D578" s="56"/>
      <c r="E578" s="56"/>
      <c r="F578" s="56"/>
      <c r="G578" s="56"/>
      <c r="H578" s="56"/>
      <c r="I578" s="56"/>
      <c r="J578" s="56"/>
      <c r="K578" s="56"/>
      <c r="L578" s="56"/>
    </row>
    <row r="579" spans="2:12" ht="15">
      <c r="B579" s="7"/>
      <c r="C579" s="56"/>
      <c r="D579" s="56"/>
      <c r="E579" s="56"/>
      <c r="F579" s="56"/>
      <c r="G579" s="56"/>
      <c r="H579" s="56"/>
      <c r="I579" s="56"/>
      <c r="J579" s="56"/>
      <c r="K579" s="56"/>
      <c r="L579" s="56"/>
    </row>
    <row r="580" spans="2:12" ht="15">
      <c r="B580" s="7"/>
      <c r="C580" s="56"/>
      <c r="D580" s="56"/>
      <c r="E580" s="56"/>
      <c r="F580" s="56"/>
      <c r="G580" s="56"/>
      <c r="H580" s="56"/>
      <c r="I580" s="56"/>
      <c r="J580" s="56"/>
      <c r="K580" s="56"/>
      <c r="L580" s="56"/>
    </row>
    <row r="581" spans="2:12" ht="15">
      <c r="B581" s="7"/>
      <c r="C581" s="56"/>
      <c r="D581" s="56"/>
      <c r="E581" s="56"/>
      <c r="F581" s="56"/>
      <c r="G581" s="56"/>
      <c r="H581" s="56"/>
      <c r="I581" s="56"/>
      <c r="J581" s="56"/>
      <c r="K581" s="56"/>
      <c r="L581" s="56"/>
    </row>
    <row r="582" spans="2:12" ht="15">
      <c r="B582" s="7"/>
      <c r="C582" s="56"/>
      <c r="D582" s="56"/>
      <c r="E582" s="56"/>
      <c r="F582" s="56"/>
      <c r="G582" s="56"/>
      <c r="H582" s="56"/>
      <c r="I582" s="56"/>
      <c r="J582" s="56"/>
      <c r="K582" s="56"/>
      <c r="L582" s="56"/>
    </row>
    <row r="583" spans="2:12" ht="15">
      <c r="B583" s="7"/>
      <c r="C583" s="56"/>
      <c r="D583" s="56"/>
      <c r="E583" s="56"/>
      <c r="F583" s="56"/>
      <c r="G583" s="56"/>
      <c r="H583" s="56"/>
      <c r="I583" s="56"/>
      <c r="J583" s="56"/>
      <c r="K583" s="56"/>
      <c r="L583" s="56"/>
    </row>
    <row r="584" spans="2:12" ht="15">
      <c r="B584" s="7"/>
      <c r="C584" s="56"/>
      <c r="D584" s="56"/>
      <c r="E584" s="56"/>
      <c r="F584" s="56"/>
      <c r="G584" s="56"/>
      <c r="H584" s="56"/>
      <c r="I584" s="56"/>
      <c r="J584" s="56"/>
      <c r="K584" s="56"/>
      <c r="L584" s="56"/>
    </row>
    <row r="585" spans="2:12" ht="15">
      <c r="B585" s="7"/>
      <c r="C585" s="56"/>
      <c r="D585" s="56"/>
      <c r="E585" s="56"/>
      <c r="F585" s="56"/>
      <c r="G585" s="56"/>
      <c r="H585" s="56"/>
      <c r="I585" s="56"/>
      <c r="J585" s="56"/>
      <c r="K585" s="56"/>
      <c r="L585" s="56"/>
    </row>
    <row r="586" spans="2:12" ht="15">
      <c r="B586" s="7"/>
      <c r="C586" s="56"/>
      <c r="D586" s="56"/>
      <c r="E586" s="56"/>
      <c r="F586" s="56"/>
      <c r="G586" s="56"/>
      <c r="H586" s="56"/>
      <c r="I586" s="56"/>
      <c r="J586" s="56"/>
      <c r="K586" s="56"/>
      <c r="L586" s="56"/>
    </row>
    <row r="587" spans="2:12" ht="15">
      <c r="B587" s="7"/>
      <c r="C587" s="56"/>
      <c r="D587" s="56"/>
      <c r="E587" s="56"/>
      <c r="F587" s="56"/>
      <c r="G587" s="56"/>
      <c r="H587" s="56"/>
      <c r="I587" s="56"/>
      <c r="J587" s="56"/>
      <c r="K587" s="56"/>
      <c r="L587" s="56"/>
    </row>
    <row r="588" spans="2:12" ht="15">
      <c r="B588" s="7"/>
      <c r="C588" s="56"/>
      <c r="D588" s="56"/>
      <c r="E588" s="56"/>
      <c r="F588" s="56"/>
      <c r="G588" s="56"/>
      <c r="H588" s="56"/>
      <c r="I588" s="56"/>
      <c r="J588" s="56"/>
      <c r="K588" s="56"/>
      <c r="L588" s="56"/>
    </row>
    <row r="589" spans="2:12" ht="15">
      <c r="B589" s="7"/>
      <c r="C589" s="56"/>
      <c r="D589" s="56"/>
      <c r="E589" s="56"/>
      <c r="F589" s="56"/>
      <c r="G589" s="56"/>
      <c r="H589" s="56"/>
      <c r="I589" s="56"/>
      <c r="J589" s="56"/>
      <c r="K589" s="56"/>
      <c r="L589" s="56"/>
    </row>
    <row r="590" spans="2:12" ht="15">
      <c r="B590" s="7"/>
      <c r="C590" s="56"/>
      <c r="D590" s="56"/>
      <c r="E590" s="56"/>
      <c r="F590" s="56"/>
      <c r="G590" s="56"/>
      <c r="H590" s="56"/>
      <c r="I590" s="56"/>
      <c r="J590" s="56"/>
      <c r="K590" s="56"/>
      <c r="L590" s="56"/>
    </row>
    <row r="591" spans="2:12" ht="15">
      <c r="B591" s="7"/>
      <c r="C591" s="56"/>
      <c r="D591" s="56"/>
      <c r="E591" s="56"/>
      <c r="F591" s="56"/>
      <c r="G591" s="56"/>
      <c r="H591" s="56"/>
      <c r="I591" s="56"/>
      <c r="J591" s="56"/>
      <c r="K591" s="56"/>
      <c r="L591" s="56"/>
    </row>
    <row r="592" spans="2:12" ht="15">
      <c r="B592" s="7"/>
      <c r="C592" s="56"/>
      <c r="D592" s="56"/>
      <c r="E592" s="56"/>
      <c r="F592" s="56"/>
      <c r="G592" s="56"/>
      <c r="H592" s="56"/>
      <c r="I592" s="56"/>
      <c r="J592" s="56"/>
      <c r="K592" s="56"/>
      <c r="L592" s="56"/>
    </row>
    <row r="593" spans="2:12" ht="15">
      <c r="B593" s="7"/>
      <c r="C593" s="56"/>
      <c r="D593" s="56"/>
      <c r="E593" s="56"/>
      <c r="F593" s="56"/>
      <c r="G593" s="56"/>
      <c r="H593" s="56"/>
      <c r="I593" s="56"/>
      <c r="J593" s="56"/>
      <c r="K593" s="56"/>
      <c r="L593" s="56"/>
    </row>
    <row r="594" spans="2:12" ht="15">
      <c r="B594" s="7"/>
      <c r="C594" s="56"/>
      <c r="D594" s="56"/>
      <c r="E594" s="56"/>
      <c r="F594" s="56"/>
      <c r="G594" s="56"/>
      <c r="H594" s="56"/>
      <c r="I594" s="56"/>
      <c r="J594" s="56"/>
      <c r="K594" s="56"/>
      <c r="L594" s="56"/>
    </row>
    <row r="595" spans="2:12" ht="15">
      <c r="B595" s="7"/>
      <c r="C595" s="56"/>
      <c r="D595" s="56"/>
      <c r="E595" s="56"/>
      <c r="F595" s="56"/>
      <c r="G595" s="56"/>
      <c r="H595" s="56"/>
      <c r="I595" s="56"/>
      <c r="J595" s="56"/>
      <c r="K595" s="56"/>
      <c r="L595" s="56"/>
    </row>
    <row r="596" spans="2:12" ht="15">
      <c r="B596" s="7"/>
      <c r="C596" s="56"/>
      <c r="D596" s="56"/>
      <c r="E596" s="56"/>
      <c r="F596" s="56"/>
      <c r="G596" s="56"/>
      <c r="H596" s="56"/>
      <c r="I596" s="56"/>
      <c r="J596" s="56"/>
      <c r="K596" s="56"/>
      <c r="L596" s="56"/>
    </row>
    <row r="597" spans="2:12" ht="15">
      <c r="B597" s="7"/>
      <c r="C597" s="56"/>
      <c r="D597" s="56"/>
      <c r="E597" s="56"/>
      <c r="F597" s="56"/>
      <c r="G597" s="56"/>
      <c r="H597" s="56"/>
      <c r="I597" s="56"/>
      <c r="J597" s="56"/>
      <c r="K597" s="56"/>
      <c r="L597" s="56"/>
    </row>
    <row r="598" spans="2:12" ht="15">
      <c r="B598" s="7"/>
      <c r="C598" s="56"/>
      <c r="D598" s="56"/>
      <c r="E598" s="56"/>
      <c r="F598" s="56"/>
      <c r="G598" s="56"/>
      <c r="H598" s="56"/>
      <c r="I598" s="56"/>
      <c r="J598" s="56"/>
      <c r="K598" s="56"/>
      <c r="L598" s="56"/>
    </row>
    <row r="599" spans="2:12" ht="15">
      <c r="B599" s="7"/>
      <c r="C599" s="56"/>
      <c r="D599" s="56"/>
      <c r="E599" s="56"/>
      <c r="F599" s="56"/>
      <c r="G599" s="56"/>
      <c r="H599" s="56"/>
      <c r="I599" s="56"/>
      <c r="J599" s="56"/>
      <c r="K599" s="56"/>
      <c r="L599" s="56"/>
    </row>
    <row r="600" spans="2:12" ht="15">
      <c r="B600" s="7"/>
      <c r="C600" s="56"/>
      <c r="D600" s="56"/>
      <c r="E600" s="56"/>
      <c r="F600" s="56"/>
      <c r="G600" s="56"/>
      <c r="H600" s="56"/>
      <c r="I600" s="56"/>
      <c r="J600" s="56"/>
      <c r="K600" s="56"/>
      <c r="L600" s="56"/>
    </row>
    <row r="601" spans="2:12" ht="15">
      <c r="B601" s="7"/>
      <c r="C601" s="56"/>
      <c r="D601" s="56"/>
      <c r="E601" s="56"/>
      <c r="F601" s="56"/>
      <c r="G601" s="56"/>
      <c r="H601" s="56"/>
      <c r="I601" s="56"/>
      <c r="J601" s="56"/>
      <c r="K601" s="56"/>
      <c r="L601" s="56"/>
    </row>
    <row r="602" spans="2:12" ht="15">
      <c r="B602" s="7"/>
      <c r="C602" s="56"/>
      <c r="D602" s="56"/>
      <c r="E602" s="56"/>
      <c r="F602" s="56"/>
      <c r="G602" s="56"/>
      <c r="H602" s="56"/>
      <c r="I602" s="56"/>
      <c r="J602" s="56"/>
      <c r="K602" s="56"/>
      <c r="L602" s="56"/>
    </row>
    <row r="603" spans="2:12" ht="15">
      <c r="B603" s="7"/>
      <c r="C603" s="56"/>
      <c r="D603" s="56"/>
      <c r="E603" s="56"/>
      <c r="F603" s="56"/>
      <c r="G603" s="56"/>
      <c r="H603" s="56"/>
      <c r="I603" s="56"/>
      <c r="J603" s="56"/>
      <c r="K603" s="56"/>
      <c r="L603" s="56"/>
    </row>
    <row r="604" spans="2:12" ht="15">
      <c r="B604" s="7"/>
      <c r="C604" s="56"/>
      <c r="D604" s="56"/>
      <c r="E604" s="56"/>
      <c r="F604" s="56"/>
      <c r="G604" s="56"/>
      <c r="H604" s="56"/>
      <c r="I604" s="56"/>
      <c r="J604" s="56"/>
      <c r="K604" s="56"/>
      <c r="L604" s="56"/>
    </row>
    <row r="605" spans="2:12" ht="15">
      <c r="B605" s="7"/>
      <c r="C605" s="56"/>
      <c r="D605" s="56"/>
      <c r="E605" s="56"/>
      <c r="F605" s="56"/>
      <c r="G605" s="56"/>
      <c r="H605" s="56"/>
      <c r="I605" s="56"/>
      <c r="J605" s="56"/>
      <c r="K605" s="56"/>
      <c r="L605" s="56"/>
    </row>
    <row r="606" spans="2:12" ht="15">
      <c r="B606" s="7"/>
      <c r="C606" s="56"/>
      <c r="D606" s="56"/>
      <c r="E606" s="56"/>
      <c r="F606" s="56"/>
      <c r="G606" s="56"/>
      <c r="H606" s="56"/>
      <c r="I606" s="56"/>
      <c r="J606" s="56"/>
      <c r="K606" s="56"/>
      <c r="L606" s="56"/>
    </row>
    <row r="607" spans="2:12" ht="15">
      <c r="B607" s="7"/>
      <c r="C607" s="56"/>
      <c r="D607" s="56"/>
      <c r="E607" s="56"/>
      <c r="F607" s="56"/>
      <c r="G607" s="56"/>
      <c r="H607" s="56"/>
      <c r="I607" s="56"/>
      <c r="J607" s="56"/>
      <c r="K607" s="56"/>
      <c r="L607" s="56"/>
    </row>
    <row r="608" spans="2:12" ht="15">
      <c r="B608" s="7"/>
      <c r="C608" s="56"/>
      <c r="D608" s="56"/>
      <c r="E608" s="56"/>
      <c r="F608" s="56"/>
      <c r="G608" s="56"/>
      <c r="H608" s="56"/>
      <c r="I608" s="56"/>
      <c r="J608" s="56"/>
      <c r="K608" s="56"/>
      <c r="L608" s="56"/>
    </row>
    <row r="609" spans="2:12" ht="15">
      <c r="B609" s="7"/>
      <c r="C609" s="56"/>
      <c r="D609" s="56"/>
      <c r="E609" s="56"/>
      <c r="F609" s="56"/>
      <c r="G609" s="56"/>
      <c r="H609" s="56"/>
      <c r="I609" s="56"/>
      <c r="J609" s="56"/>
      <c r="K609" s="56"/>
      <c r="L609" s="56"/>
    </row>
    <row r="610" spans="2:12" ht="15">
      <c r="B610" s="7"/>
      <c r="C610" s="56"/>
      <c r="D610" s="56"/>
      <c r="E610" s="56"/>
      <c r="F610" s="56"/>
      <c r="G610" s="56"/>
      <c r="H610" s="56"/>
      <c r="I610" s="56"/>
      <c r="J610" s="56"/>
      <c r="K610" s="56"/>
      <c r="L610" s="56"/>
    </row>
    <row r="611" spans="2:12" ht="15">
      <c r="B611" s="7"/>
      <c r="C611" s="56"/>
      <c r="D611" s="56"/>
      <c r="E611" s="56"/>
      <c r="F611" s="56"/>
      <c r="G611" s="56"/>
      <c r="H611" s="56"/>
      <c r="I611" s="56"/>
      <c r="J611" s="56"/>
      <c r="K611" s="56"/>
      <c r="L611" s="56"/>
    </row>
    <row r="612" spans="2:12" ht="15">
      <c r="B612" s="7"/>
      <c r="C612" s="56"/>
      <c r="D612" s="56"/>
      <c r="E612" s="56"/>
      <c r="F612" s="56"/>
      <c r="G612" s="56"/>
      <c r="H612" s="56"/>
      <c r="I612" s="56"/>
      <c r="J612" s="56"/>
      <c r="K612" s="56"/>
      <c r="L612" s="56"/>
    </row>
    <row r="613" spans="2:12" ht="15">
      <c r="B613" s="7"/>
      <c r="C613" s="56"/>
      <c r="D613" s="56"/>
      <c r="E613" s="56"/>
      <c r="F613" s="56"/>
      <c r="G613" s="56"/>
      <c r="H613" s="56"/>
      <c r="I613" s="56"/>
      <c r="J613" s="56"/>
      <c r="K613" s="56"/>
      <c r="L613" s="56"/>
    </row>
    <row r="614" spans="2:12" ht="15">
      <c r="B614" s="7"/>
      <c r="C614" s="56"/>
      <c r="D614" s="56"/>
      <c r="E614" s="56"/>
      <c r="F614" s="56"/>
      <c r="G614" s="56"/>
      <c r="H614" s="56"/>
      <c r="I614" s="56"/>
      <c r="J614" s="56"/>
      <c r="K614" s="56"/>
      <c r="L614" s="56"/>
    </row>
    <row r="615" spans="2:12" ht="15">
      <c r="B615" s="7"/>
      <c r="C615" s="56"/>
      <c r="D615" s="56"/>
      <c r="E615" s="56"/>
      <c r="F615" s="56"/>
      <c r="G615" s="56"/>
      <c r="H615" s="56"/>
      <c r="I615" s="56"/>
      <c r="J615" s="56"/>
      <c r="K615" s="56"/>
      <c r="L615" s="56"/>
    </row>
    <row r="616" spans="2:12" ht="15">
      <c r="B616" s="7"/>
      <c r="C616" s="56"/>
      <c r="D616" s="56"/>
      <c r="E616" s="56"/>
      <c r="F616" s="56"/>
      <c r="G616" s="56"/>
      <c r="H616" s="56"/>
      <c r="I616" s="56"/>
      <c r="J616" s="56"/>
      <c r="K616" s="56"/>
      <c r="L616" s="56"/>
    </row>
    <row r="617" spans="2:12" ht="15">
      <c r="B617" s="7"/>
      <c r="C617" s="56"/>
      <c r="D617" s="56"/>
      <c r="E617" s="56"/>
      <c r="F617" s="56"/>
      <c r="G617" s="56"/>
      <c r="H617" s="56"/>
      <c r="I617" s="56"/>
      <c r="J617" s="56"/>
      <c r="K617" s="56"/>
      <c r="L617" s="56"/>
    </row>
    <row r="618" spans="2:12" ht="15">
      <c r="B618" s="7"/>
      <c r="C618" s="56"/>
      <c r="D618" s="56"/>
      <c r="E618" s="56"/>
      <c r="F618" s="56"/>
      <c r="G618" s="56"/>
      <c r="H618" s="56"/>
      <c r="I618" s="56"/>
      <c r="J618" s="56"/>
      <c r="K618" s="56"/>
      <c r="L618" s="56"/>
    </row>
    <row r="619" spans="2:12" ht="15">
      <c r="B619" s="7"/>
      <c r="C619" s="56"/>
      <c r="D619" s="56"/>
      <c r="E619" s="56"/>
      <c r="F619" s="56"/>
      <c r="G619" s="56"/>
      <c r="H619" s="56"/>
      <c r="I619" s="56"/>
      <c r="J619" s="56"/>
      <c r="K619" s="56"/>
      <c r="L619" s="56"/>
    </row>
    <row r="620" spans="2:12" ht="15">
      <c r="B620" s="7"/>
      <c r="C620" s="56"/>
      <c r="D620" s="56"/>
      <c r="E620" s="56"/>
      <c r="F620" s="56"/>
      <c r="G620" s="56"/>
      <c r="H620" s="56"/>
      <c r="I620" s="56"/>
      <c r="J620" s="56"/>
      <c r="K620" s="56"/>
      <c r="L620" s="56"/>
    </row>
    <row r="621" spans="2:12" ht="15">
      <c r="B621" s="7"/>
      <c r="C621" s="56"/>
      <c r="D621" s="56"/>
      <c r="E621" s="56"/>
      <c r="F621" s="56"/>
      <c r="G621" s="56"/>
      <c r="H621" s="56"/>
      <c r="I621" s="56"/>
      <c r="J621" s="56"/>
      <c r="K621" s="56"/>
      <c r="L621" s="56"/>
    </row>
    <row r="622" spans="2:12" ht="15">
      <c r="B622" s="7"/>
      <c r="C622" s="56"/>
      <c r="D622" s="56"/>
      <c r="E622" s="56"/>
      <c r="F622" s="56"/>
      <c r="G622" s="56"/>
      <c r="H622" s="56"/>
      <c r="I622" s="56"/>
      <c r="J622" s="56"/>
      <c r="K622" s="56"/>
      <c r="L622" s="56"/>
    </row>
    <row r="623" spans="2:12" ht="15">
      <c r="B623" s="7"/>
      <c r="C623" s="56"/>
      <c r="D623" s="56"/>
      <c r="E623" s="56"/>
      <c r="F623" s="56"/>
      <c r="G623" s="56"/>
      <c r="H623" s="56"/>
      <c r="I623" s="56"/>
      <c r="J623" s="56"/>
      <c r="K623" s="56"/>
      <c r="L623" s="56"/>
    </row>
    <row r="624" spans="2:12" ht="15">
      <c r="B624" s="7"/>
      <c r="C624" s="56"/>
      <c r="D624" s="56"/>
      <c r="E624" s="56"/>
      <c r="F624" s="56"/>
      <c r="G624" s="56"/>
      <c r="H624" s="56"/>
      <c r="I624" s="56"/>
      <c r="J624" s="56"/>
      <c r="K624" s="56"/>
      <c r="L624" s="56"/>
    </row>
    <row r="625" spans="2:12" ht="15">
      <c r="B625" s="7"/>
      <c r="C625" s="56"/>
      <c r="D625" s="56"/>
      <c r="E625" s="56"/>
      <c r="F625" s="56"/>
      <c r="G625" s="56"/>
      <c r="H625" s="56"/>
      <c r="I625" s="56"/>
      <c r="J625" s="56"/>
      <c r="K625" s="56"/>
      <c r="L625" s="56"/>
    </row>
    <row r="626" spans="2:12" ht="15">
      <c r="B626" s="7"/>
      <c r="C626" s="56"/>
      <c r="D626" s="56"/>
      <c r="E626" s="56"/>
      <c r="F626" s="56"/>
      <c r="G626" s="56"/>
      <c r="H626" s="56"/>
      <c r="I626" s="56"/>
      <c r="J626" s="56"/>
      <c r="K626" s="56"/>
      <c r="L626" s="56"/>
    </row>
    <row r="627" spans="2:12" ht="15">
      <c r="B627" s="7"/>
      <c r="C627" s="56"/>
      <c r="D627" s="56"/>
      <c r="E627" s="56"/>
      <c r="F627" s="56"/>
      <c r="G627" s="56"/>
      <c r="H627" s="56"/>
      <c r="I627" s="56"/>
      <c r="J627" s="56"/>
      <c r="K627" s="56"/>
      <c r="L627" s="56"/>
    </row>
    <row r="628" spans="2:12" ht="15">
      <c r="B628" s="7"/>
      <c r="C628" s="56"/>
      <c r="D628" s="56"/>
      <c r="E628" s="56"/>
      <c r="F628" s="56"/>
      <c r="G628" s="56"/>
      <c r="H628" s="56"/>
      <c r="I628" s="56"/>
      <c r="J628" s="56"/>
      <c r="K628" s="56"/>
      <c r="L628" s="56"/>
    </row>
    <row r="629" spans="2:12" ht="15">
      <c r="B629" s="7"/>
      <c r="C629" s="56"/>
      <c r="D629" s="56"/>
      <c r="E629" s="56"/>
      <c r="F629" s="56"/>
      <c r="G629" s="56"/>
      <c r="H629" s="56"/>
      <c r="I629" s="56"/>
      <c r="J629" s="56"/>
      <c r="K629" s="56"/>
      <c r="L629" s="56"/>
    </row>
    <row r="630" spans="2:12" ht="15">
      <c r="B630" s="7"/>
      <c r="C630" s="56"/>
      <c r="D630" s="56"/>
      <c r="E630" s="56"/>
      <c r="F630" s="56"/>
      <c r="G630" s="56"/>
      <c r="H630" s="56"/>
      <c r="I630" s="56"/>
      <c r="J630" s="56"/>
      <c r="K630" s="56"/>
      <c r="L630" s="56"/>
    </row>
    <row r="631" spans="2:12" ht="15">
      <c r="B631" s="7"/>
      <c r="C631" s="56"/>
      <c r="D631" s="56"/>
      <c r="E631" s="56"/>
      <c r="F631" s="56"/>
      <c r="G631" s="56"/>
      <c r="H631" s="56"/>
      <c r="I631" s="56"/>
      <c r="J631" s="56"/>
      <c r="K631" s="56"/>
      <c r="L631" s="56"/>
    </row>
    <row r="632" spans="2:12" ht="15">
      <c r="B632" s="7"/>
      <c r="C632" s="56"/>
      <c r="D632" s="56"/>
      <c r="E632" s="56"/>
      <c r="F632" s="56"/>
      <c r="G632" s="56"/>
      <c r="H632" s="56"/>
      <c r="I632" s="56"/>
      <c r="J632" s="56"/>
      <c r="K632" s="56"/>
      <c r="L632" s="56"/>
    </row>
    <row r="633" spans="2:12" ht="15">
      <c r="B633" s="7"/>
      <c r="C633" s="56"/>
      <c r="D633" s="56"/>
      <c r="E633" s="56"/>
      <c r="F633" s="56"/>
      <c r="G633" s="56"/>
      <c r="H633" s="56"/>
      <c r="I633" s="56"/>
      <c r="J633" s="56"/>
      <c r="K633" s="56"/>
      <c r="L633" s="56"/>
    </row>
    <row r="634" spans="2:12" ht="15">
      <c r="B634" s="7"/>
      <c r="C634" s="56"/>
      <c r="D634" s="56"/>
      <c r="E634" s="56"/>
      <c r="F634" s="56"/>
      <c r="G634" s="56"/>
      <c r="H634" s="56"/>
      <c r="I634" s="56"/>
      <c r="J634" s="56"/>
      <c r="K634" s="56"/>
      <c r="L634" s="56"/>
    </row>
    <row r="635" spans="2:12" ht="15">
      <c r="B635" s="7"/>
      <c r="C635" s="56"/>
      <c r="D635" s="56"/>
      <c r="E635" s="56"/>
      <c r="F635" s="56"/>
      <c r="G635" s="56"/>
      <c r="H635" s="56"/>
      <c r="I635" s="56"/>
      <c r="J635" s="56"/>
      <c r="K635" s="56"/>
      <c r="L635" s="56"/>
    </row>
    <row r="636" spans="2:12" ht="15">
      <c r="B636" s="7"/>
      <c r="C636" s="56"/>
      <c r="D636" s="56"/>
      <c r="E636" s="56"/>
      <c r="F636" s="56"/>
      <c r="G636" s="56"/>
      <c r="H636" s="56"/>
      <c r="I636" s="56"/>
      <c r="J636" s="56"/>
      <c r="K636" s="56"/>
      <c r="L636" s="56"/>
    </row>
    <row r="637" spans="2:12" ht="15">
      <c r="B637" s="7"/>
      <c r="C637" s="56"/>
      <c r="D637" s="56"/>
      <c r="E637" s="56"/>
      <c r="F637" s="56"/>
      <c r="G637" s="56"/>
      <c r="H637" s="56"/>
      <c r="I637" s="56"/>
      <c r="J637" s="56"/>
      <c r="K637" s="56"/>
      <c r="L637" s="56"/>
    </row>
    <row r="638" spans="2:12" ht="15">
      <c r="B638" s="7"/>
      <c r="C638" s="56"/>
      <c r="D638" s="56"/>
      <c r="E638" s="56"/>
      <c r="F638" s="56"/>
      <c r="G638" s="56"/>
      <c r="H638" s="56"/>
      <c r="I638" s="56"/>
      <c r="J638" s="56"/>
      <c r="K638" s="56"/>
      <c r="L638" s="56"/>
    </row>
    <row r="639" spans="2:12" ht="15">
      <c r="B639" s="7"/>
      <c r="C639" s="56"/>
      <c r="D639" s="56"/>
      <c r="E639" s="56"/>
      <c r="F639" s="56"/>
      <c r="G639" s="56"/>
      <c r="H639" s="56"/>
      <c r="I639" s="56"/>
      <c r="J639" s="56"/>
      <c r="K639" s="56"/>
      <c r="L639" s="56"/>
    </row>
    <row r="640" spans="2:12" ht="15">
      <c r="B640" s="7"/>
      <c r="C640" s="56"/>
      <c r="D640" s="56"/>
      <c r="E640" s="56"/>
      <c r="F640" s="56"/>
      <c r="G640" s="56"/>
      <c r="H640" s="56"/>
      <c r="I640" s="56"/>
      <c r="J640" s="56"/>
      <c r="K640" s="56"/>
      <c r="L640" s="56"/>
    </row>
    <row r="641" spans="2:12" ht="15">
      <c r="B641" s="7"/>
      <c r="C641" s="56"/>
      <c r="D641" s="56"/>
      <c r="E641" s="56"/>
      <c r="F641" s="56"/>
      <c r="G641" s="56"/>
      <c r="H641" s="56"/>
      <c r="I641" s="56"/>
      <c r="J641" s="56"/>
      <c r="K641" s="56"/>
      <c r="L641" s="56"/>
    </row>
    <row r="642" spans="2:12" ht="15">
      <c r="B642" s="7"/>
      <c r="C642" s="56"/>
      <c r="D642" s="56"/>
      <c r="E642" s="56"/>
      <c r="F642" s="56"/>
      <c r="G642" s="56"/>
      <c r="H642" s="56"/>
      <c r="I642" s="56"/>
      <c r="J642" s="56"/>
      <c r="K642" s="56"/>
      <c r="L642" s="56"/>
    </row>
    <row r="643" spans="2:12" ht="15">
      <c r="B643" s="7"/>
      <c r="C643" s="56"/>
      <c r="D643" s="56"/>
      <c r="E643" s="56"/>
      <c r="F643" s="56"/>
      <c r="G643" s="56"/>
      <c r="H643" s="56"/>
      <c r="I643" s="56"/>
      <c r="J643" s="56"/>
      <c r="K643" s="56"/>
      <c r="L643" s="56"/>
    </row>
    <row r="644" spans="2:12" ht="15">
      <c r="B644" s="7"/>
      <c r="C644" s="56"/>
      <c r="D644" s="56"/>
      <c r="E644" s="56"/>
      <c r="F644" s="56"/>
      <c r="G644" s="56"/>
      <c r="H644" s="56"/>
      <c r="I644" s="56"/>
      <c r="J644" s="56"/>
      <c r="K644" s="56"/>
      <c r="L644" s="56"/>
    </row>
    <row r="645" spans="2:12" ht="15">
      <c r="B645" s="7"/>
      <c r="C645" s="56"/>
      <c r="D645" s="56"/>
      <c r="E645" s="56"/>
      <c r="F645" s="56"/>
      <c r="G645" s="56"/>
      <c r="H645" s="56"/>
      <c r="I645" s="56"/>
      <c r="J645" s="56"/>
      <c r="K645" s="56"/>
      <c r="L645" s="56"/>
    </row>
    <row r="646" spans="2:12" ht="15">
      <c r="B646" s="7"/>
      <c r="C646" s="56"/>
      <c r="D646" s="56"/>
      <c r="E646" s="56"/>
      <c r="F646" s="56"/>
      <c r="G646" s="56"/>
      <c r="H646" s="56"/>
      <c r="I646" s="56"/>
      <c r="J646" s="56"/>
      <c r="K646" s="56"/>
      <c r="L646" s="56"/>
    </row>
    <row r="647" spans="2:12" ht="15">
      <c r="B647" s="7"/>
      <c r="C647" s="56"/>
      <c r="D647" s="56"/>
      <c r="E647" s="56"/>
      <c r="F647" s="56"/>
      <c r="G647" s="56"/>
      <c r="H647" s="56"/>
      <c r="I647" s="56"/>
      <c r="J647" s="56"/>
      <c r="K647" s="56"/>
      <c r="L647" s="56"/>
    </row>
    <row r="648" spans="2:12" ht="15">
      <c r="B648" s="7"/>
      <c r="C648" s="56"/>
      <c r="D648" s="56"/>
      <c r="E648" s="56"/>
      <c r="F648" s="56"/>
      <c r="G648" s="56"/>
      <c r="H648" s="56"/>
      <c r="I648" s="56"/>
      <c r="J648" s="56"/>
      <c r="K648" s="56"/>
      <c r="L648" s="56"/>
    </row>
    <row r="649" spans="2:12" ht="15">
      <c r="B649" s="7"/>
      <c r="C649" s="56"/>
      <c r="D649" s="56"/>
      <c r="E649" s="56"/>
      <c r="F649" s="56"/>
      <c r="G649" s="56"/>
      <c r="H649" s="56"/>
      <c r="I649" s="56"/>
      <c r="J649" s="56"/>
      <c r="K649" s="56"/>
      <c r="L649" s="56"/>
    </row>
    <row r="650" spans="2:12" ht="15">
      <c r="B650" s="7"/>
      <c r="C650" s="56"/>
      <c r="D650" s="56"/>
      <c r="E650" s="56"/>
      <c r="F650" s="56"/>
      <c r="G650" s="56"/>
      <c r="H650" s="56"/>
      <c r="I650" s="56"/>
      <c r="J650" s="56"/>
      <c r="K650" s="56"/>
      <c r="L650" s="56"/>
    </row>
    <row r="651" spans="2:12" ht="15">
      <c r="B651" s="7"/>
      <c r="C651" s="56"/>
      <c r="D651" s="56"/>
      <c r="E651" s="56"/>
      <c r="F651" s="56"/>
      <c r="G651" s="56"/>
      <c r="H651" s="56"/>
      <c r="I651" s="56"/>
      <c r="J651" s="56"/>
      <c r="K651" s="56"/>
      <c r="L651" s="56"/>
    </row>
    <row r="652" spans="2:12" ht="15">
      <c r="B652" s="7"/>
      <c r="C652" s="56"/>
      <c r="D652" s="56"/>
      <c r="E652" s="56"/>
      <c r="F652" s="56"/>
      <c r="G652" s="56"/>
      <c r="H652" s="56"/>
      <c r="I652" s="56"/>
      <c r="J652" s="56"/>
      <c r="K652" s="56"/>
      <c r="L652" s="56"/>
    </row>
    <row r="653" spans="2:12" ht="15">
      <c r="B653" s="7"/>
      <c r="C653" s="56"/>
      <c r="D653" s="56"/>
      <c r="E653" s="56"/>
      <c r="F653" s="56"/>
      <c r="G653" s="56"/>
      <c r="H653" s="56"/>
      <c r="I653" s="56"/>
      <c r="J653" s="56"/>
      <c r="K653" s="56"/>
      <c r="L653" s="56"/>
    </row>
    <row r="654" spans="2:12" ht="15">
      <c r="B654" s="7"/>
      <c r="C654" s="56"/>
      <c r="D654" s="56"/>
      <c r="E654" s="56"/>
      <c r="F654" s="56"/>
      <c r="G654" s="56"/>
      <c r="H654" s="56"/>
      <c r="I654" s="56"/>
      <c r="J654" s="56"/>
      <c r="K654" s="56"/>
      <c r="L654" s="56"/>
    </row>
    <row r="655" spans="2:12" ht="15">
      <c r="B655" s="7"/>
      <c r="C655" s="56"/>
      <c r="D655" s="56"/>
      <c r="E655" s="56"/>
      <c r="F655" s="56"/>
      <c r="G655" s="56"/>
      <c r="H655" s="56"/>
      <c r="I655" s="56"/>
      <c r="J655" s="56"/>
      <c r="K655" s="56"/>
      <c r="L655" s="56"/>
    </row>
    <row r="656" spans="2:12" ht="15">
      <c r="B656" s="7"/>
      <c r="C656" s="56"/>
      <c r="D656" s="56"/>
      <c r="E656" s="56"/>
      <c r="F656" s="56"/>
      <c r="G656" s="56"/>
      <c r="H656" s="56"/>
      <c r="I656" s="56"/>
      <c r="J656" s="56"/>
      <c r="K656" s="56"/>
      <c r="L656" s="56"/>
    </row>
    <row r="657" spans="2:12" ht="15">
      <c r="B657" s="7"/>
      <c r="C657" s="56"/>
      <c r="D657" s="56"/>
      <c r="E657" s="56"/>
      <c r="F657" s="56"/>
      <c r="G657" s="56"/>
      <c r="H657" s="56"/>
      <c r="I657" s="56"/>
      <c r="J657" s="56"/>
      <c r="K657" s="56"/>
      <c r="L657" s="56"/>
    </row>
    <row r="658" spans="2:12" ht="15">
      <c r="B658" s="7"/>
      <c r="C658" s="56"/>
      <c r="D658" s="56"/>
      <c r="E658" s="56"/>
      <c r="F658" s="56"/>
      <c r="G658" s="56"/>
      <c r="H658" s="56"/>
      <c r="I658" s="56"/>
      <c r="J658" s="56"/>
      <c r="K658" s="56"/>
      <c r="L658" s="56"/>
    </row>
    <row r="659" spans="2:12" ht="15">
      <c r="B659" s="7"/>
      <c r="C659" s="56"/>
      <c r="D659" s="56"/>
      <c r="E659" s="56"/>
      <c r="F659" s="56"/>
      <c r="G659" s="56"/>
      <c r="H659" s="56"/>
      <c r="I659" s="56"/>
      <c r="J659" s="56"/>
      <c r="K659" s="56"/>
      <c r="L659" s="56"/>
    </row>
    <row r="660" spans="2:12" ht="15">
      <c r="B660" s="7"/>
      <c r="C660" s="56"/>
      <c r="D660" s="56"/>
      <c r="E660" s="56"/>
      <c r="F660" s="56"/>
      <c r="G660" s="56"/>
      <c r="H660" s="56"/>
      <c r="I660" s="56"/>
      <c r="J660" s="56"/>
      <c r="K660" s="56"/>
      <c r="L660" s="56"/>
    </row>
    <row r="661" spans="2:12" ht="15">
      <c r="B661" s="7"/>
      <c r="C661" s="56"/>
      <c r="D661" s="56"/>
      <c r="E661" s="56"/>
      <c r="F661" s="56"/>
      <c r="G661" s="56"/>
      <c r="H661" s="56"/>
      <c r="I661" s="56"/>
      <c r="J661" s="56"/>
      <c r="K661" s="56"/>
      <c r="L661" s="56"/>
    </row>
    <row r="662" spans="2:12" ht="15">
      <c r="B662" s="7"/>
      <c r="C662" s="56"/>
      <c r="D662" s="56"/>
      <c r="E662" s="56"/>
      <c r="F662" s="56"/>
      <c r="G662" s="56"/>
      <c r="H662" s="56"/>
      <c r="I662" s="56"/>
      <c r="J662" s="56"/>
      <c r="K662" s="56"/>
      <c r="L662" s="56"/>
    </row>
    <row r="663" spans="2:12" ht="15">
      <c r="B663" s="7"/>
      <c r="C663" s="56"/>
      <c r="D663" s="56"/>
      <c r="E663" s="56"/>
      <c r="F663" s="56"/>
      <c r="G663" s="56"/>
      <c r="H663" s="56"/>
      <c r="I663" s="56"/>
      <c r="J663" s="56"/>
      <c r="K663" s="56"/>
      <c r="L663" s="56"/>
    </row>
    <row r="664" spans="2:12" ht="15">
      <c r="B664" s="7"/>
      <c r="C664" s="56"/>
      <c r="D664" s="56"/>
      <c r="E664" s="56"/>
      <c r="F664" s="56"/>
      <c r="G664" s="56"/>
      <c r="H664" s="56"/>
      <c r="I664" s="56"/>
      <c r="J664" s="56"/>
      <c r="K664" s="56"/>
      <c r="L664" s="56"/>
    </row>
    <row r="665" spans="2:12" ht="15">
      <c r="B665" s="7"/>
      <c r="C665" s="56"/>
      <c r="D665" s="56"/>
      <c r="E665" s="56"/>
      <c r="F665" s="56"/>
      <c r="G665" s="56"/>
      <c r="H665" s="56"/>
      <c r="I665" s="56"/>
      <c r="J665" s="56"/>
      <c r="K665" s="56"/>
      <c r="L665" s="56"/>
    </row>
    <row r="666" spans="2:12" ht="15">
      <c r="B666" s="7"/>
      <c r="C666" s="56"/>
      <c r="D666" s="56"/>
      <c r="E666" s="56"/>
      <c r="F666" s="56"/>
      <c r="G666" s="56"/>
      <c r="H666" s="56"/>
      <c r="I666" s="56"/>
      <c r="J666" s="56"/>
      <c r="K666" s="56"/>
      <c r="L666" s="56"/>
    </row>
    <row r="667" spans="2:12" ht="15">
      <c r="B667" s="7"/>
      <c r="C667" s="56"/>
      <c r="D667" s="56"/>
      <c r="E667" s="56"/>
      <c r="F667" s="56"/>
      <c r="G667" s="56"/>
      <c r="H667" s="56"/>
      <c r="I667" s="56"/>
      <c r="J667" s="56"/>
      <c r="K667" s="56"/>
      <c r="L667" s="56"/>
    </row>
    <row r="668" spans="2:12" ht="15">
      <c r="B668" s="7"/>
      <c r="C668" s="56"/>
      <c r="D668" s="56"/>
      <c r="E668" s="56"/>
      <c r="F668" s="56"/>
      <c r="G668" s="56"/>
      <c r="H668" s="56"/>
      <c r="I668" s="56"/>
      <c r="J668" s="56"/>
      <c r="K668" s="56"/>
      <c r="L668" s="56"/>
    </row>
    <row r="669" spans="2:12" ht="15">
      <c r="B669" s="7"/>
      <c r="C669" s="56"/>
      <c r="D669" s="56"/>
      <c r="E669" s="56"/>
      <c r="F669" s="56"/>
      <c r="G669" s="56"/>
      <c r="H669" s="56"/>
      <c r="I669" s="56"/>
      <c r="J669" s="56"/>
      <c r="K669" s="56"/>
      <c r="L669" s="56"/>
    </row>
    <row r="670" spans="2:12" ht="15">
      <c r="B670" s="7"/>
      <c r="C670" s="56"/>
      <c r="D670" s="56"/>
      <c r="E670" s="56"/>
      <c r="F670" s="56"/>
      <c r="G670" s="56"/>
      <c r="H670" s="56"/>
      <c r="I670" s="56"/>
      <c r="J670" s="56"/>
      <c r="K670" s="56"/>
      <c r="L670" s="56"/>
    </row>
    <row r="671" spans="2:12" ht="15">
      <c r="B671" s="7"/>
      <c r="C671" s="56"/>
      <c r="D671" s="56"/>
      <c r="E671" s="56"/>
      <c r="F671" s="56"/>
      <c r="G671" s="56"/>
      <c r="H671" s="56"/>
      <c r="I671" s="56"/>
      <c r="J671" s="56"/>
      <c r="K671" s="56"/>
      <c r="L671" s="56"/>
    </row>
    <row r="672" spans="2:12" ht="15">
      <c r="B672" s="7"/>
      <c r="C672" s="56"/>
      <c r="D672" s="56"/>
      <c r="E672" s="56"/>
      <c r="F672" s="56"/>
      <c r="G672" s="56"/>
      <c r="H672" s="56"/>
      <c r="I672" s="56"/>
      <c r="J672" s="56"/>
      <c r="K672" s="56"/>
      <c r="L672" s="56"/>
    </row>
    <row r="673" spans="2:12" ht="15">
      <c r="B673" s="7"/>
      <c r="C673" s="56"/>
      <c r="D673" s="56"/>
      <c r="E673" s="56"/>
      <c r="F673" s="56"/>
      <c r="G673" s="56"/>
      <c r="H673" s="56"/>
      <c r="I673" s="56"/>
      <c r="J673" s="56"/>
      <c r="K673" s="56"/>
      <c r="L673" s="56"/>
    </row>
    <row r="674" spans="2:12" ht="15">
      <c r="B674" s="7"/>
      <c r="C674" s="56"/>
      <c r="D674" s="56"/>
      <c r="E674" s="56"/>
      <c r="F674" s="56"/>
      <c r="G674" s="56"/>
      <c r="H674" s="56"/>
      <c r="I674" s="56"/>
      <c r="J674" s="56"/>
      <c r="K674" s="56"/>
      <c r="L674" s="56"/>
    </row>
    <row r="675" spans="2:12" ht="15">
      <c r="B675" s="7"/>
      <c r="C675" s="56"/>
      <c r="D675" s="56"/>
      <c r="E675" s="56"/>
      <c r="F675" s="56"/>
      <c r="G675" s="56"/>
      <c r="H675" s="56"/>
      <c r="I675" s="56"/>
      <c r="J675" s="56"/>
      <c r="K675" s="56"/>
      <c r="L675" s="56"/>
    </row>
    <row r="676" spans="2:12" ht="15">
      <c r="B676" s="7"/>
      <c r="C676" s="56"/>
      <c r="D676" s="56"/>
      <c r="E676" s="56"/>
      <c r="F676" s="56"/>
      <c r="G676" s="56"/>
      <c r="H676" s="56"/>
      <c r="I676" s="56"/>
      <c r="J676" s="56"/>
      <c r="K676" s="56"/>
      <c r="L676" s="56"/>
    </row>
    <row r="677" spans="2:12" ht="15">
      <c r="B677" s="7"/>
      <c r="C677" s="56"/>
      <c r="D677" s="56"/>
      <c r="E677" s="56"/>
      <c r="F677" s="56"/>
      <c r="G677" s="56"/>
      <c r="H677" s="56"/>
      <c r="I677" s="56"/>
      <c r="J677" s="56"/>
      <c r="K677" s="56"/>
      <c r="L677" s="56"/>
    </row>
    <row r="678" spans="2:12" ht="15">
      <c r="B678" s="7"/>
      <c r="C678" s="56"/>
      <c r="D678" s="56"/>
      <c r="E678" s="56"/>
      <c r="F678" s="56"/>
      <c r="G678" s="56"/>
      <c r="H678" s="56"/>
      <c r="I678" s="56"/>
      <c r="J678" s="56"/>
      <c r="K678" s="56"/>
      <c r="L678" s="56"/>
    </row>
    <row r="679" spans="2:12" ht="15">
      <c r="B679" s="7"/>
      <c r="C679" s="56"/>
      <c r="D679" s="56"/>
      <c r="E679" s="56"/>
      <c r="F679" s="56"/>
      <c r="G679" s="56"/>
      <c r="H679" s="56"/>
      <c r="I679" s="56"/>
      <c r="J679" s="56"/>
      <c r="K679" s="56"/>
      <c r="L679" s="56"/>
    </row>
    <row r="680" spans="2:12" ht="15">
      <c r="B680" s="7"/>
      <c r="C680" s="56"/>
      <c r="D680" s="56"/>
      <c r="E680" s="56"/>
      <c r="F680" s="56"/>
      <c r="G680" s="56"/>
      <c r="H680" s="56"/>
      <c r="I680" s="56"/>
      <c r="J680" s="56"/>
      <c r="K680" s="56"/>
      <c r="L680" s="56"/>
    </row>
    <row r="681" spans="2:12" ht="15">
      <c r="B681" s="7"/>
      <c r="C681" s="56"/>
      <c r="D681" s="56"/>
      <c r="E681" s="56"/>
      <c r="F681" s="56"/>
      <c r="G681" s="56"/>
      <c r="H681" s="56"/>
      <c r="I681" s="56"/>
      <c r="J681" s="56"/>
      <c r="K681" s="56"/>
      <c r="L681" s="56"/>
    </row>
    <row r="682" spans="2:12" ht="15">
      <c r="B682" s="7"/>
      <c r="C682" s="56"/>
      <c r="D682" s="56"/>
      <c r="E682" s="56"/>
      <c r="F682" s="56"/>
      <c r="G682" s="56"/>
      <c r="H682" s="56"/>
      <c r="I682" s="56"/>
      <c r="J682" s="56"/>
      <c r="K682" s="56"/>
      <c r="L682" s="56"/>
    </row>
    <row r="683" spans="2:12" ht="15">
      <c r="B683" s="7"/>
      <c r="C683" s="56"/>
      <c r="D683" s="56"/>
      <c r="E683" s="56"/>
      <c r="F683" s="56"/>
      <c r="G683" s="56"/>
      <c r="H683" s="56"/>
      <c r="I683" s="56"/>
      <c r="J683" s="56"/>
      <c r="K683" s="56"/>
      <c r="L683" s="56"/>
    </row>
    <row r="684" spans="2:12" ht="15">
      <c r="B684" s="7"/>
      <c r="C684" s="56"/>
      <c r="D684" s="56"/>
      <c r="E684" s="56"/>
      <c r="F684" s="56"/>
      <c r="G684" s="56"/>
      <c r="H684" s="56"/>
      <c r="I684" s="56"/>
      <c r="J684" s="56"/>
      <c r="K684" s="56"/>
      <c r="L684" s="56"/>
    </row>
    <row r="685" spans="2:12" ht="15">
      <c r="B685" s="7"/>
      <c r="C685" s="56"/>
      <c r="D685" s="56"/>
      <c r="E685" s="56"/>
      <c r="F685" s="56"/>
      <c r="G685" s="56"/>
      <c r="H685" s="56"/>
      <c r="I685" s="56"/>
      <c r="J685" s="56"/>
      <c r="K685" s="56"/>
      <c r="L685" s="56"/>
    </row>
    <row r="686" spans="2:12" ht="15">
      <c r="B686" s="7"/>
      <c r="C686" s="56"/>
      <c r="D686" s="56"/>
      <c r="E686" s="56"/>
      <c r="F686" s="56"/>
      <c r="G686" s="56"/>
      <c r="H686" s="56"/>
      <c r="I686" s="56"/>
      <c r="J686" s="56"/>
      <c r="K686" s="56"/>
      <c r="L686" s="56"/>
    </row>
    <row r="687" spans="2:12" ht="15">
      <c r="B687" s="7"/>
      <c r="C687" s="56"/>
      <c r="D687" s="56"/>
      <c r="E687" s="56"/>
      <c r="F687" s="56"/>
      <c r="G687" s="56"/>
      <c r="H687" s="56"/>
      <c r="I687" s="56"/>
      <c r="J687" s="56"/>
      <c r="K687" s="56"/>
      <c r="L687" s="56"/>
    </row>
    <row r="688" spans="2:12" ht="15">
      <c r="B688" s="7"/>
      <c r="C688" s="56"/>
      <c r="D688" s="56"/>
      <c r="E688" s="56"/>
      <c r="F688" s="56"/>
      <c r="G688" s="56"/>
      <c r="H688" s="56"/>
      <c r="I688" s="56"/>
      <c r="J688" s="56"/>
      <c r="K688" s="56"/>
      <c r="L688" s="56"/>
    </row>
    <row r="689" spans="2:12" ht="15">
      <c r="B689" s="7"/>
      <c r="C689" s="56"/>
      <c r="D689" s="56"/>
      <c r="E689" s="56"/>
      <c r="F689" s="56"/>
      <c r="G689" s="56"/>
      <c r="H689" s="56"/>
      <c r="I689" s="56"/>
      <c r="J689" s="56"/>
      <c r="K689" s="56"/>
      <c r="L689" s="56"/>
    </row>
    <row r="690" spans="2:12" ht="15">
      <c r="B690" s="7"/>
      <c r="C690" s="56"/>
      <c r="D690" s="56"/>
      <c r="E690" s="56"/>
      <c r="F690" s="56"/>
      <c r="G690" s="56"/>
      <c r="H690" s="56"/>
      <c r="I690" s="56"/>
      <c r="J690" s="56"/>
      <c r="K690" s="56"/>
      <c r="L690" s="56"/>
    </row>
    <row r="691" spans="2:12" ht="15">
      <c r="B691" s="7"/>
      <c r="C691" s="56"/>
      <c r="D691" s="56"/>
      <c r="E691" s="56"/>
      <c r="F691" s="56"/>
      <c r="G691" s="56"/>
      <c r="H691" s="56"/>
      <c r="I691" s="56"/>
      <c r="J691" s="56"/>
      <c r="K691" s="56"/>
      <c r="L691" s="56"/>
    </row>
    <row r="692" spans="2:12" ht="15">
      <c r="B692" s="7"/>
      <c r="C692" s="56"/>
      <c r="D692" s="56"/>
      <c r="E692" s="56"/>
      <c r="F692" s="56"/>
      <c r="G692" s="56"/>
      <c r="H692" s="56"/>
      <c r="I692" s="56"/>
      <c r="J692" s="56"/>
      <c r="K692" s="56"/>
      <c r="L692" s="56"/>
    </row>
    <row r="693" spans="2:12" ht="15">
      <c r="B693" s="7"/>
      <c r="C693" s="56"/>
      <c r="D693" s="56"/>
      <c r="E693" s="56"/>
      <c r="F693" s="56"/>
      <c r="G693" s="56"/>
      <c r="H693" s="56"/>
      <c r="I693" s="56"/>
      <c r="J693" s="56"/>
      <c r="K693" s="56"/>
      <c r="L693" s="56"/>
    </row>
    <row r="694" spans="2:12" ht="15">
      <c r="B694" s="7"/>
      <c r="C694" s="56"/>
      <c r="D694" s="56"/>
      <c r="E694" s="56"/>
      <c r="F694" s="56"/>
      <c r="G694" s="56"/>
      <c r="H694" s="56"/>
      <c r="I694" s="56"/>
      <c r="J694" s="56"/>
      <c r="K694" s="56"/>
      <c r="L694" s="56"/>
    </row>
    <row r="695" spans="2:12" ht="15">
      <c r="B695" s="7"/>
      <c r="C695" s="56"/>
      <c r="D695" s="56"/>
      <c r="E695" s="56"/>
      <c r="F695" s="56"/>
      <c r="G695" s="56"/>
      <c r="H695" s="56"/>
      <c r="I695" s="56"/>
      <c r="J695" s="56"/>
      <c r="K695" s="56"/>
      <c r="L695" s="56"/>
    </row>
    <row r="696" spans="2:12" ht="15">
      <c r="B696" s="7"/>
      <c r="C696" s="56"/>
      <c r="D696" s="56"/>
      <c r="E696" s="56"/>
      <c r="F696" s="56"/>
      <c r="G696" s="56"/>
      <c r="H696" s="56"/>
      <c r="I696" s="56"/>
      <c r="J696" s="56"/>
      <c r="K696" s="56"/>
      <c r="L696" s="56"/>
    </row>
    <row r="697" spans="2:12" ht="15">
      <c r="B697" s="7"/>
      <c r="C697" s="56"/>
      <c r="D697" s="56"/>
      <c r="E697" s="56"/>
      <c r="F697" s="56"/>
      <c r="G697" s="56"/>
      <c r="H697" s="56"/>
      <c r="I697" s="56"/>
      <c r="J697" s="56"/>
      <c r="K697" s="56"/>
      <c r="L697" s="56"/>
    </row>
    <row r="698" spans="2:12" ht="15">
      <c r="B698" s="7"/>
      <c r="C698" s="56"/>
      <c r="D698" s="56"/>
      <c r="E698" s="56"/>
      <c r="F698" s="56"/>
      <c r="G698" s="56"/>
      <c r="H698" s="56"/>
      <c r="I698" s="56"/>
      <c r="J698" s="56"/>
      <c r="K698" s="56"/>
      <c r="L698" s="56"/>
    </row>
    <row r="699" spans="2:12" ht="15">
      <c r="B699" s="7"/>
      <c r="C699" s="56"/>
      <c r="D699" s="56"/>
      <c r="E699" s="56"/>
      <c r="F699" s="56"/>
      <c r="G699" s="56"/>
      <c r="H699" s="56"/>
      <c r="I699" s="56"/>
      <c r="J699" s="56"/>
      <c r="K699" s="56"/>
      <c r="L699" s="56"/>
    </row>
    <row r="700" spans="2:12" ht="15">
      <c r="B700" s="7"/>
      <c r="C700" s="56"/>
      <c r="D700" s="56"/>
      <c r="E700" s="56"/>
      <c r="F700" s="56"/>
      <c r="G700" s="56"/>
      <c r="H700" s="56"/>
      <c r="I700" s="56"/>
      <c r="J700" s="56"/>
      <c r="K700" s="56"/>
      <c r="L700" s="56"/>
    </row>
    <row r="701" spans="2:12" ht="15">
      <c r="B701" s="7"/>
      <c r="C701" s="56"/>
      <c r="D701" s="56"/>
      <c r="E701" s="56"/>
      <c r="F701" s="56"/>
      <c r="G701" s="56"/>
      <c r="H701" s="56"/>
      <c r="I701" s="56"/>
      <c r="J701" s="56"/>
      <c r="K701" s="56"/>
      <c r="L701" s="56"/>
    </row>
    <row r="702" spans="2:12" ht="15">
      <c r="B702" s="7"/>
      <c r="C702" s="56"/>
      <c r="D702" s="56"/>
      <c r="E702" s="56"/>
      <c r="F702" s="56"/>
      <c r="G702" s="56"/>
      <c r="H702" s="56"/>
      <c r="I702" s="56"/>
      <c r="J702" s="56"/>
      <c r="K702" s="56"/>
      <c r="L702" s="56"/>
    </row>
    <row r="703" spans="2:12" ht="15">
      <c r="B703" s="7"/>
      <c r="C703" s="56"/>
      <c r="D703" s="56"/>
      <c r="E703" s="56"/>
      <c r="F703" s="56"/>
      <c r="G703" s="56"/>
      <c r="H703" s="56"/>
      <c r="I703" s="56"/>
      <c r="J703" s="56"/>
      <c r="K703" s="56"/>
      <c r="L703" s="56"/>
    </row>
    <row r="704" spans="2:12" ht="15">
      <c r="B704" s="7"/>
      <c r="C704" s="56"/>
      <c r="D704" s="56"/>
      <c r="E704" s="56"/>
      <c r="F704" s="56"/>
      <c r="G704" s="56"/>
      <c r="H704" s="56"/>
      <c r="I704" s="56"/>
      <c r="J704" s="56"/>
      <c r="K704" s="56"/>
      <c r="L704" s="56"/>
    </row>
    <row r="705" spans="2:12" ht="15">
      <c r="B705" s="7"/>
      <c r="C705" s="56"/>
      <c r="D705" s="56"/>
      <c r="E705" s="56"/>
      <c r="F705" s="56"/>
      <c r="G705" s="56"/>
      <c r="H705" s="56"/>
      <c r="I705" s="56"/>
      <c r="J705" s="56"/>
      <c r="K705" s="56"/>
      <c r="L705" s="56"/>
    </row>
    <row r="706" spans="2:12" ht="15">
      <c r="B706" s="7"/>
      <c r="C706" s="56"/>
      <c r="D706" s="56"/>
      <c r="E706" s="56"/>
      <c r="F706" s="56"/>
      <c r="G706" s="56"/>
      <c r="H706" s="56"/>
      <c r="I706" s="56"/>
      <c r="J706" s="56"/>
      <c r="K706" s="56"/>
      <c r="L706" s="56"/>
    </row>
    <row r="707" spans="2:12" ht="15">
      <c r="B707" s="7"/>
      <c r="C707" s="56"/>
      <c r="D707" s="56"/>
      <c r="E707" s="56"/>
      <c r="F707" s="56"/>
      <c r="G707" s="56"/>
      <c r="H707" s="56"/>
      <c r="I707" s="56"/>
      <c r="J707" s="56"/>
      <c r="K707" s="56"/>
      <c r="L707" s="56"/>
    </row>
    <row r="708" spans="2:12" ht="15">
      <c r="B708" s="7"/>
      <c r="C708" s="56"/>
      <c r="D708" s="56"/>
      <c r="E708" s="56"/>
      <c r="F708" s="56"/>
      <c r="G708" s="56"/>
      <c r="H708" s="56"/>
      <c r="I708" s="56"/>
      <c r="J708" s="56"/>
      <c r="K708" s="56"/>
      <c r="L708" s="56"/>
    </row>
    <row r="709" spans="2:12" ht="15">
      <c r="B709" s="7"/>
      <c r="C709" s="56"/>
      <c r="D709" s="56"/>
      <c r="E709" s="56"/>
      <c r="F709" s="56"/>
      <c r="G709" s="56"/>
      <c r="H709" s="56"/>
      <c r="I709" s="56"/>
      <c r="J709" s="56"/>
      <c r="K709" s="56"/>
      <c r="L709" s="56"/>
    </row>
    <row r="710" spans="2:12" ht="15">
      <c r="B710" s="7"/>
      <c r="C710" s="56"/>
      <c r="D710" s="56"/>
      <c r="E710" s="56"/>
      <c r="F710" s="56"/>
      <c r="G710" s="56"/>
      <c r="H710" s="56"/>
      <c r="I710" s="56"/>
      <c r="J710" s="56"/>
      <c r="K710" s="56"/>
      <c r="L710" s="56"/>
    </row>
    <row r="711" spans="2:12" ht="15">
      <c r="B711" s="7"/>
      <c r="C711" s="56"/>
      <c r="D711" s="56"/>
      <c r="E711" s="56"/>
      <c r="F711" s="56"/>
      <c r="G711" s="56"/>
      <c r="H711" s="56"/>
      <c r="I711" s="56"/>
      <c r="J711" s="56"/>
      <c r="K711" s="56"/>
      <c r="L711" s="56"/>
    </row>
    <row r="712" spans="2:12" ht="15">
      <c r="B712" s="7"/>
      <c r="C712" s="56"/>
      <c r="D712" s="56"/>
      <c r="E712" s="56"/>
      <c r="F712" s="56"/>
      <c r="G712" s="56"/>
      <c r="H712" s="56"/>
      <c r="I712" s="56"/>
      <c r="J712" s="56"/>
      <c r="K712" s="56"/>
      <c r="L712" s="56"/>
    </row>
    <row r="713" spans="2:12" ht="15">
      <c r="B713" s="7"/>
      <c r="C713" s="56"/>
      <c r="D713" s="56"/>
      <c r="E713" s="56"/>
      <c r="F713" s="56"/>
      <c r="G713" s="56"/>
      <c r="H713" s="56"/>
      <c r="I713" s="56"/>
      <c r="J713" s="56"/>
      <c r="K713" s="56"/>
      <c r="L713" s="56"/>
    </row>
    <row r="714" spans="2:12" ht="15">
      <c r="B714" s="7"/>
      <c r="C714" s="56"/>
      <c r="D714" s="56"/>
      <c r="E714" s="56"/>
      <c r="F714" s="56"/>
      <c r="G714" s="56"/>
      <c r="H714" s="56"/>
      <c r="I714" s="56"/>
      <c r="J714" s="56"/>
      <c r="K714" s="56"/>
      <c r="L714" s="56"/>
    </row>
    <row r="715" spans="2:12" ht="15">
      <c r="B715" s="7"/>
      <c r="C715" s="56"/>
      <c r="D715" s="56"/>
      <c r="E715" s="56"/>
      <c r="F715" s="56"/>
      <c r="G715" s="56"/>
      <c r="H715" s="56"/>
      <c r="I715" s="56"/>
      <c r="J715" s="56"/>
      <c r="K715" s="56"/>
      <c r="L715" s="56"/>
    </row>
    <row r="716" spans="2:12" ht="15">
      <c r="B716" s="7"/>
      <c r="C716" s="56"/>
      <c r="D716" s="56"/>
      <c r="E716" s="56"/>
      <c r="F716" s="56"/>
      <c r="G716" s="56"/>
      <c r="H716" s="56"/>
      <c r="I716" s="56"/>
      <c r="J716" s="56"/>
      <c r="K716" s="56"/>
      <c r="L716" s="56"/>
    </row>
    <row r="717" spans="2:12" ht="15">
      <c r="B717" s="7"/>
      <c r="C717" s="56"/>
      <c r="D717" s="56"/>
      <c r="E717" s="56"/>
      <c r="F717" s="56"/>
      <c r="G717" s="56"/>
      <c r="H717" s="56"/>
      <c r="I717" s="56"/>
      <c r="J717" s="56"/>
      <c r="K717" s="56"/>
      <c r="L717" s="56"/>
    </row>
    <row r="718" spans="2:12" ht="15">
      <c r="B718" s="7"/>
      <c r="C718" s="56"/>
      <c r="D718" s="56"/>
      <c r="E718" s="56"/>
      <c r="F718" s="56"/>
      <c r="G718" s="56"/>
      <c r="H718" s="56"/>
      <c r="I718" s="56"/>
      <c r="J718" s="56"/>
      <c r="K718" s="56"/>
      <c r="L718" s="56"/>
    </row>
    <row r="719" spans="2:12" ht="15">
      <c r="B719" s="7"/>
      <c r="C719" s="56"/>
      <c r="D719" s="56"/>
      <c r="E719" s="56"/>
      <c r="F719" s="56"/>
      <c r="G719" s="56"/>
      <c r="H719" s="56"/>
      <c r="I719" s="56"/>
      <c r="J719" s="56"/>
      <c r="K719" s="56"/>
      <c r="L719" s="56"/>
    </row>
    <row r="720" spans="2:12" ht="15">
      <c r="B720" s="7"/>
      <c r="C720" s="56"/>
      <c r="D720" s="56"/>
      <c r="E720" s="56"/>
      <c r="F720" s="56"/>
      <c r="G720" s="56"/>
      <c r="H720" s="56"/>
      <c r="I720" s="56"/>
      <c r="J720" s="56"/>
      <c r="K720" s="56"/>
      <c r="L720" s="56"/>
    </row>
    <row r="721" spans="2:12" ht="15">
      <c r="B721" s="7"/>
      <c r="C721" s="56"/>
      <c r="D721" s="56"/>
      <c r="E721" s="56"/>
      <c r="F721" s="56"/>
      <c r="G721" s="56"/>
      <c r="H721" s="56"/>
      <c r="I721" s="56"/>
      <c r="J721" s="56"/>
      <c r="K721" s="56"/>
      <c r="L721" s="56"/>
    </row>
    <row r="722" spans="2:12" ht="15">
      <c r="B722" s="7"/>
      <c r="C722" s="56"/>
      <c r="D722" s="56"/>
      <c r="E722" s="56"/>
      <c r="F722" s="56"/>
      <c r="G722" s="56"/>
      <c r="H722" s="56"/>
      <c r="I722" s="56"/>
      <c r="J722" s="56"/>
      <c r="K722" s="56"/>
      <c r="L722" s="56"/>
    </row>
    <row r="723" spans="2:12" ht="15">
      <c r="B723" s="7"/>
      <c r="C723" s="56"/>
      <c r="D723" s="56"/>
      <c r="E723" s="56"/>
      <c r="F723" s="56"/>
      <c r="G723" s="56"/>
      <c r="H723" s="56"/>
      <c r="I723" s="56"/>
      <c r="J723" s="56"/>
      <c r="K723" s="56"/>
      <c r="L723" s="56"/>
    </row>
    <row r="724" spans="2:12" ht="15">
      <c r="B724" s="7"/>
      <c r="C724" s="56"/>
      <c r="D724" s="56"/>
      <c r="E724" s="56"/>
      <c r="F724" s="56"/>
      <c r="G724" s="56"/>
      <c r="H724" s="56"/>
      <c r="I724" s="56"/>
      <c r="J724" s="56"/>
      <c r="K724" s="56"/>
      <c r="L724" s="56"/>
    </row>
    <row r="725" spans="2:12" ht="15">
      <c r="B725" s="7"/>
      <c r="C725" s="56"/>
      <c r="D725" s="56"/>
      <c r="E725" s="56"/>
      <c r="F725" s="56"/>
      <c r="G725" s="56"/>
      <c r="H725" s="56"/>
      <c r="I725" s="56"/>
      <c r="J725" s="56"/>
      <c r="K725" s="56"/>
      <c r="L725" s="56"/>
    </row>
    <row r="726" spans="2:12" ht="15">
      <c r="B726" s="7"/>
      <c r="C726" s="56"/>
      <c r="D726" s="56"/>
      <c r="E726" s="56"/>
      <c r="F726" s="56"/>
      <c r="G726" s="56"/>
      <c r="H726" s="56"/>
      <c r="I726" s="56"/>
      <c r="J726" s="56"/>
      <c r="K726" s="56"/>
      <c r="L726" s="56"/>
    </row>
    <row r="727" spans="2:12" ht="15">
      <c r="B727" s="7"/>
      <c r="C727" s="56"/>
      <c r="D727" s="56"/>
      <c r="E727" s="56"/>
      <c r="F727" s="56"/>
      <c r="G727" s="56"/>
      <c r="H727" s="56"/>
      <c r="I727" s="56"/>
      <c r="J727" s="56"/>
      <c r="K727" s="56"/>
      <c r="L727" s="56"/>
    </row>
    <row r="728" spans="2:12" ht="15">
      <c r="B728" s="7"/>
      <c r="C728" s="56"/>
      <c r="D728" s="56"/>
      <c r="E728" s="56"/>
      <c r="F728" s="56"/>
      <c r="G728" s="56"/>
      <c r="H728" s="56"/>
      <c r="I728" s="56"/>
      <c r="J728" s="56"/>
      <c r="K728" s="56"/>
      <c r="L728" s="56"/>
    </row>
    <row r="729" spans="2:12" ht="15">
      <c r="B729" s="7"/>
      <c r="C729" s="56"/>
      <c r="D729" s="56"/>
      <c r="E729" s="56"/>
      <c r="F729" s="56"/>
      <c r="G729" s="56"/>
      <c r="H729" s="56"/>
      <c r="I729" s="56"/>
      <c r="J729" s="56"/>
      <c r="K729" s="56"/>
      <c r="L729" s="56"/>
    </row>
    <row r="730" spans="2:12" ht="15">
      <c r="B730" s="7"/>
      <c r="C730" s="56"/>
      <c r="D730" s="56"/>
      <c r="E730" s="56"/>
      <c r="F730" s="56"/>
      <c r="G730" s="56"/>
      <c r="H730" s="56"/>
      <c r="I730" s="56"/>
      <c r="J730" s="56"/>
      <c r="K730" s="56"/>
      <c r="L730" s="56"/>
    </row>
    <row r="731" spans="2:12" ht="15">
      <c r="B731" s="7"/>
      <c r="C731" s="56"/>
      <c r="D731" s="56"/>
      <c r="E731" s="56"/>
      <c r="F731" s="56"/>
      <c r="G731" s="56"/>
      <c r="H731" s="56"/>
      <c r="I731" s="56"/>
      <c r="J731" s="56"/>
      <c r="K731" s="56"/>
      <c r="L731" s="56"/>
    </row>
    <row r="732" spans="2:12" ht="15">
      <c r="B732" s="7"/>
      <c r="C732" s="56"/>
      <c r="D732" s="56"/>
      <c r="E732" s="56"/>
      <c r="F732" s="56"/>
      <c r="G732" s="56"/>
      <c r="H732" s="56"/>
      <c r="I732" s="56"/>
      <c r="J732" s="56"/>
      <c r="K732" s="56"/>
      <c r="L732" s="56"/>
    </row>
    <row r="733" spans="2:12" ht="15">
      <c r="B733" s="7"/>
      <c r="C733" s="56"/>
      <c r="D733" s="56"/>
      <c r="E733" s="56"/>
      <c r="F733" s="56"/>
      <c r="G733" s="56"/>
      <c r="H733" s="56"/>
      <c r="I733" s="56"/>
      <c r="J733" s="56"/>
      <c r="K733" s="56"/>
      <c r="L733" s="56"/>
    </row>
    <row r="734" spans="2:12" ht="15">
      <c r="B734" s="7"/>
      <c r="C734" s="56"/>
      <c r="D734" s="56"/>
      <c r="E734" s="56"/>
      <c r="F734" s="56"/>
      <c r="G734" s="56"/>
      <c r="H734" s="56"/>
      <c r="I734" s="56"/>
      <c r="J734" s="56"/>
      <c r="K734" s="56"/>
      <c r="L734" s="56"/>
    </row>
    <row r="735" spans="2:12" ht="15">
      <c r="B735" s="7"/>
      <c r="C735" s="56"/>
      <c r="D735" s="56"/>
      <c r="E735" s="56"/>
      <c r="F735" s="56"/>
      <c r="G735" s="56"/>
      <c r="H735" s="56"/>
      <c r="I735" s="56"/>
      <c r="J735" s="56"/>
      <c r="K735" s="56"/>
      <c r="L735" s="56"/>
    </row>
    <row r="736" spans="2:12" ht="15">
      <c r="B736" s="7"/>
      <c r="C736" s="56"/>
      <c r="D736" s="56"/>
      <c r="E736" s="56"/>
      <c r="F736" s="56"/>
      <c r="G736" s="56"/>
      <c r="H736" s="56"/>
      <c r="I736" s="56"/>
      <c r="J736" s="56"/>
      <c r="K736" s="56"/>
      <c r="L736" s="56"/>
    </row>
    <row r="737" spans="2:12" ht="15">
      <c r="B737" s="7"/>
      <c r="C737" s="56"/>
      <c r="D737" s="56"/>
      <c r="E737" s="56"/>
      <c r="F737" s="56"/>
      <c r="G737" s="56"/>
      <c r="H737" s="56"/>
      <c r="I737" s="56"/>
      <c r="J737" s="56"/>
      <c r="K737" s="56"/>
      <c r="L737" s="56"/>
    </row>
    <row r="738" spans="2:12" ht="15">
      <c r="B738" s="7"/>
      <c r="C738" s="56"/>
      <c r="D738" s="56"/>
      <c r="E738" s="56"/>
      <c r="F738" s="56"/>
      <c r="G738" s="56"/>
      <c r="H738" s="56"/>
      <c r="I738" s="56"/>
      <c r="J738" s="56"/>
      <c r="K738" s="56"/>
      <c r="L738" s="56"/>
    </row>
    <row r="739" spans="2:12" ht="15">
      <c r="B739" s="7"/>
      <c r="C739" s="56"/>
      <c r="D739" s="56"/>
      <c r="E739" s="56"/>
      <c r="F739" s="56"/>
      <c r="G739" s="56"/>
      <c r="H739" s="56"/>
      <c r="I739" s="56"/>
      <c r="J739" s="56"/>
      <c r="K739" s="56"/>
      <c r="L739" s="56"/>
    </row>
    <row r="740" spans="2:12" ht="15">
      <c r="B740" s="7"/>
      <c r="C740" s="56"/>
      <c r="D740" s="56"/>
      <c r="E740" s="56"/>
      <c r="F740" s="56"/>
      <c r="G740" s="56"/>
      <c r="H740" s="56"/>
      <c r="I740" s="56"/>
      <c r="J740" s="56"/>
      <c r="K740" s="56"/>
      <c r="L740" s="56"/>
    </row>
    <row r="741" spans="2:12" ht="15">
      <c r="B741" s="7"/>
      <c r="C741" s="56"/>
      <c r="D741" s="56"/>
      <c r="E741" s="56"/>
      <c r="F741" s="56"/>
      <c r="G741" s="56"/>
      <c r="H741" s="56"/>
      <c r="I741" s="56"/>
      <c r="J741" s="56"/>
      <c r="K741" s="56"/>
      <c r="L741" s="56"/>
    </row>
    <row r="742" spans="2:12" ht="15">
      <c r="B742" s="7"/>
      <c r="C742" s="56"/>
      <c r="D742" s="56"/>
      <c r="E742" s="56"/>
      <c r="F742" s="56"/>
      <c r="G742" s="56"/>
      <c r="H742" s="56"/>
      <c r="I742" s="56"/>
      <c r="J742" s="56"/>
      <c r="K742" s="56"/>
      <c r="L742" s="56"/>
    </row>
    <row r="743" spans="2:12" ht="15">
      <c r="B743" s="7"/>
      <c r="C743" s="56"/>
      <c r="D743" s="56"/>
      <c r="E743" s="56"/>
      <c r="F743" s="56"/>
      <c r="G743" s="56"/>
      <c r="H743" s="56"/>
      <c r="I743" s="56"/>
      <c r="J743" s="56"/>
      <c r="K743" s="56"/>
      <c r="L743" s="56"/>
    </row>
    <row r="744" spans="2:12" ht="15">
      <c r="B744" s="7"/>
      <c r="C744" s="56"/>
      <c r="D744" s="56"/>
      <c r="E744" s="56"/>
      <c r="F744" s="56"/>
      <c r="G744" s="56"/>
      <c r="H744" s="56"/>
      <c r="I744" s="56"/>
      <c r="J744" s="56"/>
      <c r="K744" s="56"/>
      <c r="L744" s="56"/>
    </row>
    <row r="745" spans="2:12" ht="15">
      <c r="B745" s="7"/>
      <c r="C745" s="56"/>
      <c r="D745" s="56"/>
      <c r="E745" s="56"/>
      <c r="F745" s="56"/>
      <c r="G745" s="56"/>
      <c r="H745" s="56"/>
      <c r="I745" s="56"/>
      <c r="J745" s="56"/>
      <c r="K745" s="56"/>
      <c r="L745" s="56"/>
    </row>
    <row r="746" spans="2:12" ht="15">
      <c r="B746" s="7"/>
      <c r="C746" s="56"/>
      <c r="D746" s="56"/>
      <c r="E746" s="56"/>
      <c r="F746" s="56"/>
      <c r="G746" s="56"/>
      <c r="H746" s="56"/>
      <c r="I746" s="56"/>
      <c r="J746" s="56"/>
      <c r="K746" s="56"/>
      <c r="L746" s="56"/>
    </row>
    <row r="747" spans="2:12" ht="15">
      <c r="B747" s="7"/>
      <c r="C747" s="56"/>
      <c r="D747" s="56"/>
      <c r="E747" s="56"/>
      <c r="F747" s="56"/>
      <c r="G747" s="56"/>
      <c r="H747" s="56"/>
      <c r="I747" s="56"/>
      <c r="J747" s="56"/>
      <c r="K747" s="56"/>
      <c r="L747" s="56"/>
    </row>
    <row r="748" spans="2:12" ht="15">
      <c r="B748" s="7"/>
      <c r="C748" s="56"/>
      <c r="D748" s="56"/>
      <c r="E748" s="56"/>
      <c r="F748" s="56"/>
      <c r="G748" s="56"/>
      <c r="H748" s="56"/>
      <c r="I748" s="56"/>
      <c r="J748" s="56"/>
      <c r="K748" s="56"/>
      <c r="L748" s="56"/>
    </row>
    <row r="749" spans="2:12" ht="15">
      <c r="B749" s="7"/>
      <c r="C749" s="56"/>
      <c r="D749" s="56"/>
      <c r="E749" s="56"/>
      <c r="F749" s="56"/>
      <c r="G749" s="56"/>
      <c r="H749" s="56"/>
      <c r="I749" s="56"/>
      <c r="J749" s="56"/>
      <c r="K749" s="56"/>
      <c r="L749" s="56"/>
    </row>
    <row r="750" spans="2:12" ht="15">
      <c r="B750" s="7"/>
      <c r="C750" s="56"/>
      <c r="D750" s="56"/>
      <c r="E750" s="56"/>
      <c r="F750" s="56"/>
      <c r="G750" s="56"/>
      <c r="H750" s="56"/>
      <c r="I750" s="56"/>
      <c r="J750" s="56"/>
      <c r="K750" s="56"/>
      <c r="L750" s="56"/>
    </row>
    <row r="751" spans="2:12" ht="15">
      <c r="B751" s="7"/>
      <c r="C751" s="56"/>
      <c r="D751" s="56"/>
      <c r="E751" s="56"/>
      <c r="F751" s="56"/>
      <c r="G751" s="56"/>
      <c r="H751" s="56"/>
      <c r="I751" s="56"/>
      <c r="J751" s="56"/>
      <c r="K751" s="56"/>
      <c r="L751" s="56"/>
    </row>
    <row r="752" spans="2:12" ht="15">
      <c r="B752" s="7"/>
      <c r="C752" s="56"/>
      <c r="D752" s="56"/>
      <c r="E752" s="56"/>
      <c r="F752" s="56"/>
      <c r="G752" s="56"/>
      <c r="H752" s="56"/>
      <c r="I752" s="56"/>
      <c r="J752" s="56"/>
      <c r="K752" s="56"/>
      <c r="L752" s="56"/>
    </row>
    <row r="753" spans="2:12" ht="15">
      <c r="B753" s="7"/>
      <c r="C753" s="56"/>
      <c r="D753" s="56"/>
      <c r="E753" s="56"/>
      <c r="F753" s="56"/>
      <c r="G753" s="56"/>
      <c r="H753" s="56"/>
      <c r="I753" s="56"/>
      <c r="J753" s="56"/>
      <c r="K753" s="56"/>
      <c r="L753" s="56"/>
    </row>
    <row r="754" spans="2:12" ht="15">
      <c r="B754" s="7"/>
      <c r="C754" s="56"/>
      <c r="D754" s="56"/>
      <c r="E754" s="56"/>
      <c r="F754" s="56"/>
      <c r="G754" s="56"/>
      <c r="H754" s="56"/>
      <c r="I754" s="56"/>
      <c r="J754" s="56"/>
      <c r="K754" s="56"/>
      <c r="L754" s="56"/>
    </row>
    <row r="755" spans="2:12" ht="15">
      <c r="B755" s="7"/>
      <c r="C755" s="56"/>
      <c r="D755" s="56"/>
      <c r="E755" s="56"/>
      <c r="F755" s="56"/>
      <c r="G755" s="56"/>
      <c r="H755" s="56"/>
      <c r="I755" s="56"/>
      <c r="J755" s="56"/>
      <c r="K755" s="56"/>
      <c r="L755" s="56"/>
    </row>
    <row r="756" spans="2:12" ht="15">
      <c r="B756" s="7"/>
      <c r="C756" s="56"/>
      <c r="D756" s="56"/>
      <c r="E756" s="56"/>
      <c r="F756" s="56"/>
      <c r="G756" s="56"/>
      <c r="H756" s="56"/>
      <c r="I756" s="56"/>
      <c r="J756" s="56"/>
      <c r="K756" s="56"/>
      <c r="L756" s="56"/>
    </row>
    <row r="757" spans="2:12" ht="15">
      <c r="B757" s="7"/>
      <c r="C757" s="56"/>
      <c r="D757" s="56"/>
      <c r="E757" s="56"/>
      <c r="F757" s="56"/>
      <c r="G757" s="56"/>
      <c r="H757" s="56"/>
      <c r="I757" s="56"/>
      <c r="J757" s="56"/>
      <c r="K757" s="56"/>
      <c r="L757" s="56"/>
    </row>
    <row r="758" spans="2:12" ht="15">
      <c r="B758" s="7"/>
      <c r="C758" s="56"/>
      <c r="D758" s="56"/>
      <c r="E758" s="56"/>
      <c r="F758" s="56"/>
      <c r="G758" s="56"/>
      <c r="H758" s="56"/>
      <c r="I758" s="56"/>
      <c r="J758" s="56"/>
      <c r="K758" s="56"/>
      <c r="L758" s="56"/>
    </row>
    <row r="759" spans="2:12" ht="15">
      <c r="B759" s="7"/>
      <c r="C759" s="56"/>
      <c r="D759" s="56"/>
      <c r="E759" s="56"/>
      <c r="F759" s="56"/>
      <c r="G759" s="56"/>
      <c r="H759" s="56"/>
      <c r="I759" s="56"/>
      <c r="J759" s="56"/>
      <c r="K759" s="56"/>
      <c r="L759" s="56"/>
    </row>
    <row r="760" spans="2:12" ht="15">
      <c r="B760" s="7"/>
      <c r="C760" s="56"/>
      <c r="D760" s="56"/>
      <c r="E760" s="56"/>
      <c r="F760" s="56"/>
      <c r="G760" s="56"/>
      <c r="H760" s="56"/>
      <c r="I760" s="56"/>
      <c r="J760" s="56"/>
      <c r="K760" s="56"/>
      <c r="L760" s="56"/>
    </row>
    <row r="761" spans="2:12" ht="15">
      <c r="B761" s="7"/>
      <c r="C761" s="56"/>
      <c r="D761" s="56"/>
      <c r="E761" s="56"/>
      <c r="F761" s="56"/>
      <c r="G761" s="56"/>
      <c r="H761" s="56"/>
      <c r="I761" s="56"/>
      <c r="J761" s="56"/>
      <c r="K761" s="56"/>
      <c r="L761" s="56"/>
    </row>
    <row r="762" spans="2:12" ht="15">
      <c r="B762" s="7"/>
      <c r="C762" s="56"/>
      <c r="D762" s="56"/>
      <c r="E762" s="56"/>
      <c r="F762" s="56"/>
      <c r="G762" s="56"/>
      <c r="H762" s="56"/>
      <c r="I762" s="56"/>
      <c r="J762" s="56"/>
      <c r="K762" s="56"/>
      <c r="L762" s="56"/>
    </row>
    <row r="763" spans="2:12" ht="15">
      <c r="B763" s="7"/>
      <c r="C763" s="56"/>
      <c r="D763" s="56"/>
      <c r="E763" s="56"/>
      <c r="F763" s="56"/>
      <c r="G763" s="56"/>
      <c r="H763" s="56"/>
      <c r="I763" s="56"/>
      <c r="J763" s="56"/>
      <c r="K763" s="56"/>
      <c r="L763" s="56"/>
    </row>
    <row r="764" spans="2:12" ht="15">
      <c r="B764" s="7"/>
      <c r="C764" s="56"/>
      <c r="D764" s="56"/>
      <c r="E764" s="56"/>
      <c r="F764" s="56"/>
      <c r="G764" s="56"/>
      <c r="H764" s="56"/>
      <c r="I764" s="56"/>
      <c r="J764" s="56"/>
      <c r="K764" s="56"/>
      <c r="L764" s="56"/>
    </row>
    <row r="765" spans="2:12" ht="15">
      <c r="B765" s="7"/>
      <c r="C765" s="56"/>
      <c r="D765" s="56"/>
      <c r="E765" s="56"/>
      <c r="F765" s="56"/>
      <c r="G765" s="56"/>
      <c r="H765" s="56"/>
      <c r="I765" s="56"/>
      <c r="J765" s="56"/>
      <c r="K765" s="56"/>
      <c r="L765" s="56"/>
    </row>
    <row r="766" spans="2:12" ht="15">
      <c r="B766" s="7"/>
      <c r="C766" s="56"/>
      <c r="D766" s="56"/>
      <c r="E766" s="56"/>
      <c r="F766" s="56"/>
      <c r="G766" s="56"/>
      <c r="H766" s="56"/>
      <c r="I766" s="56"/>
      <c r="J766" s="56"/>
      <c r="K766" s="56"/>
      <c r="L766" s="56"/>
    </row>
    <row r="767" spans="2:12" ht="15">
      <c r="B767" s="7"/>
      <c r="C767" s="56"/>
      <c r="D767" s="56"/>
      <c r="E767" s="56"/>
      <c r="F767" s="56"/>
      <c r="G767" s="56"/>
      <c r="H767" s="56"/>
      <c r="I767" s="56"/>
      <c r="J767" s="56"/>
      <c r="K767" s="56"/>
      <c r="L767" s="56"/>
    </row>
    <row r="768" spans="2:12" ht="15">
      <c r="B768" s="7"/>
      <c r="C768" s="56"/>
      <c r="D768" s="56"/>
      <c r="E768" s="56"/>
      <c r="F768" s="56"/>
      <c r="G768" s="56"/>
      <c r="H768" s="56"/>
      <c r="I768" s="56"/>
      <c r="J768" s="56"/>
      <c r="K768" s="56"/>
      <c r="L768" s="56"/>
    </row>
    <row r="769" spans="2:12" ht="15">
      <c r="B769" s="7"/>
      <c r="C769" s="56"/>
      <c r="D769" s="56"/>
      <c r="E769" s="56"/>
      <c r="F769" s="56"/>
      <c r="G769" s="56"/>
      <c r="H769" s="56"/>
      <c r="I769" s="56"/>
      <c r="J769" s="56"/>
      <c r="K769" s="56"/>
      <c r="L769" s="56"/>
    </row>
    <row r="770" spans="2:12" ht="15">
      <c r="B770" s="7"/>
      <c r="C770" s="56"/>
      <c r="D770" s="56"/>
      <c r="E770" s="56"/>
      <c r="F770" s="56"/>
      <c r="G770" s="56"/>
      <c r="H770" s="56"/>
      <c r="I770" s="56"/>
      <c r="J770" s="56"/>
      <c r="K770" s="56"/>
      <c r="L770" s="56"/>
    </row>
    <row r="771" spans="2:12" ht="15">
      <c r="B771" s="7"/>
      <c r="C771" s="56"/>
      <c r="D771" s="56"/>
      <c r="E771" s="56"/>
      <c r="F771" s="56"/>
      <c r="G771" s="56"/>
      <c r="H771" s="56"/>
      <c r="I771" s="56"/>
      <c r="J771" s="56"/>
      <c r="K771" s="56"/>
      <c r="L771" s="56"/>
    </row>
    <row r="772" spans="2:12" ht="15">
      <c r="B772" s="7"/>
      <c r="C772" s="56"/>
      <c r="D772" s="56"/>
      <c r="E772" s="56"/>
      <c r="F772" s="56"/>
      <c r="G772" s="56"/>
      <c r="H772" s="56"/>
      <c r="I772" s="56"/>
      <c r="J772" s="56"/>
      <c r="K772" s="56"/>
      <c r="L772" s="56"/>
    </row>
    <row r="773" spans="2:12" ht="15">
      <c r="B773" s="7"/>
      <c r="C773" s="56"/>
      <c r="D773" s="56"/>
      <c r="E773" s="56"/>
      <c r="F773" s="56"/>
      <c r="G773" s="56"/>
      <c r="H773" s="56"/>
      <c r="I773" s="56"/>
      <c r="J773" s="56"/>
      <c r="K773" s="56"/>
      <c r="L773" s="56"/>
    </row>
    <row r="774" spans="2:12" ht="15">
      <c r="B774" s="7"/>
      <c r="C774" s="56"/>
      <c r="D774" s="56"/>
      <c r="E774" s="56"/>
      <c r="F774" s="56"/>
      <c r="G774" s="56"/>
      <c r="H774" s="56"/>
      <c r="I774" s="56"/>
      <c r="J774" s="56"/>
      <c r="K774" s="56"/>
      <c r="L774" s="56"/>
    </row>
    <row r="775" spans="2:12" ht="15">
      <c r="B775" s="7"/>
      <c r="C775" s="56"/>
      <c r="D775" s="56"/>
      <c r="E775" s="56"/>
      <c r="F775" s="56"/>
      <c r="G775" s="56"/>
      <c r="H775" s="56"/>
      <c r="I775" s="56"/>
      <c r="J775" s="56"/>
      <c r="K775" s="56"/>
      <c r="L775" s="56"/>
    </row>
    <row r="776" spans="2:12" ht="15">
      <c r="B776" s="7"/>
      <c r="C776" s="56"/>
      <c r="D776" s="56"/>
      <c r="E776" s="56"/>
      <c r="F776" s="56"/>
      <c r="G776" s="56"/>
      <c r="H776" s="56"/>
      <c r="I776" s="56"/>
      <c r="J776" s="56"/>
      <c r="K776" s="56"/>
      <c r="L776" s="56"/>
    </row>
    <row r="777" spans="2:12" ht="15">
      <c r="B777" s="7"/>
      <c r="C777" s="56"/>
      <c r="D777" s="56"/>
      <c r="E777" s="56"/>
      <c r="F777" s="56"/>
      <c r="G777" s="56"/>
      <c r="H777" s="56"/>
      <c r="I777" s="56"/>
      <c r="J777" s="56"/>
      <c r="K777" s="56"/>
      <c r="L777" s="56"/>
    </row>
    <row r="778" spans="2:12" ht="15">
      <c r="B778" s="7"/>
      <c r="C778" s="56"/>
      <c r="D778" s="56"/>
      <c r="E778" s="56"/>
      <c r="F778" s="56"/>
      <c r="G778" s="56"/>
      <c r="H778" s="56"/>
      <c r="I778" s="56"/>
      <c r="J778" s="56"/>
      <c r="K778" s="56"/>
      <c r="L778" s="56"/>
    </row>
    <row r="779" spans="2:12" ht="15">
      <c r="B779" s="7"/>
      <c r="C779" s="56"/>
      <c r="D779" s="56"/>
      <c r="E779" s="56"/>
      <c r="F779" s="56"/>
      <c r="G779" s="56"/>
      <c r="H779" s="56"/>
      <c r="I779" s="56"/>
      <c r="J779" s="56"/>
      <c r="K779" s="56"/>
      <c r="L779" s="56"/>
    </row>
    <row r="780" spans="2:12" ht="15">
      <c r="B780" s="7"/>
      <c r="C780" s="56"/>
      <c r="D780" s="56"/>
      <c r="E780" s="56"/>
      <c r="F780" s="56"/>
      <c r="G780" s="56"/>
      <c r="H780" s="56"/>
      <c r="I780" s="56"/>
      <c r="J780" s="56"/>
      <c r="K780" s="56"/>
      <c r="L780" s="56"/>
    </row>
    <row r="781" spans="2:12" ht="15">
      <c r="B781" s="7"/>
      <c r="C781" s="56"/>
      <c r="D781" s="56"/>
      <c r="E781" s="56"/>
      <c r="F781" s="56"/>
      <c r="G781" s="56"/>
      <c r="H781" s="56"/>
      <c r="I781" s="56"/>
      <c r="J781" s="56"/>
      <c r="K781" s="56"/>
      <c r="L781" s="56"/>
    </row>
    <row r="782" spans="2:12" ht="15">
      <c r="B782" s="7"/>
      <c r="C782" s="56"/>
      <c r="D782" s="56"/>
      <c r="E782" s="56"/>
      <c r="F782" s="56"/>
      <c r="G782" s="56"/>
      <c r="H782" s="56"/>
      <c r="I782" s="56"/>
      <c r="J782" s="56"/>
      <c r="K782" s="56"/>
      <c r="L782" s="56"/>
    </row>
    <row r="783" spans="2:12" ht="15">
      <c r="B783" s="7"/>
      <c r="C783" s="56"/>
      <c r="D783" s="56"/>
      <c r="E783" s="56"/>
      <c r="F783" s="56"/>
      <c r="G783" s="56"/>
      <c r="H783" s="56"/>
      <c r="I783" s="56"/>
      <c r="J783" s="56"/>
      <c r="K783" s="56"/>
      <c r="L783" s="56"/>
    </row>
    <row r="784" spans="2:12" ht="15">
      <c r="B784" s="7"/>
      <c r="C784" s="56"/>
      <c r="D784" s="56"/>
      <c r="E784" s="56"/>
      <c r="F784" s="56"/>
      <c r="G784" s="56"/>
      <c r="H784" s="56"/>
      <c r="I784" s="56"/>
      <c r="J784" s="56"/>
      <c r="K784" s="56"/>
      <c r="L784" s="56"/>
    </row>
    <row r="785" spans="2:12" ht="15">
      <c r="B785" s="7"/>
      <c r="C785" s="56"/>
      <c r="D785" s="56"/>
      <c r="E785" s="56"/>
      <c r="F785" s="56"/>
      <c r="G785" s="56"/>
      <c r="H785" s="56"/>
      <c r="I785" s="56"/>
      <c r="J785" s="56"/>
      <c r="K785" s="56"/>
      <c r="L785" s="56"/>
    </row>
    <row r="786" spans="2:12" ht="15">
      <c r="B786" s="7"/>
      <c r="C786" s="56"/>
      <c r="D786" s="56"/>
      <c r="E786" s="56"/>
      <c r="F786" s="56"/>
      <c r="G786" s="56"/>
      <c r="H786" s="56"/>
      <c r="I786" s="56"/>
      <c r="J786" s="56"/>
      <c r="K786" s="56"/>
      <c r="L786" s="56"/>
    </row>
    <row r="787" spans="2:12" ht="15">
      <c r="B787" s="7"/>
      <c r="C787" s="56"/>
      <c r="D787" s="56"/>
      <c r="E787" s="56"/>
      <c r="F787" s="56"/>
      <c r="G787" s="56"/>
      <c r="H787" s="56"/>
      <c r="I787" s="56"/>
      <c r="J787" s="56"/>
      <c r="K787" s="56"/>
      <c r="L787" s="56"/>
    </row>
    <row r="788" spans="2:12" ht="15">
      <c r="B788" s="7"/>
      <c r="C788" s="56"/>
      <c r="D788" s="56"/>
      <c r="E788" s="56"/>
      <c r="F788" s="56"/>
      <c r="G788" s="56"/>
      <c r="H788" s="56"/>
      <c r="I788" s="56"/>
      <c r="J788" s="56"/>
      <c r="K788" s="56"/>
      <c r="L788" s="56"/>
    </row>
    <row r="789" spans="2:12" ht="15">
      <c r="B789" s="7"/>
      <c r="C789" s="56"/>
      <c r="D789" s="56"/>
      <c r="E789" s="56"/>
      <c r="F789" s="56"/>
      <c r="G789" s="56"/>
      <c r="H789" s="56"/>
      <c r="I789" s="56"/>
      <c r="J789" s="56"/>
      <c r="K789" s="56"/>
      <c r="L789" s="56"/>
    </row>
    <row r="790" spans="2:12" ht="15">
      <c r="B790" s="7"/>
      <c r="C790" s="56"/>
      <c r="D790" s="56"/>
      <c r="E790" s="56"/>
      <c r="F790" s="56"/>
      <c r="G790" s="56"/>
      <c r="H790" s="56"/>
      <c r="I790" s="56"/>
      <c r="J790" s="56"/>
      <c r="K790" s="56"/>
      <c r="L790" s="56"/>
    </row>
    <row r="791" spans="2:12" ht="15">
      <c r="B791" s="7"/>
      <c r="C791" s="56"/>
      <c r="D791" s="56"/>
      <c r="E791" s="56"/>
      <c r="F791" s="56"/>
      <c r="G791" s="56"/>
      <c r="H791" s="56"/>
      <c r="I791" s="56"/>
      <c r="J791" s="56"/>
      <c r="K791" s="56"/>
      <c r="L791" s="56"/>
    </row>
    <row r="792" spans="2:12" ht="15">
      <c r="B792" s="7"/>
      <c r="C792" s="56"/>
      <c r="D792" s="56"/>
      <c r="E792" s="56"/>
      <c r="F792" s="56"/>
      <c r="G792" s="56"/>
      <c r="H792" s="56"/>
      <c r="I792" s="56"/>
      <c r="J792" s="56"/>
      <c r="K792" s="56"/>
      <c r="L792" s="56"/>
    </row>
    <row r="793" spans="2:12" ht="15">
      <c r="B793" s="7"/>
      <c r="C793" s="56"/>
      <c r="D793" s="56"/>
      <c r="E793" s="56"/>
      <c r="F793" s="56"/>
      <c r="G793" s="56"/>
      <c r="H793" s="56"/>
      <c r="I793" s="56"/>
      <c r="J793" s="56"/>
      <c r="K793" s="56"/>
      <c r="L793" s="56"/>
    </row>
    <row r="794" spans="2:12" ht="15">
      <c r="B794" s="7"/>
      <c r="C794" s="56"/>
      <c r="D794" s="56"/>
      <c r="E794" s="56"/>
      <c r="F794" s="56"/>
      <c r="G794" s="56"/>
      <c r="H794" s="56"/>
      <c r="I794" s="56"/>
      <c r="J794" s="56"/>
      <c r="K794" s="56"/>
      <c r="L794" s="56"/>
    </row>
    <row r="795" spans="2:12" ht="15">
      <c r="B795" s="7"/>
      <c r="C795" s="56"/>
      <c r="D795" s="56"/>
      <c r="E795" s="56"/>
      <c r="F795" s="56"/>
      <c r="G795" s="56"/>
      <c r="H795" s="56"/>
      <c r="I795" s="56"/>
      <c r="J795" s="56"/>
      <c r="K795" s="56"/>
      <c r="L795" s="56"/>
    </row>
    <row r="796" spans="2:12" ht="15">
      <c r="B796" s="7"/>
      <c r="C796" s="56"/>
      <c r="D796" s="56"/>
      <c r="E796" s="56"/>
      <c r="F796" s="56"/>
      <c r="G796" s="56"/>
      <c r="H796" s="56"/>
      <c r="I796" s="56"/>
      <c r="J796" s="56"/>
      <c r="K796" s="56"/>
      <c r="L796" s="56"/>
    </row>
    <row r="797" spans="2:12" ht="15">
      <c r="B797" s="7"/>
      <c r="C797" s="56"/>
      <c r="D797" s="56"/>
      <c r="E797" s="56"/>
      <c r="F797" s="56"/>
      <c r="G797" s="56"/>
      <c r="H797" s="56"/>
      <c r="I797" s="56"/>
      <c r="J797" s="56"/>
      <c r="K797" s="56"/>
      <c r="L797" s="56"/>
    </row>
    <row r="798" spans="2:12" ht="15">
      <c r="B798" s="7"/>
      <c r="C798" s="56"/>
      <c r="D798" s="56"/>
      <c r="E798" s="56"/>
      <c r="F798" s="56"/>
      <c r="G798" s="56"/>
      <c r="H798" s="56"/>
      <c r="I798" s="56"/>
      <c r="J798" s="56"/>
      <c r="K798" s="56"/>
      <c r="L798" s="56"/>
    </row>
    <row r="799" spans="2:12" ht="15">
      <c r="B799" s="7"/>
      <c r="C799" s="56"/>
      <c r="D799" s="56"/>
      <c r="E799" s="56"/>
      <c r="F799" s="56"/>
      <c r="G799" s="56"/>
      <c r="H799" s="56"/>
      <c r="I799" s="56"/>
      <c r="J799" s="56"/>
      <c r="K799" s="56"/>
      <c r="L799" s="56"/>
    </row>
    <row r="800" spans="2:12" ht="15">
      <c r="B800" s="7"/>
      <c r="C800" s="56"/>
      <c r="D800" s="56"/>
      <c r="E800" s="56"/>
      <c r="F800" s="56"/>
      <c r="G800" s="56"/>
      <c r="H800" s="56"/>
      <c r="I800" s="56"/>
      <c r="J800" s="56"/>
      <c r="K800" s="56"/>
      <c r="L800" s="56"/>
    </row>
    <row r="801" spans="2:12" ht="15">
      <c r="B801" s="7"/>
      <c r="C801" s="56"/>
      <c r="D801" s="56"/>
      <c r="E801" s="56"/>
      <c r="F801" s="56"/>
      <c r="G801" s="56"/>
      <c r="H801" s="56"/>
      <c r="I801" s="56"/>
      <c r="J801" s="56"/>
      <c r="K801" s="56"/>
      <c r="L801" s="56"/>
    </row>
    <row r="802" spans="2:12" ht="15">
      <c r="B802" s="7"/>
      <c r="C802" s="56"/>
      <c r="D802" s="56"/>
      <c r="E802" s="56"/>
      <c r="F802" s="56"/>
      <c r="G802" s="56"/>
      <c r="H802" s="56"/>
      <c r="I802" s="56"/>
      <c r="J802" s="56"/>
      <c r="K802" s="56"/>
      <c r="L802" s="56"/>
    </row>
    <row r="803" spans="2:12" ht="15">
      <c r="B803" s="7"/>
      <c r="C803" s="56"/>
      <c r="D803" s="56"/>
      <c r="E803" s="56"/>
      <c r="F803" s="56"/>
      <c r="G803" s="56"/>
      <c r="H803" s="56"/>
      <c r="I803" s="56"/>
      <c r="J803" s="56"/>
      <c r="K803" s="56"/>
      <c r="L803" s="56"/>
    </row>
    <row r="804" spans="2:12" ht="15">
      <c r="B804" s="7"/>
      <c r="C804" s="56"/>
      <c r="D804" s="56"/>
      <c r="E804" s="56"/>
      <c r="F804" s="56"/>
      <c r="G804" s="56"/>
      <c r="H804" s="56"/>
      <c r="I804" s="56"/>
      <c r="J804" s="56"/>
      <c r="K804" s="56"/>
      <c r="L804" s="56"/>
    </row>
    <row r="805" spans="2:12" ht="15">
      <c r="B805" s="7"/>
      <c r="C805" s="56"/>
      <c r="D805" s="56"/>
      <c r="E805" s="56"/>
      <c r="F805" s="56"/>
      <c r="G805" s="56"/>
      <c r="H805" s="56"/>
      <c r="I805" s="56"/>
      <c r="J805" s="56"/>
      <c r="K805" s="56"/>
      <c r="L805" s="56"/>
    </row>
    <row r="806" spans="2:12" ht="15">
      <c r="B806" s="7"/>
      <c r="C806" s="56"/>
      <c r="D806" s="56"/>
      <c r="E806" s="56"/>
      <c r="F806" s="56"/>
      <c r="G806" s="56"/>
      <c r="H806" s="56"/>
      <c r="I806" s="56"/>
      <c r="J806" s="56"/>
      <c r="K806" s="56"/>
      <c r="L806" s="56"/>
    </row>
    <row r="807" spans="2:12" ht="15">
      <c r="B807" s="7"/>
      <c r="C807" s="56"/>
      <c r="D807" s="56"/>
      <c r="E807" s="56"/>
      <c r="F807" s="56"/>
      <c r="G807" s="56"/>
      <c r="H807" s="56"/>
      <c r="I807" s="56"/>
      <c r="J807" s="56"/>
      <c r="K807" s="56"/>
      <c r="L807" s="56"/>
    </row>
    <row r="808" spans="2:12" ht="15">
      <c r="B808" s="7"/>
      <c r="C808" s="56"/>
      <c r="D808" s="56"/>
      <c r="E808" s="56"/>
      <c r="F808" s="56"/>
      <c r="G808" s="56"/>
      <c r="H808" s="56"/>
      <c r="I808" s="56"/>
      <c r="J808" s="56"/>
      <c r="K808" s="56"/>
      <c r="L808" s="56"/>
    </row>
    <row r="809" spans="2:12" ht="15">
      <c r="B809" s="7"/>
      <c r="C809" s="56"/>
      <c r="D809" s="56"/>
      <c r="E809" s="56"/>
      <c r="F809" s="56"/>
      <c r="G809" s="56"/>
      <c r="H809" s="56"/>
      <c r="I809" s="56"/>
      <c r="J809" s="56"/>
      <c r="K809" s="56"/>
      <c r="L809" s="56"/>
    </row>
    <row r="810" spans="2:12" ht="15">
      <c r="B810" s="7"/>
      <c r="C810" s="56"/>
      <c r="D810" s="56"/>
      <c r="E810" s="56"/>
      <c r="F810" s="56"/>
      <c r="G810" s="56"/>
      <c r="H810" s="56"/>
      <c r="I810" s="56"/>
      <c r="J810" s="56"/>
      <c r="K810" s="56"/>
      <c r="L810" s="56"/>
    </row>
    <row r="811" spans="2:12" ht="15">
      <c r="B811" s="7"/>
      <c r="C811" s="56"/>
      <c r="D811" s="56"/>
      <c r="E811" s="56"/>
      <c r="F811" s="56"/>
      <c r="G811" s="56"/>
      <c r="H811" s="56"/>
      <c r="I811" s="56"/>
      <c r="J811" s="56"/>
      <c r="K811" s="56"/>
      <c r="L811" s="56"/>
    </row>
    <row r="812" spans="2:12" ht="15">
      <c r="B812" s="7"/>
      <c r="C812" s="56"/>
      <c r="D812" s="56"/>
      <c r="E812" s="56"/>
      <c r="F812" s="56"/>
      <c r="G812" s="56"/>
      <c r="H812" s="56"/>
      <c r="I812" s="56"/>
      <c r="J812" s="56"/>
      <c r="K812" s="56"/>
      <c r="L812" s="56"/>
    </row>
    <row r="813" spans="2:12" ht="15">
      <c r="B813" s="7"/>
      <c r="C813" s="56"/>
      <c r="D813" s="56"/>
      <c r="E813" s="56"/>
      <c r="F813" s="56"/>
      <c r="G813" s="56"/>
      <c r="H813" s="56"/>
      <c r="I813" s="56"/>
      <c r="J813" s="56"/>
      <c r="K813" s="56"/>
      <c r="L813" s="56"/>
    </row>
    <row r="814" spans="2:12" ht="15">
      <c r="B814" s="7"/>
      <c r="C814" s="56"/>
      <c r="D814" s="56"/>
      <c r="E814" s="56"/>
      <c r="F814" s="56"/>
      <c r="G814" s="56"/>
      <c r="H814" s="56"/>
      <c r="I814" s="56"/>
      <c r="J814" s="56"/>
      <c r="K814" s="56"/>
      <c r="L814" s="56"/>
    </row>
    <row r="815" spans="2:12" ht="15">
      <c r="B815" s="7"/>
      <c r="C815" s="56"/>
      <c r="D815" s="56"/>
      <c r="E815" s="56"/>
      <c r="F815" s="56"/>
      <c r="G815" s="56"/>
      <c r="H815" s="56"/>
      <c r="I815" s="56"/>
      <c r="J815" s="56"/>
      <c r="K815" s="56"/>
      <c r="L815" s="56"/>
    </row>
    <row r="816" spans="2:12" ht="15">
      <c r="B816" s="7"/>
      <c r="C816" s="56"/>
      <c r="D816" s="56"/>
      <c r="E816" s="56"/>
      <c r="F816" s="56"/>
      <c r="G816" s="56"/>
      <c r="H816" s="56"/>
      <c r="I816" s="56"/>
      <c r="J816" s="56"/>
      <c r="K816" s="56"/>
      <c r="L816" s="56"/>
    </row>
    <row r="817" spans="2:12" ht="15">
      <c r="B817" s="7"/>
      <c r="C817" s="56"/>
      <c r="D817" s="56"/>
      <c r="E817" s="56"/>
      <c r="F817" s="56"/>
      <c r="G817" s="56"/>
      <c r="H817" s="56"/>
      <c r="I817" s="56"/>
      <c r="J817" s="56"/>
      <c r="K817" s="56"/>
      <c r="L817" s="56"/>
    </row>
    <row r="818" spans="2:12" ht="15">
      <c r="B818" s="7"/>
      <c r="C818" s="56"/>
      <c r="D818" s="56"/>
      <c r="E818" s="56"/>
      <c r="F818" s="56"/>
      <c r="G818" s="56"/>
      <c r="H818" s="56"/>
      <c r="I818" s="56"/>
      <c r="J818" s="56"/>
      <c r="K818" s="56"/>
      <c r="L818" s="56"/>
    </row>
    <row r="819" spans="2:12" ht="15">
      <c r="B819" s="7"/>
      <c r="C819" s="56"/>
      <c r="D819" s="56"/>
      <c r="E819" s="56"/>
      <c r="F819" s="56"/>
      <c r="G819" s="56"/>
      <c r="H819" s="56"/>
      <c r="I819" s="56"/>
      <c r="J819" s="56"/>
      <c r="K819" s="56"/>
      <c r="L819" s="56"/>
    </row>
    <row r="820" spans="2:12" ht="15">
      <c r="B820" s="7"/>
      <c r="C820" s="56"/>
      <c r="D820" s="56"/>
      <c r="E820" s="56"/>
      <c r="F820" s="56"/>
      <c r="G820" s="56"/>
      <c r="H820" s="56"/>
      <c r="I820" s="56"/>
      <c r="J820" s="56"/>
      <c r="K820" s="56"/>
      <c r="L820" s="56"/>
    </row>
    <row r="821" spans="2:12" ht="15">
      <c r="B821" s="7"/>
      <c r="C821" s="56"/>
      <c r="D821" s="56"/>
      <c r="E821" s="56"/>
      <c r="F821" s="56"/>
      <c r="G821" s="56"/>
      <c r="H821" s="56"/>
      <c r="I821" s="56"/>
      <c r="J821" s="56"/>
      <c r="K821" s="56"/>
      <c r="L821" s="56"/>
    </row>
    <row r="822" spans="2:12" ht="15">
      <c r="B822" s="7"/>
      <c r="C822" s="56"/>
      <c r="D822" s="56"/>
      <c r="E822" s="56"/>
      <c r="F822" s="56"/>
      <c r="G822" s="56"/>
      <c r="H822" s="56"/>
      <c r="I822" s="56"/>
      <c r="J822" s="56"/>
      <c r="K822" s="56"/>
      <c r="L822" s="56"/>
    </row>
    <row r="823" spans="2:12" ht="15">
      <c r="B823" s="7"/>
      <c r="C823" s="56"/>
      <c r="D823" s="56"/>
      <c r="E823" s="56"/>
      <c r="F823" s="56"/>
      <c r="G823" s="56"/>
      <c r="H823" s="56"/>
      <c r="I823" s="56"/>
      <c r="J823" s="56"/>
      <c r="K823" s="56"/>
      <c r="L823" s="56"/>
    </row>
    <row r="824" spans="2:12" ht="15">
      <c r="B824" s="7"/>
      <c r="C824" s="56"/>
      <c r="D824" s="56"/>
      <c r="E824" s="56"/>
      <c r="F824" s="56"/>
      <c r="G824" s="56"/>
      <c r="H824" s="56"/>
      <c r="I824" s="56"/>
      <c r="J824" s="56"/>
      <c r="K824" s="56"/>
      <c r="L824" s="56"/>
    </row>
    <row r="825" spans="2:12" ht="15">
      <c r="B825" s="7"/>
      <c r="C825" s="56"/>
      <c r="D825" s="56"/>
      <c r="E825" s="56"/>
      <c r="F825" s="56"/>
      <c r="G825" s="56"/>
      <c r="H825" s="56"/>
      <c r="I825" s="56"/>
      <c r="J825" s="56"/>
      <c r="K825" s="56"/>
      <c r="L825" s="56"/>
    </row>
    <row r="826" spans="2:12" ht="15">
      <c r="B826" s="7"/>
      <c r="C826" s="56"/>
      <c r="D826" s="56"/>
      <c r="E826" s="56"/>
      <c r="F826" s="56"/>
      <c r="G826" s="56"/>
      <c r="H826" s="56"/>
      <c r="I826" s="56"/>
      <c r="J826" s="56"/>
      <c r="K826" s="56"/>
      <c r="L826" s="56"/>
    </row>
    <row r="827" spans="2:12" ht="15">
      <c r="B827" s="7"/>
      <c r="C827" s="56"/>
      <c r="D827" s="56"/>
      <c r="E827" s="56"/>
      <c r="F827" s="56"/>
      <c r="G827" s="56"/>
      <c r="H827" s="56"/>
      <c r="I827" s="56"/>
      <c r="J827" s="56"/>
      <c r="K827" s="56"/>
      <c r="L827" s="56"/>
    </row>
    <row r="828" spans="2:12" ht="15">
      <c r="B828" s="7"/>
      <c r="C828" s="56"/>
      <c r="D828" s="56"/>
      <c r="E828" s="56"/>
      <c r="F828" s="56"/>
      <c r="G828" s="56"/>
      <c r="H828" s="56"/>
      <c r="I828" s="56"/>
      <c r="J828" s="56"/>
      <c r="K828" s="56"/>
      <c r="L828" s="56"/>
    </row>
    <row r="829" spans="2:12" ht="15">
      <c r="B829" s="7"/>
      <c r="C829" s="56"/>
      <c r="D829" s="56"/>
      <c r="E829" s="56"/>
      <c r="F829" s="56"/>
      <c r="G829" s="56"/>
      <c r="H829" s="56"/>
      <c r="I829" s="56"/>
      <c r="J829" s="56"/>
      <c r="K829" s="56"/>
      <c r="L829" s="56"/>
    </row>
    <row r="830" spans="2:12" ht="15">
      <c r="B830" s="7"/>
      <c r="C830" s="56"/>
      <c r="D830" s="56"/>
      <c r="E830" s="56"/>
      <c r="F830" s="56"/>
      <c r="G830" s="56"/>
      <c r="H830" s="56"/>
      <c r="I830" s="56"/>
      <c r="J830" s="56"/>
      <c r="K830" s="56"/>
      <c r="L830" s="56"/>
    </row>
    <row r="831" spans="2:12" ht="15">
      <c r="B831" s="7"/>
      <c r="C831" s="56"/>
      <c r="D831" s="56"/>
      <c r="E831" s="56"/>
      <c r="F831" s="56"/>
      <c r="G831" s="56"/>
      <c r="H831" s="56"/>
      <c r="I831" s="56"/>
      <c r="J831" s="56"/>
      <c r="K831" s="56"/>
      <c r="L831" s="56"/>
    </row>
    <row r="832" spans="2:12" ht="15">
      <c r="B832" s="7"/>
      <c r="C832" s="56"/>
      <c r="D832" s="56"/>
      <c r="E832" s="56"/>
      <c r="F832" s="56"/>
      <c r="G832" s="56"/>
      <c r="H832" s="56"/>
      <c r="I832" s="56"/>
      <c r="J832" s="56"/>
      <c r="K832" s="56"/>
      <c r="L832" s="56"/>
    </row>
    <row r="833" spans="2:12" ht="15">
      <c r="B833" s="7"/>
      <c r="C833" s="56"/>
      <c r="D833" s="56"/>
      <c r="E833" s="56"/>
      <c r="F833" s="56"/>
      <c r="G833" s="56"/>
      <c r="H833" s="56"/>
      <c r="I833" s="56"/>
      <c r="J833" s="56"/>
      <c r="K833" s="56"/>
      <c r="L833" s="56"/>
    </row>
    <row r="834" spans="2:12" ht="15">
      <c r="B834" s="7"/>
      <c r="C834" s="56"/>
      <c r="D834" s="56"/>
      <c r="E834" s="56"/>
      <c r="F834" s="56"/>
      <c r="G834" s="56"/>
      <c r="H834" s="56"/>
      <c r="I834" s="56"/>
      <c r="J834" s="56"/>
      <c r="K834" s="56"/>
      <c r="L834" s="56"/>
    </row>
    <row r="835" spans="2:12" ht="15">
      <c r="B835" s="7"/>
      <c r="C835" s="56"/>
      <c r="D835" s="56"/>
      <c r="E835" s="56"/>
      <c r="F835" s="56"/>
      <c r="G835" s="56"/>
      <c r="H835" s="56"/>
      <c r="I835" s="56"/>
      <c r="J835" s="56"/>
      <c r="K835" s="56"/>
      <c r="L835" s="56"/>
    </row>
    <row r="836" spans="2:12" ht="15">
      <c r="B836" s="7"/>
      <c r="C836" s="56"/>
      <c r="D836" s="56"/>
      <c r="E836" s="56"/>
      <c r="F836" s="56"/>
      <c r="G836" s="56"/>
      <c r="H836" s="56"/>
      <c r="I836" s="56"/>
      <c r="J836" s="56"/>
      <c r="K836" s="56"/>
      <c r="L836" s="56"/>
    </row>
    <row r="837" spans="2:12" ht="15">
      <c r="B837" s="7"/>
      <c r="C837" s="56"/>
      <c r="D837" s="56"/>
      <c r="E837" s="56"/>
      <c r="F837" s="56"/>
      <c r="G837" s="56"/>
      <c r="H837" s="56"/>
      <c r="I837" s="56"/>
      <c r="J837" s="56"/>
      <c r="K837" s="56"/>
      <c r="L837" s="56"/>
    </row>
    <row r="838" spans="2:12" ht="15">
      <c r="B838" s="7"/>
      <c r="C838" s="56"/>
      <c r="D838" s="56"/>
      <c r="E838" s="56"/>
      <c r="F838" s="56"/>
      <c r="G838" s="56"/>
      <c r="H838" s="56"/>
      <c r="I838" s="56"/>
      <c r="J838" s="56"/>
      <c r="K838" s="56"/>
      <c r="L838" s="56"/>
    </row>
    <row r="839" spans="2:12" ht="15">
      <c r="B839" s="7"/>
      <c r="C839" s="56"/>
      <c r="D839" s="56"/>
      <c r="E839" s="56"/>
      <c r="F839" s="56"/>
      <c r="G839" s="56"/>
      <c r="H839" s="56"/>
      <c r="I839" s="56"/>
      <c r="J839" s="56"/>
      <c r="K839" s="56"/>
      <c r="L839" s="56"/>
    </row>
    <row r="840" spans="2:12" ht="15">
      <c r="B840" s="7"/>
      <c r="C840" s="56"/>
      <c r="D840" s="56"/>
      <c r="E840" s="56"/>
      <c r="F840" s="56"/>
      <c r="G840" s="56"/>
      <c r="H840" s="56"/>
      <c r="I840" s="56"/>
      <c r="J840" s="56"/>
      <c r="K840" s="56"/>
      <c r="L840" s="56"/>
    </row>
    <row r="841" spans="2:12" ht="15">
      <c r="B841" s="7"/>
      <c r="C841" s="56"/>
      <c r="D841" s="56"/>
      <c r="E841" s="56"/>
      <c r="F841" s="56"/>
      <c r="G841" s="56"/>
      <c r="H841" s="56"/>
      <c r="I841" s="56"/>
      <c r="J841" s="56"/>
      <c r="K841" s="56"/>
      <c r="L841" s="56"/>
    </row>
    <row r="842" spans="2:12" ht="15">
      <c r="B842" s="7"/>
      <c r="C842" s="56"/>
      <c r="D842" s="56"/>
      <c r="E842" s="56"/>
      <c r="F842" s="56"/>
      <c r="G842" s="56"/>
      <c r="H842" s="56"/>
      <c r="I842" s="56"/>
      <c r="J842" s="56"/>
      <c r="K842" s="56"/>
      <c r="L842" s="56"/>
    </row>
    <row r="843" spans="2:12" ht="15">
      <c r="B843" s="7"/>
      <c r="C843" s="56"/>
      <c r="D843" s="56"/>
      <c r="E843" s="56"/>
      <c r="F843" s="56"/>
      <c r="G843" s="56"/>
      <c r="H843" s="56"/>
      <c r="I843" s="56"/>
      <c r="J843" s="56"/>
      <c r="K843" s="56"/>
      <c r="L843" s="56"/>
    </row>
    <row r="844" spans="2:12" ht="15">
      <c r="B844" s="7"/>
      <c r="C844" s="56"/>
      <c r="D844" s="56"/>
      <c r="E844" s="56"/>
      <c r="F844" s="56"/>
      <c r="G844" s="56"/>
      <c r="H844" s="56"/>
      <c r="I844" s="56"/>
      <c r="J844" s="56"/>
      <c r="K844" s="56"/>
      <c r="L844" s="56"/>
    </row>
    <row r="845" spans="2:12" ht="15">
      <c r="B845" s="7"/>
      <c r="C845" s="56"/>
      <c r="D845" s="56"/>
      <c r="E845" s="56"/>
      <c r="F845" s="56"/>
      <c r="G845" s="56"/>
      <c r="H845" s="56"/>
      <c r="I845" s="56"/>
      <c r="J845" s="56"/>
      <c r="K845" s="56"/>
      <c r="L845" s="56"/>
    </row>
    <row r="846" spans="2:12" ht="15">
      <c r="B846" s="7"/>
      <c r="C846" s="56"/>
      <c r="D846" s="56"/>
      <c r="E846" s="56"/>
      <c r="F846" s="56"/>
      <c r="G846" s="56"/>
      <c r="H846" s="56"/>
      <c r="I846" s="56"/>
      <c r="J846" s="56"/>
      <c r="K846" s="56"/>
      <c r="L846" s="56"/>
    </row>
    <row r="847" spans="2:12" ht="15">
      <c r="B847" s="7"/>
      <c r="C847" s="56"/>
      <c r="D847" s="56"/>
      <c r="E847" s="56"/>
      <c r="F847" s="56"/>
      <c r="G847" s="56"/>
      <c r="H847" s="56"/>
      <c r="I847" s="56"/>
      <c r="J847" s="56"/>
      <c r="K847" s="56"/>
      <c r="L847" s="56"/>
    </row>
    <row r="848" spans="2:12" ht="15">
      <c r="B848" s="7"/>
      <c r="C848" s="56"/>
      <c r="D848" s="56"/>
      <c r="E848" s="56"/>
      <c r="F848" s="56"/>
      <c r="G848" s="56"/>
      <c r="H848" s="56"/>
      <c r="I848" s="56"/>
      <c r="J848" s="56"/>
      <c r="K848" s="56"/>
      <c r="L848" s="56"/>
    </row>
    <row r="849" spans="2:12" ht="15">
      <c r="B849" s="7"/>
      <c r="C849" s="56"/>
      <c r="D849" s="56"/>
      <c r="E849" s="56"/>
      <c r="F849" s="56"/>
      <c r="G849" s="56"/>
      <c r="H849" s="56"/>
      <c r="I849" s="56"/>
      <c r="J849" s="56"/>
      <c r="K849" s="56"/>
      <c r="L849" s="56"/>
    </row>
    <row r="850" spans="2:12" ht="15">
      <c r="B850" s="7"/>
      <c r="C850" s="56"/>
      <c r="D850" s="56"/>
      <c r="E850" s="56"/>
      <c r="F850" s="56"/>
      <c r="G850" s="56"/>
      <c r="H850" s="56"/>
      <c r="I850" s="56"/>
      <c r="J850" s="56"/>
      <c r="K850" s="56"/>
      <c r="L850" s="56"/>
    </row>
    <row r="851" spans="2:12" ht="15">
      <c r="B851" s="7"/>
      <c r="C851" s="56"/>
      <c r="D851" s="56"/>
      <c r="E851" s="56"/>
      <c r="F851" s="56"/>
      <c r="G851" s="56"/>
      <c r="H851" s="56"/>
      <c r="I851" s="56"/>
      <c r="J851" s="56"/>
      <c r="K851" s="56"/>
      <c r="L851" s="56"/>
    </row>
    <row r="852" spans="2:12" ht="15">
      <c r="B852" s="7"/>
      <c r="C852" s="56"/>
      <c r="D852" s="56"/>
      <c r="E852" s="56"/>
      <c r="F852" s="56"/>
      <c r="G852" s="56"/>
      <c r="H852" s="56"/>
      <c r="I852" s="56"/>
      <c r="J852" s="56"/>
      <c r="K852" s="56"/>
      <c r="L852" s="56"/>
    </row>
    <row r="853" spans="2:12" ht="15">
      <c r="B853" s="7"/>
      <c r="C853" s="56"/>
      <c r="D853" s="56"/>
      <c r="E853" s="56"/>
      <c r="F853" s="56"/>
      <c r="G853" s="56"/>
      <c r="H853" s="56"/>
      <c r="I853" s="56"/>
      <c r="J853" s="56"/>
      <c r="K853" s="56"/>
      <c r="L853" s="56"/>
    </row>
    <row r="854" spans="2:12" ht="15">
      <c r="B854" s="7"/>
      <c r="C854" s="56"/>
      <c r="D854" s="56"/>
      <c r="E854" s="56"/>
      <c r="F854" s="56"/>
      <c r="G854" s="56"/>
      <c r="H854" s="56"/>
      <c r="I854" s="56"/>
      <c r="J854" s="56"/>
      <c r="K854" s="56"/>
      <c r="L854" s="56"/>
    </row>
    <row r="855" spans="2:12" ht="15">
      <c r="B855" s="7"/>
      <c r="C855" s="56"/>
      <c r="D855" s="56"/>
      <c r="E855" s="56"/>
      <c r="F855" s="56"/>
      <c r="G855" s="56"/>
      <c r="H855" s="56"/>
      <c r="I855" s="56"/>
      <c r="J855" s="56"/>
      <c r="K855" s="56"/>
      <c r="L855" s="56"/>
    </row>
    <row r="856" spans="2:12" ht="15">
      <c r="B856" s="7"/>
      <c r="C856" s="56"/>
      <c r="D856" s="56"/>
      <c r="E856" s="56"/>
      <c r="F856" s="56"/>
      <c r="G856" s="56"/>
      <c r="H856" s="56"/>
      <c r="I856" s="56"/>
      <c r="J856" s="56"/>
      <c r="K856" s="56"/>
      <c r="L856" s="56"/>
    </row>
    <row r="857" spans="2:12" ht="15">
      <c r="B857" s="7"/>
      <c r="C857" s="56"/>
      <c r="D857" s="56"/>
      <c r="E857" s="56"/>
      <c r="F857" s="56"/>
      <c r="G857" s="56"/>
      <c r="H857" s="56"/>
      <c r="I857" s="56"/>
      <c r="J857" s="56"/>
      <c r="K857" s="56"/>
      <c r="L857" s="56"/>
    </row>
    <row r="858" spans="2:12" ht="15">
      <c r="B858" s="7"/>
      <c r="C858" s="56"/>
      <c r="D858" s="56"/>
      <c r="E858" s="56"/>
      <c r="F858" s="56"/>
      <c r="G858" s="56"/>
      <c r="H858" s="56"/>
      <c r="I858" s="56"/>
      <c r="J858" s="56"/>
      <c r="K858" s="56"/>
      <c r="L858" s="56"/>
    </row>
    <row r="859" spans="2:12" ht="15">
      <c r="B859" s="7"/>
      <c r="C859" s="56"/>
      <c r="D859" s="56"/>
      <c r="E859" s="56"/>
      <c r="F859" s="56"/>
      <c r="G859" s="56"/>
      <c r="H859" s="56"/>
      <c r="I859" s="56"/>
      <c r="J859" s="56"/>
      <c r="K859" s="56"/>
      <c r="L859" s="56"/>
    </row>
    <row r="860" spans="2:12" ht="15">
      <c r="B860" s="7"/>
      <c r="C860" s="56"/>
      <c r="D860" s="56"/>
      <c r="E860" s="56"/>
      <c r="F860" s="56"/>
      <c r="G860" s="56"/>
      <c r="H860" s="56"/>
      <c r="I860" s="56"/>
      <c r="J860" s="56"/>
      <c r="K860" s="56"/>
      <c r="L860" s="56"/>
    </row>
    <row r="861" spans="2:12" ht="15">
      <c r="B861" s="7"/>
      <c r="C861" s="56"/>
      <c r="D861" s="56"/>
      <c r="E861" s="56"/>
      <c r="F861" s="56"/>
      <c r="G861" s="56"/>
      <c r="H861" s="56"/>
      <c r="I861" s="56"/>
      <c r="J861" s="56"/>
      <c r="K861" s="56"/>
      <c r="L861" s="56"/>
    </row>
    <row r="862" spans="2:12" ht="15">
      <c r="B862" s="7"/>
      <c r="C862" s="56"/>
      <c r="D862" s="56"/>
      <c r="E862" s="56"/>
      <c r="F862" s="56"/>
      <c r="G862" s="56"/>
      <c r="H862" s="56"/>
      <c r="I862" s="56"/>
      <c r="J862" s="56"/>
      <c r="K862" s="56"/>
      <c r="L862" s="56"/>
    </row>
    <row r="863" spans="2:12" ht="15">
      <c r="B863" s="7"/>
      <c r="C863" s="56"/>
      <c r="D863" s="56"/>
      <c r="E863" s="56"/>
      <c r="F863" s="56"/>
      <c r="G863" s="56"/>
      <c r="H863" s="56"/>
      <c r="I863" s="56"/>
      <c r="J863" s="56"/>
      <c r="K863" s="56"/>
      <c r="L863" s="56"/>
    </row>
    <row r="864" spans="2:12" ht="15">
      <c r="B864" s="7"/>
      <c r="C864" s="56"/>
      <c r="D864" s="56"/>
      <c r="E864" s="56"/>
      <c r="F864" s="56"/>
      <c r="G864" s="56"/>
      <c r="H864" s="56"/>
      <c r="I864" s="56"/>
      <c r="J864" s="56"/>
      <c r="K864" s="56"/>
      <c r="L864" s="56"/>
    </row>
    <row r="865" spans="2:12" ht="15">
      <c r="B865" s="7"/>
      <c r="C865" s="56"/>
      <c r="D865" s="56"/>
      <c r="E865" s="56"/>
      <c r="F865" s="56"/>
      <c r="G865" s="56"/>
      <c r="H865" s="56"/>
      <c r="I865" s="56"/>
      <c r="J865" s="56"/>
      <c r="K865" s="56"/>
      <c r="L865" s="56"/>
    </row>
    <row r="866" spans="2:12" ht="15">
      <c r="B866" s="7"/>
      <c r="C866" s="56"/>
      <c r="D866" s="56"/>
      <c r="E866" s="56"/>
      <c r="F866" s="56"/>
      <c r="G866" s="56"/>
      <c r="H866" s="56"/>
      <c r="I866" s="56"/>
      <c r="J866" s="56"/>
      <c r="K866" s="56"/>
      <c r="L866" s="56"/>
    </row>
    <row r="867" spans="2:12" ht="15">
      <c r="B867" s="7"/>
      <c r="C867" s="56"/>
      <c r="D867" s="56"/>
      <c r="E867" s="56"/>
      <c r="F867" s="56"/>
      <c r="G867" s="56"/>
      <c r="H867" s="56"/>
      <c r="I867" s="56"/>
      <c r="J867" s="56"/>
      <c r="K867" s="56"/>
      <c r="L867" s="56"/>
    </row>
    <row r="868" spans="2:12" ht="15">
      <c r="B868" s="7"/>
      <c r="C868" s="56"/>
      <c r="D868" s="56"/>
      <c r="E868" s="56"/>
      <c r="F868" s="56"/>
      <c r="G868" s="56"/>
      <c r="H868" s="56"/>
      <c r="I868" s="56"/>
      <c r="J868" s="56"/>
      <c r="K868" s="56"/>
      <c r="L868" s="56"/>
    </row>
    <row r="869" spans="2:12" ht="15">
      <c r="B869" s="7"/>
      <c r="C869" s="56"/>
      <c r="D869" s="56"/>
      <c r="E869" s="56"/>
      <c r="F869" s="56"/>
      <c r="G869" s="56"/>
      <c r="H869" s="56"/>
      <c r="I869" s="56"/>
      <c r="J869" s="56"/>
      <c r="K869" s="56"/>
      <c r="L869" s="56"/>
    </row>
    <row r="870" spans="2:12" ht="15">
      <c r="B870" s="7"/>
      <c r="C870" s="56"/>
      <c r="D870" s="56"/>
      <c r="E870" s="56"/>
      <c r="F870" s="56"/>
      <c r="G870" s="56"/>
      <c r="H870" s="56"/>
      <c r="I870" s="56"/>
      <c r="J870" s="56"/>
      <c r="K870" s="56"/>
      <c r="L870" s="56"/>
    </row>
    <row r="871" spans="2:12" ht="15">
      <c r="B871" s="7"/>
      <c r="C871" s="56"/>
      <c r="D871" s="56"/>
      <c r="E871" s="56"/>
      <c r="F871" s="56"/>
      <c r="G871" s="56"/>
      <c r="H871" s="56"/>
      <c r="I871" s="56"/>
      <c r="J871" s="56"/>
      <c r="K871" s="56"/>
      <c r="L871" s="56"/>
    </row>
    <row r="872" spans="2:12" ht="15">
      <c r="B872" s="7"/>
      <c r="C872" s="56"/>
      <c r="D872" s="56"/>
      <c r="E872" s="56"/>
      <c r="F872" s="56"/>
      <c r="G872" s="56"/>
      <c r="H872" s="56"/>
      <c r="I872" s="56"/>
      <c r="J872" s="56"/>
      <c r="K872" s="56"/>
      <c r="L872" s="56"/>
    </row>
    <row r="873" spans="2:12" ht="15">
      <c r="B873" s="7"/>
      <c r="C873" s="56"/>
      <c r="D873" s="56"/>
      <c r="E873" s="56"/>
      <c r="F873" s="56"/>
      <c r="G873" s="56"/>
      <c r="H873" s="56"/>
      <c r="I873" s="56"/>
      <c r="J873" s="56"/>
      <c r="K873" s="56"/>
      <c r="L873" s="56"/>
    </row>
    <row r="874" spans="2:12" ht="15">
      <c r="B874" s="7"/>
      <c r="C874" s="56"/>
      <c r="D874" s="56"/>
      <c r="E874" s="56"/>
      <c r="F874" s="56"/>
      <c r="G874" s="56"/>
      <c r="H874" s="56"/>
      <c r="I874" s="56"/>
      <c r="J874" s="56"/>
      <c r="K874" s="56"/>
      <c r="L874" s="56"/>
    </row>
    <row r="875" spans="2:12" ht="15">
      <c r="B875" s="7"/>
      <c r="C875" s="56"/>
      <c r="D875" s="56"/>
      <c r="E875" s="56"/>
      <c r="F875" s="56"/>
      <c r="G875" s="56"/>
      <c r="H875" s="56"/>
      <c r="I875" s="56"/>
      <c r="J875" s="56"/>
      <c r="K875" s="56"/>
      <c r="L875" s="56"/>
    </row>
    <row r="876" spans="2:12" ht="15">
      <c r="B876" s="7"/>
      <c r="C876" s="56"/>
      <c r="D876" s="56"/>
      <c r="E876" s="56"/>
      <c r="F876" s="56"/>
      <c r="G876" s="56"/>
      <c r="H876" s="56"/>
      <c r="I876" s="56"/>
      <c r="J876" s="56"/>
      <c r="K876" s="56"/>
      <c r="L876" s="56"/>
    </row>
    <row r="877" spans="2:12" ht="15">
      <c r="B877" s="7"/>
      <c r="C877" s="56"/>
      <c r="D877" s="56"/>
      <c r="E877" s="56"/>
      <c r="F877" s="56"/>
      <c r="G877" s="56"/>
      <c r="H877" s="56"/>
      <c r="I877" s="56"/>
      <c r="J877" s="56"/>
      <c r="K877" s="56"/>
      <c r="L877" s="56"/>
    </row>
    <row r="878" spans="2:12" ht="15">
      <c r="B878" s="7"/>
      <c r="C878" s="56"/>
      <c r="D878" s="56"/>
      <c r="E878" s="56"/>
      <c r="F878" s="56"/>
      <c r="G878" s="56"/>
      <c r="H878" s="56"/>
      <c r="I878" s="56"/>
      <c r="J878" s="56"/>
      <c r="K878" s="56"/>
      <c r="L878" s="56"/>
    </row>
    <row r="879" spans="2:12" ht="15">
      <c r="B879" s="7"/>
      <c r="C879" s="56"/>
      <c r="D879" s="56"/>
      <c r="E879" s="56"/>
      <c r="F879" s="56"/>
      <c r="G879" s="56"/>
      <c r="H879" s="56"/>
      <c r="I879" s="56"/>
      <c r="J879" s="56"/>
      <c r="K879" s="56"/>
      <c r="L879" s="56"/>
    </row>
    <row r="880" spans="2:12" ht="15">
      <c r="B880" s="7"/>
      <c r="C880" s="56"/>
      <c r="D880" s="56"/>
      <c r="E880" s="56"/>
      <c r="F880" s="56"/>
      <c r="G880" s="56"/>
      <c r="H880" s="56"/>
      <c r="I880" s="56"/>
      <c r="J880" s="56"/>
      <c r="K880" s="56"/>
      <c r="L880" s="56"/>
    </row>
    <row r="881" spans="2:12" ht="15">
      <c r="B881" s="7"/>
      <c r="C881" s="56"/>
      <c r="D881" s="56"/>
      <c r="E881" s="56"/>
      <c r="F881" s="56"/>
      <c r="G881" s="56"/>
      <c r="H881" s="56"/>
      <c r="I881" s="56"/>
      <c r="J881" s="56"/>
      <c r="K881" s="56"/>
      <c r="L881" s="56"/>
    </row>
    <row r="882" spans="2:12" ht="15">
      <c r="B882" s="7"/>
      <c r="C882" s="56"/>
      <c r="D882" s="56"/>
      <c r="E882" s="56"/>
      <c r="F882" s="56"/>
      <c r="G882" s="56"/>
      <c r="H882" s="56"/>
      <c r="I882" s="56"/>
      <c r="J882" s="56"/>
      <c r="K882" s="56"/>
      <c r="L882" s="56"/>
    </row>
    <row r="883" spans="2:12" ht="15">
      <c r="B883" s="7"/>
      <c r="C883" s="56"/>
      <c r="D883" s="56"/>
      <c r="E883" s="56"/>
      <c r="F883" s="56"/>
      <c r="G883" s="56"/>
      <c r="H883" s="56"/>
      <c r="I883" s="56"/>
      <c r="J883" s="56"/>
      <c r="K883" s="56"/>
      <c r="L883" s="56"/>
    </row>
    <row r="884" spans="2:12" ht="15">
      <c r="B884" s="7"/>
      <c r="C884" s="56"/>
      <c r="D884" s="56"/>
      <c r="E884" s="56"/>
      <c r="F884" s="56"/>
      <c r="G884" s="56"/>
      <c r="H884" s="56"/>
      <c r="I884" s="56"/>
      <c r="J884" s="56"/>
      <c r="K884" s="56"/>
      <c r="L884" s="56"/>
    </row>
    <row r="885" spans="2:12" ht="15">
      <c r="B885" s="7"/>
      <c r="C885" s="56"/>
      <c r="D885" s="56"/>
      <c r="E885" s="56"/>
      <c r="F885" s="56"/>
      <c r="G885" s="56"/>
      <c r="H885" s="56"/>
      <c r="I885" s="56"/>
      <c r="J885" s="56"/>
      <c r="K885" s="56"/>
      <c r="L885" s="56"/>
    </row>
    <row r="886" spans="2:12" ht="15">
      <c r="B886" s="7"/>
      <c r="C886" s="56"/>
      <c r="D886" s="56"/>
      <c r="E886" s="56"/>
      <c r="F886" s="56"/>
      <c r="G886" s="56"/>
      <c r="H886" s="56"/>
      <c r="I886" s="56"/>
      <c r="J886" s="56"/>
      <c r="K886" s="56"/>
      <c r="L886" s="56"/>
    </row>
    <row r="887" spans="2:12" ht="15">
      <c r="B887" s="7"/>
      <c r="C887" s="56"/>
      <c r="D887" s="56"/>
      <c r="E887" s="56"/>
      <c r="F887" s="56"/>
      <c r="G887" s="56"/>
      <c r="H887" s="56"/>
      <c r="I887" s="56"/>
      <c r="J887" s="56"/>
      <c r="K887" s="56"/>
      <c r="L887" s="56"/>
    </row>
    <row r="888" spans="2:12" ht="15">
      <c r="B888" s="7"/>
      <c r="C888" s="56"/>
      <c r="D888" s="56"/>
      <c r="E888" s="56"/>
      <c r="F888" s="56"/>
      <c r="G888" s="56"/>
      <c r="H888" s="56"/>
      <c r="I888" s="56"/>
      <c r="J888" s="56"/>
      <c r="K888" s="56"/>
      <c r="L888" s="56"/>
    </row>
    <row r="889" spans="2:12" ht="15">
      <c r="B889" s="7"/>
      <c r="C889" s="56"/>
      <c r="D889" s="56"/>
      <c r="E889" s="56"/>
      <c r="F889" s="56"/>
      <c r="G889" s="56"/>
      <c r="H889" s="56"/>
      <c r="I889" s="56"/>
      <c r="J889" s="56"/>
      <c r="K889" s="56"/>
      <c r="L889" s="56"/>
    </row>
    <row r="890" spans="2:12" ht="15">
      <c r="B890" s="7"/>
      <c r="C890" s="56"/>
      <c r="D890" s="56"/>
      <c r="E890" s="56"/>
      <c r="F890" s="56"/>
      <c r="G890" s="56"/>
      <c r="H890" s="56"/>
      <c r="I890" s="56"/>
      <c r="J890" s="56"/>
      <c r="K890" s="56"/>
      <c r="L890" s="56"/>
    </row>
    <row r="891" spans="2:12" ht="15">
      <c r="B891" s="7"/>
      <c r="C891" s="56"/>
      <c r="D891" s="56"/>
      <c r="E891" s="56"/>
      <c r="F891" s="56"/>
      <c r="G891" s="56"/>
      <c r="H891" s="56"/>
      <c r="I891" s="56"/>
      <c r="J891" s="56"/>
      <c r="K891" s="56"/>
      <c r="L891" s="56"/>
    </row>
    <row r="892" spans="2:12" ht="15">
      <c r="B892" s="7"/>
      <c r="C892" s="56"/>
      <c r="D892" s="56"/>
      <c r="E892" s="56"/>
      <c r="F892" s="56"/>
      <c r="G892" s="56"/>
      <c r="H892" s="56"/>
      <c r="I892" s="56"/>
      <c r="J892" s="56"/>
      <c r="K892" s="56"/>
      <c r="L892" s="56"/>
    </row>
    <row r="893" spans="2:12" ht="15">
      <c r="B893" s="7"/>
      <c r="C893" s="56"/>
      <c r="D893" s="56"/>
      <c r="E893" s="56"/>
      <c r="F893" s="56"/>
      <c r="G893" s="56"/>
      <c r="H893" s="56"/>
      <c r="I893" s="56"/>
      <c r="J893" s="56"/>
      <c r="K893" s="56"/>
      <c r="L893" s="56"/>
    </row>
    <row r="894" spans="2:12" ht="15">
      <c r="B894" s="7"/>
      <c r="C894" s="56"/>
      <c r="D894" s="56"/>
      <c r="E894" s="56"/>
      <c r="F894" s="56"/>
      <c r="G894" s="56"/>
      <c r="H894" s="56"/>
      <c r="I894" s="56"/>
      <c r="J894" s="56"/>
      <c r="K894" s="56"/>
      <c r="L894" s="56"/>
    </row>
    <row r="895" spans="2:12" ht="15">
      <c r="B895" s="7"/>
      <c r="C895" s="56"/>
      <c r="D895" s="56"/>
      <c r="E895" s="56"/>
      <c r="F895" s="56"/>
      <c r="G895" s="56"/>
      <c r="H895" s="56"/>
      <c r="I895" s="56"/>
      <c r="J895" s="56"/>
      <c r="K895" s="56"/>
      <c r="L895" s="56"/>
    </row>
    <row r="896" spans="2:12" ht="15">
      <c r="B896" s="7"/>
      <c r="C896" s="56"/>
      <c r="D896" s="56"/>
      <c r="E896" s="56"/>
      <c r="F896" s="56"/>
      <c r="G896" s="56"/>
      <c r="H896" s="56"/>
      <c r="I896" s="56"/>
      <c r="J896" s="56"/>
      <c r="K896" s="56"/>
      <c r="L896" s="56"/>
    </row>
    <row r="897" spans="2:12" ht="15">
      <c r="B897" s="7"/>
      <c r="C897" s="56"/>
      <c r="D897" s="56"/>
      <c r="E897" s="56"/>
      <c r="F897" s="56"/>
      <c r="G897" s="56"/>
      <c r="H897" s="56"/>
      <c r="I897" s="56"/>
      <c r="J897" s="56"/>
      <c r="K897" s="56"/>
      <c r="L897" s="56"/>
    </row>
    <row r="898" spans="2:12" ht="15">
      <c r="B898" s="7"/>
      <c r="C898" s="56"/>
      <c r="D898" s="56"/>
      <c r="E898" s="56"/>
      <c r="F898" s="56"/>
      <c r="G898" s="56"/>
      <c r="H898" s="56"/>
      <c r="I898" s="56"/>
      <c r="J898" s="56"/>
      <c r="K898" s="56"/>
      <c r="L898" s="56"/>
    </row>
    <row r="899" spans="2:12" ht="15">
      <c r="B899" s="7"/>
      <c r="C899" s="56"/>
      <c r="D899" s="56"/>
      <c r="E899" s="56"/>
      <c r="F899" s="56"/>
      <c r="G899" s="56"/>
      <c r="H899" s="56"/>
      <c r="I899" s="56"/>
      <c r="J899" s="56"/>
      <c r="K899" s="56"/>
      <c r="L899" s="56"/>
    </row>
    <row r="900" spans="2:12" ht="15">
      <c r="B900" s="7"/>
      <c r="C900" s="56"/>
      <c r="D900" s="56"/>
      <c r="E900" s="56"/>
      <c r="F900" s="56"/>
      <c r="G900" s="56"/>
      <c r="H900" s="56"/>
      <c r="I900" s="56"/>
      <c r="J900" s="56"/>
      <c r="K900" s="56"/>
      <c r="L900" s="56"/>
    </row>
    <row r="901" spans="2:12" ht="15">
      <c r="B901" s="7"/>
      <c r="C901" s="56"/>
      <c r="D901" s="56"/>
      <c r="E901" s="56"/>
      <c r="F901" s="56"/>
      <c r="G901" s="56"/>
      <c r="H901" s="56"/>
      <c r="I901" s="56"/>
      <c r="J901" s="56"/>
      <c r="K901" s="56"/>
      <c r="L901" s="56"/>
    </row>
    <row r="902" spans="2:12" ht="15">
      <c r="B902" s="7"/>
      <c r="C902" s="56"/>
      <c r="D902" s="56"/>
      <c r="E902" s="56"/>
      <c r="F902" s="56"/>
      <c r="G902" s="56"/>
      <c r="H902" s="56"/>
      <c r="I902" s="56"/>
      <c r="J902" s="56"/>
      <c r="K902" s="56"/>
      <c r="L902" s="56"/>
    </row>
    <row r="903" spans="2:12" ht="15">
      <c r="B903" s="7"/>
      <c r="C903" s="56"/>
      <c r="D903" s="56"/>
      <c r="E903" s="56"/>
      <c r="F903" s="56"/>
      <c r="G903" s="56"/>
      <c r="H903" s="56"/>
      <c r="I903" s="56"/>
      <c r="J903" s="56"/>
      <c r="K903" s="56"/>
      <c r="L903" s="56"/>
    </row>
    <row r="904" spans="2:12" ht="15">
      <c r="B904" s="7"/>
      <c r="C904" s="56"/>
      <c r="D904" s="56"/>
      <c r="E904" s="56"/>
      <c r="F904" s="56"/>
      <c r="G904" s="56"/>
      <c r="H904" s="56"/>
      <c r="I904" s="56"/>
      <c r="J904" s="56"/>
      <c r="K904" s="56"/>
      <c r="L904" s="56"/>
    </row>
    <row r="905" spans="2:12" ht="15">
      <c r="B905" s="7"/>
      <c r="C905" s="56"/>
      <c r="D905" s="56"/>
      <c r="E905" s="56"/>
      <c r="F905" s="56"/>
      <c r="G905" s="56"/>
      <c r="H905" s="56"/>
      <c r="I905" s="56"/>
      <c r="J905" s="56"/>
      <c r="K905" s="56"/>
      <c r="L905" s="56"/>
    </row>
    <row r="906" spans="2:12" ht="15">
      <c r="B906" s="7"/>
      <c r="C906" s="56"/>
      <c r="D906" s="56"/>
      <c r="E906" s="56"/>
      <c r="F906" s="56"/>
      <c r="G906" s="56"/>
      <c r="H906" s="56"/>
      <c r="I906" s="56"/>
      <c r="J906" s="56"/>
      <c r="K906" s="56"/>
      <c r="L906" s="56"/>
    </row>
    <row r="907" spans="2:12" ht="15">
      <c r="B907" s="7"/>
      <c r="C907" s="56"/>
      <c r="D907" s="56"/>
      <c r="E907" s="56"/>
      <c r="F907" s="56"/>
      <c r="G907" s="56"/>
      <c r="H907" s="56"/>
      <c r="I907" s="56"/>
      <c r="J907" s="56"/>
      <c r="K907" s="56"/>
      <c r="L907" s="56"/>
    </row>
    <row r="908" spans="2:12" ht="15">
      <c r="B908" s="7"/>
      <c r="C908" s="56"/>
      <c r="D908" s="56"/>
      <c r="E908" s="56"/>
      <c r="F908" s="56"/>
      <c r="G908" s="56"/>
      <c r="H908" s="56"/>
      <c r="I908" s="56"/>
      <c r="J908" s="56"/>
      <c r="K908" s="56"/>
      <c r="L908" s="56"/>
    </row>
    <row r="909" spans="2:12" ht="15">
      <c r="B909" s="7"/>
      <c r="C909" s="56"/>
      <c r="D909" s="56"/>
      <c r="E909" s="56"/>
      <c r="F909" s="56"/>
      <c r="G909" s="56"/>
      <c r="H909" s="56"/>
      <c r="I909" s="56"/>
      <c r="J909" s="56"/>
      <c r="K909" s="56"/>
      <c r="L909" s="56"/>
    </row>
    <row r="910" spans="2:12" ht="15">
      <c r="B910" s="7"/>
      <c r="C910" s="56"/>
      <c r="D910" s="56"/>
      <c r="E910" s="56"/>
      <c r="F910" s="56"/>
      <c r="G910" s="56"/>
      <c r="H910" s="56"/>
      <c r="I910" s="56"/>
      <c r="J910" s="56"/>
      <c r="K910" s="56"/>
      <c r="L910" s="56"/>
    </row>
    <row r="911" spans="2:12" ht="15">
      <c r="B911" s="7"/>
      <c r="C911" s="56"/>
      <c r="D911" s="56"/>
      <c r="E911" s="56"/>
      <c r="F911" s="56"/>
      <c r="G911" s="56"/>
      <c r="H911" s="56"/>
      <c r="I911" s="56"/>
      <c r="J911" s="56"/>
      <c r="K911" s="56"/>
      <c r="L911" s="56"/>
    </row>
    <row r="912" spans="2:12" ht="15">
      <c r="B912" s="7"/>
      <c r="C912" s="56"/>
      <c r="D912" s="56"/>
      <c r="E912" s="56"/>
      <c r="F912" s="56"/>
      <c r="G912" s="56"/>
      <c r="H912" s="56"/>
      <c r="I912" s="56"/>
      <c r="J912" s="56"/>
      <c r="K912" s="56"/>
      <c r="L912" s="56"/>
    </row>
    <row r="913" spans="2:12" ht="15">
      <c r="B913" s="7"/>
      <c r="C913" s="56"/>
      <c r="D913" s="56"/>
      <c r="E913" s="56"/>
      <c r="F913" s="56"/>
      <c r="G913" s="56"/>
      <c r="H913" s="56"/>
      <c r="I913" s="56"/>
      <c r="J913" s="56"/>
      <c r="K913" s="56"/>
      <c r="L913" s="56"/>
    </row>
    <row r="914" spans="2:12" ht="15">
      <c r="B914" s="7"/>
      <c r="C914" s="56"/>
      <c r="D914" s="56"/>
      <c r="E914" s="56"/>
      <c r="F914" s="56"/>
      <c r="G914" s="56"/>
      <c r="H914" s="56"/>
      <c r="I914" s="56"/>
      <c r="J914" s="56"/>
      <c r="K914" s="56"/>
      <c r="L914" s="56"/>
    </row>
    <row r="915" spans="2:12" ht="15">
      <c r="B915" s="7"/>
      <c r="C915" s="56"/>
      <c r="D915" s="56"/>
      <c r="E915" s="56"/>
      <c r="F915" s="56"/>
      <c r="G915" s="56"/>
      <c r="H915" s="56"/>
      <c r="I915" s="56"/>
      <c r="J915" s="56"/>
      <c r="K915" s="56"/>
      <c r="L915" s="56"/>
    </row>
    <row r="916" spans="2:12" ht="15">
      <c r="B916" s="7"/>
      <c r="C916" s="56"/>
      <c r="D916" s="56"/>
      <c r="E916" s="56"/>
      <c r="F916" s="56"/>
      <c r="G916" s="56"/>
      <c r="H916" s="56"/>
      <c r="I916" s="56"/>
      <c r="J916" s="56"/>
      <c r="K916" s="56"/>
      <c r="L916" s="56"/>
    </row>
    <row r="917" spans="2:12" ht="15">
      <c r="B917" s="7"/>
      <c r="C917" s="56"/>
      <c r="D917" s="56"/>
      <c r="E917" s="56"/>
      <c r="F917" s="56"/>
      <c r="G917" s="56"/>
      <c r="H917" s="56"/>
      <c r="I917" s="56"/>
      <c r="J917" s="56"/>
      <c r="K917" s="56"/>
      <c r="L917" s="56"/>
    </row>
    <row r="918" spans="2:12" ht="15">
      <c r="B918" s="7"/>
      <c r="C918" s="56"/>
      <c r="D918" s="56"/>
      <c r="E918" s="56"/>
      <c r="F918" s="56"/>
      <c r="G918" s="56"/>
      <c r="H918" s="56"/>
      <c r="I918" s="56"/>
      <c r="J918" s="56"/>
      <c r="K918" s="56"/>
      <c r="L918" s="56"/>
    </row>
    <row r="919" spans="2:12" ht="15">
      <c r="B919" s="7"/>
      <c r="C919" s="56"/>
      <c r="D919" s="56"/>
      <c r="E919" s="56"/>
      <c r="F919" s="56"/>
      <c r="G919" s="56"/>
      <c r="H919" s="56"/>
      <c r="I919" s="56"/>
      <c r="J919" s="56"/>
      <c r="K919" s="56"/>
      <c r="L919" s="56"/>
    </row>
    <row r="920" spans="2:12" ht="15">
      <c r="B920" s="7"/>
      <c r="C920" s="56"/>
      <c r="D920" s="56"/>
      <c r="E920" s="56"/>
      <c r="F920" s="56"/>
      <c r="G920" s="56"/>
      <c r="H920" s="56"/>
      <c r="I920" s="56"/>
      <c r="J920" s="56"/>
      <c r="K920" s="56"/>
      <c r="L920" s="56"/>
    </row>
    <row r="921" spans="2:12" ht="15">
      <c r="B921" s="7"/>
      <c r="C921" s="56"/>
      <c r="D921" s="56"/>
      <c r="E921" s="56"/>
      <c r="F921" s="56"/>
      <c r="G921" s="56"/>
      <c r="H921" s="56"/>
      <c r="I921" s="56"/>
      <c r="J921" s="56"/>
      <c r="K921" s="56"/>
      <c r="L921" s="56"/>
    </row>
    <row r="922" spans="2:12" ht="15">
      <c r="B922" s="7"/>
      <c r="C922" s="56"/>
      <c r="D922" s="56"/>
      <c r="E922" s="56"/>
      <c r="F922" s="56"/>
      <c r="G922" s="56"/>
      <c r="H922" s="56"/>
      <c r="I922" s="56"/>
      <c r="J922" s="56"/>
      <c r="K922" s="56"/>
      <c r="L922" s="56"/>
    </row>
    <row r="923" spans="2:12" ht="15">
      <c r="B923" s="7"/>
      <c r="C923" s="56"/>
      <c r="D923" s="56"/>
      <c r="E923" s="56"/>
      <c r="F923" s="56"/>
      <c r="G923" s="56"/>
      <c r="H923" s="56"/>
      <c r="I923" s="56"/>
      <c r="J923" s="56"/>
      <c r="K923" s="56"/>
      <c r="L923" s="56"/>
    </row>
    <row r="924" spans="2:12" ht="15">
      <c r="B924" s="7"/>
      <c r="C924" s="56"/>
      <c r="D924" s="56"/>
      <c r="E924" s="56"/>
      <c r="F924" s="56"/>
      <c r="G924" s="56"/>
      <c r="H924" s="56"/>
      <c r="I924" s="56"/>
      <c r="J924" s="56"/>
      <c r="K924" s="56"/>
      <c r="L924" s="56"/>
    </row>
    <row r="925" spans="2:12" ht="15">
      <c r="B925" s="7"/>
      <c r="C925" s="56"/>
      <c r="D925" s="56"/>
      <c r="E925" s="56"/>
      <c r="F925" s="56"/>
      <c r="G925" s="56"/>
      <c r="H925" s="56"/>
      <c r="I925" s="56"/>
      <c r="J925" s="56"/>
      <c r="K925" s="56"/>
      <c r="L925" s="56"/>
    </row>
    <row r="926" spans="2:12" ht="15">
      <c r="B926" s="7"/>
      <c r="C926" s="56"/>
      <c r="D926" s="56"/>
      <c r="E926" s="56"/>
      <c r="F926" s="56"/>
      <c r="G926" s="56"/>
      <c r="H926" s="56"/>
      <c r="I926" s="56"/>
      <c r="J926" s="56"/>
      <c r="K926" s="56"/>
      <c r="L926" s="56"/>
    </row>
    <row r="927" spans="2:12" ht="15">
      <c r="B927" s="7"/>
      <c r="C927" s="56"/>
      <c r="D927" s="56"/>
      <c r="E927" s="56"/>
      <c r="F927" s="56"/>
      <c r="G927" s="56"/>
      <c r="H927" s="56"/>
      <c r="I927" s="56"/>
      <c r="J927" s="56"/>
      <c r="K927" s="56"/>
      <c r="L927" s="56"/>
    </row>
    <row r="928" spans="2:12" ht="15">
      <c r="B928" s="7"/>
      <c r="C928" s="56"/>
      <c r="D928" s="56"/>
      <c r="E928" s="56"/>
      <c r="F928" s="56"/>
      <c r="G928" s="56"/>
      <c r="H928" s="56"/>
      <c r="I928" s="56"/>
      <c r="J928" s="56"/>
      <c r="K928" s="56"/>
      <c r="L928" s="56"/>
    </row>
    <row r="929" spans="2:12" ht="15">
      <c r="B929" s="7"/>
      <c r="C929" s="56"/>
      <c r="D929" s="56"/>
      <c r="E929" s="56"/>
      <c r="F929" s="56"/>
      <c r="G929" s="56"/>
      <c r="H929" s="56"/>
      <c r="I929" s="56"/>
      <c r="J929" s="56"/>
      <c r="K929" s="56"/>
      <c r="L929" s="56"/>
    </row>
    <row r="930" spans="2:12" ht="15">
      <c r="B930" s="7"/>
      <c r="C930" s="56"/>
      <c r="D930" s="56"/>
      <c r="E930" s="56"/>
      <c r="F930" s="56"/>
      <c r="G930" s="56"/>
      <c r="H930" s="56"/>
      <c r="I930" s="56"/>
      <c r="J930" s="56"/>
      <c r="K930" s="56"/>
      <c r="L930" s="56"/>
    </row>
    <row r="931" spans="2:12" ht="15">
      <c r="B931" s="7"/>
      <c r="C931" s="56"/>
      <c r="D931" s="56"/>
      <c r="E931" s="56"/>
      <c r="F931" s="56"/>
      <c r="G931" s="56"/>
      <c r="H931" s="56"/>
      <c r="I931" s="56"/>
      <c r="J931" s="56"/>
      <c r="K931" s="56"/>
      <c r="L931" s="56"/>
    </row>
    <row r="932" spans="2:12" ht="15">
      <c r="B932" s="7"/>
      <c r="C932" s="56"/>
      <c r="D932" s="56"/>
      <c r="E932" s="56"/>
      <c r="F932" s="56"/>
      <c r="G932" s="56"/>
      <c r="H932" s="56"/>
      <c r="I932" s="56"/>
      <c r="J932" s="56"/>
      <c r="K932" s="56"/>
      <c r="L932" s="56"/>
    </row>
    <row r="933" spans="2:12" ht="15">
      <c r="B933" s="7"/>
      <c r="C933" s="56"/>
      <c r="D933" s="56"/>
      <c r="E933" s="56"/>
      <c r="F933" s="56"/>
      <c r="G933" s="56"/>
      <c r="H933" s="56"/>
      <c r="I933" s="56"/>
      <c r="J933" s="56"/>
      <c r="K933" s="56"/>
      <c r="L933" s="56"/>
    </row>
    <row r="934" spans="2:12" ht="15">
      <c r="B934" s="7"/>
      <c r="C934" s="56"/>
      <c r="D934" s="56"/>
      <c r="E934" s="56"/>
      <c r="F934" s="56"/>
      <c r="G934" s="56"/>
      <c r="H934" s="56"/>
      <c r="I934" s="56"/>
      <c r="J934" s="56"/>
      <c r="K934" s="56"/>
      <c r="L934" s="56"/>
    </row>
    <row r="935" spans="2:12" ht="15">
      <c r="B935" s="7"/>
      <c r="C935" s="56"/>
      <c r="D935" s="56"/>
      <c r="E935" s="56"/>
      <c r="F935" s="56"/>
      <c r="G935" s="56"/>
      <c r="H935" s="56"/>
      <c r="I935" s="56"/>
      <c r="J935" s="56"/>
      <c r="K935" s="56"/>
      <c r="L935" s="56"/>
    </row>
    <row r="936" spans="2:12" ht="15">
      <c r="B936" s="7"/>
      <c r="C936" s="56"/>
      <c r="D936" s="56"/>
      <c r="E936" s="56"/>
      <c r="F936" s="56"/>
      <c r="G936" s="56"/>
      <c r="H936" s="56"/>
      <c r="I936" s="56"/>
      <c r="J936" s="56"/>
      <c r="K936" s="56"/>
      <c r="L936" s="56"/>
    </row>
    <row r="937" spans="2:12" ht="15">
      <c r="B937" s="7"/>
      <c r="C937" s="56"/>
      <c r="D937" s="56"/>
      <c r="E937" s="56"/>
      <c r="F937" s="56"/>
      <c r="G937" s="56"/>
      <c r="H937" s="56"/>
      <c r="I937" s="56"/>
      <c r="J937" s="56"/>
      <c r="K937" s="56"/>
      <c r="L937" s="56"/>
    </row>
    <row r="938" spans="2:12" ht="15">
      <c r="B938" s="7"/>
      <c r="C938" s="56"/>
      <c r="D938" s="56"/>
      <c r="E938" s="56"/>
      <c r="F938" s="56"/>
      <c r="G938" s="56"/>
      <c r="H938" s="56"/>
      <c r="I938" s="56"/>
      <c r="J938" s="56"/>
      <c r="K938" s="56"/>
      <c r="L938" s="56"/>
    </row>
    <row r="939" spans="2:12" ht="15">
      <c r="B939" s="7"/>
      <c r="C939" s="56"/>
      <c r="D939" s="56"/>
      <c r="E939" s="56"/>
      <c r="F939" s="56"/>
      <c r="G939" s="56"/>
      <c r="H939" s="56"/>
      <c r="I939" s="56"/>
      <c r="J939" s="56"/>
      <c r="K939" s="56"/>
      <c r="L939" s="56"/>
    </row>
    <row r="940" spans="2:12" ht="15">
      <c r="B940" s="7"/>
      <c r="C940" s="56"/>
      <c r="D940" s="56"/>
      <c r="E940" s="56"/>
      <c r="F940" s="56"/>
      <c r="G940" s="56"/>
      <c r="H940" s="56"/>
      <c r="I940" s="56"/>
      <c r="J940" s="56"/>
      <c r="K940" s="56"/>
      <c r="L940" s="56"/>
    </row>
    <row r="941" spans="2:12" ht="15">
      <c r="B941" s="7"/>
      <c r="C941" s="56"/>
      <c r="D941" s="56"/>
      <c r="E941" s="56"/>
      <c r="F941" s="56"/>
      <c r="G941" s="56"/>
      <c r="H941" s="56"/>
      <c r="I941" s="56"/>
      <c r="J941" s="56"/>
      <c r="K941" s="56"/>
      <c r="L941" s="56"/>
    </row>
    <row r="942" spans="2:12" ht="15">
      <c r="B942" s="7"/>
      <c r="C942" s="56"/>
      <c r="D942" s="56"/>
      <c r="E942" s="56"/>
      <c r="F942" s="56"/>
      <c r="G942" s="56"/>
      <c r="H942" s="56"/>
      <c r="I942" s="56"/>
      <c r="J942" s="56"/>
      <c r="K942" s="56"/>
      <c r="L942" s="56"/>
    </row>
    <row r="943" spans="2:12" ht="15">
      <c r="B943" s="7"/>
      <c r="C943" s="56"/>
      <c r="D943" s="56"/>
      <c r="E943" s="56"/>
      <c r="F943" s="56"/>
      <c r="G943" s="56"/>
      <c r="H943" s="56"/>
      <c r="I943" s="56"/>
      <c r="J943" s="56"/>
      <c r="K943" s="56"/>
      <c r="L943" s="56"/>
    </row>
    <row r="944" spans="2:12" ht="15">
      <c r="B944" s="7"/>
      <c r="C944" s="56"/>
      <c r="D944" s="56"/>
      <c r="E944" s="56"/>
      <c r="F944" s="56"/>
      <c r="G944" s="56"/>
      <c r="H944" s="56"/>
      <c r="I944" s="56"/>
      <c r="J944" s="56"/>
      <c r="K944" s="56"/>
      <c r="L944" s="56"/>
    </row>
    <row r="945" spans="2:12" ht="15">
      <c r="B945" s="7"/>
      <c r="C945" s="56"/>
      <c r="D945" s="56"/>
      <c r="E945" s="56"/>
      <c r="F945" s="56"/>
      <c r="G945" s="56"/>
      <c r="H945" s="56"/>
      <c r="I945" s="56"/>
      <c r="J945" s="56"/>
      <c r="K945" s="56"/>
      <c r="L945" s="56"/>
    </row>
    <row r="946" spans="2:12" ht="15">
      <c r="B946" s="7"/>
      <c r="C946" s="56"/>
      <c r="D946" s="56"/>
      <c r="E946" s="56"/>
      <c r="F946" s="56"/>
      <c r="G946" s="56"/>
      <c r="H946" s="56"/>
      <c r="I946" s="56"/>
      <c r="J946" s="56"/>
      <c r="K946" s="56"/>
      <c r="L946" s="56"/>
    </row>
    <row r="947" spans="2:12" ht="15">
      <c r="B947" s="7"/>
      <c r="C947" s="56"/>
      <c r="D947" s="56"/>
      <c r="E947" s="56"/>
      <c r="F947" s="56"/>
      <c r="G947" s="56"/>
      <c r="H947" s="56"/>
      <c r="I947" s="56"/>
      <c r="J947" s="56"/>
      <c r="K947" s="56"/>
      <c r="L947" s="56"/>
    </row>
    <row r="948" spans="2:12" ht="15">
      <c r="B948" s="7"/>
      <c r="C948" s="56"/>
      <c r="D948" s="56"/>
      <c r="E948" s="56"/>
      <c r="F948" s="56"/>
      <c r="G948" s="56"/>
      <c r="H948" s="56"/>
      <c r="I948" s="56"/>
      <c r="J948" s="56"/>
      <c r="K948" s="56"/>
      <c r="L948" s="56"/>
    </row>
    <row r="949" spans="2:12" ht="15">
      <c r="B949" s="7"/>
      <c r="C949" s="56"/>
      <c r="D949" s="56"/>
      <c r="E949" s="56"/>
      <c r="F949" s="56"/>
      <c r="G949" s="56"/>
      <c r="H949" s="56"/>
      <c r="I949" s="56"/>
      <c r="J949" s="56"/>
      <c r="K949" s="56"/>
      <c r="L949" s="56"/>
    </row>
    <row r="950" spans="2:12" ht="15">
      <c r="B950" s="7"/>
      <c r="C950" s="56"/>
      <c r="D950" s="56"/>
      <c r="E950" s="56"/>
      <c r="F950" s="56"/>
      <c r="G950" s="56"/>
      <c r="H950" s="56"/>
      <c r="I950" s="56"/>
      <c r="J950" s="56"/>
      <c r="K950" s="56"/>
      <c r="L950" s="56"/>
    </row>
    <row r="951" spans="2:12" ht="15">
      <c r="B951" s="7"/>
      <c r="C951" s="56"/>
      <c r="D951" s="56"/>
      <c r="E951" s="56"/>
      <c r="F951" s="56"/>
      <c r="G951" s="56"/>
      <c r="H951" s="56"/>
      <c r="I951" s="56"/>
      <c r="J951" s="56"/>
      <c r="K951" s="56"/>
      <c r="L951" s="56"/>
    </row>
    <row r="952" spans="2:12" ht="15">
      <c r="B952" s="7"/>
      <c r="C952" s="56"/>
      <c r="D952" s="56"/>
      <c r="E952" s="56"/>
      <c r="F952" s="56"/>
      <c r="G952" s="56"/>
      <c r="H952" s="56"/>
      <c r="I952" s="56"/>
      <c r="J952" s="56"/>
      <c r="K952" s="56"/>
      <c r="L952" s="56"/>
    </row>
    <row r="953" spans="2:12" ht="15">
      <c r="B953" s="7"/>
      <c r="C953" s="56"/>
      <c r="D953" s="56"/>
      <c r="E953" s="56"/>
      <c r="F953" s="56"/>
      <c r="G953" s="56"/>
      <c r="H953" s="56"/>
      <c r="I953" s="56"/>
      <c r="J953" s="56"/>
      <c r="K953" s="56"/>
      <c r="L953" s="56"/>
    </row>
    <row r="954" spans="2:12" ht="15">
      <c r="B954" s="7"/>
      <c r="C954" s="56"/>
      <c r="D954" s="56"/>
      <c r="E954" s="56"/>
      <c r="F954" s="56"/>
      <c r="G954" s="56"/>
      <c r="H954" s="56"/>
      <c r="I954" s="56"/>
      <c r="J954" s="56"/>
      <c r="K954" s="56"/>
      <c r="L954" s="56"/>
    </row>
    <row r="955" spans="2:12" ht="15">
      <c r="B955" s="7"/>
      <c r="C955" s="56"/>
      <c r="D955" s="56"/>
      <c r="E955" s="56"/>
      <c r="F955" s="56"/>
      <c r="G955" s="56"/>
      <c r="H955" s="56"/>
      <c r="I955" s="56"/>
      <c r="J955" s="56"/>
      <c r="K955" s="56"/>
      <c r="L955" s="56"/>
    </row>
    <row r="956" spans="2:12" ht="15">
      <c r="B956" s="7"/>
      <c r="C956" s="56"/>
      <c r="D956" s="56"/>
      <c r="E956" s="56"/>
      <c r="F956" s="56"/>
      <c r="G956" s="56"/>
      <c r="H956" s="56"/>
      <c r="I956" s="56"/>
      <c r="J956" s="56"/>
      <c r="K956" s="56"/>
      <c r="L956" s="56"/>
    </row>
    <row r="957" spans="2:12" ht="15">
      <c r="B957" s="7"/>
      <c r="C957" s="56"/>
      <c r="D957" s="56"/>
      <c r="E957" s="56"/>
      <c r="F957" s="56"/>
      <c r="G957" s="56"/>
      <c r="H957" s="56"/>
      <c r="I957" s="56"/>
      <c r="J957" s="56"/>
      <c r="K957" s="56"/>
      <c r="L957" s="56"/>
    </row>
    <row r="958" spans="2:12" ht="15">
      <c r="B958" s="7"/>
      <c r="C958" s="56"/>
      <c r="D958" s="56"/>
      <c r="E958" s="56"/>
      <c r="F958" s="56"/>
      <c r="G958" s="56"/>
      <c r="H958" s="56"/>
      <c r="I958" s="56"/>
      <c r="J958" s="56"/>
      <c r="K958" s="56"/>
      <c r="L958" s="56"/>
    </row>
    <row r="959" spans="2:12" ht="15">
      <c r="B959" s="7"/>
      <c r="C959" s="56"/>
      <c r="D959" s="56"/>
      <c r="E959" s="56"/>
      <c r="F959" s="56"/>
      <c r="G959" s="56"/>
      <c r="H959" s="56"/>
      <c r="I959" s="56"/>
      <c r="J959" s="56"/>
      <c r="K959" s="56"/>
      <c r="L959" s="56"/>
    </row>
    <row r="960" spans="2:12" ht="15">
      <c r="B960" s="7"/>
      <c r="C960" s="56"/>
      <c r="D960" s="56"/>
      <c r="E960" s="56"/>
      <c r="F960" s="56"/>
      <c r="G960" s="56"/>
      <c r="H960" s="56"/>
      <c r="I960" s="56"/>
      <c r="J960" s="56"/>
      <c r="K960" s="56"/>
      <c r="L960" s="56"/>
    </row>
    <row r="961" spans="2:12" ht="15">
      <c r="B961" s="7"/>
      <c r="C961" s="56"/>
      <c r="D961" s="56"/>
      <c r="E961" s="56"/>
      <c r="F961" s="56"/>
      <c r="G961" s="56"/>
      <c r="H961" s="56"/>
      <c r="I961" s="56"/>
      <c r="J961" s="56"/>
      <c r="K961" s="56"/>
      <c r="L961" s="56"/>
    </row>
    <row r="962" spans="2:12" ht="15">
      <c r="B962" s="7"/>
      <c r="C962" s="56"/>
      <c r="D962" s="56"/>
      <c r="E962" s="56"/>
      <c r="F962" s="56"/>
      <c r="G962" s="56"/>
      <c r="H962" s="56"/>
      <c r="I962" s="56"/>
      <c r="J962" s="56"/>
      <c r="K962" s="56"/>
      <c r="L962" s="56"/>
    </row>
    <row r="963" spans="2:12" ht="15">
      <c r="B963" s="7"/>
      <c r="C963" s="56"/>
      <c r="D963" s="56"/>
      <c r="E963" s="56"/>
      <c r="F963" s="56"/>
      <c r="G963" s="56"/>
      <c r="H963" s="56"/>
      <c r="I963" s="56"/>
      <c r="J963" s="56"/>
      <c r="K963" s="56"/>
      <c r="L963" s="56"/>
    </row>
    <row r="964" spans="2:12" ht="15">
      <c r="B964" s="7"/>
      <c r="C964" s="56"/>
      <c r="D964" s="56"/>
      <c r="E964" s="56"/>
      <c r="F964" s="56"/>
      <c r="G964" s="56"/>
      <c r="H964" s="56"/>
      <c r="I964" s="56"/>
      <c r="J964" s="56"/>
      <c r="K964" s="56"/>
      <c r="L964" s="56"/>
    </row>
    <row r="965" spans="2:12" ht="15">
      <c r="B965" s="7"/>
      <c r="C965" s="56"/>
      <c r="D965" s="56"/>
      <c r="E965" s="56"/>
      <c r="F965" s="56"/>
      <c r="G965" s="56"/>
      <c r="H965" s="56"/>
      <c r="I965" s="56"/>
      <c r="J965" s="56"/>
      <c r="K965" s="56"/>
      <c r="L965" s="56"/>
    </row>
    <row r="966" spans="2:12" ht="15">
      <c r="B966" s="7"/>
      <c r="C966" s="56"/>
      <c r="D966" s="56"/>
      <c r="E966" s="56"/>
      <c r="F966" s="56"/>
      <c r="G966" s="56"/>
      <c r="H966" s="56"/>
      <c r="I966" s="56"/>
      <c r="J966" s="56"/>
      <c r="K966" s="56"/>
      <c r="L966" s="56"/>
    </row>
    <row r="967" spans="2:12" ht="15">
      <c r="B967" s="7"/>
      <c r="C967" s="56"/>
      <c r="D967" s="56"/>
      <c r="E967" s="56"/>
      <c r="F967" s="56"/>
      <c r="G967" s="56"/>
      <c r="H967" s="56"/>
      <c r="I967" s="56"/>
      <c r="J967" s="56"/>
      <c r="K967" s="56"/>
      <c r="L967" s="56"/>
    </row>
    <row r="968" spans="2:12" ht="15">
      <c r="B968" s="7"/>
      <c r="C968" s="56"/>
      <c r="D968" s="56"/>
      <c r="E968" s="56"/>
      <c r="F968" s="56"/>
      <c r="G968" s="56"/>
      <c r="H968" s="56"/>
      <c r="I968" s="56"/>
      <c r="J968" s="56"/>
      <c r="K968" s="56"/>
      <c r="L968" s="56"/>
    </row>
    <row r="969" spans="2:12" ht="15">
      <c r="B969" s="7"/>
      <c r="C969" s="56"/>
      <c r="D969" s="56"/>
      <c r="E969" s="56"/>
      <c r="F969" s="56"/>
      <c r="G969" s="56"/>
      <c r="H969" s="56"/>
      <c r="I969" s="56"/>
      <c r="J969" s="56"/>
      <c r="K969" s="56"/>
      <c r="L969" s="56"/>
    </row>
    <row r="970" spans="2:12" ht="15">
      <c r="B970" s="7"/>
      <c r="C970" s="56"/>
      <c r="D970" s="56"/>
      <c r="E970" s="56"/>
      <c r="F970" s="56"/>
      <c r="G970" s="56"/>
      <c r="H970" s="56"/>
      <c r="I970" s="56"/>
      <c r="J970" s="56"/>
      <c r="K970" s="56"/>
      <c r="L970" s="56"/>
    </row>
    <row r="971" spans="2:12" ht="15">
      <c r="B971" s="7"/>
      <c r="C971" s="56"/>
      <c r="D971" s="56"/>
      <c r="E971" s="56"/>
      <c r="F971" s="56"/>
      <c r="G971" s="56"/>
      <c r="H971" s="56"/>
      <c r="I971" s="56"/>
      <c r="J971" s="56"/>
      <c r="K971" s="56"/>
      <c r="L971" s="56"/>
    </row>
    <row r="972" spans="2:12" ht="15">
      <c r="B972" s="7"/>
      <c r="C972" s="56"/>
      <c r="D972" s="56"/>
      <c r="E972" s="56"/>
      <c r="F972" s="56"/>
      <c r="G972" s="56"/>
      <c r="H972" s="56"/>
      <c r="I972" s="56"/>
      <c r="J972" s="56"/>
      <c r="K972" s="56"/>
      <c r="L972" s="56"/>
    </row>
    <row r="973" spans="2:12" ht="15">
      <c r="B973" s="7"/>
      <c r="C973" s="56"/>
      <c r="D973" s="56"/>
      <c r="E973" s="56"/>
      <c r="F973" s="56"/>
      <c r="G973" s="56"/>
      <c r="H973" s="56"/>
      <c r="I973" s="56"/>
      <c r="J973" s="56"/>
      <c r="K973" s="56"/>
      <c r="L973" s="56"/>
    </row>
    <row r="974" spans="2:12" ht="15">
      <c r="B974" s="7"/>
      <c r="C974" s="56"/>
      <c r="D974" s="56"/>
      <c r="E974" s="56"/>
      <c r="F974" s="56"/>
      <c r="G974" s="56"/>
      <c r="H974" s="56"/>
      <c r="I974" s="56"/>
      <c r="J974" s="56"/>
      <c r="K974" s="56"/>
      <c r="L974" s="56"/>
    </row>
    <row r="975" spans="2:12" ht="15">
      <c r="B975" s="7"/>
      <c r="C975" s="56"/>
      <c r="D975" s="56"/>
      <c r="E975" s="56"/>
      <c r="F975" s="56"/>
      <c r="G975" s="56"/>
      <c r="H975" s="56"/>
      <c r="I975" s="56"/>
      <c r="J975" s="56"/>
      <c r="K975" s="56"/>
      <c r="L975" s="56"/>
    </row>
    <row r="976" spans="2:12" ht="15">
      <c r="B976" s="7"/>
      <c r="C976" s="56"/>
      <c r="D976" s="56"/>
      <c r="E976" s="56"/>
      <c r="F976" s="56"/>
      <c r="G976" s="56"/>
      <c r="H976" s="56"/>
      <c r="I976" s="56"/>
      <c r="J976" s="56"/>
      <c r="K976" s="56"/>
      <c r="L976" s="56"/>
    </row>
    <row r="977" spans="2:12" ht="15">
      <c r="B977" s="7"/>
      <c r="C977" s="56"/>
      <c r="D977" s="56"/>
      <c r="E977" s="56"/>
      <c r="F977" s="56"/>
      <c r="G977" s="56"/>
      <c r="H977" s="56"/>
      <c r="I977" s="56"/>
      <c r="J977" s="56"/>
      <c r="K977" s="56"/>
      <c r="L977" s="56"/>
    </row>
    <row r="978" spans="2:12" ht="15">
      <c r="B978" s="7"/>
      <c r="C978" s="56"/>
      <c r="D978" s="56"/>
      <c r="E978" s="56"/>
      <c r="F978" s="56"/>
      <c r="G978" s="56"/>
      <c r="H978" s="56"/>
      <c r="I978" s="56"/>
      <c r="J978" s="56"/>
      <c r="K978" s="56"/>
      <c r="L978" s="56"/>
    </row>
    <row r="979" spans="2:12" ht="15">
      <c r="B979" s="7"/>
      <c r="C979" s="56"/>
      <c r="D979" s="56"/>
      <c r="E979" s="56"/>
      <c r="F979" s="56"/>
      <c r="G979" s="56"/>
      <c r="H979" s="56"/>
      <c r="I979" s="56"/>
      <c r="J979" s="56"/>
      <c r="K979" s="56"/>
      <c r="L979" s="56"/>
    </row>
    <row r="980" spans="2:12" ht="15">
      <c r="B980" s="7"/>
      <c r="C980" s="56"/>
      <c r="D980" s="56"/>
      <c r="E980" s="56"/>
      <c r="F980" s="56"/>
      <c r="G980" s="56"/>
      <c r="H980" s="56"/>
      <c r="I980" s="56"/>
      <c r="J980" s="56"/>
      <c r="K980" s="56"/>
      <c r="L980" s="56"/>
    </row>
    <row r="981" spans="2:12" ht="15">
      <c r="B981" s="7"/>
      <c r="C981" s="56"/>
      <c r="D981" s="56"/>
      <c r="E981" s="56"/>
      <c r="F981" s="56"/>
      <c r="G981" s="56"/>
      <c r="H981" s="56"/>
      <c r="I981" s="56"/>
      <c r="J981" s="56"/>
      <c r="K981" s="56"/>
      <c r="L981" s="56"/>
    </row>
    <row r="982" spans="2:12" ht="15">
      <c r="B982" s="7"/>
      <c r="C982" s="56"/>
      <c r="D982" s="56"/>
      <c r="E982" s="56"/>
      <c r="F982" s="56"/>
      <c r="G982" s="56"/>
      <c r="H982" s="56"/>
      <c r="I982" s="56"/>
      <c r="J982" s="56"/>
      <c r="K982" s="56"/>
      <c r="L982" s="56"/>
    </row>
    <row r="983" spans="2:12" ht="15">
      <c r="B983" s="7"/>
      <c r="C983" s="56"/>
      <c r="D983" s="56"/>
      <c r="E983" s="56"/>
      <c r="F983" s="56"/>
      <c r="G983" s="56"/>
      <c r="H983" s="56"/>
      <c r="I983" s="56"/>
      <c r="J983" s="56"/>
      <c r="K983" s="56"/>
      <c r="L983" s="56"/>
    </row>
    <row r="984" spans="2:12" ht="15">
      <c r="B984" s="7"/>
      <c r="C984" s="56"/>
      <c r="D984" s="56"/>
      <c r="E984" s="56"/>
      <c r="F984" s="56"/>
      <c r="G984" s="56"/>
      <c r="H984" s="56"/>
      <c r="I984" s="56"/>
      <c r="J984" s="56"/>
      <c r="K984" s="56"/>
      <c r="L984" s="56"/>
    </row>
    <row r="985" spans="2:12" ht="15">
      <c r="B985" s="7"/>
      <c r="C985" s="56"/>
      <c r="D985" s="56"/>
      <c r="E985" s="56"/>
      <c r="F985" s="56"/>
      <c r="G985" s="56"/>
      <c r="H985" s="56"/>
      <c r="I985" s="56"/>
      <c r="J985" s="56"/>
      <c r="K985" s="56"/>
      <c r="L985" s="56"/>
    </row>
    <row r="986" spans="2:12" ht="15">
      <c r="B986" s="7"/>
      <c r="C986" s="56"/>
      <c r="D986" s="56"/>
      <c r="E986" s="56"/>
      <c r="F986" s="56"/>
      <c r="G986" s="56"/>
      <c r="H986" s="56"/>
      <c r="I986" s="56"/>
      <c r="J986" s="56"/>
      <c r="K986" s="56"/>
      <c r="L986" s="56"/>
    </row>
    <row r="987" spans="2:12" ht="15">
      <c r="B987" s="7"/>
      <c r="C987" s="56"/>
      <c r="D987" s="56"/>
      <c r="E987" s="56"/>
      <c r="F987" s="56"/>
      <c r="G987" s="56"/>
      <c r="H987" s="56"/>
      <c r="I987" s="56"/>
      <c r="J987" s="56"/>
      <c r="K987" s="56"/>
      <c r="L987" s="56"/>
    </row>
    <row r="988" spans="2:12" ht="15">
      <c r="B988" s="7"/>
      <c r="C988" s="56"/>
      <c r="D988" s="56"/>
      <c r="E988" s="56"/>
      <c r="F988" s="56"/>
      <c r="G988" s="56"/>
      <c r="H988" s="56"/>
      <c r="I988" s="56"/>
      <c r="J988" s="56"/>
      <c r="K988" s="56"/>
      <c r="L988" s="56"/>
    </row>
    <row r="989" spans="2:12" ht="15">
      <c r="B989" s="7"/>
      <c r="C989" s="56"/>
      <c r="D989" s="56"/>
      <c r="E989" s="56"/>
      <c r="F989" s="56"/>
      <c r="G989" s="56"/>
      <c r="H989" s="56"/>
      <c r="I989" s="56"/>
      <c r="J989" s="56"/>
      <c r="K989" s="56"/>
      <c r="L989" s="56"/>
    </row>
    <row r="990" spans="2:12" ht="15">
      <c r="B990" s="7"/>
      <c r="C990" s="56"/>
      <c r="D990" s="56"/>
      <c r="E990" s="56"/>
      <c r="F990" s="56"/>
      <c r="G990" s="56"/>
      <c r="H990" s="56"/>
      <c r="I990" s="56"/>
      <c r="J990" s="56"/>
      <c r="K990" s="56"/>
      <c r="L990" s="56"/>
    </row>
    <row r="991" spans="2:12" ht="15">
      <c r="B991" s="7"/>
      <c r="C991" s="56"/>
      <c r="D991" s="56"/>
      <c r="E991" s="56"/>
      <c r="F991" s="56"/>
      <c r="G991" s="56"/>
      <c r="H991" s="56"/>
      <c r="I991" s="56"/>
      <c r="J991" s="56"/>
      <c r="K991" s="56"/>
      <c r="L991" s="56"/>
    </row>
    <row r="992" spans="2:12" ht="15">
      <c r="B992" s="7"/>
      <c r="C992" s="56"/>
      <c r="D992" s="56"/>
      <c r="E992" s="56"/>
      <c r="F992" s="56"/>
      <c r="G992" s="56"/>
      <c r="H992" s="56"/>
      <c r="I992" s="56"/>
      <c r="J992" s="56"/>
      <c r="K992" s="56"/>
      <c r="L992" s="56"/>
    </row>
    <row r="993" spans="2:12" ht="15">
      <c r="B993" s="7"/>
      <c r="C993" s="56"/>
      <c r="D993" s="56"/>
      <c r="E993" s="56"/>
      <c r="F993" s="56"/>
      <c r="G993" s="56"/>
      <c r="H993" s="56"/>
      <c r="I993" s="56"/>
      <c r="J993" s="56"/>
      <c r="K993" s="56"/>
      <c r="L993" s="56"/>
    </row>
    <row r="994" spans="2:12" ht="15">
      <c r="B994" s="7"/>
      <c r="C994" s="56"/>
      <c r="D994" s="56"/>
      <c r="E994" s="56"/>
      <c r="F994" s="56"/>
      <c r="G994" s="56"/>
      <c r="H994" s="56"/>
      <c r="I994" s="56"/>
      <c r="J994" s="56"/>
      <c r="K994" s="56"/>
      <c r="L994" s="56"/>
    </row>
    <row r="995" spans="2:12" ht="15">
      <c r="B995" s="7"/>
      <c r="C995" s="56"/>
      <c r="D995" s="56"/>
      <c r="E995" s="56"/>
      <c r="F995" s="56"/>
      <c r="G995" s="56"/>
      <c r="H995" s="56"/>
      <c r="I995" s="56"/>
      <c r="J995" s="56"/>
      <c r="K995" s="56"/>
      <c r="L995" s="56"/>
    </row>
    <row r="996" spans="2:12" ht="15">
      <c r="B996" s="7"/>
      <c r="C996" s="56"/>
      <c r="D996" s="56"/>
      <c r="E996" s="56"/>
      <c r="F996" s="56"/>
      <c r="G996" s="56"/>
      <c r="H996" s="56"/>
      <c r="I996" s="56"/>
      <c r="J996" s="56"/>
      <c r="K996" s="56"/>
      <c r="L996" s="56"/>
    </row>
    <row r="997" spans="2:12" ht="15">
      <c r="B997" s="7"/>
      <c r="C997" s="56"/>
      <c r="D997" s="56"/>
      <c r="E997" s="56"/>
      <c r="F997" s="56"/>
      <c r="G997" s="56"/>
      <c r="H997" s="56"/>
      <c r="I997" s="56"/>
      <c r="J997" s="56"/>
      <c r="K997" s="56"/>
      <c r="L997" s="56"/>
    </row>
    <row r="998" spans="2:12" ht="15">
      <c r="B998" s="7"/>
      <c r="C998" s="56"/>
      <c r="D998" s="56"/>
      <c r="E998" s="56"/>
      <c r="F998" s="56"/>
      <c r="G998" s="56"/>
      <c r="H998" s="56"/>
      <c r="I998" s="56"/>
      <c r="J998" s="56"/>
      <c r="K998" s="56"/>
      <c r="L998" s="56"/>
    </row>
    <row r="999" spans="2:12" ht="15">
      <c r="B999" s="7"/>
      <c r="C999" s="56"/>
      <c r="D999" s="56"/>
      <c r="E999" s="56"/>
      <c r="F999" s="56"/>
      <c r="G999" s="56"/>
      <c r="H999" s="56"/>
      <c r="I999" s="56"/>
      <c r="J999" s="56"/>
      <c r="K999" s="56"/>
      <c r="L999" s="56"/>
    </row>
    <row r="1000" spans="2:12" ht="15">
      <c r="B1000" s="7"/>
      <c r="C1000" s="56"/>
      <c r="D1000" s="56"/>
      <c r="E1000" s="56"/>
      <c r="F1000" s="56"/>
      <c r="G1000" s="56"/>
      <c r="H1000" s="56"/>
      <c r="I1000" s="56"/>
      <c r="J1000" s="56"/>
      <c r="K1000" s="56"/>
      <c r="L1000" s="56"/>
    </row>
    <row r="1001" spans="2:12" ht="15">
      <c r="B1001" s="7"/>
      <c r="C1001" s="56"/>
      <c r="D1001" s="56"/>
      <c r="E1001" s="56"/>
      <c r="F1001" s="56"/>
      <c r="G1001" s="56"/>
      <c r="H1001" s="56"/>
      <c r="I1001" s="56"/>
      <c r="J1001" s="56"/>
      <c r="K1001" s="56"/>
      <c r="L1001" s="56"/>
    </row>
    <row r="1002" spans="2:12" ht="15">
      <c r="B1002" s="7"/>
      <c r="C1002" s="56"/>
      <c r="D1002" s="56"/>
      <c r="E1002" s="56"/>
      <c r="F1002" s="56"/>
      <c r="G1002" s="56"/>
      <c r="H1002" s="56"/>
      <c r="I1002" s="56"/>
      <c r="J1002" s="56"/>
      <c r="K1002" s="56"/>
      <c r="L1002" s="56"/>
    </row>
    <row r="1003" spans="2:12" ht="15">
      <c r="B1003" s="7"/>
      <c r="C1003" s="56"/>
      <c r="D1003" s="56"/>
      <c r="E1003" s="56"/>
      <c r="F1003" s="56"/>
      <c r="G1003" s="56"/>
      <c r="H1003" s="56"/>
      <c r="I1003" s="56"/>
      <c r="J1003" s="56"/>
      <c r="K1003" s="56"/>
      <c r="L1003" s="56"/>
    </row>
    <row r="1004" spans="2:12" ht="15">
      <c r="B1004" s="7"/>
      <c r="C1004" s="56"/>
      <c r="D1004" s="56"/>
      <c r="E1004" s="56"/>
      <c r="F1004" s="56"/>
      <c r="G1004" s="56"/>
      <c r="H1004" s="56"/>
      <c r="I1004" s="56"/>
      <c r="J1004" s="56"/>
      <c r="K1004" s="56"/>
      <c r="L1004" s="56"/>
    </row>
    <row r="1005" spans="2:12" ht="15">
      <c r="B1005" s="7"/>
      <c r="C1005" s="56"/>
      <c r="D1005" s="56"/>
      <c r="E1005" s="56"/>
      <c r="F1005" s="56"/>
      <c r="G1005" s="56"/>
      <c r="H1005" s="56"/>
      <c r="I1005" s="56"/>
      <c r="J1005" s="56"/>
      <c r="K1005" s="56"/>
      <c r="L1005" s="56"/>
    </row>
    <row r="1006" spans="2:12" ht="15">
      <c r="B1006" s="7"/>
      <c r="C1006" s="56"/>
      <c r="D1006" s="56"/>
      <c r="E1006" s="56"/>
      <c r="F1006" s="56"/>
      <c r="G1006" s="56"/>
      <c r="H1006" s="56"/>
      <c r="I1006" s="56"/>
      <c r="J1006" s="56"/>
      <c r="K1006" s="56"/>
      <c r="L1006" s="56"/>
    </row>
    <row r="1007" spans="2:12" ht="15">
      <c r="B1007" s="7"/>
      <c r="C1007" s="56"/>
      <c r="D1007" s="56"/>
      <c r="E1007" s="56"/>
      <c r="F1007" s="56"/>
      <c r="G1007" s="56"/>
      <c r="H1007" s="56"/>
      <c r="I1007" s="56"/>
      <c r="J1007" s="56"/>
      <c r="K1007" s="56"/>
      <c r="L1007" s="56"/>
    </row>
    <row r="1008" spans="2:12" ht="15">
      <c r="B1008" s="7"/>
      <c r="C1008" s="56"/>
      <c r="D1008" s="56"/>
      <c r="E1008" s="56"/>
      <c r="F1008" s="56"/>
      <c r="G1008" s="56"/>
      <c r="H1008" s="56"/>
      <c r="I1008" s="56"/>
      <c r="J1008" s="56"/>
      <c r="K1008" s="56"/>
      <c r="L1008" s="56"/>
    </row>
    <row r="1009" spans="2:12" ht="15">
      <c r="B1009" s="7"/>
      <c r="C1009" s="56"/>
      <c r="D1009" s="56"/>
      <c r="E1009" s="56"/>
      <c r="F1009" s="56"/>
      <c r="G1009" s="56"/>
      <c r="H1009" s="56"/>
      <c r="I1009" s="56"/>
      <c r="J1009" s="56"/>
      <c r="K1009" s="56"/>
      <c r="L1009" s="56"/>
    </row>
    <row r="1010" spans="2:12" ht="15">
      <c r="B1010" s="7"/>
      <c r="C1010" s="56"/>
      <c r="D1010" s="56"/>
      <c r="E1010" s="56"/>
      <c r="F1010" s="56"/>
      <c r="G1010" s="56"/>
      <c r="H1010" s="56"/>
      <c r="I1010" s="56"/>
      <c r="J1010" s="56"/>
      <c r="K1010" s="56"/>
      <c r="L1010" s="56"/>
    </row>
    <row r="1011" spans="2:12" ht="15">
      <c r="B1011" s="7"/>
      <c r="C1011" s="56"/>
      <c r="D1011" s="56"/>
      <c r="E1011" s="56"/>
      <c r="F1011" s="56"/>
      <c r="G1011" s="56"/>
      <c r="H1011" s="56"/>
      <c r="I1011" s="56"/>
      <c r="J1011" s="56"/>
      <c r="K1011" s="56"/>
      <c r="L1011" s="56"/>
    </row>
    <row r="1012" spans="2:12" ht="15">
      <c r="B1012" s="7"/>
      <c r="C1012" s="56"/>
      <c r="D1012" s="56"/>
      <c r="E1012" s="56"/>
      <c r="F1012" s="56"/>
      <c r="G1012" s="56"/>
      <c r="H1012" s="56"/>
      <c r="I1012" s="56"/>
      <c r="J1012" s="56"/>
      <c r="K1012" s="56"/>
      <c r="L1012" s="56"/>
    </row>
    <row r="1013" spans="2:12" ht="15">
      <c r="B1013" s="7"/>
      <c r="C1013" s="56"/>
      <c r="D1013" s="56"/>
      <c r="E1013" s="56"/>
      <c r="F1013" s="56"/>
      <c r="G1013" s="56"/>
      <c r="H1013" s="56"/>
      <c r="I1013" s="56"/>
      <c r="J1013" s="56"/>
      <c r="K1013" s="56"/>
      <c r="L1013" s="56"/>
    </row>
    <row r="1014" spans="2:12" ht="15">
      <c r="B1014" s="7"/>
      <c r="C1014" s="56"/>
      <c r="D1014" s="56"/>
      <c r="E1014" s="56"/>
      <c r="F1014" s="56"/>
      <c r="G1014" s="56"/>
      <c r="H1014" s="56"/>
      <c r="I1014" s="56"/>
      <c r="J1014" s="56"/>
      <c r="K1014" s="56"/>
      <c r="L1014" s="56"/>
    </row>
    <row r="1015" spans="2:12" ht="15">
      <c r="B1015" s="7"/>
      <c r="C1015" s="56"/>
      <c r="D1015" s="56"/>
      <c r="E1015" s="56"/>
      <c r="F1015" s="56"/>
      <c r="G1015" s="56"/>
      <c r="H1015" s="56"/>
      <c r="I1015" s="56"/>
      <c r="J1015" s="56"/>
      <c r="K1015" s="56"/>
      <c r="L1015" s="56"/>
    </row>
    <row r="1016" spans="2:12" ht="15">
      <c r="B1016" s="7"/>
      <c r="C1016" s="56"/>
      <c r="D1016" s="56"/>
      <c r="E1016" s="56"/>
      <c r="F1016" s="56"/>
      <c r="G1016" s="56"/>
      <c r="H1016" s="56"/>
      <c r="I1016" s="56"/>
      <c r="J1016" s="56"/>
      <c r="K1016" s="56"/>
      <c r="L1016" s="56"/>
    </row>
    <row r="1017" spans="2:12" ht="15">
      <c r="B1017" s="7"/>
      <c r="C1017" s="56"/>
      <c r="D1017" s="56"/>
      <c r="E1017" s="56"/>
      <c r="F1017" s="56"/>
      <c r="G1017" s="56"/>
      <c r="H1017" s="56"/>
      <c r="I1017" s="56"/>
      <c r="J1017" s="56"/>
      <c r="K1017" s="56"/>
      <c r="L1017" s="56"/>
    </row>
    <row r="1018" spans="2:12" ht="15">
      <c r="B1018" s="7"/>
      <c r="C1018" s="56"/>
      <c r="D1018" s="56"/>
      <c r="E1018" s="56"/>
      <c r="F1018" s="56"/>
      <c r="G1018" s="56"/>
      <c r="H1018" s="56"/>
      <c r="I1018" s="56"/>
      <c r="J1018" s="56"/>
      <c r="K1018" s="56"/>
      <c r="L1018" s="56"/>
    </row>
    <row r="1019" spans="2:12" ht="15">
      <c r="B1019" s="7"/>
      <c r="C1019" s="56"/>
      <c r="D1019" s="56"/>
      <c r="E1019" s="56"/>
      <c r="F1019" s="56"/>
      <c r="G1019" s="56"/>
      <c r="H1019" s="56"/>
      <c r="I1019" s="56"/>
      <c r="J1019" s="56"/>
      <c r="K1019" s="56"/>
      <c r="L1019" s="56"/>
    </row>
    <row r="1020" spans="2:12" ht="15">
      <c r="B1020" s="7"/>
      <c r="C1020" s="56"/>
      <c r="D1020" s="56"/>
      <c r="E1020" s="56"/>
      <c r="F1020" s="56"/>
      <c r="G1020" s="56"/>
      <c r="H1020" s="56"/>
      <c r="I1020" s="56"/>
      <c r="J1020" s="56"/>
      <c r="K1020" s="56"/>
      <c r="L1020" s="56"/>
    </row>
    <row r="1021" spans="2:12" ht="15">
      <c r="B1021" s="7"/>
      <c r="C1021" s="56"/>
      <c r="D1021" s="56"/>
      <c r="E1021" s="56"/>
      <c r="F1021" s="56"/>
      <c r="G1021" s="56"/>
      <c r="H1021" s="56"/>
      <c r="I1021" s="56"/>
      <c r="J1021" s="56"/>
      <c r="K1021" s="56"/>
      <c r="L1021" s="56"/>
    </row>
    <row r="1022" spans="2:12" ht="15">
      <c r="B1022" s="7"/>
      <c r="C1022" s="56"/>
      <c r="D1022" s="56"/>
      <c r="E1022" s="56"/>
      <c r="F1022" s="56"/>
      <c r="G1022" s="56"/>
      <c r="H1022" s="56"/>
      <c r="I1022" s="56"/>
      <c r="J1022" s="56"/>
      <c r="K1022" s="56"/>
      <c r="L1022" s="56"/>
    </row>
    <row r="1023" spans="2:12" ht="15">
      <c r="B1023" s="7"/>
      <c r="C1023" s="56"/>
      <c r="D1023" s="56"/>
      <c r="E1023" s="56"/>
      <c r="F1023" s="56"/>
      <c r="G1023" s="56"/>
      <c r="H1023" s="56"/>
      <c r="I1023" s="56"/>
      <c r="J1023" s="56"/>
      <c r="K1023" s="56"/>
      <c r="L1023" s="56"/>
    </row>
    <row r="1024" spans="2:12" ht="15">
      <c r="B1024" s="7"/>
      <c r="C1024" s="56"/>
      <c r="D1024" s="56"/>
      <c r="E1024" s="56"/>
      <c r="F1024" s="56"/>
      <c r="G1024" s="56"/>
      <c r="H1024" s="56"/>
      <c r="I1024" s="56"/>
      <c r="J1024" s="56"/>
      <c r="K1024" s="56"/>
      <c r="L1024" s="56"/>
    </row>
    <row r="1025" spans="2:12" ht="15">
      <c r="B1025" s="7"/>
      <c r="C1025" s="56"/>
      <c r="D1025" s="56"/>
      <c r="E1025" s="56"/>
      <c r="F1025" s="56"/>
      <c r="G1025" s="56"/>
      <c r="H1025" s="56"/>
      <c r="I1025" s="56"/>
      <c r="J1025" s="56"/>
      <c r="K1025" s="56"/>
      <c r="L1025" s="56"/>
    </row>
    <row r="1026" spans="2:12" ht="15">
      <c r="B1026" s="7"/>
      <c r="C1026" s="56"/>
      <c r="D1026" s="56"/>
      <c r="E1026" s="56"/>
      <c r="F1026" s="56"/>
      <c r="G1026" s="56"/>
      <c r="H1026" s="56"/>
      <c r="I1026" s="56"/>
      <c r="J1026" s="56"/>
      <c r="K1026" s="56"/>
      <c r="L1026" s="56"/>
    </row>
    <row r="1027" spans="2:12" ht="15">
      <c r="B1027" s="7"/>
      <c r="C1027" s="56"/>
      <c r="D1027" s="56"/>
      <c r="E1027" s="56"/>
      <c r="F1027" s="56"/>
      <c r="G1027" s="56"/>
      <c r="H1027" s="56"/>
      <c r="I1027" s="56"/>
      <c r="J1027" s="56"/>
      <c r="K1027" s="56"/>
      <c r="L1027" s="56"/>
    </row>
    <row r="1028" spans="2:12" ht="15">
      <c r="B1028" s="7"/>
      <c r="C1028" s="56"/>
      <c r="D1028" s="56"/>
      <c r="E1028" s="56"/>
      <c r="F1028" s="56"/>
      <c r="G1028" s="56"/>
      <c r="H1028" s="56"/>
      <c r="I1028" s="56"/>
      <c r="J1028" s="56"/>
      <c r="K1028" s="56"/>
      <c r="L1028" s="56"/>
    </row>
    <row r="1029" spans="2:12" ht="15">
      <c r="B1029" s="7"/>
      <c r="C1029" s="56"/>
      <c r="D1029" s="56"/>
      <c r="E1029" s="56"/>
      <c r="F1029" s="56"/>
      <c r="G1029" s="56"/>
      <c r="H1029" s="56"/>
      <c r="I1029" s="56"/>
      <c r="J1029" s="56"/>
      <c r="K1029" s="56"/>
      <c r="L1029" s="56"/>
    </row>
    <row r="1030" spans="2:12" ht="15">
      <c r="B1030" s="7"/>
      <c r="C1030" s="56"/>
      <c r="D1030" s="56"/>
      <c r="E1030" s="56"/>
      <c r="F1030" s="56"/>
      <c r="G1030" s="56"/>
      <c r="H1030" s="56"/>
      <c r="I1030" s="56"/>
      <c r="J1030" s="56"/>
      <c r="K1030" s="56"/>
      <c r="L1030" s="56"/>
    </row>
    <row r="1031" spans="2:12" ht="15">
      <c r="B1031" s="7"/>
      <c r="C1031" s="56"/>
      <c r="D1031" s="56"/>
      <c r="E1031" s="56"/>
      <c r="F1031" s="56"/>
      <c r="G1031" s="56"/>
      <c r="H1031" s="56"/>
      <c r="I1031" s="56"/>
      <c r="J1031" s="56"/>
      <c r="K1031" s="56"/>
      <c r="L1031" s="56"/>
    </row>
    <row r="1032" spans="2:12" ht="15">
      <c r="B1032" s="7"/>
      <c r="C1032" s="56"/>
      <c r="D1032" s="56"/>
      <c r="E1032" s="56"/>
      <c r="F1032" s="56"/>
      <c r="G1032" s="56"/>
      <c r="H1032" s="56"/>
      <c r="I1032" s="56"/>
      <c r="J1032" s="56"/>
      <c r="K1032" s="56"/>
      <c r="L1032" s="56"/>
    </row>
    <row r="1033" spans="2:12" ht="15">
      <c r="B1033" s="7"/>
      <c r="C1033" s="56"/>
      <c r="D1033" s="56"/>
      <c r="E1033" s="56"/>
      <c r="F1033" s="56"/>
      <c r="G1033" s="56"/>
      <c r="H1033" s="56"/>
      <c r="I1033" s="56"/>
      <c r="J1033" s="56"/>
      <c r="K1033" s="56"/>
      <c r="L1033" s="56"/>
    </row>
    <row r="1034" spans="2:12" ht="15">
      <c r="B1034" s="7"/>
      <c r="C1034" s="56"/>
      <c r="D1034" s="56"/>
      <c r="E1034" s="56"/>
      <c r="F1034" s="56"/>
      <c r="G1034" s="56"/>
      <c r="H1034" s="56"/>
      <c r="I1034" s="56"/>
      <c r="J1034" s="56"/>
      <c r="K1034" s="56"/>
      <c r="L1034" s="56"/>
    </row>
    <row r="1035" spans="2:12" ht="15">
      <c r="B1035" s="7"/>
      <c r="C1035" s="56"/>
      <c r="D1035" s="56"/>
      <c r="E1035" s="56"/>
      <c r="F1035" s="56"/>
      <c r="G1035" s="56"/>
      <c r="H1035" s="56"/>
      <c r="I1035" s="56"/>
      <c r="J1035" s="56"/>
      <c r="K1035" s="56"/>
      <c r="L1035" s="56"/>
    </row>
    <row r="1036" spans="2:12" ht="15">
      <c r="B1036" s="7"/>
      <c r="C1036" s="56"/>
      <c r="D1036" s="56"/>
      <c r="E1036" s="56"/>
      <c r="F1036" s="56"/>
      <c r="G1036" s="56"/>
      <c r="H1036" s="56"/>
      <c r="I1036" s="56"/>
      <c r="J1036" s="56"/>
      <c r="K1036" s="56"/>
      <c r="L1036" s="56"/>
    </row>
    <row r="1037" spans="2:12" ht="15">
      <c r="B1037" s="7"/>
      <c r="C1037" s="56"/>
      <c r="D1037" s="56"/>
      <c r="E1037" s="56"/>
      <c r="F1037" s="56"/>
      <c r="G1037" s="56"/>
      <c r="H1037" s="56"/>
      <c r="I1037" s="56"/>
      <c r="J1037" s="56"/>
      <c r="K1037" s="56"/>
      <c r="L1037" s="56"/>
    </row>
    <row r="1038" spans="2:12" ht="15">
      <c r="B1038" s="7"/>
      <c r="C1038" s="56"/>
      <c r="D1038" s="56"/>
      <c r="E1038" s="56"/>
      <c r="F1038" s="56"/>
      <c r="G1038" s="56"/>
      <c r="H1038" s="56"/>
      <c r="I1038" s="56"/>
      <c r="J1038" s="56"/>
      <c r="K1038" s="56"/>
      <c r="L1038" s="56"/>
    </row>
    <row r="1039" spans="2:12" ht="15">
      <c r="B1039" s="7"/>
      <c r="C1039" s="56"/>
      <c r="D1039" s="56"/>
      <c r="E1039" s="56"/>
      <c r="F1039" s="56"/>
      <c r="G1039" s="56"/>
      <c r="H1039" s="56"/>
      <c r="I1039" s="56"/>
      <c r="J1039" s="56"/>
      <c r="K1039" s="56"/>
      <c r="L1039" s="56"/>
    </row>
    <row r="1040" spans="2:12" ht="15">
      <c r="B1040" s="7"/>
      <c r="C1040" s="56"/>
      <c r="D1040" s="56"/>
      <c r="E1040" s="56"/>
      <c r="F1040" s="56"/>
      <c r="G1040" s="56"/>
      <c r="H1040" s="56"/>
      <c r="I1040" s="56"/>
      <c r="J1040" s="56"/>
      <c r="K1040" s="56"/>
      <c r="L1040" s="56"/>
    </row>
    <row r="1041" spans="2:12" ht="15">
      <c r="B1041" s="7"/>
      <c r="C1041" s="56"/>
      <c r="D1041" s="56"/>
      <c r="E1041" s="56"/>
      <c r="F1041" s="56"/>
      <c r="G1041" s="56"/>
      <c r="H1041" s="56"/>
      <c r="I1041" s="56"/>
      <c r="J1041" s="56"/>
      <c r="K1041" s="56"/>
      <c r="L1041" s="56"/>
    </row>
    <row r="1042" spans="2:12" ht="15">
      <c r="B1042" s="7"/>
      <c r="C1042" s="56"/>
      <c r="D1042" s="56"/>
      <c r="E1042" s="56"/>
      <c r="F1042" s="56"/>
      <c r="G1042" s="56"/>
      <c r="H1042" s="56"/>
      <c r="I1042" s="56"/>
      <c r="J1042" s="56"/>
      <c r="K1042" s="56"/>
      <c r="L1042" s="56"/>
    </row>
    <row r="1043" spans="2:12" ht="15">
      <c r="B1043" s="7"/>
      <c r="C1043" s="56"/>
      <c r="D1043" s="56"/>
      <c r="E1043" s="56"/>
      <c r="F1043" s="56"/>
      <c r="G1043" s="56"/>
      <c r="H1043" s="56"/>
      <c r="I1043" s="56"/>
      <c r="J1043" s="56"/>
      <c r="K1043" s="56"/>
      <c r="L1043" s="56"/>
    </row>
    <row r="1044" spans="2:12" ht="15">
      <c r="B1044" s="7"/>
      <c r="C1044" s="56"/>
      <c r="D1044" s="56"/>
      <c r="E1044" s="56"/>
      <c r="F1044" s="56"/>
      <c r="G1044" s="56"/>
      <c r="H1044" s="56"/>
      <c r="I1044" s="56"/>
      <c r="J1044" s="56"/>
      <c r="K1044" s="56"/>
      <c r="L1044" s="56"/>
    </row>
    <row r="1045" spans="2:12" ht="15">
      <c r="B1045" s="7"/>
      <c r="C1045" s="56"/>
      <c r="D1045" s="56"/>
      <c r="E1045" s="56"/>
      <c r="F1045" s="56"/>
      <c r="G1045" s="56"/>
      <c r="H1045" s="56"/>
      <c r="I1045" s="56"/>
      <c r="J1045" s="56"/>
      <c r="K1045" s="56"/>
      <c r="L1045" s="56"/>
    </row>
    <row r="1046" spans="2:12" ht="15">
      <c r="B1046" s="7"/>
      <c r="C1046" s="56"/>
      <c r="D1046" s="56"/>
      <c r="E1046" s="56"/>
      <c r="F1046" s="56"/>
      <c r="G1046" s="56"/>
      <c r="H1046" s="56"/>
      <c r="I1046" s="56"/>
      <c r="J1046" s="56"/>
      <c r="K1046" s="56"/>
      <c r="L1046" s="56"/>
    </row>
    <row r="1047" spans="2:12" ht="15">
      <c r="B1047" s="7"/>
      <c r="C1047" s="56"/>
      <c r="D1047" s="56"/>
      <c r="E1047" s="56"/>
      <c r="F1047" s="56"/>
      <c r="G1047" s="56"/>
      <c r="H1047" s="56"/>
      <c r="I1047" s="56"/>
      <c r="J1047" s="56"/>
      <c r="K1047" s="56"/>
      <c r="L1047" s="56"/>
    </row>
    <row r="1048" spans="2:12" ht="15">
      <c r="B1048" s="7"/>
      <c r="C1048" s="56"/>
      <c r="D1048" s="56"/>
      <c r="E1048" s="56"/>
      <c r="F1048" s="56"/>
      <c r="G1048" s="56"/>
      <c r="H1048" s="56"/>
      <c r="I1048" s="56"/>
      <c r="J1048" s="56"/>
      <c r="K1048" s="56"/>
      <c r="L1048" s="56"/>
    </row>
    <row r="1049" spans="2:12" ht="15">
      <c r="B1049" s="7"/>
      <c r="C1049" s="56"/>
      <c r="D1049" s="56"/>
      <c r="E1049" s="56"/>
      <c r="F1049" s="56"/>
      <c r="G1049" s="56"/>
      <c r="H1049" s="56"/>
      <c r="I1049" s="56"/>
      <c r="J1049" s="56"/>
      <c r="K1049" s="56"/>
      <c r="L1049" s="56"/>
    </row>
    <row r="1050" spans="2:12" ht="15">
      <c r="B1050" s="7"/>
      <c r="C1050" s="56"/>
      <c r="D1050" s="56"/>
      <c r="E1050" s="56"/>
      <c r="F1050" s="56"/>
      <c r="G1050" s="56"/>
      <c r="H1050" s="56"/>
      <c r="I1050" s="56"/>
      <c r="J1050" s="56"/>
      <c r="K1050" s="56"/>
      <c r="L1050" s="56"/>
    </row>
    <row r="1051" spans="2:12" ht="15">
      <c r="B1051" s="7"/>
      <c r="C1051" s="56"/>
      <c r="D1051" s="56"/>
      <c r="E1051" s="56"/>
      <c r="F1051" s="56"/>
      <c r="G1051" s="56"/>
      <c r="H1051" s="56"/>
      <c r="I1051" s="56"/>
      <c r="J1051" s="56"/>
      <c r="K1051" s="56"/>
      <c r="L1051" s="56"/>
    </row>
    <row r="1052" spans="2:12" ht="15">
      <c r="B1052" s="7"/>
      <c r="C1052" s="56"/>
      <c r="D1052" s="56"/>
      <c r="E1052" s="56"/>
      <c r="F1052" s="56"/>
      <c r="G1052" s="56"/>
      <c r="H1052" s="56"/>
      <c r="I1052" s="56"/>
      <c r="J1052" s="56"/>
      <c r="K1052" s="56"/>
      <c r="L1052" s="56"/>
    </row>
    <row r="1053" spans="2:12" ht="15">
      <c r="B1053" s="7"/>
      <c r="C1053" s="56"/>
      <c r="D1053" s="56"/>
      <c r="E1053" s="56"/>
      <c r="F1053" s="56"/>
      <c r="G1053" s="56"/>
      <c r="H1053" s="56"/>
      <c r="I1053" s="56"/>
      <c r="J1053" s="56"/>
      <c r="K1053" s="56"/>
      <c r="L1053" s="56"/>
    </row>
    <row r="1054" spans="2:12" ht="15">
      <c r="B1054" s="7"/>
      <c r="C1054" s="56"/>
      <c r="D1054" s="56"/>
      <c r="E1054" s="56"/>
      <c r="F1054" s="56"/>
      <c r="G1054" s="56"/>
      <c r="H1054" s="56"/>
      <c r="I1054" s="56"/>
      <c r="J1054" s="56"/>
      <c r="K1054" s="56"/>
      <c r="L1054" s="56"/>
    </row>
    <row r="1055" spans="2:12" ht="15">
      <c r="B1055" s="7"/>
      <c r="C1055" s="56"/>
      <c r="D1055" s="56"/>
      <c r="E1055" s="56"/>
      <c r="F1055" s="56"/>
      <c r="G1055" s="56"/>
      <c r="H1055" s="56"/>
      <c r="I1055" s="56"/>
      <c r="J1055" s="56"/>
      <c r="K1055" s="56"/>
      <c r="L1055" s="56"/>
    </row>
    <row r="1056" spans="2:12" ht="15">
      <c r="B1056" s="7"/>
      <c r="C1056" s="56"/>
      <c r="D1056" s="56"/>
      <c r="E1056" s="56"/>
      <c r="F1056" s="56"/>
      <c r="G1056" s="56"/>
      <c r="H1056" s="56"/>
      <c r="I1056" s="56"/>
      <c r="J1056" s="56"/>
      <c r="K1056" s="56"/>
      <c r="L1056" s="56"/>
    </row>
    <row r="1057" spans="2:12" ht="15">
      <c r="B1057" s="7"/>
      <c r="C1057" s="56"/>
      <c r="D1057" s="56"/>
      <c r="E1057" s="56"/>
      <c r="F1057" s="56"/>
      <c r="G1057" s="56"/>
      <c r="H1057" s="56"/>
      <c r="I1057" s="56"/>
      <c r="J1057" s="56"/>
      <c r="K1057" s="56"/>
      <c r="L1057" s="56"/>
    </row>
    <row r="1058" spans="2:12" ht="15">
      <c r="B1058" s="7"/>
      <c r="C1058" s="56"/>
      <c r="D1058" s="56"/>
      <c r="E1058" s="56"/>
      <c r="F1058" s="56"/>
      <c r="G1058" s="56"/>
      <c r="H1058" s="56"/>
      <c r="I1058" s="56"/>
      <c r="J1058" s="56"/>
      <c r="K1058" s="56"/>
      <c r="L1058" s="56"/>
    </row>
    <row r="1059" spans="2:12" ht="15">
      <c r="B1059" s="7"/>
      <c r="C1059" s="56"/>
      <c r="D1059" s="56"/>
      <c r="E1059" s="56"/>
      <c r="F1059" s="56"/>
      <c r="G1059" s="56"/>
      <c r="H1059" s="56"/>
      <c r="I1059" s="56"/>
      <c r="J1059" s="56"/>
      <c r="K1059" s="56"/>
      <c r="L1059" s="56"/>
    </row>
    <row r="1060" spans="2:12" ht="15">
      <c r="B1060" s="7"/>
      <c r="C1060" s="56"/>
      <c r="D1060" s="56"/>
      <c r="E1060" s="56"/>
      <c r="F1060" s="56"/>
      <c r="G1060" s="56"/>
      <c r="H1060" s="56"/>
      <c r="I1060" s="56"/>
      <c r="J1060" s="56"/>
      <c r="K1060" s="56"/>
      <c r="L1060" s="56"/>
    </row>
    <row r="1061" spans="2:12" ht="15">
      <c r="B1061" s="7"/>
      <c r="C1061" s="56"/>
      <c r="D1061" s="56"/>
      <c r="E1061" s="56"/>
      <c r="F1061" s="56"/>
      <c r="G1061" s="56"/>
      <c r="H1061" s="56"/>
      <c r="I1061" s="56"/>
      <c r="J1061" s="56"/>
      <c r="K1061" s="56"/>
      <c r="L1061" s="56"/>
    </row>
    <row r="1062" spans="2:12" ht="15">
      <c r="B1062" s="7"/>
      <c r="C1062" s="56"/>
      <c r="D1062" s="56"/>
      <c r="E1062" s="56"/>
      <c r="F1062" s="56"/>
      <c r="G1062" s="56"/>
      <c r="H1062" s="56"/>
      <c r="I1062" s="56"/>
      <c r="J1062" s="56"/>
      <c r="K1062" s="56"/>
      <c r="L1062" s="56"/>
    </row>
    <row r="1063" spans="2:12" ht="15">
      <c r="B1063" s="7"/>
      <c r="C1063" s="56"/>
      <c r="D1063" s="56"/>
      <c r="E1063" s="56"/>
      <c r="F1063" s="56"/>
      <c r="G1063" s="56"/>
      <c r="H1063" s="56"/>
      <c r="I1063" s="56"/>
      <c r="J1063" s="56"/>
      <c r="K1063" s="56"/>
      <c r="L1063" s="56"/>
    </row>
    <row r="1064" spans="2:12" ht="15">
      <c r="B1064" s="7"/>
      <c r="C1064" s="56"/>
      <c r="D1064" s="56"/>
      <c r="E1064" s="56"/>
      <c r="F1064" s="56"/>
      <c r="G1064" s="56"/>
      <c r="H1064" s="56"/>
      <c r="I1064" s="56"/>
      <c r="J1064" s="56"/>
      <c r="K1064" s="56"/>
      <c r="L1064" s="56"/>
    </row>
    <row r="1065" spans="2:12" ht="15">
      <c r="B1065" s="7"/>
      <c r="C1065" s="56"/>
      <c r="D1065" s="56"/>
      <c r="E1065" s="56"/>
      <c r="F1065" s="56"/>
      <c r="G1065" s="56"/>
      <c r="H1065" s="56"/>
      <c r="I1065" s="56"/>
      <c r="J1065" s="56"/>
      <c r="K1065" s="56"/>
      <c r="L1065" s="56"/>
    </row>
    <row r="1066" spans="2:12" ht="15">
      <c r="B1066" s="7"/>
      <c r="C1066" s="56"/>
      <c r="D1066" s="56"/>
      <c r="E1066" s="56"/>
      <c r="F1066" s="56"/>
      <c r="G1066" s="56"/>
      <c r="H1066" s="56"/>
      <c r="I1066" s="56"/>
      <c r="J1066" s="56"/>
      <c r="K1066" s="56"/>
      <c r="L1066" s="56"/>
    </row>
    <row r="1067" spans="2:12" ht="15">
      <c r="B1067" s="7"/>
      <c r="C1067" s="56"/>
      <c r="D1067" s="56"/>
      <c r="E1067" s="56"/>
      <c r="F1067" s="56"/>
      <c r="G1067" s="56"/>
      <c r="H1067" s="56"/>
      <c r="I1067" s="56"/>
      <c r="J1067" s="56"/>
      <c r="K1067" s="56"/>
      <c r="L1067" s="56"/>
    </row>
    <row r="1068" spans="2:12" ht="15">
      <c r="B1068" s="7"/>
      <c r="C1068" s="56"/>
      <c r="D1068" s="56"/>
      <c r="E1068" s="56"/>
      <c r="F1068" s="56"/>
      <c r="G1068" s="56"/>
      <c r="H1068" s="56"/>
      <c r="I1068" s="56"/>
      <c r="J1068" s="56"/>
      <c r="K1068" s="56"/>
      <c r="L1068" s="56"/>
    </row>
    <row r="1069" spans="2:12" ht="15">
      <c r="B1069" s="7"/>
      <c r="C1069" s="56"/>
      <c r="D1069" s="56"/>
      <c r="E1069" s="56"/>
      <c r="F1069" s="56"/>
      <c r="G1069" s="56"/>
      <c r="H1069" s="56"/>
      <c r="I1069" s="56"/>
      <c r="J1069" s="56"/>
      <c r="K1069" s="56"/>
      <c r="L1069" s="56"/>
    </row>
    <row r="1070" spans="2:12" ht="15">
      <c r="B1070" s="7"/>
      <c r="C1070" s="56"/>
      <c r="D1070" s="56"/>
      <c r="E1070" s="56"/>
      <c r="F1070" s="56"/>
      <c r="G1070" s="56"/>
      <c r="H1070" s="56"/>
      <c r="I1070" s="56"/>
      <c r="J1070" s="56"/>
      <c r="K1070" s="56"/>
      <c r="L1070" s="56"/>
    </row>
    <row r="1071" spans="2:12" ht="15">
      <c r="B1071" s="7"/>
      <c r="C1071" s="56"/>
      <c r="D1071" s="56"/>
      <c r="E1071" s="56"/>
      <c r="F1071" s="56"/>
      <c r="G1071" s="56"/>
      <c r="H1071" s="56"/>
      <c r="I1071" s="56"/>
      <c r="J1071" s="56"/>
      <c r="K1071" s="56"/>
      <c r="L1071" s="56"/>
    </row>
    <row r="1072" spans="2:12" ht="15">
      <c r="B1072" s="7"/>
      <c r="C1072" s="56"/>
      <c r="D1072" s="56"/>
      <c r="E1072" s="56"/>
      <c r="F1072" s="56"/>
      <c r="G1072" s="56"/>
      <c r="H1072" s="56"/>
      <c r="I1072" s="56"/>
      <c r="J1072" s="56"/>
      <c r="K1072" s="56"/>
      <c r="L1072" s="56"/>
    </row>
    <row r="1073" spans="2:12" ht="15">
      <c r="B1073" s="7"/>
      <c r="C1073" s="56"/>
      <c r="D1073" s="56"/>
      <c r="E1073" s="56"/>
      <c r="F1073" s="56"/>
      <c r="G1073" s="56"/>
      <c r="H1073" s="56"/>
      <c r="I1073" s="56"/>
      <c r="J1073" s="56"/>
      <c r="K1073" s="56"/>
      <c r="L1073" s="56"/>
    </row>
    <row r="1074" spans="2:12" ht="15">
      <c r="B1074" s="7"/>
      <c r="C1074" s="56"/>
      <c r="D1074" s="56"/>
      <c r="E1074" s="56"/>
      <c r="F1074" s="56"/>
      <c r="G1074" s="56"/>
      <c r="H1074" s="56"/>
      <c r="I1074" s="56"/>
      <c r="J1074" s="56"/>
      <c r="K1074" s="56"/>
      <c r="L1074" s="56"/>
    </row>
    <row r="1075" spans="2:12" ht="15">
      <c r="B1075" s="7"/>
      <c r="C1075" s="56"/>
      <c r="D1075" s="56"/>
      <c r="E1075" s="56"/>
      <c r="F1075" s="56"/>
      <c r="G1075" s="56"/>
      <c r="H1075" s="56"/>
      <c r="I1075" s="56"/>
      <c r="J1075" s="56"/>
      <c r="K1075" s="56"/>
      <c r="L1075" s="56"/>
    </row>
    <row r="1076" spans="2:12" ht="15">
      <c r="B1076" s="7"/>
      <c r="C1076" s="56"/>
      <c r="D1076" s="56"/>
      <c r="E1076" s="56"/>
      <c r="F1076" s="56"/>
      <c r="G1076" s="56"/>
      <c r="H1076" s="56"/>
      <c r="I1076" s="56"/>
      <c r="J1076" s="56"/>
      <c r="K1076" s="56"/>
      <c r="L1076" s="56"/>
    </row>
    <row r="1077" spans="2:12" ht="15">
      <c r="B1077" s="7"/>
      <c r="C1077" s="56"/>
      <c r="D1077" s="56"/>
      <c r="E1077" s="56"/>
      <c r="F1077" s="56"/>
      <c r="G1077" s="56"/>
      <c r="H1077" s="56"/>
      <c r="I1077" s="56"/>
      <c r="J1077" s="56"/>
      <c r="K1077" s="56"/>
      <c r="L1077" s="56"/>
    </row>
    <row r="1078" spans="2:12" ht="15">
      <c r="B1078" s="7"/>
      <c r="C1078" s="56"/>
      <c r="D1078" s="56"/>
      <c r="E1078" s="56"/>
      <c r="F1078" s="56"/>
      <c r="G1078" s="56"/>
      <c r="H1078" s="56"/>
      <c r="I1078" s="56"/>
      <c r="J1078" s="56"/>
      <c r="K1078" s="56"/>
      <c r="L1078" s="56"/>
    </row>
    <row r="1079" spans="2:12" ht="15">
      <c r="B1079" s="7"/>
      <c r="C1079" s="56"/>
      <c r="D1079" s="56"/>
      <c r="E1079" s="56"/>
      <c r="F1079" s="56"/>
      <c r="G1079" s="56"/>
      <c r="H1079" s="56"/>
      <c r="I1079" s="56"/>
      <c r="J1079" s="56"/>
      <c r="K1079" s="56"/>
      <c r="L1079" s="56"/>
    </row>
    <row r="1080" spans="2:12" ht="15">
      <c r="B1080" s="7"/>
      <c r="C1080" s="56"/>
      <c r="D1080" s="56"/>
      <c r="E1080" s="56"/>
      <c r="F1080" s="56"/>
      <c r="G1080" s="56"/>
      <c r="H1080" s="56"/>
      <c r="I1080" s="56"/>
      <c r="J1080" s="56"/>
      <c r="K1080" s="56"/>
      <c r="L1080" s="56"/>
    </row>
    <row r="1081" spans="2:12" ht="15">
      <c r="B1081" s="7"/>
      <c r="C1081" s="56"/>
      <c r="D1081" s="56"/>
      <c r="E1081" s="56"/>
      <c r="F1081" s="56"/>
      <c r="G1081" s="56"/>
      <c r="H1081" s="56"/>
      <c r="I1081" s="56"/>
      <c r="J1081" s="56"/>
      <c r="K1081" s="56"/>
      <c r="L1081" s="56"/>
    </row>
    <row r="1082" spans="2:12" ht="15">
      <c r="B1082" s="7"/>
      <c r="C1082" s="56"/>
      <c r="D1082" s="56"/>
      <c r="E1082" s="56"/>
      <c r="F1082" s="56"/>
      <c r="G1082" s="56"/>
      <c r="H1082" s="56"/>
      <c r="I1082" s="56"/>
      <c r="J1082" s="56"/>
      <c r="K1082" s="56"/>
      <c r="L1082" s="56"/>
    </row>
    <row r="1083" spans="2:12" ht="15">
      <c r="B1083" s="7"/>
      <c r="C1083" s="56"/>
      <c r="D1083" s="56"/>
      <c r="E1083" s="56"/>
      <c r="F1083" s="56"/>
      <c r="G1083" s="56"/>
      <c r="H1083" s="56"/>
      <c r="I1083" s="56"/>
      <c r="J1083" s="56"/>
      <c r="K1083" s="56"/>
      <c r="L1083" s="56"/>
    </row>
    <row r="1084" spans="2:12" ht="15">
      <c r="B1084" s="7"/>
      <c r="C1084" s="56"/>
      <c r="D1084" s="56"/>
      <c r="E1084" s="56"/>
      <c r="F1084" s="56"/>
      <c r="G1084" s="56"/>
      <c r="H1084" s="56"/>
      <c r="I1084" s="56"/>
      <c r="J1084" s="56"/>
      <c r="K1084" s="56"/>
      <c r="L1084" s="56"/>
    </row>
    <row r="1085" spans="2:12" ht="15">
      <c r="B1085" s="7"/>
      <c r="C1085" s="56"/>
      <c r="D1085" s="56"/>
      <c r="E1085" s="56"/>
      <c r="F1085" s="56"/>
      <c r="G1085" s="56"/>
      <c r="H1085" s="56"/>
      <c r="I1085" s="56"/>
      <c r="J1085" s="56"/>
      <c r="K1085" s="56"/>
      <c r="L1085" s="56"/>
    </row>
    <row r="1086" spans="2:12" ht="15">
      <c r="B1086" s="7"/>
      <c r="C1086" s="56"/>
      <c r="D1086" s="56"/>
      <c r="E1086" s="56"/>
      <c r="F1086" s="56"/>
      <c r="G1086" s="56"/>
      <c r="H1086" s="56"/>
      <c r="I1086" s="56"/>
      <c r="J1086" s="56"/>
      <c r="K1086" s="56"/>
      <c r="L1086" s="56"/>
    </row>
    <row r="1087" spans="2:12" ht="15">
      <c r="B1087" s="7"/>
      <c r="C1087" s="56"/>
      <c r="D1087" s="56"/>
      <c r="E1087" s="56"/>
      <c r="F1087" s="56"/>
      <c r="G1087" s="56"/>
      <c r="H1087" s="56"/>
      <c r="I1087" s="56"/>
      <c r="J1087" s="56"/>
      <c r="K1087" s="56"/>
      <c r="L1087" s="56"/>
    </row>
    <row r="1088" spans="2:12" ht="15">
      <c r="B1088" s="7"/>
      <c r="C1088" s="56"/>
      <c r="D1088" s="56"/>
      <c r="E1088" s="56"/>
      <c r="F1088" s="56"/>
      <c r="G1088" s="56"/>
      <c r="H1088" s="56"/>
      <c r="I1088" s="56"/>
      <c r="J1088" s="56"/>
      <c r="K1088" s="56"/>
      <c r="L1088" s="56"/>
    </row>
    <row r="1089" spans="2:12" ht="15">
      <c r="B1089" s="7"/>
      <c r="C1089" s="56"/>
      <c r="D1089" s="56"/>
      <c r="E1089" s="56"/>
      <c r="F1089" s="56"/>
      <c r="G1089" s="56"/>
      <c r="H1089" s="56"/>
      <c r="I1089" s="56"/>
      <c r="J1089" s="56"/>
      <c r="K1089" s="56"/>
      <c r="L1089" s="56"/>
    </row>
    <row r="1090" spans="2:12" ht="15">
      <c r="B1090" s="7"/>
      <c r="C1090" s="56"/>
      <c r="D1090" s="56"/>
      <c r="E1090" s="56"/>
      <c r="F1090" s="56"/>
      <c r="G1090" s="56"/>
      <c r="H1090" s="56"/>
      <c r="I1090" s="56"/>
      <c r="J1090" s="56"/>
      <c r="K1090" s="56"/>
      <c r="L1090" s="56"/>
    </row>
    <row r="1091" spans="2:12" ht="15">
      <c r="B1091" s="7"/>
      <c r="C1091" s="56"/>
      <c r="D1091" s="56"/>
      <c r="E1091" s="56"/>
      <c r="F1091" s="56"/>
      <c r="G1091" s="56"/>
      <c r="H1091" s="56"/>
      <c r="I1091" s="56"/>
      <c r="J1091" s="56"/>
      <c r="K1091" s="56"/>
      <c r="L1091" s="56"/>
    </row>
    <row r="1092" spans="2:12" ht="15">
      <c r="B1092" s="7"/>
      <c r="C1092" s="56"/>
      <c r="D1092" s="56"/>
      <c r="E1092" s="56"/>
      <c r="F1092" s="56"/>
      <c r="G1092" s="56"/>
      <c r="H1092" s="56"/>
      <c r="I1092" s="56"/>
      <c r="J1092" s="56"/>
      <c r="K1092" s="56"/>
      <c r="L1092" s="56"/>
    </row>
    <row r="1093" spans="2:12" ht="15">
      <c r="B1093" s="7"/>
      <c r="C1093" s="56"/>
      <c r="D1093" s="56"/>
      <c r="E1093" s="56"/>
      <c r="F1093" s="56"/>
      <c r="G1093" s="56"/>
      <c r="H1093" s="56"/>
      <c r="I1093" s="56"/>
      <c r="J1093" s="56"/>
      <c r="K1093" s="56"/>
      <c r="L1093" s="56"/>
    </row>
    <row r="1094" spans="2:12" ht="15">
      <c r="B1094" s="7"/>
      <c r="C1094" s="56"/>
      <c r="D1094" s="56"/>
      <c r="E1094" s="56"/>
      <c r="F1094" s="56"/>
      <c r="G1094" s="56"/>
      <c r="H1094" s="56"/>
      <c r="I1094" s="56"/>
      <c r="J1094" s="56"/>
      <c r="K1094" s="56"/>
      <c r="L1094" s="56"/>
    </row>
    <row r="1095" spans="2:12" ht="15">
      <c r="B1095" s="7"/>
      <c r="C1095" s="56"/>
      <c r="D1095" s="56"/>
      <c r="E1095" s="56"/>
      <c r="F1095" s="56"/>
      <c r="G1095" s="56"/>
      <c r="H1095" s="56"/>
      <c r="I1095" s="56"/>
      <c r="J1095" s="56"/>
      <c r="K1095" s="56"/>
      <c r="L1095" s="56"/>
    </row>
    <row r="1096" spans="2:12" ht="15">
      <c r="B1096" s="7"/>
      <c r="C1096" s="56"/>
      <c r="D1096" s="56"/>
      <c r="E1096" s="56"/>
      <c r="F1096" s="56"/>
      <c r="G1096" s="56"/>
      <c r="H1096" s="56"/>
      <c r="I1096" s="56"/>
      <c r="J1096" s="56"/>
      <c r="K1096" s="56"/>
      <c r="L1096" s="56"/>
    </row>
    <row r="1097" spans="2:12" ht="15">
      <c r="B1097" s="7"/>
      <c r="C1097" s="56"/>
      <c r="D1097" s="56"/>
      <c r="E1097" s="56"/>
      <c r="F1097" s="56"/>
      <c r="G1097" s="56"/>
      <c r="H1097" s="56"/>
      <c r="I1097" s="56"/>
      <c r="J1097" s="56"/>
      <c r="K1097" s="56"/>
      <c r="L1097" s="56"/>
    </row>
    <row r="1098" spans="2:12" ht="15">
      <c r="B1098" s="7"/>
      <c r="C1098" s="56"/>
      <c r="D1098" s="56"/>
      <c r="E1098" s="56"/>
      <c r="F1098" s="56"/>
      <c r="G1098" s="56"/>
      <c r="H1098" s="56"/>
      <c r="I1098" s="56"/>
      <c r="J1098" s="56"/>
      <c r="K1098" s="56"/>
      <c r="L1098" s="56"/>
    </row>
    <row r="1099" spans="2:12" ht="15">
      <c r="B1099" s="7"/>
      <c r="C1099" s="56"/>
      <c r="D1099" s="56"/>
      <c r="E1099" s="56"/>
      <c r="F1099" s="56"/>
      <c r="G1099" s="56"/>
      <c r="H1099" s="56"/>
      <c r="I1099" s="56"/>
      <c r="J1099" s="56"/>
      <c r="K1099" s="56"/>
      <c r="L1099" s="56"/>
    </row>
    <row r="1100" spans="2:12" ht="15">
      <c r="B1100" s="7"/>
      <c r="C1100" s="56"/>
      <c r="D1100" s="56"/>
      <c r="E1100" s="56"/>
      <c r="F1100" s="56"/>
      <c r="G1100" s="56"/>
      <c r="H1100" s="56"/>
      <c r="I1100" s="56"/>
      <c r="J1100" s="56"/>
      <c r="K1100" s="56"/>
      <c r="L1100" s="56"/>
    </row>
    <row r="1101" spans="2:12" ht="15">
      <c r="B1101" s="7"/>
      <c r="C1101" s="56"/>
      <c r="D1101" s="56"/>
      <c r="E1101" s="56"/>
      <c r="F1101" s="56"/>
      <c r="G1101" s="56"/>
      <c r="H1101" s="56"/>
      <c r="I1101" s="56"/>
      <c r="J1101" s="56"/>
      <c r="K1101" s="56"/>
      <c r="L1101" s="56"/>
    </row>
    <row r="1102" spans="2:12" ht="15">
      <c r="B1102" s="7"/>
      <c r="C1102" s="56"/>
      <c r="D1102" s="56"/>
      <c r="E1102" s="56"/>
      <c r="F1102" s="56"/>
      <c r="G1102" s="56"/>
      <c r="H1102" s="56"/>
      <c r="I1102" s="56"/>
      <c r="J1102" s="56"/>
      <c r="K1102" s="56"/>
      <c r="L1102" s="56"/>
    </row>
    <row r="1103" spans="2:12" ht="15">
      <c r="B1103" s="7"/>
      <c r="C1103" s="56"/>
      <c r="D1103" s="56"/>
      <c r="E1103" s="56"/>
      <c r="F1103" s="56"/>
      <c r="G1103" s="56"/>
      <c r="H1103" s="56"/>
      <c r="I1103" s="56"/>
      <c r="J1103" s="56"/>
      <c r="K1103" s="56"/>
      <c r="L1103" s="56"/>
    </row>
    <row r="1104" spans="2:12" ht="15">
      <c r="B1104" s="7"/>
      <c r="C1104" s="56"/>
      <c r="D1104" s="56"/>
      <c r="E1104" s="56"/>
      <c r="F1104" s="56"/>
      <c r="G1104" s="56"/>
      <c r="H1104" s="56"/>
      <c r="I1104" s="56"/>
      <c r="J1104" s="56"/>
      <c r="K1104" s="56"/>
      <c r="L1104" s="56"/>
    </row>
    <row r="1105" spans="2:12" ht="15">
      <c r="B1105" s="7"/>
      <c r="C1105" s="56"/>
      <c r="D1105" s="56"/>
      <c r="E1105" s="56"/>
      <c r="F1105" s="56"/>
      <c r="G1105" s="56"/>
      <c r="H1105" s="56"/>
      <c r="I1105" s="56"/>
      <c r="J1105" s="56"/>
      <c r="K1105" s="56"/>
      <c r="L1105" s="56"/>
    </row>
    <row r="1106" spans="2:12" ht="15">
      <c r="B1106" s="7"/>
      <c r="C1106" s="56"/>
      <c r="D1106" s="56"/>
      <c r="E1106" s="56"/>
      <c r="F1106" s="56"/>
      <c r="G1106" s="56"/>
      <c r="H1106" s="56"/>
      <c r="I1106" s="56"/>
      <c r="J1106" s="56"/>
      <c r="K1106" s="56"/>
      <c r="L1106" s="56"/>
    </row>
    <row r="1107" spans="2:12" ht="15">
      <c r="B1107" s="7"/>
      <c r="C1107" s="56"/>
      <c r="D1107" s="56"/>
      <c r="E1107" s="56"/>
      <c r="F1107" s="56"/>
      <c r="G1107" s="56"/>
      <c r="H1107" s="56"/>
      <c r="I1107" s="56"/>
      <c r="J1107" s="56"/>
      <c r="K1107" s="56"/>
      <c r="L1107" s="56"/>
    </row>
    <row r="1108" spans="2:12" ht="15">
      <c r="B1108" s="7"/>
      <c r="C1108" s="56"/>
      <c r="D1108" s="56"/>
      <c r="E1108" s="56"/>
      <c r="F1108" s="56"/>
      <c r="G1108" s="56"/>
      <c r="H1108" s="56"/>
      <c r="I1108" s="56"/>
      <c r="J1108" s="56"/>
      <c r="K1108" s="56"/>
      <c r="L1108" s="56"/>
    </row>
    <row r="1109" spans="2:12" ht="15">
      <c r="B1109" s="7"/>
      <c r="C1109" s="56"/>
      <c r="D1109" s="56"/>
      <c r="E1109" s="56"/>
      <c r="F1109" s="56"/>
      <c r="G1109" s="56"/>
      <c r="H1109" s="56"/>
      <c r="I1109" s="56"/>
      <c r="J1109" s="56"/>
      <c r="K1109" s="56"/>
      <c r="L1109" s="56"/>
    </row>
    <row r="1110" spans="2:12" ht="15">
      <c r="B1110" s="7"/>
      <c r="C1110" s="56"/>
      <c r="D1110" s="56"/>
      <c r="E1110" s="56"/>
      <c r="F1110" s="56"/>
      <c r="G1110" s="56"/>
      <c r="H1110" s="56"/>
      <c r="I1110" s="56"/>
      <c r="J1110" s="56"/>
      <c r="K1110" s="56"/>
      <c r="L1110" s="56"/>
    </row>
    <row r="1111" spans="2:12" ht="15">
      <c r="B1111" s="7"/>
      <c r="C1111" s="56"/>
      <c r="D1111" s="56"/>
      <c r="E1111" s="56"/>
      <c r="F1111" s="56"/>
      <c r="G1111" s="56"/>
      <c r="H1111" s="56"/>
      <c r="I1111" s="56"/>
      <c r="J1111" s="56"/>
      <c r="K1111" s="56"/>
      <c r="L1111" s="56"/>
    </row>
    <row r="1112" spans="2:12" ht="15">
      <c r="B1112" s="7"/>
      <c r="C1112" s="56"/>
      <c r="D1112" s="56"/>
      <c r="E1112" s="56"/>
      <c r="F1112" s="56"/>
      <c r="G1112" s="56"/>
      <c r="H1112" s="56"/>
      <c r="I1112" s="56"/>
      <c r="J1112" s="56"/>
      <c r="K1112" s="56"/>
      <c r="L1112" s="56"/>
    </row>
    <row r="1113" spans="2:12" ht="15">
      <c r="B1113" s="7"/>
      <c r="C1113" s="56"/>
      <c r="D1113" s="56"/>
      <c r="E1113" s="56"/>
      <c r="F1113" s="56"/>
      <c r="G1113" s="56"/>
      <c r="H1113" s="56"/>
      <c r="I1113" s="56"/>
      <c r="J1113" s="56"/>
      <c r="K1113" s="56"/>
      <c r="L1113" s="56"/>
    </row>
    <row r="1114" spans="2:12" ht="15">
      <c r="B1114" s="7"/>
      <c r="C1114" s="56"/>
      <c r="D1114" s="56"/>
      <c r="E1114" s="56"/>
      <c r="F1114" s="56"/>
      <c r="G1114" s="56"/>
      <c r="H1114" s="56"/>
      <c r="I1114" s="56"/>
      <c r="J1114" s="56"/>
      <c r="K1114" s="56"/>
      <c r="L1114" s="56"/>
    </row>
    <row r="1115" spans="2:12" ht="15">
      <c r="B1115" s="7"/>
      <c r="C1115" s="56"/>
      <c r="D1115" s="56"/>
      <c r="E1115" s="56"/>
      <c r="F1115" s="56"/>
      <c r="G1115" s="56"/>
      <c r="H1115" s="56"/>
      <c r="I1115" s="56"/>
      <c r="J1115" s="56"/>
      <c r="K1115" s="56"/>
      <c r="L1115" s="56"/>
    </row>
    <row r="1116" spans="2:12" ht="15">
      <c r="B1116" s="7"/>
      <c r="C1116" s="56"/>
      <c r="D1116" s="56"/>
      <c r="E1116" s="56"/>
      <c r="F1116" s="56"/>
      <c r="G1116" s="56"/>
      <c r="H1116" s="56"/>
      <c r="I1116" s="56"/>
      <c r="J1116" s="56"/>
      <c r="K1116" s="56"/>
      <c r="L1116" s="56"/>
    </row>
    <row r="1117" spans="2:12" ht="15">
      <c r="B1117" s="7"/>
      <c r="C1117" s="56"/>
      <c r="D1117" s="56"/>
      <c r="E1117" s="56"/>
      <c r="F1117" s="56"/>
      <c r="G1117" s="56"/>
      <c r="H1117" s="56"/>
      <c r="I1117" s="56"/>
      <c r="J1117" s="56"/>
      <c r="K1117" s="56"/>
      <c r="L1117" s="56"/>
    </row>
    <row r="1118" spans="2:12" ht="15">
      <c r="B1118" s="7"/>
      <c r="C1118" s="56"/>
      <c r="D1118" s="56"/>
      <c r="E1118" s="56"/>
      <c r="F1118" s="56"/>
      <c r="G1118" s="56"/>
      <c r="H1118" s="56"/>
      <c r="I1118" s="56"/>
      <c r="J1118" s="56"/>
      <c r="K1118" s="56"/>
      <c r="L1118" s="56"/>
    </row>
    <row r="1119" spans="2:12" ht="15">
      <c r="B1119" s="7"/>
      <c r="C1119" s="56"/>
      <c r="D1119" s="56"/>
      <c r="E1119" s="56"/>
      <c r="F1119" s="56"/>
      <c r="G1119" s="56"/>
      <c r="H1119" s="56"/>
      <c r="I1119" s="56"/>
      <c r="J1119" s="56"/>
      <c r="K1119" s="56"/>
      <c r="L1119" s="56"/>
    </row>
    <row r="1120" spans="2:12" ht="15">
      <c r="B1120" s="7"/>
      <c r="C1120" s="56"/>
      <c r="D1120" s="56"/>
      <c r="E1120" s="56"/>
      <c r="F1120" s="56"/>
      <c r="G1120" s="56"/>
      <c r="H1120" s="56"/>
      <c r="I1120" s="56"/>
      <c r="J1120" s="56"/>
      <c r="K1120" s="56"/>
      <c r="L1120" s="56"/>
    </row>
    <row r="1121" spans="2:12" ht="15">
      <c r="B1121" s="7"/>
      <c r="C1121" s="56"/>
      <c r="D1121" s="56"/>
      <c r="E1121" s="56"/>
      <c r="F1121" s="56"/>
      <c r="G1121" s="56"/>
      <c r="H1121" s="56"/>
      <c r="I1121" s="56"/>
      <c r="J1121" s="56"/>
      <c r="K1121" s="56"/>
      <c r="L1121" s="56"/>
    </row>
    <row r="1122" spans="2:12" ht="15">
      <c r="B1122" s="7"/>
      <c r="C1122" s="56"/>
      <c r="D1122" s="56"/>
      <c r="E1122" s="56"/>
      <c r="F1122" s="56"/>
      <c r="G1122" s="56"/>
      <c r="H1122" s="56"/>
      <c r="I1122" s="56"/>
      <c r="J1122" s="56"/>
      <c r="K1122" s="56"/>
      <c r="L1122" s="56"/>
    </row>
    <row r="1123" spans="2:12" ht="15">
      <c r="B1123" s="7"/>
      <c r="C1123" s="56"/>
      <c r="D1123" s="56"/>
      <c r="E1123" s="56"/>
      <c r="F1123" s="56"/>
      <c r="G1123" s="56"/>
      <c r="H1123" s="56"/>
      <c r="I1123" s="56"/>
      <c r="J1123" s="56"/>
      <c r="K1123" s="56"/>
      <c r="L1123" s="56"/>
    </row>
    <row r="1124" spans="2:12" ht="15">
      <c r="B1124" s="7"/>
      <c r="C1124" s="56"/>
      <c r="D1124" s="56"/>
      <c r="E1124" s="56"/>
      <c r="F1124" s="56"/>
      <c r="G1124" s="56"/>
      <c r="H1124" s="56"/>
      <c r="I1124" s="56"/>
      <c r="J1124" s="56"/>
      <c r="K1124" s="56"/>
      <c r="L1124" s="56"/>
    </row>
    <row r="1125" spans="2:12" ht="15">
      <c r="B1125" s="7"/>
      <c r="C1125" s="56"/>
      <c r="D1125" s="56"/>
      <c r="E1125" s="56"/>
      <c r="F1125" s="56"/>
      <c r="G1125" s="56"/>
      <c r="H1125" s="56"/>
      <c r="I1125" s="56"/>
      <c r="J1125" s="56"/>
      <c r="K1125" s="56"/>
      <c r="L1125" s="56"/>
    </row>
    <row r="1126" spans="2:12" ht="15">
      <c r="B1126" s="7"/>
      <c r="C1126" s="56"/>
      <c r="D1126" s="56"/>
      <c r="E1126" s="56"/>
      <c r="F1126" s="56"/>
      <c r="G1126" s="56"/>
      <c r="H1126" s="56"/>
      <c r="I1126" s="56"/>
      <c r="J1126" s="56"/>
      <c r="K1126" s="56"/>
      <c r="L1126" s="56"/>
    </row>
    <row r="1127" spans="2:12" ht="15">
      <c r="B1127" s="7"/>
      <c r="C1127" s="56"/>
      <c r="D1127" s="56"/>
      <c r="E1127" s="56"/>
      <c r="F1127" s="56"/>
      <c r="G1127" s="56"/>
      <c r="H1127" s="56"/>
      <c r="I1127" s="56"/>
      <c r="J1127" s="56"/>
      <c r="K1127" s="56"/>
      <c r="L1127" s="56"/>
    </row>
    <row r="1128" spans="2:12" ht="15">
      <c r="B1128" s="7"/>
      <c r="C1128" s="56"/>
      <c r="D1128" s="56"/>
      <c r="E1128" s="56"/>
      <c r="F1128" s="56"/>
      <c r="G1128" s="56"/>
      <c r="H1128" s="56"/>
      <c r="I1128" s="56"/>
      <c r="J1128" s="56"/>
      <c r="K1128" s="56"/>
      <c r="L1128" s="56"/>
    </row>
    <row r="1129" spans="2:12" ht="15">
      <c r="B1129" s="7"/>
      <c r="C1129" s="56"/>
      <c r="D1129" s="56"/>
      <c r="E1129" s="56"/>
      <c r="F1129" s="56"/>
      <c r="G1129" s="56"/>
      <c r="H1129" s="56"/>
      <c r="I1129" s="56"/>
      <c r="J1129" s="56"/>
      <c r="K1129" s="56"/>
      <c r="L1129" s="56"/>
    </row>
    <row r="1130" spans="2:12" ht="15">
      <c r="B1130" s="7"/>
      <c r="C1130" s="56"/>
      <c r="D1130" s="56"/>
      <c r="E1130" s="56"/>
      <c r="F1130" s="56"/>
      <c r="G1130" s="56"/>
      <c r="H1130" s="56"/>
      <c r="I1130" s="56"/>
      <c r="J1130" s="56"/>
      <c r="K1130" s="56"/>
      <c r="L1130" s="56"/>
    </row>
    <row r="1131" spans="2:12" ht="15">
      <c r="B1131" s="7"/>
      <c r="C1131" s="56"/>
      <c r="D1131" s="56"/>
      <c r="E1131" s="56"/>
      <c r="F1131" s="56"/>
      <c r="G1131" s="56"/>
      <c r="H1131" s="56"/>
      <c r="I1131" s="56"/>
      <c r="J1131" s="56"/>
      <c r="K1131" s="56"/>
      <c r="L1131" s="56"/>
    </row>
    <row r="1132" spans="2:12" ht="15">
      <c r="B1132" s="7"/>
      <c r="C1132" s="56"/>
      <c r="D1132" s="56"/>
      <c r="E1132" s="56"/>
      <c r="F1132" s="56"/>
      <c r="G1132" s="56"/>
      <c r="H1132" s="56"/>
      <c r="I1132" s="56"/>
      <c r="J1132" s="56"/>
      <c r="K1132" s="56"/>
      <c r="L1132" s="56"/>
    </row>
    <row r="1133" spans="2:12" ht="15">
      <c r="B1133" s="7"/>
      <c r="C1133" s="56"/>
      <c r="D1133" s="56"/>
      <c r="E1133" s="56"/>
      <c r="F1133" s="56"/>
      <c r="G1133" s="56"/>
      <c r="H1133" s="56"/>
      <c r="I1133" s="56"/>
      <c r="J1133" s="56"/>
      <c r="K1133" s="56"/>
      <c r="L1133" s="56"/>
    </row>
    <row r="1134" spans="2:12" ht="15">
      <c r="B1134" s="7"/>
      <c r="C1134" s="56"/>
      <c r="D1134" s="56"/>
      <c r="E1134" s="56"/>
      <c r="F1134" s="56"/>
      <c r="G1134" s="56"/>
      <c r="H1134" s="56"/>
      <c r="I1134" s="56"/>
      <c r="J1134" s="56"/>
      <c r="K1134" s="56"/>
      <c r="L1134" s="56"/>
    </row>
    <row r="1135" spans="2:12" ht="15">
      <c r="B1135" s="7"/>
      <c r="C1135" s="56"/>
      <c r="D1135" s="56"/>
      <c r="E1135" s="56"/>
      <c r="F1135" s="56"/>
      <c r="G1135" s="56"/>
      <c r="H1135" s="56"/>
      <c r="I1135" s="56"/>
      <c r="J1135" s="56"/>
      <c r="K1135" s="56"/>
      <c r="L1135" s="56"/>
    </row>
    <row r="1136" spans="2:12" ht="15">
      <c r="B1136" s="7"/>
      <c r="C1136" s="56"/>
      <c r="D1136" s="56"/>
      <c r="E1136" s="56"/>
      <c r="F1136" s="56"/>
      <c r="G1136" s="56"/>
      <c r="H1136" s="56"/>
      <c r="I1136" s="56"/>
      <c r="J1136" s="56"/>
      <c r="K1136" s="56"/>
      <c r="L1136" s="56"/>
    </row>
    <row r="1137" spans="2:12" ht="15">
      <c r="B1137" s="7"/>
      <c r="C1137" s="56"/>
      <c r="D1137" s="56"/>
      <c r="E1137" s="56"/>
      <c r="F1137" s="56"/>
      <c r="G1137" s="56"/>
      <c r="H1137" s="56"/>
      <c r="I1137" s="56"/>
      <c r="J1137" s="56"/>
      <c r="K1137" s="56"/>
      <c r="L1137" s="56"/>
    </row>
    <row r="1138" spans="2:12" ht="15">
      <c r="B1138" s="7"/>
      <c r="C1138" s="56"/>
      <c r="D1138" s="56"/>
      <c r="E1138" s="56"/>
      <c r="F1138" s="56"/>
      <c r="G1138" s="56"/>
      <c r="H1138" s="56"/>
      <c r="I1138" s="56"/>
      <c r="J1138" s="56"/>
      <c r="K1138" s="56"/>
      <c r="L1138" s="56"/>
    </row>
    <row r="1139" spans="2:12" ht="15">
      <c r="B1139" s="7"/>
      <c r="C1139" s="56"/>
      <c r="D1139" s="56"/>
      <c r="E1139" s="56"/>
      <c r="F1139" s="56"/>
      <c r="G1139" s="56"/>
      <c r="H1139" s="56"/>
      <c r="I1139" s="56"/>
      <c r="J1139" s="56"/>
      <c r="K1139" s="56"/>
      <c r="L1139" s="56"/>
    </row>
    <row r="1140" spans="2:12" ht="15">
      <c r="B1140" s="7"/>
      <c r="C1140" s="56"/>
      <c r="D1140" s="56"/>
      <c r="E1140" s="56"/>
      <c r="F1140" s="56"/>
      <c r="G1140" s="56"/>
      <c r="H1140" s="56"/>
      <c r="I1140" s="56"/>
      <c r="J1140" s="56"/>
      <c r="K1140" s="56"/>
      <c r="L1140" s="56"/>
    </row>
    <row r="1141" spans="2:12" ht="15">
      <c r="B1141" s="7"/>
      <c r="C1141" s="56"/>
      <c r="D1141" s="56"/>
      <c r="E1141" s="56"/>
      <c r="F1141" s="56"/>
      <c r="G1141" s="56"/>
      <c r="H1141" s="56"/>
      <c r="I1141" s="56"/>
      <c r="J1141" s="56"/>
      <c r="K1141" s="56"/>
      <c r="L1141" s="56"/>
    </row>
    <row r="1142" spans="2:12" ht="15">
      <c r="B1142" s="7"/>
      <c r="C1142" s="56"/>
      <c r="D1142" s="56"/>
      <c r="E1142" s="56"/>
      <c r="F1142" s="56"/>
      <c r="G1142" s="56"/>
      <c r="H1142" s="56"/>
      <c r="I1142" s="56"/>
      <c r="J1142" s="56"/>
      <c r="K1142" s="56"/>
      <c r="L1142" s="56"/>
    </row>
    <row r="1143" spans="2:12" ht="15">
      <c r="B1143" s="7"/>
      <c r="C1143" s="56"/>
      <c r="D1143" s="56"/>
      <c r="E1143" s="56"/>
      <c r="F1143" s="56"/>
      <c r="G1143" s="56"/>
      <c r="H1143" s="56"/>
      <c r="I1143" s="56"/>
      <c r="J1143" s="56"/>
      <c r="K1143" s="56"/>
      <c r="L1143" s="56"/>
    </row>
    <row r="1144" spans="2:12" ht="15">
      <c r="B1144" s="7"/>
      <c r="C1144" s="56"/>
      <c r="D1144" s="56"/>
      <c r="E1144" s="56"/>
      <c r="F1144" s="56"/>
      <c r="G1144" s="56"/>
      <c r="H1144" s="56"/>
      <c r="I1144" s="56"/>
      <c r="J1144" s="56"/>
      <c r="K1144" s="56"/>
      <c r="L1144" s="56"/>
    </row>
    <row r="1145" spans="2:12" ht="15">
      <c r="B1145" s="7"/>
      <c r="C1145" s="56"/>
      <c r="D1145" s="56"/>
      <c r="E1145" s="56"/>
      <c r="F1145" s="56"/>
      <c r="G1145" s="56"/>
      <c r="H1145" s="56"/>
      <c r="I1145" s="56"/>
      <c r="J1145" s="56"/>
      <c r="K1145" s="56"/>
      <c r="L1145" s="56"/>
    </row>
    <row r="1146" spans="2:12" ht="15">
      <c r="B1146" s="7"/>
      <c r="C1146" s="56"/>
      <c r="D1146" s="56"/>
      <c r="E1146" s="56"/>
      <c r="F1146" s="56"/>
      <c r="G1146" s="56"/>
      <c r="H1146" s="56"/>
      <c r="I1146" s="56"/>
      <c r="J1146" s="56"/>
      <c r="K1146" s="56"/>
      <c r="L1146" s="56"/>
    </row>
    <row r="1147" spans="2:12" ht="15">
      <c r="B1147" s="7"/>
      <c r="C1147" s="56"/>
      <c r="D1147" s="56"/>
      <c r="E1147" s="56"/>
      <c r="F1147" s="56"/>
      <c r="G1147" s="56"/>
      <c r="H1147" s="56"/>
      <c r="I1147" s="56"/>
      <c r="J1147" s="56"/>
      <c r="K1147" s="56"/>
      <c r="L1147" s="56"/>
    </row>
    <row r="1148" spans="2:12" ht="15">
      <c r="B1148" s="7"/>
      <c r="C1148" s="56"/>
      <c r="D1148" s="56"/>
      <c r="E1148" s="56"/>
      <c r="F1148" s="56"/>
      <c r="G1148" s="56"/>
      <c r="H1148" s="56"/>
      <c r="I1148" s="56"/>
      <c r="J1148" s="56"/>
      <c r="K1148" s="56"/>
      <c r="L1148" s="56"/>
    </row>
    <row r="1149" spans="2:12" ht="15">
      <c r="B1149" s="7"/>
      <c r="C1149" s="56"/>
      <c r="D1149" s="56"/>
      <c r="E1149" s="56"/>
      <c r="F1149" s="56"/>
      <c r="G1149" s="56"/>
      <c r="H1149" s="56"/>
      <c r="I1149" s="56"/>
      <c r="J1149" s="56"/>
      <c r="K1149" s="56"/>
      <c r="L1149" s="56"/>
    </row>
    <row r="1150" spans="2:12" ht="15">
      <c r="B1150" s="7"/>
      <c r="C1150" s="56"/>
      <c r="D1150" s="56"/>
      <c r="E1150" s="56"/>
      <c r="F1150" s="56"/>
      <c r="G1150" s="56"/>
      <c r="H1150" s="56"/>
      <c r="I1150" s="56"/>
      <c r="J1150" s="56"/>
      <c r="K1150" s="56"/>
      <c r="L1150" s="56"/>
    </row>
    <row r="1151" spans="2:12" ht="15">
      <c r="B1151" s="7"/>
      <c r="C1151" s="56"/>
      <c r="D1151" s="56"/>
      <c r="E1151" s="56"/>
      <c r="F1151" s="56"/>
      <c r="G1151" s="56"/>
      <c r="H1151" s="56"/>
      <c r="I1151" s="56"/>
      <c r="J1151" s="56"/>
      <c r="K1151" s="56"/>
      <c r="L1151" s="56"/>
    </row>
    <row r="1152" spans="2:12" ht="15">
      <c r="B1152" s="7"/>
      <c r="C1152" s="56"/>
      <c r="D1152" s="56"/>
      <c r="E1152" s="56"/>
      <c r="F1152" s="56"/>
      <c r="G1152" s="56"/>
      <c r="H1152" s="56"/>
      <c r="I1152" s="56"/>
      <c r="J1152" s="56"/>
      <c r="K1152" s="56"/>
      <c r="L1152" s="56"/>
    </row>
    <row r="1153" spans="2:12" ht="15">
      <c r="B1153" s="7"/>
      <c r="C1153" s="56"/>
      <c r="D1153" s="56"/>
      <c r="E1153" s="56"/>
      <c r="F1153" s="56"/>
      <c r="G1153" s="56"/>
      <c r="H1153" s="56"/>
      <c r="I1153" s="56"/>
      <c r="J1153" s="56"/>
      <c r="K1153" s="56"/>
      <c r="L1153" s="56"/>
    </row>
    <row r="1154" spans="2:12" ht="15">
      <c r="B1154" s="7"/>
      <c r="C1154" s="56"/>
      <c r="D1154" s="56"/>
      <c r="E1154" s="56"/>
      <c r="F1154" s="56"/>
      <c r="G1154" s="56"/>
      <c r="H1154" s="56"/>
      <c r="I1154" s="56"/>
      <c r="J1154" s="56"/>
      <c r="K1154" s="56"/>
      <c r="L1154" s="56"/>
    </row>
    <row r="1155" spans="2:12" ht="15">
      <c r="B1155" s="7"/>
      <c r="C1155" s="56"/>
      <c r="D1155" s="56"/>
      <c r="E1155" s="56"/>
      <c r="F1155" s="56"/>
      <c r="G1155" s="56"/>
      <c r="H1155" s="56"/>
      <c r="I1155" s="56"/>
      <c r="J1155" s="56"/>
      <c r="K1155" s="56"/>
      <c r="L1155" s="56"/>
    </row>
    <row r="1156" spans="2:12" ht="15">
      <c r="B1156" s="7"/>
      <c r="C1156" s="56"/>
      <c r="D1156" s="56"/>
      <c r="E1156" s="56"/>
      <c r="F1156" s="56"/>
      <c r="G1156" s="56"/>
      <c r="H1156" s="56"/>
      <c r="I1156" s="56"/>
      <c r="J1156" s="56"/>
      <c r="K1156" s="56"/>
      <c r="L1156" s="56"/>
    </row>
    <row r="1157" spans="2:12" ht="15">
      <c r="B1157" s="7"/>
      <c r="C1157" s="56"/>
      <c r="D1157" s="56"/>
      <c r="E1157" s="56"/>
      <c r="F1157" s="56"/>
      <c r="G1157" s="56"/>
      <c r="H1157" s="56"/>
      <c r="I1157" s="56"/>
      <c r="J1157" s="56"/>
      <c r="K1157" s="56"/>
      <c r="L1157" s="56"/>
    </row>
    <row r="1158" spans="2:12" ht="15">
      <c r="B1158" s="7"/>
      <c r="C1158" s="56"/>
      <c r="D1158" s="56"/>
      <c r="E1158" s="56"/>
      <c r="F1158" s="56"/>
      <c r="G1158" s="56"/>
      <c r="H1158" s="56"/>
      <c r="I1158" s="56"/>
      <c r="J1158" s="56"/>
      <c r="K1158" s="56"/>
      <c r="L1158" s="56"/>
    </row>
    <row r="1159" spans="2:12" ht="15">
      <c r="B1159" s="7"/>
      <c r="C1159" s="56"/>
      <c r="D1159" s="56"/>
      <c r="E1159" s="56"/>
      <c r="F1159" s="56"/>
      <c r="G1159" s="56"/>
      <c r="H1159" s="56"/>
      <c r="I1159" s="56"/>
      <c r="J1159" s="56"/>
      <c r="K1159" s="56"/>
      <c r="L1159" s="56"/>
    </row>
    <row r="1160" spans="2:12" ht="15">
      <c r="B1160" s="7"/>
      <c r="C1160" s="56"/>
      <c r="D1160" s="56"/>
      <c r="E1160" s="56"/>
      <c r="F1160" s="56"/>
      <c r="G1160" s="56"/>
      <c r="H1160" s="56"/>
      <c r="I1160" s="56"/>
      <c r="J1160" s="56"/>
      <c r="K1160" s="56"/>
      <c r="L1160" s="56"/>
    </row>
    <row r="1161" spans="2:12" ht="15">
      <c r="B1161" s="7"/>
      <c r="C1161" s="56"/>
      <c r="D1161" s="56"/>
      <c r="E1161" s="56"/>
      <c r="F1161" s="56"/>
      <c r="G1161" s="56"/>
      <c r="H1161" s="56"/>
      <c r="I1161" s="56"/>
      <c r="J1161" s="56"/>
      <c r="K1161" s="56"/>
      <c r="L1161" s="56"/>
    </row>
    <row r="1162" spans="2:12" ht="15">
      <c r="B1162" s="7"/>
      <c r="C1162" s="56"/>
      <c r="D1162" s="56"/>
      <c r="E1162" s="56"/>
      <c r="F1162" s="56"/>
      <c r="G1162" s="56"/>
      <c r="H1162" s="56"/>
      <c r="I1162" s="56"/>
      <c r="J1162" s="56"/>
      <c r="K1162" s="56"/>
      <c r="L1162" s="56"/>
    </row>
    <row r="1163" spans="2:12" ht="15">
      <c r="B1163" s="7"/>
      <c r="C1163" s="56"/>
      <c r="D1163" s="56"/>
      <c r="E1163" s="56"/>
      <c r="F1163" s="56"/>
      <c r="G1163" s="56"/>
      <c r="H1163" s="56"/>
      <c r="I1163" s="56"/>
      <c r="J1163" s="56"/>
      <c r="K1163" s="56"/>
      <c r="L1163" s="56"/>
    </row>
    <row r="1164" spans="2:12" ht="15">
      <c r="B1164" s="7"/>
      <c r="C1164" s="56"/>
      <c r="D1164" s="56"/>
      <c r="E1164" s="56"/>
      <c r="F1164" s="56"/>
      <c r="G1164" s="56"/>
      <c r="H1164" s="56"/>
      <c r="I1164" s="56"/>
      <c r="J1164" s="56"/>
      <c r="K1164" s="56"/>
      <c r="L1164" s="56"/>
    </row>
    <row r="1165" spans="2:12" ht="15">
      <c r="B1165" s="7"/>
      <c r="C1165" s="56"/>
      <c r="D1165" s="56"/>
      <c r="E1165" s="56"/>
      <c r="F1165" s="56"/>
      <c r="G1165" s="56"/>
      <c r="H1165" s="56"/>
      <c r="I1165" s="56"/>
      <c r="J1165" s="56"/>
      <c r="K1165" s="56"/>
      <c r="L1165" s="56"/>
    </row>
    <row r="1166" spans="2:12" ht="15">
      <c r="B1166" s="7"/>
      <c r="C1166" s="56"/>
      <c r="D1166" s="56"/>
      <c r="E1166" s="56"/>
      <c r="F1166" s="56"/>
      <c r="G1166" s="56"/>
      <c r="H1166" s="56"/>
      <c r="I1166" s="56"/>
      <c r="J1166" s="56"/>
      <c r="K1166" s="56"/>
      <c r="L1166" s="56"/>
    </row>
    <row r="1167" spans="2:12" ht="15">
      <c r="B1167" s="7"/>
      <c r="C1167" s="56"/>
      <c r="D1167" s="56"/>
      <c r="E1167" s="56"/>
      <c r="F1167" s="56"/>
      <c r="G1167" s="56"/>
      <c r="H1167" s="56"/>
      <c r="I1167" s="56"/>
      <c r="J1167" s="56"/>
      <c r="K1167" s="56"/>
      <c r="L1167" s="56"/>
    </row>
    <row r="1168" spans="2:12" ht="15">
      <c r="B1168" s="7"/>
      <c r="C1168" s="56"/>
      <c r="D1168" s="56"/>
      <c r="E1168" s="56"/>
      <c r="F1168" s="56"/>
      <c r="G1168" s="56"/>
      <c r="H1168" s="56"/>
      <c r="I1168" s="56"/>
      <c r="J1168" s="56"/>
      <c r="K1168" s="56"/>
      <c r="L1168" s="56"/>
    </row>
    <row r="1169" spans="2:12" ht="15">
      <c r="B1169" s="7"/>
      <c r="C1169" s="56"/>
      <c r="D1169" s="56"/>
      <c r="E1169" s="56"/>
      <c r="F1169" s="56"/>
      <c r="G1169" s="56"/>
      <c r="H1169" s="56"/>
      <c r="I1169" s="56"/>
      <c r="J1169" s="56"/>
      <c r="K1169" s="56"/>
      <c r="L1169" s="56"/>
    </row>
    <row r="1170" spans="2:12" ht="15">
      <c r="B1170" s="7"/>
      <c r="C1170" s="56"/>
      <c r="D1170" s="56"/>
      <c r="E1170" s="56"/>
      <c r="F1170" s="56"/>
      <c r="G1170" s="56"/>
      <c r="H1170" s="56"/>
      <c r="I1170" s="56"/>
      <c r="J1170" s="56"/>
      <c r="K1170" s="56"/>
      <c r="L1170" s="56"/>
    </row>
    <row r="1171" spans="2:12" ht="15">
      <c r="B1171" s="7"/>
      <c r="C1171" s="56"/>
      <c r="D1171" s="56"/>
      <c r="E1171" s="56"/>
      <c r="F1171" s="56"/>
      <c r="G1171" s="56"/>
      <c r="H1171" s="56"/>
      <c r="I1171" s="56"/>
      <c r="J1171" s="56"/>
      <c r="K1171" s="56"/>
      <c r="L1171" s="56"/>
    </row>
    <row r="1172" spans="2:12" ht="15">
      <c r="B1172" s="7"/>
      <c r="C1172" s="56"/>
      <c r="D1172" s="56"/>
      <c r="E1172" s="56"/>
      <c r="F1172" s="56"/>
      <c r="G1172" s="56"/>
      <c r="H1172" s="56"/>
      <c r="I1172" s="56"/>
      <c r="J1172" s="56"/>
      <c r="K1172" s="56"/>
      <c r="L1172" s="56"/>
    </row>
    <row r="1173" spans="2:12" ht="15">
      <c r="B1173" s="7"/>
      <c r="C1173" s="56"/>
      <c r="D1173" s="56"/>
      <c r="E1173" s="56"/>
      <c r="F1173" s="56"/>
      <c r="G1173" s="56"/>
      <c r="H1173" s="56"/>
      <c r="I1173" s="56"/>
      <c r="J1173" s="56"/>
      <c r="K1173" s="56"/>
      <c r="L1173" s="56"/>
    </row>
    <row r="1174" spans="2:12" ht="15">
      <c r="B1174" s="7"/>
      <c r="C1174" s="56"/>
      <c r="D1174" s="56"/>
      <c r="E1174" s="56"/>
      <c r="F1174" s="56"/>
      <c r="G1174" s="56"/>
      <c r="H1174" s="56"/>
      <c r="I1174" s="56"/>
      <c r="J1174" s="56"/>
      <c r="K1174" s="56"/>
      <c r="L1174" s="56"/>
    </row>
    <row r="1175" spans="2:12" ht="15">
      <c r="B1175" s="7"/>
      <c r="C1175" s="56"/>
      <c r="D1175" s="56"/>
      <c r="E1175" s="56"/>
      <c r="F1175" s="56"/>
      <c r="G1175" s="56"/>
      <c r="H1175" s="56"/>
      <c r="I1175" s="56"/>
      <c r="J1175" s="56"/>
      <c r="K1175" s="56"/>
      <c r="L1175" s="56"/>
    </row>
    <row r="1176" spans="2:12" ht="15">
      <c r="B1176" s="7"/>
      <c r="C1176" s="56"/>
      <c r="D1176" s="56"/>
      <c r="E1176" s="56"/>
      <c r="F1176" s="56"/>
      <c r="G1176" s="56"/>
      <c r="H1176" s="56"/>
      <c r="I1176" s="56"/>
      <c r="J1176" s="56"/>
      <c r="K1176" s="56"/>
      <c r="L1176" s="56"/>
    </row>
    <row r="1177" spans="2:12" ht="15">
      <c r="B1177" s="7"/>
      <c r="C1177" s="56"/>
      <c r="D1177" s="56"/>
      <c r="E1177" s="56"/>
      <c r="F1177" s="56"/>
      <c r="G1177" s="56"/>
      <c r="H1177" s="56"/>
      <c r="I1177" s="56"/>
      <c r="J1177" s="56"/>
      <c r="K1177" s="56"/>
      <c r="L1177" s="56"/>
    </row>
    <row r="1178" spans="2:12" ht="15">
      <c r="B1178" s="7"/>
      <c r="C1178" s="56"/>
      <c r="D1178" s="56"/>
      <c r="E1178" s="56"/>
      <c r="F1178" s="56"/>
      <c r="G1178" s="56"/>
      <c r="H1178" s="56"/>
      <c r="I1178" s="56"/>
      <c r="J1178" s="56"/>
      <c r="K1178" s="56"/>
      <c r="L1178" s="56"/>
    </row>
    <row r="1179" spans="2:12" ht="15">
      <c r="B1179" s="7"/>
      <c r="C1179" s="56"/>
      <c r="D1179" s="56"/>
      <c r="E1179" s="56"/>
      <c r="F1179" s="56"/>
      <c r="G1179" s="56"/>
      <c r="H1179" s="56"/>
      <c r="I1179" s="56"/>
      <c r="J1179" s="56"/>
      <c r="K1179" s="56"/>
      <c r="L1179" s="56"/>
    </row>
    <row r="1180" spans="2:12" ht="15">
      <c r="B1180" s="7"/>
      <c r="C1180" s="56"/>
      <c r="D1180" s="56"/>
      <c r="E1180" s="56"/>
      <c r="F1180" s="56"/>
      <c r="G1180" s="56"/>
      <c r="H1180" s="56"/>
      <c r="I1180" s="56"/>
      <c r="J1180" s="56"/>
      <c r="K1180" s="56"/>
      <c r="L1180" s="56"/>
    </row>
    <row r="1181" spans="2:12" ht="15">
      <c r="B1181" s="7"/>
      <c r="C1181" s="56"/>
      <c r="D1181" s="56"/>
      <c r="E1181" s="56"/>
      <c r="F1181" s="56"/>
      <c r="G1181" s="56"/>
      <c r="H1181" s="56"/>
      <c r="I1181" s="56"/>
      <c r="J1181" s="56"/>
      <c r="K1181" s="56"/>
      <c r="L1181" s="56"/>
    </row>
    <row r="1182" spans="2:12" ht="15">
      <c r="B1182" s="7"/>
      <c r="C1182" s="56"/>
      <c r="D1182" s="56"/>
      <c r="E1182" s="56"/>
      <c r="F1182" s="56"/>
      <c r="G1182" s="56"/>
      <c r="H1182" s="56"/>
      <c r="I1182" s="56"/>
      <c r="J1182" s="56"/>
      <c r="K1182" s="56"/>
      <c r="L1182" s="56"/>
    </row>
    <row r="1183" spans="2:12" ht="15">
      <c r="B1183" s="7"/>
      <c r="C1183" s="56"/>
      <c r="D1183" s="56"/>
      <c r="E1183" s="56"/>
      <c r="F1183" s="56"/>
      <c r="G1183" s="56"/>
      <c r="H1183" s="56"/>
      <c r="I1183" s="56"/>
      <c r="J1183" s="56"/>
      <c r="K1183" s="56"/>
      <c r="L1183" s="56"/>
    </row>
    <row r="1184" spans="2:12" ht="15">
      <c r="B1184" s="7"/>
      <c r="C1184" s="56"/>
      <c r="D1184" s="56"/>
      <c r="E1184" s="56"/>
      <c r="F1184" s="56"/>
      <c r="G1184" s="56"/>
      <c r="H1184" s="56"/>
      <c r="I1184" s="56"/>
      <c r="J1184" s="56"/>
      <c r="K1184" s="56"/>
      <c r="L1184" s="56"/>
    </row>
    <row r="1185" spans="2:12" ht="15">
      <c r="B1185" s="7"/>
      <c r="C1185" s="56"/>
      <c r="D1185" s="56"/>
      <c r="E1185" s="56"/>
      <c r="F1185" s="56"/>
      <c r="G1185" s="56"/>
      <c r="H1185" s="56"/>
      <c r="I1185" s="56"/>
      <c r="J1185" s="56"/>
      <c r="K1185" s="56"/>
      <c r="L1185" s="56"/>
    </row>
    <row r="1186" spans="2:12" ht="15">
      <c r="B1186" s="7"/>
      <c r="C1186" s="56"/>
      <c r="D1186" s="56"/>
      <c r="E1186" s="56"/>
      <c r="F1186" s="56"/>
      <c r="G1186" s="56"/>
      <c r="H1186" s="56"/>
      <c r="I1186" s="56"/>
      <c r="J1186" s="56"/>
      <c r="K1186" s="56"/>
      <c r="L1186" s="56"/>
    </row>
    <row r="1187" spans="2:12" ht="15">
      <c r="B1187" s="7"/>
      <c r="C1187" s="56"/>
      <c r="D1187" s="56"/>
      <c r="E1187" s="56"/>
      <c r="F1187" s="56"/>
      <c r="G1187" s="56"/>
      <c r="H1187" s="56"/>
      <c r="I1187" s="56"/>
      <c r="J1187" s="56"/>
      <c r="K1187" s="56"/>
      <c r="L1187" s="56"/>
    </row>
    <row r="1188" spans="2:12" ht="15">
      <c r="B1188" s="7"/>
      <c r="C1188" s="56"/>
      <c r="D1188" s="56"/>
      <c r="E1188" s="56"/>
      <c r="F1188" s="56"/>
      <c r="G1188" s="56"/>
      <c r="H1188" s="56"/>
      <c r="I1188" s="56"/>
      <c r="J1188" s="56"/>
      <c r="K1188" s="56"/>
      <c r="L1188" s="56"/>
    </row>
    <row r="1189" spans="2:12" ht="15">
      <c r="B1189" s="7"/>
      <c r="C1189" s="56"/>
      <c r="D1189" s="56"/>
      <c r="E1189" s="56"/>
      <c r="F1189" s="56"/>
      <c r="G1189" s="56"/>
      <c r="H1189" s="56"/>
      <c r="I1189" s="56"/>
      <c r="J1189" s="56"/>
      <c r="K1189" s="56"/>
      <c r="L1189" s="56"/>
    </row>
    <row r="1190" spans="2:12" ht="15">
      <c r="B1190" s="7"/>
      <c r="C1190" s="56"/>
      <c r="D1190" s="56"/>
      <c r="E1190" s="56"/>
      <c r="F1190" s="56"/>
      <c r="G1190" s="56"/>
      <c r="H1190" s="56"/>
      <c r="I1190" s="56"/>
      <c r="J1190" s="56"/>
      <c r="K1190" s="56"/>
      <c r="L1190" s="56"/>
    </row>
    <row r="1191" spans="2:12" ht="15">
      <c r="B1191" s="7"/>
      <c r="C1191" s="56"/>
      <c r="D1191" s="56"/>
      <c r="E1191" s="56"/>
      <c r="F1191" s="56"/>
      <c r="G1191" s="56"/>
      <c r="H1191" s="56"/>
      <c r="I1191" s="56"/>
      <c r="J1191" s="56"/>
      <c r="K1191" s="56"/>
      <c r="L1191" s="56"/>
    </row>
    <row r="1192" spans="2:12" ht="15">
      <c r="B1192" s="7"/>
      <c r="C1192" s="56"/>
      <c r="D1192" s="56"/>
      <c r="E1192" s="56"/>
      <c r="F1192" s="56"/>
      <c r="G1192" s="56"/>
      <c r="H1192" s="56"/>
      <c r="I1192" s="56"/>
      <c r="J1192" s="56"/>
      <c r="K1192" s="56"/>
      <c r="L1192" s="56"/>
    </row>
    <row r="1193" spans="2:12" ht="15">
      <c r="B1193" s="7"/>
      <c r="C1193" s="56"/>
      <c r="D1193" s="56"/>
      <c r="E1193" s="56"/>
      <c r="F1193" s="56"/>
      <c r="G1193" s="56"/>
      <c r="H1193" s="56"/>
      <c r="I1193" s="56"/>
      <c r="J1193" s="56"/>
      <c r="K1193" s="56"/>
      <c r="L1193" s="56"/>
    </row>
    <row r="1194" spans="2:12" ht="15">
      <c r="B1194" s="7"/>
      <c r="C1194" s="56"/>
      <c r="D1194" s="56"/>
      <c r="E1194" s="56"/>
      <c r="F1194" s="56"/>
      <c r="G1194" s="56"/>
      <c r="H1194" s="56"/>
      <c r="I1194" s="56"/>
      <c r="J1194" s="56"/>
      <c r="K1194" s="56"/>
      <c r="L1194" s="56"/>
    </row>
    <row r="1195" spans="2:12" ht="15">
      <c r="B1195" s="7"/>
      <c r="C1195" s="56"/>
      <c r="D1195" s="56"/>
      <c r="E1195" s="56"/>
      <c r="F1195" s="56"/>
      <c r="G1195" s="56"/>
      <c r="H1195" s="56"/>
      <c r="I1195" s="56"/>
      <c r="J1195" s="56"/>
      <c r="K1195" s="56"/>
      <c r="L1195" s="56"/>
    </row>
    <row r="1196" spans="2:12" ht="15">
      <c r="B1196" s="7"/>
      <c r="C1196" s="56"/>
      <c r="D1196" s="56"/>
      <c r="E1196" s="56"/>
      <c r="F1196" s="56"/>
      <c r="G1196" s="56"/>
      <c r="H1196" s="56"/>
      <c r="I1196" s="56"/>
      <c r="J1196" s="56"/>
      <c r="K1196" s="56"/>
      <c r="L1196" s="56"/>
    </row>
    <row r="1197" spans="2:12" ht="15">
      <c r="B1197" s="7"/>
      <c r="C1197" s="56"/>
      <c r="D1197" s="56"/>
      <c r="E1197" s="56"/>
      <c r="F1197" s="56"/>
      <c r="G1197" s="56"/>
      <c r="H1197" s="56"/>
      <c r="I1197" s="56"/>
      <c r="J1197" s="56"/>
      <c r="K1197" s="56"/>
      <c r="L1197" s="56"/>
    </row>
    <row r="1198" spans="2:12" ht="15">
      <c r="B1198" s="7"/>
      <c r="C1198" s="56"/>
      <c r="D1198" s="56"/>
      <c r="E1198" s="56"/>
      <c r="F1198" s="56"/>
      <c r="G1198" s="56"/>
      <c r="H1198" s="56"/>
      <c r="I1198" s="56"/>
      <c r="J1198" s="56"/>
      <c r="K1198" s="56"/>
      <c r="L1198" s="56"/>
    </row>
    <row r="1199" spans="2:12" ht="15">
      <c r="B1199" s="7"/>
      <c r="C1199" s="56"/>
      <c r="D1199" s="56"/>
      <c r="E1199" s="56"/>
      <c r="F1199" s="56"/>
      <c r="G1199" s="56"/>
      <c r="H1199" s="56"/>
      <c r="I1199" s="56"/>
      <c r="J1199" s="56"/>
      <c r="K1199" s="56"/>
      <c r="L1199" s="56"/>
    </row>
    <row r="1200" spans="2:12" ht="15">
      <c r="B1200" s="7"/>
      <c r="C1200" s="56"/>
      <c r="D1200" s="56"/>
      <c r="E1200" s="56"/>
      <c r="F1200" s="56"/>
      <c r="G1200" s="56"/>
      <c r="H1200" s="56"/>
      <c r="I1200" s="56"/>
      <c r="J1200" s="56"/>
      <c r="K1200" s="56"/>
      <c r="L1200" s="56"/>
    </row>
    <row r="1201" spans="2:12" ht="15">
      <c r="B1201" s="7"/>
      <c r="C1201" s="56"/>
      <c r="D1201" s="56"/>
      <c r="E1201" s="56"/>
      <c r="F1201" s="56"/>
      <c r="G1201" s="56"/>
      <c r="H1201" s="56"/>
      <c r="I1201" s="56"/>
      <c r="J1201" s="56"/>
      <c r="K1201" s="56"/>
      <c r="L1201" s="56"/>
    </row>
    <row r="1202" spans="2:12" ht="15">
      <c r="B1202" s="7"/>
      <c r="C1202" s="56"/>
      <c r="D1202" s="56"/>
      <c r="E1202" s="56"/>
      <c r="F1202" s="56"/>
      <c r="G1202" s="56"/>
      <c r="H1202" s="56"/>
      <c r="I1202" s="56"/>
      <c r="J1202" s="56"/>
      <c r="K1202" s="56"/>
      <c r="L1202" s="56"/>
    </row>
    <row r="1203" spans="2:12" ht="15">
      <c r="B1203" s="7"/>
      <c r="C1203" s="56"/>
      <c r="D1203" s="56"/>
      <c r="E1203" s="56"/>
      <c r="F1203" s="56"/>
      <c r="G1203" s="56"/>
      <c r="H1203" s="56"/>
      <c r="I1203" s="56"/>
      <c r="J1203" s="56"/>
      <c r="K1203" s="56"/>
      <c r="L1203" s="56"/>
    </row>
    <row r="1204" spans="2:12" ht="15">
      <c r="B1204" s="7"/>
      <c r="C1204" s="56"/>
      <c r="D1204" s="56"/>
      <c r="E1204" s="56"/>
      <c r="F1204" s="56"/>
      <c r="G1204" s="56"/>
      <c r="H1204" s="56"/>
      <c r="I1204" s="56"/>
      <c r="J1204" s="56"/>
      <c r="K1204" s="56"/>
      <c r="L1204" s="56"/>
    </row>
    <row r="1205" spans="2:12" ht="15">
      <c r="B1205" s="7"/>
      <c r="C1205" s="56"/>
      <c r="D1205" s="56"/>
      <c r="E1205" s="56"/>
      <c r="F1205" s="56"/>
      <c r="G1205" s="56"/>
      <c r="H1205" s="56"/>
      <c r="I1205" s="56"/>
      <c r="J1205" s="56"/>
      <c r="K1205" s="56"/>
      <c r="L1205" s="56"/>
    </row>
    <row r="1206" spans="2:12" ht="15">
      <c r="B1206" s="7"/>
      <c r="C1206" s="56"/>
      <c r="D1206" s="56"/>
      <c r="E1206" s="56"/>
      <c r="F1206" s="56"/>
      <c r="G1206" s="56"/>
      <c r="H1206" s="56"/>
      <c r="I1206" s="56"/>
      <c r="J1206" s="56"/>
      <c r="K1206" s="56"/>
      <c r="L1206" s="56"/>
    </row>
    <row r="1207" spans="2:12" ht="15">
      <c r="B1207" s="7"/>
      <c r="C1207" s="56"/>
      <c r="D1207" s="56"/>
      <c r="E1207" s="56"/>
      <c r="F1207" s="56"/>
      <c r="G1207" s="56"/>
      <c r="H1207" s="56"/>
      <c r="I1207" s="56"/>
      <c r="J1207" s="56"/>
      <c r="K1207" s="56"/>
      <c r="L1207" s="56"/>
    </row>
    <row r="1208" spans="2:12" ht="15">
      <c r="B1208" s="7"/>
      <c r="C1208" s="56"/>
      <c r="D1208" s="56"/>
      <c r="E1208" s="56"/>
      <c r="F1208" s="56"/>
      <c r="G1208" s="56"/>
      <c r="H1208" s="56"/>
      <c r="I1208" s="56"/>
      <c r="J1208" s="56"/>
      <c r="K1208" s="56"/>
      <c r="L1208" s="56"/>
    </row>
    <row r="1209" spans="2:12" ht="15">
      <c r="B1209" s="7"/>
      <c r="C1209" s="56"/>
      <c r="D1209" s="56"/>
      <c r="E1209" s="56"/>
      <c r="F1209" s="56"/>
      <c r="G1209" s="56"/>
      <c r="H1209" s="56"/>
      <c r="I1209" s="56"/>
      <c r="J1209" s="56"/>
      <c r="K1209" s="56"/>
      <c r="L1209" s="56"/>
    </row>
    <row r="1210" spans="2:12" ht="15">
      <c r="B1210" s="7"/>
      <c r="C1210" s="56"/>
      <c r="D1210" s="56"/>
      <c r="E1210" s="56"/>
      <c r="F1210" s="56"/>
      <c r="G1210" s="56"/>
      <c r="H1210" s="56"/>
      <c r="I1210" s="56"/>
      <c r="J1210" s="56"/>
      <c r="K1210" s="56"/>
      <c r="L1210" s="56"/>
    </row>
    <row r="1211" spans="2:12" ht="15">
      <c r="B1211" s="7"/>
      <c r="C1211" s="56"/>
      <c r="D1211" s="56"/>
      <c r="E1211" s="56"/>
      <c r="F1211" s="56"/>
      <c r="G1211" s="56"/>
      <c r="H1211" s="56"/>
      <c r="I1211" s="56"/>
      <c r="J1211" s="56"/>
      <c r="K1211" s="56"/>
      <c r="L1211" s="56"/>
    </row>
    <row r="1212" spans="2:12" ht="15">
      <c r="B1212" s="7"/>
      <c r="C1212" s="56"/>
      <c r="D1212" s="56"/>
      <c r="E1212" s="56"/>
      <c r="F1212" s="56"/>
      <c r="G1212" s="56"/>
      <c r="H1212" s="56"/>
      <c r="I1212" s="56"/>
      <c r="J1212" s="56"/>
      <c r="K1212" s="56"/>
      <c r="L1212" s="56"/>
    </row>
    <row r="1213" spans="2:12" ht="15">
      <c r="B1213" s="7"/>
      <c r="C1213" s="56"/>
      <c r="D1213" s="56"/>
      <c r="E1213" s="56"/>
      <c r="F1213" s="56"/>
      <c r="G1213" s="56"/>
      <c r="H1213" s="56"/>
      <c r="I1213" s="56"/>
      <c r="J1213" s="56"/>
      <c r="K1213" s="56"/>
      <c r="L1213" s="56"/>
    </row>
    <row r="1214" spans="2:12" ht="15">
      <c r="B1214" s="7"/>
      <c r="C1214" s="56"/>
      <c r="D1214" s="56"/>
      <c r="E1214" s="56"/>
      <c r="F1214" s="56"/>
      <c r="G1214" s="56"/>
      <c r="H1214" s="56"/>
      <c r="I1214" s="56"/>
      <c r="J1214" s="56"/>
      <c r="K1214" s="56"/>
      <c r="L1214" s="56"/>
    </row>
    <row r="1215" spans="2:12" ht="15">
      <c r="B1215" s="7"/>
      <c r="C1215" s="56"/>
      <c r="D1215" s="56"/>
      <c r="E1215" s="56"/>
      <c r="F1215" s="56"/>
      <c r="G1215" s="56"/>
      <c r="H1215" s="56"/>
      <c r="I1215" s="56"/>
      <c r="J1215" s="56"/>
      <c r="K1215" s="56"/>
      <c r="L1215" s="56"/>
    </row>
    <row r="1216" spans="2:12" ht="15">
      <c r="B1216" s="7"/>
      <c r="C1216" s="56"/>
      <c r="D1216" s="56"/>
      <c r="E1216" s="56"/>
      <c r="F1216" s="56"/>
      <c r="G1216" s="56"/>
      <c r="H1216" s="56"/>
      <c r="I1216" s="56"/>
      <c r="J1216" s="56"/>
      <c r="K1216" s="56"/>
      <c r="L1216" s="56"/>
    </row>
    <row r="1217" spans="2:12" ht="15">
      <c r="B1217" s="7"/>
      <c r="C1217" s="56"/>
      <c r="D1217" s="56"/>
      <c r="E1217" s="56"/>
      <c r="F1217" s="56"/>
      <c r="G1217" s="56"/>
      <c r="H1217" s="56"/>
      <c r="I1217" s="56"/>
      <c r="J1217" s="56"/>
      <c r="K1217" s="56"/>
      <c r="L1217" s="56"/>
    </row>
    <row r="1218" spans="2:12" ht="15">
      <c r="B1218" s="7"/>
      <c r="C1218" s="56"/>
      <c r="D1218" s="56"/>
      <c r="E1218" s="56"/>
      <c r="F1218" s="56"/>
      <c r="G1218" s="56"/>
      <c r="H1218" s="56"/>
      <c r="I1218" s="56"/>
      <c r="J1218" s="56"/>
      <c r="K1218" s="56"/>
      <c r="L1218" s="56"/>
    </row>
    <row r="1219" spans="2:12" ht="15">
      <c r="B1219" s="7"/>
      <c r="C1219" s="56"/>
      <c r="D1219" s="56"/>
      <c r="E1219" s="56"/>
      <c r="F1219" s="56"/>
      <c r="G1219" s="56"/>
      <c r="H1219" s="56"/>
      <c r="I1219" s="56"/>
      <c r="J1219" s="56"/>
      <c r="K1219" s="56"/>
      <c r="L1219" s="56"/>
    </row>
    <row r="1220" spans="2:12" ht="15">
      <c r="B1220" s="7"/>
      <c r="C1220" s="56"/>
      <c r="D1220" s="56"/>
      <c r="E1220" s="56"/>
      <c r="F1220" s="56"/>
      <c r="G1220" s="56"/>
      <c r="H1220" s="56"/>
      <c r="I1220" s="56"/>
      <c r="J1220" s="56"/>
      <c r="K1220" s="56"/>
      <c r="L1220" s="56"/>
    </row>
    <row r="1221" spans="2:12" ht="15">
      <c r="B1221" s="7"/>
      <c r="C1221" s="56"/>
      <c r="D1221" s="56"/>
      <c r="E1221" s="56"/>
      <c r="F1221" s="56"/>
      <c r="G1221" s="56"/>
      <c r="H1221" s="56"/>
      <c r="I1221" s="56"/>
      <c r="J1221" s="56"/>
      <c r="K1221" s="56"/>
      <c r="L1221" s="56"/>
    </row>
    <row r="1222" spans="2:12" ht="15">
      <c r="B1222" s="7"/>
      <c r="C1222" s="56"/>
      <c r="D1222" s="56"/>
      <c r="E1222" s="56"/>
      <c r="F1222" s="56"/>
      <c r="G1222" s="56"/>
      <c r="H1222" s="56"/>
      <c r="I1222" s="56"/>
      <c r="J1222" s="56"/>
      <c r="K1222" s="56"/>
      <c r="L1222" s="56"/>
    </row>
    <row r="1223" spans="2:12" ht="15">
      <c r="B1223" s="7"/>
      <c r="C1223" s="56"/>
      <c r="D1223" s="56"/>
      <c r="E1223" s="56"/>
      <c r="F1223" s="56"/>
      <c r="G1223" s="56"/>
      <c r="H1223" s="56"/>
      <c r="I1223" s="56"/>
      <c r="J1223" s="56"/>
      <c r="K1223" s="56"/>
      <c r="L1223" s="56"/>
    </row>
    <row r="1224" spans="2:12" ht="15">
      <c r="B1224" s="7"/>
      <c r="C1224" s="56"/>
      <c r="D1224" s="56"/>
      <c r="E1224" s="56"/>
      <c r="F1224" s="56"/>
      <c r="G1224" s="56"/>
      <c r="H1224" s="56"/>
      <c r="I1224" s="56"/>
      <c r="J1224" s="56"/>
      <c r="K1224" s="56"/>
      <c r="L1224" s="56"/>
    </row>
    <row r="1225" spans="2:12" ht="15">
      <c r="B1225" s="7"/>
      <c r="C1225" s="56"/>
      <c r="D1225" s="56"/>
      <c r="E1225" s="56"/>
      <c r="F1225" s="56"/>
      <c r="G1225" s="56"/>
      <c r="H1225" s="56"/>
      <c r="I1225" s="56"/>
      <c r="J1225" s="56"/>
      <c r="K1225" s="56"/>
      <c r="L1225" s="56"/>
    </row>
    <row r="1226" spans="2:12" ht="15">
      <c r="B1226" s="7"/>
      <c r="C1226" s="56"/>
      <c r="D1226" s="56"/>
      <c r="E1226" s="56"/>
      <c r="F1226" s="56"/>
      <c r="G1226" s="56"/>
      <c r="H1226" s="56"/>
      <c r="I1226" s="56"/>
      <c r="J1226" s="56"/>
      <c r="K1226" s="56"/>
      <c r="L1226" s="56"/>
    </row>
    <row r="1227" spans="2:12" ht="15">
      <c r="B1227" s="7"/>
      <c r="C1227" s="56"/>
      <c r="D1227" s="56"/>
      <c r="E1227" s="56"/>
      <c r="F1227" s="56"/>
      <c r="G1227" s="56"/>
      <c r="H1227" s="56"/>
      <c r="I1227" s="56"/>
      <c r="J1227" s="56"/>
      <c r="K1227" s="56"/>
      <c r="L1227" s="56"/>
    </row>
    <row r="1228" spans="2:12" ht="15">
      <c r="B1228" s="7"/>
      <c r="C1228" s="56"/>
      <c r="D1228" s="56"/>
      <c r="E1228" s="56"/>
      <c r="F1228" s="56"/>
      <c r="G1228" s="56"/>
      <c r="H1228" s="56"/>
      <c r="I1228" s="56"/>
      <c r="J1228" s="56"/>
      <c r="K1228" s="56"/>
      <c r="L1228" s="56"/>
    </row>
    <row r="1229" spans="2:12" ht="15">
      <c r="B1229" s="7"/>
      <c r="C1229" s="56"/>
      <c r="D1229" s="56"/>
      <c r="E1229" s="56"/>
      <c r="F1229" s="56"/>
      <c r="G1229" s="56"/>
      <c r="H1229" s="56"/>
      <c r="I1229" s="56"/>
      <c r="J1229" s="56"/>
      <c r="K1229" s="56"/>
      <c r="L1229" s="56"/>
    </row>
    <row r="1230" spans="2:12" ht="15">
      <c r="B1230" s="7"/>
      <c r="C1230" s="56"/>
      <c r="D1230" s="56"/>
      <c r="E1230" s="56"/>
      <c r="F1230" s="56"/>
      <c r="G1230" s="56"/>
      <c r="H1230" s="56"/>
      <c r="I1230" s="56"/>
      <c r="J1230" s="56"/>
      <c r="K1230" s="56"/>
      <c r="L1230" s="56"/>
    </row>
    <row r="1231" spans="2:12" ht="15">
      <c r="B1231" s="7"/>
      <c r="C1231" s="56"/>
      <c r="D1231" s="56"/>
      <c r="E1231" s="56"/>
      <c r="F1231" s="56"/>
      <c r="G1231" s="56"/>
      <c r="H1231" s="56"/>
      <c r="I1231" s="56"/>
      <c r="J1231" s="56"/>
      <c r="K1231" s="56"/>
      <c r="L1231" s="56"/>
    </row>
    <row r="1232" spans="2:12" ht="15">
      <c r="B1232" s="7"/>
      <c r="C1232" s="56"/>
      <c r="D1232" s="56"/>
      <c r="E1232" s="56"/>
      <c r="F1232" s="56"/>
      <c r="G1232" s="56"/>
      <c r="H1232" s="56"/>
      <c r="I1232" s="56"/>
      <c r="J1232" s="56"/>
      <c r="K1232" s="56"/>
      <c r="L1232" s="56"/>
    </row>
    <row r="1233" spans="2:12" ht="15">
      <c r="B1233" s="7"/>
      <c r="C1233" s="56"/>
      <c r="D1233" s="56"/>
      <c r="E1233" s="56"/>
      <c r="F1233" s="56"/>
      <c r="G1233" s="56"/>
      <c r="H1233" s="56"/>
      <c r="I1233" s="56"/>
      <c r="J1233" s="56"/>
      <c r="K1233" s="56"/>
      <c r="L1233" s="56"/>
    </row>
    <row r="1234" spans="2:12" ht="15">
      <c r="B1234" s="7"/>
      <c r="C1234" s="56"/>
      <c r="D1234" s="56"/>
      <c r="E1234" s="56"/>
      <c r="F1234" s="56"/>
      <c r="G1234" s="56"/>
      <c r="H1234" s="56"/>
      <c r="I1234" s="56"/>
      <c r="J1234" s="56"/>
      <c r="K1234" s="56"/>
      <c r="L1234" s="56"/>
    </row>
    <row r="1235" spans="2:12" ht="15">
      <c r="B1235" s="7"/>
      <c r="C1235" s="56"/>
      <c r="D1235" s="56"/>
      <c r="E1235" s="56"/>
      <c r="F1235" s="56"/>
      <c r="G1235" s="56"/>
      <c r="H1235" s="56"/>
      <c r="I1235" s="56"/>
      <c r="J1235" s="56"/>
      <c r="K1235" s="56"/>
      <c r="L1235" s="56"/>
    </row>
    <row r="1236" spans="2:12" ht="15">
      <c r="B1236" s="7"/>
      <c r="C1236" s="56"/>
      <c r="D1236" s="56"/>
      <c r="E1236" s="56"/>
      <c r="F1236" s="56"/>
      <c r="G1236" s="56"/>
      <c r="H1236" s="56"/>
      <c r="I1236" s="56"/>
      <c r="J1236" s="56"/>
      <c r="K1236" s="56"/>
      <c r="L1236" s="56"/>
    </row>
    <row r="1237" spans="2:12" ht="15">
      <c r="B1237" s="7"/>
      <c r="C1237" s="56"/>
      <c r="D1237" s="56"/>
      <c r="E1237" s="56"/>
      <c r="F1237" s="56"/>
      <c r="G1237" s="56"/>
      <c r="H1237" s="56"/>
      <c r="I1237" s="56"/>
      <c r="J1237" s="56"/>
      <c r="K1237" s="56"/>
      <c r="L1237" s="56"/>
    </row>
    <row r="1238" spans="2:12" ht="15">
      <c r="B1238" s="7"/>
      <c r="C1238" s="56"/>
      <c r="D1238" s="56"/>
      <c r="E1238" s="56"/>
      <c r="F1238" s="56"/>
      <c r="G1238" s="56"/>
      <c r="H1238" s="56"/>
      <c r="I1238" s="56"/>
      <c r="J1238" s="56"/>
      <c r="K1238" s="56"/>
      <c r="L1238" s="56"/>
    </row>
    <row r="1239" spans="2:12" ht="15">
      <c r="B1239" s="7"/>
      <c r="C1239" s="56"/>
      <c r="D1239" s="56"/>
      <c r="E1239" s="56"/>
      <c r="F1239" s="56"/>
      <c r="G1239" s="56"/>
      <c r="H1239" s="56"/>
      <c r="I1239" s="56"/>
      <c r="J1239" s="56"/>
      <c r="K1239" s="56"/>
      <c r="L1239" s="56"/>
    </row>
    <row r="1240" spans="2:12" ht="15">
      <c r="B1240" s="7"/>
      <c r="C1240" s="56"/>
      <c r="D1240" s="56"/>
      <c r="E1240" s="56"/>
      <c r="F1240" s="56"/>
      <c r="G1240" s="56"/>
      <c r="H1240" s="56"/>
      <c r="I1240" s="56"/>
      <c r="J1240" s="56"/>
      <c r="K1240" s="56"/>
      <c r="L1240" s="56"/>
    </row>
    <row r="1241" spans="2:12" ht="15">
      <c r="B1241" s="7"/>
      <c r="C1241" s="56"/>
      <c r="D1241" s="56"/>
      <c r="E1241" s="56"/>
      <c r="F1241" s="56"/>
      <c r="G1241" s="56"/>
      <c r="H1241" s="56"/>
      <c r="I1241" s="56"/>
      <c r="J1241" s="56"/>
      <c r="K1241" s="56"/>
      <c r="L1241" s="56"/>
    </row>
    <row r="1242" spans="2:12" ht="15">
      <c r="B1242" s="7"/>
      <c r="C1242" s="56"/>
      <c r="D1242" s="56"/>
      <c r="E1242" s="56"/>
      <c r="F1242" s="56"/>
      <c r="G1242" s="56"/>
      <c r="H1242" s="56"/>
      <c r="I1242" s="56"/>
      <c r="J1242" s="56"/>
      <c r="K1242" s="56"/>
      <c r="L1242" s="56"/>
    </row>
    <row r="1243" spans="2:12" ht="15">
      <c r="B1243" s="7"/>
      <c r="C1243" s="56"/>
      <c r="D1243" s="56"/>
      <c r="E1243" s="56"/>
      <c r="F1243" s="56"/>
      <c r="G1243" s="56"/>
      <c r="H1243" s="56"/>
      <c r="I1243" s="56"/>
      <c r="J1243" s="56"/>
      <c r="K1243" s="56"/>
      <c r="L1243" s="56"/>
    </row>
    <row r="1244" spans="2:12" ht="15">
      <c r="B1244" s="7"/>
      <c r="C1244" s="56"/>
      <c r="D1244" s="56"/>
      <c r="E1244" s="56"/>
      <c r="F1244" s="56"/>
      <c r="G1244" s="56"/>
      <c r="H1244" s="56"/>
      <c r="I1244" s="56"/>
      <c r="J1244" s="56"/>
      <c r="K1244" s="56"/>
      <c r="L1244" s="56"/>
    </row>
    <row r="1245" spans="2:12" ht="15">
      <c r="B1245" s="7"/>
      <c r="C1245" s="56"/>
      <c r="D1245" s="56"/>
      <c r="E1245" s="56"/>
      <c r="F1245" s="56"/>
      <c r="G1245" s="56"/>
      <c r="H1245" s="56"/>
      <c r="I1245" s="56"/>
      <c r="J1245" s="56"/>
      <c r="K1245" s="56"/>
      <c r="L1245" s="56"/>
    </row>
    <row r="1246" spans="2:12" ht="15">
      <c r="B1246" s="7"/>
      <c r="C1246" s="56"/>
      <c r="D1246" s="56"/>
      <c r="E1246" s="56"/>
      <c r="F1246" s="56"/>
      <c r="G1246" s="56"/>
      <c r="H1246" s="56"/>
      <c r="I1246" s="56"/>
      <c r="J1246" s="56"/>
      <c r="K1246" s="56"/>
      <c r="L1246" s="56"/>
    </row>
    <row r="1247" spans="2:12" ht="15">
      <c r="B1247" s="7"/>
      <c r="C1247" s="56"/>
      <c r="D1247" s="56"/>
      <c r="E1247" s="56"/>
      <c r="F1247" s="56"/>
      <c r="G1247" s="56"/>
      <c r="H1247" s="56"/>
      <c r="I1247" s="56"/>
      <c r="J1247" s="56"/>
      <c r="K1247" s="56"/>
      <c r="L1247" s="56"/>
    </row>
    <row r="1248" spans="2:12" ht="15">
      <c r="B1248" s="7"/>
      <c r="C1248" s="56"/>
      <c r="D1248" s="56"/>
      <c r="E1248" s="56"/>
      <c r="F1248" s="56"/>
      <c r="G1248" s="56"/>
      <c r="H1248" s="56"/>
      <c r="I1248" s="56"/>
      <c r="J1248" s="56"/>
      <c r="K1248" s="56"/>
      <c r="L1248" s="56"/>
    </row>
    <row r="1249" spans="9:10" ht="15">
      <c r="I1249" s="56"/>
      <c r="J1249" s="56"/>
    </row>
  </sheetData>
  <sheetProtection/>
  <mergeCells count="18">
    <mergeCell ref="D358:J359"/>
    <mergeCell ref="I140:J140"/>
    <mergeCell ref="E182:E183"/>
    <mergeCell ref="G253:H253"/>
    <mergeCell ref="D307:K309"/>
    <mergeCell ref="D316:J318"/>
    <mergeCell ref="D351:J354"/>
    <mergeCell ref="D303:K305"/>
    <mergeCell ref="D371:J372"/>
    <mergeCell ref="B17:I18"/>
    <mergeCell ref="I53:J53"/>
    <mergeCell ref="I56:J56"/>
    <mergeCell ref="I137:J137"/>
    <mergeCell ref="D35:L35"/>
    <mergeCell ref="D282:K283"/>
    <mergeCell ref="D310:J311"/>
    <mergeCell ref="D320:K321"/>
    <mergeCell ref="D328:L330"/>
  </mergeCells>
  <printOptions/>
  <pageMargins left="0.26" right="0.34" top="1" bottom="0.52" header="0.75" footer="0.5"/>
  <pageSetup fitToHeight="5" horizontalDpi="600" verticalDpi="600" orientation="portrait" scale="45" r:id="rId1"/>
  <headerFooter alignWithMargins="0">
    <oddHeader>&amp;R&amp;"Arial,Bold"Formula Rate
 &amp;A
Page &amp;P of &amp;N</oddHeader>
  </headerFooter>
  <rowBreaks count="4" manualBreakCount="4">
    <brk id="44" max="11" man="1"/>
    <brk id="129" max="11" man="1"/>
    <brk id="215" max="11" man="1"/>
    <brk id="260" max="11" man="1"/>
  </rowBreaks>
</worksheet>
</file>

<file path=xl/worksheets/sheet4.xml><?xml version="1.0" encoding="utf-8"?>
<worksheet xmlns="http://schemas.openxmlformats.org/spreadsheetml/2006/main" xmlns:r="http://schemas.openxmlformats.org/officeDocument/2006/relationships">
  <sheetPr>
    <tabColor indexed="45"/>
  </sheetPr>
  <dimension ref="A1:U93"/>
  <sheetViews>
    <sheetView zoomScaleSheetLayoutView="100" zoomScalePageLayoutView="0" workbookViewId="0" topLeftCell="A1">
      <selection activeCell="A1" sqref="A1:G1"/>
    </sheetView>
  </sheetViews>
  <sheetFormatPr defaultColWidth="11.421875" defaultRowHeight="12.75"/>
  <cols>
    <col min="1" max="1" width="9.00390625" style="231" customWidth="1"/>
    <col min="2" max="2" width="4.28125" style="232" customWidth="1"/>
    <col min="3" max="3" width="45.57421875" style="232" customWidth="1"/>
    <col min="4" max="4" width="41.28125" style="232" bestFit="1" customWidth="1"/>
    <col min="5" max="5" width="19.421875" style="232" customWidth="1"/>
    <col min="6" max="6" width="20.140625" style="232" customWidth="1"/>
    <col min="7" max="8" width="17.00390625" style="232" customWidth="1"/>
    <col min="9" max="9" width="16.00390625" style="244" customWidth="1"/>
    <col min="10" max="10" width="16.7109375" style="232" customWidth="1"/>
    <col min="11" max="11" width="13.7109375" style="232" customWidth="1"/>
    <col min="12" max="12" width="11.57421875" style="232" customWidth="1"/>
    <col min="13" max="14" width="13.421875" style="232" customWidth="1"/>
    <col min="15" max="15" width="13.7109375" style="232" customWidth="1"/>
    <col min="16" max="16384" width="11.421875" style="232" customWidth="1"/>
  </cols>
  <sheetData>
    <row r="1" spans="1:10" ht="15">
      <c r="A1" s="1091" t="s">
        <v>230</v>
      </c>
      <c r="B1" s="1091"/>
      <c r="C1" s="1091"/>
      <c r="D1" s="1091"/>
      <c r="E1" s="1091"/>
      <c r="F1" s="1091"/>
      <c r="G1" s="1091"/>
      <c r="H1" s="172"/>
      <c r="I1" s="146"/>
      <c r="J1" s="146"/>
    </row>
    <row r="2" spans="1:10" ht="15">
      <c r="A2" s="1090" t="str">
        <f>"Cost of Service Formula Rate Using "&amp;'KPCo Historic TCOS'!O1&amp;" FF1 Balances"</f>
        <v>Cost of Service Formula Rate Using 2009 FF1 Balances</v>
      </c>
      <c r="B2" s="1090"/>
      <c r="C2" s="1090"/>
      <c r="D2" s="1090"/>
      <c r="E2" s="1090"/>
      <c r="F2" s="1090"/>
      <c r="G2" s="1090"/>
      <c r="H2" s="476"/>
      <c r="J2" s="244"/>
    </row>
    <row r="3" spans="1:10" ht="15">
      <c r="A3" s="1090" t="s">
        <v>382</v>
      </c>
      <c r="B3" s="1090"/>
      <c r="C3" s="1090"/>
      <c r="D3" s="1090"/>
      <c r="E3" s="1090"/>
      <c r="F3" s="1090"/>
      <c r="G3" s="1090"/>
      <c r="H3" s="275"/>
      <c r="J3" s="244"/>
    </row>
    <row r="4" spans="1:10" ht="15">
      <c r="A4" s="1092" t="str">
        <f>+'KPCo Historic TCOS'!F7</f>
        <v>KENTUCKY POWER COMPANY</v>
      </c>
      <c r="B4" s="1092"/>
      <c r="C4" s="1092"/>
      <c r="D4" s="1092"/>
      <c r="E4" s="1092"/>
      <c r="F4" s="1092"/>
      <c r="G4" s="1092"/>
      <c r="H4" s="477"/>
      <c r="J4" s="244"/>
    </row>
    <row r="5" spans="1:10" ht="15">
      <c r="A5" s="477"/>
      <c r="B5" s="477"/>
      <c r="C5" s="477"/>
      <c r="E5" s="601"/>
      <c r="F5" s="601"/>
      <c r="G5" s="601"/>
      <c r="H5" s="601"/>
      <c r="I5" s="1130"/>
      <c r="J5" s="244"/>
    </row>
    <row r="6" spans="3:10" ht="12.75">
      <c r="C6" s="261" t="s">
        <v>770</v>
      </c>
      <c r="D6" s="261" t="s">
        <v>771</v>
      </c>
      <c r="E6" s="261" t="s">
        <v>772</v>
      </c>
      <c r="F6" s="261" t="s">
        <v>773</v>
      </c>
      <c r="G6" s="261" t="s">
        <v>588</v>
      </c>
      <c r="H6" s="261"/>
      <c r="I6" s="262"/>
      <c r="J6" s="244"/>
    </row>
    <row r="7" spans="1:10" ht="12.75" customHeight="1">
      <c r="A7" s="112" t="s">
        <v>777</v>
      </c>
      <c r="C7" s="261"/>
      <c r="D7" s="261"/>
      <c r="E7" s="1093" t="str">
        <f>"Balance @ December 31, "&amp;'KPCo Historic TCOS'!O1&amp;""</f>
        <v>Balance @ December 31, 2009</v>
      </c>
      <c r="F7" s="1088" t="str">
        <f>"Balance @ December 31, "&amp;'KPCo Historic TCOS'!O1-1&amp;""</f>
        <v>Balance @ December 31, 2008</v>
      </c>
      <c r="G7" s="1088" t="str">
        <f>"Average Balance for "&amp;'KPCo Historic TCOS'!O1&amp;""</f>
        <v>Average Balance for 2009</v>
      </c>
      <c r="H7" s="261"/>
      <c r="I7" s="262"/>
      <c r="J7" s="244"/>
    </row>
    <row r="8" spans="1:14" ht="26.25" customHeight="1">
      <c r="A8" s="112" t="s">
        <v>713</v>
      </c>
      <c r="C8" s="263" t="s">
        <v>458</v>
      </c>
      <c r="D8" s="263" t="s">
        <v>457</v>
      </c>
      <c r="E8" s="1089"/>
      <c r="F8" s="1089"/>
      <c r="G8" s="1089"/>
      <c r="H8" s="263"/>
      <c r="I8" s="611"/>
      <c r="J8" s="244"/>
      <c r="K8"/>
      <c r="L8"/>
      <c r="M8"/>
      <c r="N8"/>
    </row>
    <row r="9" spans="1:14" s="244" customFormat="1" ht="12.75">
      <c r="A9" s="354"/>
      <c r="B9" s="354"/>
      <c r="C9" s="354"/>
      <c r="D9" s="354"/>
      <c r="F9" s="789"/>
      <c r="G9" s="237"/>
      <c r="H9" s="264"/>
      <c r="I9" s="1131"/>
      <c r="J9" s="264"/>
      <c r="K9"/>
      <c r="L9"/>
      <c r="M9"/>
      <c r="N9"/>
    </row>
    <row r="10" spans="1:14" s="244" customFormat="1" ht="12.75">
      <c r="A10" s="578" t="s">
        <v>367</v>
      </c>
      <c r="B10" s="132"/>
      <c r="C10" s="132"/>
      <c r="D10" s="132"/>
      <c r="F10" s="487"/>
      <c r="G10" s="264"/>
      <c r="H10" s="264"/>
      <c r="I10" s="1131"/>
      <c r="J10" s="264"/>
      <c r="K10"/>
      <c r="L10"/>
      <c r="M10"/>
      <c r="N10"/>
    </row>
    <row r="11" spans="1:14" s="244" customFormat="1" ht="12.75">
      <c r="A11" s="578"/>
      <c r="B11" s="132"/>
      <c r="C11" s="132"/>
      <c r="D11" s="132"/>
      <c r="F11" s="487"/>
      <c r="G11" s="264"/>
      <c r="H11" s="264"/>
      <c r="I11" s="1131"/>
      <c r="J11" s="264"/>
      <c r="K11"/>
      <c r="L11"/>
      <c r="M11"/>
      <c r="N11"/>
    </row>
    <row r="12" spans="1:14" s="244" customFormat="1" ht="12.75">
      <c r="A12" s="268" t="s">
        <v>565</v>
      </c>
      <c r="B12" s="132"/>
      <c r="C12" s="132"/>
      <c r="D12" s="132"/>
      <c r="E12" s="132"/>
      <c r="F12" s="264"/>
      <c r="G12" s="264"/>
      <c r="H12" s="264"/>
      <c r="I12" s="1131"/>
      <c r="J12" s="264"/>
      <c r="K12"/>
      <c r="L12"/>
      <c r="M12"/>
      <c r="N12"/>
    </row>
    <row r="13" spans="1:21" ht="12.75" customHeight="1">
      <c r="A13" s="249"/>
      <c r="B13" s="229"/>
      <c r="C13" s="268"/>
      <c r="D13" s="239"/>
      <c r="E13" s="146"/>
      <c r="F13" s="244"/>
      <c r="G13" s="244"/>
      <c r="H13" s="244"/>
      <c r="I13" s="146"/>
      <c r="J13" s="304"/>
      <c r="K13"/>
      <c r="L13"/>
      <c r="M13"/>
      <c r="N13"/>
      <c r="O13" s="265"/>
      <c r="P13" s="265"/>
      <c r="Q13" s="265"/>
      <c r="R13" s="265"/>
      <c r="S13" s="265"/>
      <c r="T13" s="265"/>
      <c r="U13" s="265"/>
    </row>
    <row r="14" spans="1:14" ht="12.75">
      <c r="A14" s="249">
        <v>1</v>
      </c>
      <c r="B14" s="241"/>
      <c r="C14" s="269" t="s">
        <v>896</v>
      </c>
      <c r="D14" s="238" t="s">
        <v>275</v>
      </c>
      <c r="E14" s="305">
        <v>540095917</v>
      </c>
      <c r="F14" s="305">
        <v>527219064</v>
      </c>
      <c r="G14" s="488">
        <f>IF(F14="",0,AVERAGE(E14:F14))</f>
        <v>533657490.5</v>
      </c>
      <c r="H14" s="250"/>
      <c r="I14" s="1132"/>
      <c r="J14" s="1133"/>
      <c r="K14" s="237"/>
      <c r="L14" s="237"/>
      <c r="M14" s="237"/>
      <c r="N14" s="237"/>
    </row>
    <row r="15" spans="1:14" ht="12.75">
      <c r="A15" s="249"/>
      <c r="B15" s="241"/>
      <c r="C15" s="234"/>
      <c r="D15" s="238"/>
      <c r="E15" s="233"/>
      <c r="F15" s="233"/>
      <c r="G15" s="250"/>
      <c r="H15" s="250"/>
      <c r="I15" s="236"/>
      <c r="J15" s="249"/>
      <c r="K15" s="237"/>
      <c r="L15" s="237"/>
      <c r="M15" s="237"/>
      <c r="N15" s="237"/>
    </row>
    <row r="16" spans="1:14" ht="12.75">
      <c r="A16" s="249">
        <f>+A14+1</f>
        <v>2</v>
      </c>
      <c r="B16" s="241"/>
      <c r="C16" s="234" t="s">
        <v>365</v>
      </c>
      <c r="D16" s="238" t="s">
        <v>284</v>
      </c>
      <c r="E16" s="305">
        <f>3337422+0+0+0</f>
        <v>3337422</v>
      </c>
      <c r="F16" s="305">
        <f>3337422+0+0+0</f>
        <v>3337422</v>
      </c>
      <c r="G16" s="488">
        <f>IF(F16="",0,AVERAGE(E16:F16))</f>
        <v>3337422</v>
      </c>
      <c r="H16" s="250"/>
      <c r="I16" s="1132"/>
      <c r="J16" s="1133"/>
      <c r="K16" s="237"/>
      <c r="L16" s="237"/>
      <c r="M16" s="237"/>
      <c r="N16" s="237"/>
    </row>
    <row r="17" spans="1:14" ht="12.75">
      <c r="A17"/>
      <c r="B17"/>
      <c r="C17"/>
      <c r="E17"/>
      <c r="F17"/>
      <c r="G17"/>
      <c r="H17"/>
      <c r="I17" s="146"/>
      <c r="J17" s="146"/>
      <c r="K17"/>
      <c r="L17"/>
      <c r="M17" s="237"/>
      <c r="N17" s="237"/>
    </row>
    <row r="18" spans="1:14" ht="12.75">
      <c r="A18" s="249">
        <f>+A16+1</f>
        <v>3</v>
      </c>
      <c r="B18" s="244"/>
      <c r="C18" s="269" t="s">
        <v>892</v>
      </c>
      <c r="D18" s="238" t="s">
        <v>276</v>
      </c>
      <c r="E18" s="305">
        <v>438744866</v>
      </c>
      <c r="F18" s="305">
        <v>431804417</v>
      </c>
      <c r="G18" s="488">
        <f>IF(F18="",0,AVERAGE(E18:F18))</f>
        <v>435274641.5</v>
      </c>
      <c r="H18" s="146"/>
      <c r="I18" s="1132"/>
      <c r="J18" s="1133"/>
      <c r="K18" s="237"/>
      <c r="L18" s="237"/>
      <c r="M18" s="237"/>
      <c r="N18" s="237"/>
    </row>
    <row r="19" spans="1:14" ht="12.75">
      <c r="A19" s="249"/>
      <c r="B19" s="239"/>
      <c r="E19" s="242"/>
      <c r="F19" s="242"/>
      <c r="G19" s="242"/>
      <c r="H19" s="242"/>
      <c r="I19" s="236"/>
      <c r="J19" s="249"/>
      <c r="K19" s="237"/>
      <c r="L19" s="237"/>
      <c r="M19" s="237"/>
      <c r="N19" s="237"/>
    </row>
    <row r="20" spans="1:14" ht="12.75">
      <c r="A20" s="249">
        <f>+A18+1</f>
        <v>4</v>
      </c>
      <c r="B20" s="239"/>
      <c r="C20" s="234" t="s">
        <v>366</v>
      </c>
      <c r="D20" s="238" t="s">
        <v>277</v>
      </c>
      <c r="E20" s="305">
        <v>0</v>
      </c>
      <c r="F20" s="305">
        <v>0</v>
      </c>
      <c r="G20" s="488">
        <f>IF(F20="",0,AVERAGE(E20:F20))</f>
        <v>0</v>
      </c>
      <c r="H20" s="242"/>
      <c r="I20" s="1132"/>
      <c r="J20" s="1133"/>
      <c r="K20" s="237"/>
      <c r="L20" s="237"/>
      <c r="M20" s="237"/>
      <c r="N20" s="237"/>
    </row>
    <row r="21" spans="1:14" ht="12.75">
      <c r="A21" s="249"/>
      <c r="B21" s="241"/>
      <c r="C21" s="234"/>
      <c r="D21" s="239"/>
      <c r="E21" s="233"/>
      <c r="F21" s="233"/>
      <c r="G21" s="250"/>
      <c r="H21" s="250"/>
      <c r="I21" s="236"/>
      <c r="J21" s="249"/>
      <c r="K21" s="237"/>
      <c r="L21" s="237"/>
      <c r="M21" s="237"/>
      <c r="N21" s="237"/>
    </row>
    <row r="22" spans="1:14" ht="12.75">
      <c r="A22" s="249">
        <f>+A20+1</f>
        <v>5</v>
      </c>
      <c r="B22" s="241"/>
      <c r="C22" s="269" t="s">
        <v>893</v>
      </c>
      <c r="D22" s="238" t="s">
        <v>279</v>
      </c>
      <c r="E22" s="305">
        <v>568761740</v>
      </c>
      <c r="F22" s="305">
        <v>528711039</v>
      </c>
      <c r="G22" s="488">
        <f>IF(F22="",0,AVERAGE(E22:F22))</f>
        <v>548736389.5</v>
      </c>
      <c r="H22" s="250"/>
      <c r="I22" s="1132"/>
      <c r="J22" s="1133"/>
      <c r="K22" s="237"/>
      <c r="L22" s="237"/>
      <c r="M22" s="237"/>
      <c r="N22" s="237"/>
    </row>
    <row r="23" spans="1:14" ht="12.75">
      <c r="A23" s="249"/>
      <c r="B23" s="241"/>
      <c r="C23" s="234"/>
      <c r="D23" s="238"/>
      <c r="E23" s="233"/>
      <c r="F23" s="233"/>
      <c r="G23" s="250"/>
      <c r="H23" s="250"/>
      <c r="I23" s="236"/>
      <c r="J23" s="249"/>
      <c r="K23" s="237"/>
      <c r="L23" s="237"/>
      <c r="M23" s="237"/>
      <c r="N23" s="237"/>
    </row>
    <row r="24" spans="1:14" ht="12.75">
      <c r="A24" s="249">
        <f>+A22+1</f>
        <v>6</v>
      </c>
      <c r="B24" s="241"/>
      <c r="C24" s="234" t="s">
        <v>143</v>
      </c>
      <c r="D24" s="238" t="s">
        <v>280</v>
      </c>
      <c r="E24" s="305">
        <v>0</v>
      </c>
      <c r="F24" s="305">
        <v>0</v>
      </c>
      <c r="G24" s="488">
        <f>IF(F24="",0,AVERAGE(E24:F24))</f>
        <v>0</v>
      </c>
      <c r="H24" s="250"/>
      <c r="I24" s="1132"/>
      <c r="J24" s="1133"/>
      <c r="K24" s="237"/>
      <c r="L24" s="237"/>
      <c r="M24" s="237"/>
      <c r="N24" s="237"/>
    </row>
    <row r="25" spans="1:14" ht="12.75">
      <c r="A25" s="249"/>
      <c r="B25" s="241"/>
      <c r="C25" s="234"/>
      <c r="D25" s="239"/>
      <c r="E25" s="233"/>
      <c r="F25" s="233"/>
      <c r="G25" s="250"/>
      <c r="H25" s="250"/>
      <c r="I25" s="236"/>
      <c r="J25" s="249"/>
      <c r="K25" s="237"/>
      <c r="L25" s="237"/>
      <c r="M25" s="237"/>
      <c r="N25" s="237"/>
    </row>
    <row r="26" spans="1:14" ht="12.75">
      <c r="A26" s="249">
        <f>+A24+1</f>
        <v>7</v>
      </c>
      <c r="B26" s="241"/>
      <c r="C26" s="269" t="s">
        <v>895</v>
      </c>
      <c r="D26" s="238" t="s">
        <v>281</v>
      </c>
      <c r="E26" s="305">
        <v>33960860</v>
      </c>
      <c r="F26" s="305">
        <v>33659644</v>
      </c>
      <c r="G26" s="488">
        <f>IF(F26="",0,AVERAGE(E26:F26))</f>
        <v>33810252</v>
      </c>
      <c r="H26" s="250"/>
      <c r="I26" s="1132"/>
      <c r="J26" s="1133"/>
      <c r="K26" s="237"/>
      <c r="L26" s="237"/>
      <c r="M26" s="237"/>
      <c r="N26" s="237"/>
    </row>
    <row r="27" spans="1:14" ht="12.75">
      <c r="A27" s="249"/>
      <c r="B27" s="241"/>
      <c r="C27" s="234"/>
      <c r="D27" s="238"/>
      <c r="E27" s="233"/>
      <c r="F27" s="233"/>
      <c r="G27" s="250"/>
      <c r="H27" s="250"/>
      <c r="I27" s="236"/>
      <c r="J27" s="249"/>
      <c r="K27" s="237"/>
      <c r="L27" s="237"/>
      <c r="M27" s="237"/>
      <c r="N27" s="237"/>
    </row>
    <row r="28" spans="1:14" ht="12.75">
      <c r="A28" s="249">
        <f>+A26+1</f>
        <v>8</v>
      </c>
      <c r="B28" s="241"/>
      <c r="C28" s="234" t="s">
        <v>144</v>
      </c>
      <c r="D28" s="238" t="s">
        <v>282</v>
      </c>
      <c r="E28" s="305">
        <v>0</v>
      </c>
      <c r="F28" s="305">
        <v>0</v>
      </c>
      <c r="G28" s="488">
        <f>IF(F28="",0,AVERAGE(E28:F28))</f>
        <v>0</v>
      </c>
      <c r="H28" s="250"/>
      <c r="I28" s="1132"/>
      <c r="J28" s="1133"/>
      <c r="K28" s="237"/>
      <c r="L28" s="237"/>
      <c r="M28" s="237"/>
      <c r="N28" s="237"/>
    </row>
    <row r="29" spans="1:14" ht="12.75">
      <c r="A29" s="249"/>
      <c r="B29" s="241"/>
      <c r="C29" s="234"/>
      <c r="D29" s="239"/>
      <c r="E29" s="233"/>
      <c r="F29" s="233"/>
      <c r="G29" s="250"/>
      <c r="H29" s="250"/>
      <c r="I29" s="236"/>
      <c r="J29" s="249"/>
      <c r="K29" s="237"/>
      <c r="L29" s="237"/>
      <c r="M29" s="237"/>
      <c r="N29" s="237"/>
    </row>
    <row r="30" spans="1:14" ht="12.75">
      <c r="A30" s="249">
        <f>+A28+1</f>
        <v>9</v>
      </c>
      <c r="B30" s="241"/>
      <c r="C30" s="269" t="s">
        <v>894</v>
      </c>
      <c r="D30" s="238" t="s">
        <v>283</v>
      </c>
      <c r="E30" s="305">
        <v>16666518</v>
      </c>
      <c r="F30" s="305">
        <v>22360066</v>
      </c>
      <c r="G30" s="488">
        <f>IF(F30="",0,AVERAGE(E30:F30))</f>
        <v>19513292</v>
      </c>
      <c r="H30" s="250"/>
      <c r="I30" s="1132"/>
      <c r="J30" s="1133"/>
      <c r="K30" s="237"/>
      <c r="L30" s="237"/>
      <c r="M30" s="237"/>
      <c r="N30" s="237"/>
    </row>
    <row r="31" spans="1:14" ht="12.75">
      <c r="A31" s="249"/>
      <c r="B31" s="241"/>
      <c r="C31" s="234"/>
      <c r="D31" s="238"/>
      <c r="E31" s="233"/>
      <c r="F31" s="233"/>
      <c r="G31" s="250"/>
      <c r="H31" s="250"/>
      <c r="I31" s="236"/>
      <c r="J31" s="249"/>
      <c r="K31" s="237"/>
      <c r="L31" s="237"/>
      <c r="M31" s="237"/>
      <c r="N31" s="237"/>
    </row>
    <row r="32" spans="1:14" ht="12.75">
      <c r="A32" s="249">
        <f>+A30+1</f>
        <v>10</v>
      </c>
      <c r="B32" s="241"/>
      <c r="C32" s="234" t="s">
        <v>145</v>
      </c>
      <c r="D32" s="238" t="str">
        <f>"(Sum of Lines: "&amp;A18&amp;", "&amp;A14&amp;", "&amp;A22&amp;", "&amp;A26&amp;", "&amp;A30&amp;")"</f>
        <v>(Sum of Lines: 3, 1, 5, 7, 9)</v>
      </c>
      <c r="E32" s="282">
        <f>+E18+E14+E22+E26+E30</f>
        <v>1598229901</v>
      </c>
      <c r="F32" s="282">
        <f>+F18+F14+F22+F26+F30</f>
        <v>1543754230</v>
      </c>
      <c r="G32" s="282">
        <f>+G18+G14+G22+G26+G30</f>
        <v>1570992065.5</v>
      </c>
      <c r="H32"/>
      <c r="I32" s="236"/>
      <c r="J32" s="249"/>
      <c r="K32" s="237"/>
      <c r="L32" s="237"/>
      <c r="M32" s="237"/>
      <c r="N32" s="237"/>
    </row>
    <row r="33" spans="1:14" ht="12.75">
      <c r="A33" s="249"/>
      <c r="B33" s="241"/>
      <c r="C33" s="234"/>
      <c r="D33" s="239"/>
      <c r="E33" s="233"/>
      <c r="F33" s="233"/>
      <c r="G33" s="233"/>
      <c r="H33" s="250"/>
      <c r="I33" s="236"/>
      <c r="J33" s="249"/>
      <c r="K33" s="237"/>
      <c r="L33" s="237"/>
      <c r="M33" s="237"/>
      <c r="N33" s="237"/>
    </row>
    <row r="34" spans="1:14" ht="12.75">
      <c r="A34" s="249">
        <f>+A32+1</f>
        <v>11</v>
      </c>
      <c r="B34" s="241"/>
      <c r="C34" s="234" t="str">
        <f>"Total ARO Balance (included in total on line "&amp;A32&amp;")"</f>
        <v>Total ARO Balance (included in total on line 10)</v>
      </c>
      <c r="D34" s="238" t="str">
        <f>"(Sum of Lines: "&amp;A20&amp;", "&amp;A16&amp;", "&amp;A24&amp;", "&amp;A28&amp;")"</f>
        <v>(Sum of Lines: 4, 2, 6, 8)</v>
      </c>
      <c r="E34" s="282">
        <f>+E20+E16+E24+E28</f>
        <v>3337422</v>
      </c>
      <c r="F34" s="282">
        <f>+F20+F16+F24+F28</f>
        <v>3337422</v>
      </c>
      <c r="G34" s="282">
        <f>+G20+G16+G24+G28</f>
        <v>3337422</v>
      </c>
      <c r="H34" s="250"/>
      <c r="I34" s="236"/>
      <c r="J34" s="249"/>
      <c r="K34" s="237"/>
      <c r="L34" s="237"/>
      <c r="M34" s="237"/>
      <c r="N34" s="237"/>
    </row>
    <row r="35" spans="1:14" ht="12.75">
      <c r="A35" s="249"/>
      <c r="B35" s="241"/>
      <c r="C35" s="234"/>
      <c r="D35" s="239"/>
      <c r="E35" s="233"/>
      <c r="F35" s="233"/>
      <c r="G35" s="250"/>
      <c r="H35" s="250"/>
      <c r="I35" s="236"/>
      <c r="J35" s="249"/>
      <c r="K35" s="237"/>
      <c r="L35" s="237"/>
      <c r="M35" s="237"/>
      <c r="N35" s="237"/>
    </row>
    <row r="36" spans="1:14" ht="12.75">
      <c r="A36" s="268" t="s">
        <v>151</v>
      </c>
      <c r="B36" s="241"/>
      <c r="C36" s="234"/>
      <c r="D36" s="239"/>
      <c r="E36" s="656"/>
      <c r="F36" s="656"/>
      <c r="G36" s="250"/>
      <c r="H36" s="250"/>
      <c r="I36" s="236"/>
      <c r="J36" s="249"/>
      <c r="K36" s="237"/>
      <c r="L36" s="237"/>
      <c r="M36" s="237"/>
      <c r="N36" s="237"/>
    </row>
    <row r="37" spans="1:14" ht="12.75">
      <c r="A37" s="249"/>
      <c r="B37" s="241"/>
      <c r="C37" s="234"/>
      <c r="D37" s="239"/>
      <c r="E37" s="656"/>
      <c r="F37" s="656"/>
      <c r="G37" s="250"/>
      <c r="H37" s="250"/>
      <c r="I37" s="236"/>
      <c r="J37" s="249"/>
      <c r="K37" s="237"/>
      <c r="L37" s="237"/>
      <c r="M37" s="237"/>
      <c r="N37" s="237"/>
    </row>
    <row r="38" spans="1:14" ht="12.75" customHeight="1">
      <c r="A38" s="249">
        <f>+A34+1</f>
        <v>12</v>
      </c>
      <c r="B38" s="241"/>
      <c r="C38" s="269" t="s">
        <v>904</v>
      </c>
      <c r="D38" s="238" t="s">
        <v>208</v>
      </c>
      <c r="E38" s="305">
        <v>225725166</v>
      </c>
      <c r="F38" s="305">
        <v>210169120</v>
      </c>
      <c r="G38" s="488">
        <f>IF(F38="",0,AVERAGE(E38:F38))</f>
        <v>217947143</v>
      </c>
      <c r="H38" s="239"/>
      <c r="I38" s="1132"/>
      <c r="J38" s="1133"/>
      <c r="K38" s="237"/>
      <c r="L38" s="237"/>
      <c r="M38" s="237"/>
      <c r="N38" s="237"/>
    </row>
    <row r="39" spans="1:14" ht="12.75" customHeight="1">
      <c r="A39" s="249"/>
      <c r="B39" s="241"/>
      <c r="C39" s="234"/>
      <c r="D39" s="238"/>
      <c r="E39" s="233"/>
      <c r="F39" s="233"/>
      <c r="G39" s="250"/>
      <c r="H39" s="250"/>
      <c r="I39" s="252"/>
      <c r="J39" s="251"/>
      <c r="K39" s="237"/>
      <c r="L39" s="237"/>
      <c r="M39" s="237"/>
      <c r="N39" s="237"/>
    </row>
    <row r="40" spans="1:14" ht="12.75" customHeight="1">
      <c r="A40" s="249">
        <f>+A38+1</f>
        <v>13</v>
      </c>
      <c r="B40" s="241"/>
      <c r="C40" s="234" t="s">
        <v>150</v>
      </c>
      <c r="D40" s="987" t="s">
        <v>657</v>
      </c>
      <c r="E40" s="305">
        <v>357559</v>
      </c>
      <c r="F40" s="305">
        <v>199087</v>
      </c>
      <c r="G40" s="488">
        <f>IF(F40="",0,AVERAGE(E40:F40))</f>
        <v>278323</v>
      </c>
      <c r="H40" s="266"/>
      <c r="I40" s="1132"/>
      <c r="J40" s="1133"/>
      <c r="K40" s="230"/>
      <c r="L40" s="230"/>
      <c r="M40" s="230"/>
      <c r="N40" s="230"/>
    </row>
    <row r="41" spans="1:14" ht="12.75" customHeight="1">
      <c r="A41" s="249"/>
      <c r="B41" s="241"/>
      <c r="C41" s="234"/>
      <c r="D41" s="239"/>
      <c r="E41" s="233"/>
      <c r="F41" s="233"/>
      <c r="G41"/>
      <c r="H41" s="267"/>
      <c r="I41" s="235"/>
      <c r="J41" s="239"/>
      <c r="K41" s="237"/>
      <c r="L41" s="237"/>
      <c r="M41" s="237"/>
      <c r="N41" s="237"/>
    </row>
    <row r="42" spans="1:14" ht="12.75" customHeight="1">
      <c r="A42" s="249">
        <f>+A40+1</f>
        <v>14</v>
      </c>
      <c r="B42" s="244"/>
      <c r="C42" s="269" t="s">
        <v>897</v>
      </c>
      <c r="D42" s="238" t="s">
        <v>209</v>
      </c>
      <c r="E42" s="305">
        <v>141779874</v>
      </c>
      <c r="F42" s="305">
        <v>135462933</v>
      </c>
      <c r="G42" s="488">
        <f>IF(F42="",0,AVERAGE(E42:F42))</f>
        <v>138621403.5</v>
      </c>
      <c r="H42" s="250"/>
      <c r="I42" s="1132"/>
      <c r="J42" s="1133"/>
      <c r="K42" s="237"/>
      <c r="L42" s="237"/>
      <c r="M42" s="237"/>
      <c r="N42" s="237"/>
    </row>
    <row r="43" spans="1:14" ht="12.75" customHeight="1">
      <c r="A43" s="249"/>
      <c r="B43" s="239"/>
      <c r="D43" s="238"/>
      <c r="E43" s="242"/>
      <c r="F43" s="242"/>
      <c r="G43" s="242"/>
      <c r="H43" s="250"/>
      <c r="I43" s="236"/>
      <c r="J43" s="239"/>
      <c r="K43" s="237"/>
      <c r="L43" s="237"/>
      <c r="M43" s="237"/>
      <c r="N43" s="237"/>
    </row>
    <row r="44" spans="1:14" ht="12.75" customHeight="1">
      <c r="A44" s="249">
        <f>+A42+1</f>
        <v>15</v>
      </c>
      <c r="B44" s="239"/>
      <c r="C44" s="234" t="s">
        <v>149</v>
      </c>
      <c r="D44" s="987" t="s">
        <v>657</v>
      </c>
      <c r="E44" s="305">
        <v>0</v>
      </c>
      <c r="F44" s="305">
        <v>0</v>
      </c>
      <c r="G44" s="488">
        <f>IF(F44="",0,AVERAGE(E44:F44))</f>
        <v>0</v>
      </c>
      <c r="H44" s="250"/>
      <c r="I44" s="1132"/>
      <c r="J44" s="1133"/>
      <c r="K44" s="237"/>
      <c r="L44" s="237"/>
      <c r="M44" s="237"/>
      <c r="N44" s="237"/>
    </row>
    <row r="45" spans="1:14" ht="12.75" customHeight="1">
      <c r="A45" s="249"/>
      <c r="B45" s="241"/>
      <c r="C45" s="234"/>
      <c r="D45" s="239"/>
      <c r="E45" s="233"/>
      <c r="F45" s="233"/>
      <c r="G45" s="250"/>
      <c r="H45" s="267"/>
      <c r="I45" s="235"/>
      <c r="J45" s="239"/>
      <c r="K45" s="237"/>
      <c r="L45" s="237"/>
      <c r="M45" s="237"/>
      <c r="N45" s="237"/>
    </row>
    <row r="46" spans="1:14" ht="12.75" customHeight="1">
      <c r="A46" s="249">
        <f>+A44+1</f>
        <v>16</v>
      </c>
      <c r="B46" s="241"/>
      <c r="C46" s="269" t="s">
        <v>898</v>
      </c>
      <c r="D46" s="238" t="s">
        <v>402</v>
      </c>
      <c r="E46" s="305">
        <v>139979041</v>
      </c>
      <c r="F46" s="305">
        <v>133637433</v>
      </c>
      <c r="G46" s="488">
        <f>IF(F46="",0,AVERAGE(E46:F46))</f>
        <v>136808237</v>
      </c>
      <c r="H46" s="267"/>
      <c r="I46" s="1132"/>
      <c r="J46" s="1133"/>
      <c r="K46" s="237"/>
      <c r="L46" s="237"/>
      <c r="M46" s="237"/>
      <c r="N46" s="237"/>
    </row>
    <row r="47" spans="1:14" ht="12.75" customHeight="1">
      <c r="A47" s="249"/>
      <c r="B47" s="241"/>
      <c r="C47" s="234"/>
      <c r="D47" s="238"/>
      <c r="E47" s="233"/>
      <c r="F47" s="233"/>
      <c r="G47" s="250"/>
      <c r="H47" s="267"/>
      <c r="I47" s="235"/>
      <c r="J47" s="239"/>
      <c r="K47" s="237"/>
      <c r="L47" s="237"/>
      <c r="M47" s="237"/>
      <c r="N47" s="237"/>
    </row>
    <row r="48" spans="1:14" ht="12.75" customHeight="1">
      <c r="A48" s="249">
        <f>+A46+1</f>
        <v>17</v>
      </c>
      <c r="B48" s="241"/>
      <c r="C48" s="234" t="s">
        <v>147</v>
      </c>
      <c r="D48" s="987" t="s">
        <v>657</v>
      </c>
      <c r="E48" s="305">
        <v>0</v>
      </c>
      <c r="F48" s="305">
        <v>0</v>
      </c>
      <c r="G48" s="488">
        <f>IF(F48="",0,AVERAGE(E48:F48))</f>
        <v>0</v>
      </c>
      <c r="H48" s="250"/>
      <c r="I48" s="1132"/>
      <c r="J48" s="1133"/>
      <c r="K48" s="237"/>
      <c r="L48" s="237"/>
      <c r="M48" s="237"/>
      <c r="N48" s="237"/>
    </row>
    <row r="49" spans="1:14" ht="12.75" customHeight="1">
      <c r="A49" s="249"/>
      <c r="B49" s="241"/>
      <c r="C49" s="234"/>
      <c r="D49" s="239"/>
      <c r="E49" s="233"/>
      <c r="F49" s="233"/>
      <c r="G49" s="250"/>
      <c r="H49" s="239"/>
      <c r="I49" s="249"/>
      <c r="J49" s="249"/>
      <c r="K49" s="237"/>
      <c r="L49" s="237"/>
      <c r="M49" s="237"/>
      <c r="N49" s="237"/>
    </row>
    <row r="50" spans="1:14" ht="12.75" customHeight="1">
      <c r="A50" s="249">
        <f>+A48+1</f>
        <v>18</v>
      </c>
      <c r="B50" s="241"/>
      <c r="C50" s="269" t="s">
        <v>146</v>
      </c>
      <c r="D50" s="238" t="s">
        <v>928</v>
      </c>
      <c r="E50" s="305">
        <v>7194870</v>
      </c>
      <c r="F50" s="305">
        <v>6568989</v>
      </c>
      <c r="G50" s="488">
        <f>IF(F50="",0,AVERAGE(E50:F50))</f>
        <v>6881929.5</v>
      </c>
      <c r="H50" s="250"/>
      <c r="I50" s="1132"/>
      <c r="J50" s="1133"/>
      <c r="K50" s="237"/>
      <c r="L50" s="237"/>
      <c r="M50" s="237"/>
      <c r="N50" s="237"/>
    </row>
    <row r="51" spans="1:14" ht="12.75" customHeight="1">
      <c r="A51" s="249"/>
      <c r="B51" s="241"/>
      <c r="C51" s="234"/>
      <c r="D51" s="238"/>
      <c r="E51" s="233"/>
      <c r="F51" s="233"/>
      <c r="G51" s="250"/>
      <c r="H51" s="266"/>
      <c r="I51" s="252"/>
      <c r="J51" s="249"/>
      <c r="K51" s="237"/>
      <c r="L51" s="237"/>
      <c r="M51" s="237"/>
      <c r="N51" s="237"/>
    </row>
    <row r="52" spans="1:14" ht="12.75" customHeight="1">
      <c r="A52" s="249">
        <f>+A50+1</f>
        <v>19</v>
      </c>
      <c r="B52" s="241"/>
      <c r="C52" s="234" t="s">
        <v>148</v>
      </c>
      <c r="D52" s="987" t="s">
        <v>657</v>
      </c>
      <c r="E52" s="305">
        <v>0</v>
      </c>
      <c r="F52" s="305">
        <v>0</v>
      </c>
      <c r="G52" s="488">
        <f>IF(F52="",0,AVERAGE(E52:F52))</f>
        <v>0</v>
      </c>
      <c r="H52" s="267"/>
      <c r="I52" s="1132"/>
      <c r="J52" s="1133"/>
      <c r="K52" s="237"/>
      <c r="L52" s="237"/>
      <c r="M52" s="237"/>
      <c r="N52" s="237"/>
    </row>
    <row r="53" spans="1:14" ht="12.75" customHeight="1">
      <c r="A53" s="249"/>
      <c r="B53" s="241"/>
      <c r="C53" s="234"/>
      <c r="D53" s="239"/>
      <c r="E53" s="233"/>
      <c r="F53" s="233"/>
      <c r="G53" s="250"/>
      <c r="H53" s="267"/>
      <c r="I53" s="251"/>
      <c r="J53" s="249"/>
      <c r="K53" s="237"/>
      <c r="L53" s="237"/>
      <c r="M53" s="237"/>
      <c r="N53" s="237"/>
    </row>
    <row r="54" spans="1:14" ht="12.75" customHeight="1">
      <c r="A54" s="249">
        <f>+A52+1</f>
        <v>20</v>
      </c>
      <c r="B54" s="241"/>
      <c r="C54" s="269" t="s">
        <v>152</v>
      </c>
      <c r="D54" s="238" t="s">
        <v>403</v>
      </c>
      <c r="E54" s="305">
        <v>17291094</v>
      </c>
      <c r="F54" s="305">
        <v>20273525</v>
      </c>
      <c r="G54" s="488">
        <f>IF(F54="",0,AVERAGE(E54:F54))</f>
        <v>18782309.5</v>
      </c>
      <c r="H54" s="267"/>
      <c r="I54" s="1132"/>
      <c r="J54" s="1133"/>
      <c r="K54" s="237"/>
      <c r="L54" s="237"/>
      <c r="M54" s="237"/>
      <c r="N54" s="237"/>
    </row>
    <row r="55" spans="1:14" ht="12.75" customHeight="1">
      <c r="A55" s="249"/>
      <c r="B55" s="241"/>
      <c r="C55" s="234"/>
      <c r="D55" s="238"/>
      <c r="E55" s="233"/>
      <c r="F55" s="233"/>
      <c r="G55" s="250"/>
      <c r="H55" s="267"/>
      <c r="I55" s="235"/>
      <c r="J55" s="249"/>
      <c r="K55" s="237"/>
      <c r="L55" s="237"/>
      <c r="M55" s="237"/>
      <c r="N55" s="237"/>
    </row>
    <row r="56" spans="1:14" ht="12.75" customHeight="1">
      <c r="A56" s="249">
        <f>+A54+1</f>
        <v>21</v>
      </c>
      <c r="B56" s="241"/>
      <c r="C56" s="234" t="s">
        <v>153</v>
      </c>
      <c r="D56" s="238" t="str">
        <f>"(Sum of Lines: "&amp;A42&amp;", "&amp;A38&amp;", "&amp;A46&amp;", "&amp;A50&amp;", "&amp;A54&amp;")"</f>
        <v>(Sum of Lines: 14, 12, 16, 18, 20)</v>
      </c>
      <c r="E56" s="282">
        <f>+E42+E38+E46+E50+E54</f>
        <v>531970045</v>
      </c>
      <c r="F56" s="282">
        <f>+F42+F38+F46+F50+F54</f>
        <v>506112000</v>
      </c>
      <c r="G56" s="282">
        <f>+G42+G38+G46+G50+G54</f>
        <v>519041022.5</v>
      </c>
      <c r="H56" s="239"/>
      <c r="I56" s="249"/>
      <c r="J56" s="239"/>
      <c r="K56" s="237"/>
      <c r="L56" s="237"/>
      <c r="M56" s="237"/>
      <c r="N56" s="237"/>
    </row>
    <row r="57" spans="1:14" ht="12.75" customHeight="1">
      <c r="A57" s="249"/>
      <c r="B57" s="241"/>
      <c r="C57" s="234"/>
      <c r="D57" s="239"/>
      <c r="E57" s="233"/>
      <c r="F57" s="233"/>
      <c r="G57" s="233"/>
      <c r="H57" s="250"/>
      <c r="I57" s="252"/>
      <c r="J57" s="244"/>
      <c r="K57" s="237"/>
      <c r="L57" s="237"/>
      <c r="M57" s="237"/>
      <c r="N57" s="237"/>
    </row>
    <row r="58" spans="1:14" ht="12.75" customHeight="1">
      <c r="A58" s="249">
        <f>+A56+1</f>
        <v>22</v>
      </c>
      <c r="B58" s="241"/>
      <c r="C58" s="234" t="str">
        <f>"Total ARO Balance (included in total on line "&amp;A56&amp;")"</f>
        <v>Total ARO Balance (included in total on line 21)</v>
      </c>
      <c r="D58" s="238" t="str">
        <f>"(Sum of Lines: "&amp;A44&amp;", "&amp;A40&amp;", "&amp;A48&amp;", "&amp;A52&amp;")"</f>
        <v>(Sum of Lines: 15, 13, 17, 19)</v>
      </c>
      <c r="E58" s="282">
        <f>+E44+E40+E48+E52</f>
        <v>357559</v>
      </c>
      <c r="F58" s="282">
        <f>+F44+F40+F48+F52</f>
        <v>199087</v>
      </c>
      <c r="G58" s="282">
        <f>+G44+G40+G48+G52</f>
        <v>278323</v>
      </c>
      <c r="H58" s="266"/>
      <c r="I58" s="252"/>
      <c r="J58" s="239"/>
      <c r="K58" s="230"/>
      <c r="L58" s="230"/>
      <c r="M58" s="230"/>
      <c r="N58" s="230"/>
    </row>
    <row r="59" spans="1:14" ht="12.75" customHeight="1">
      <c r="A59" s="249"/>
      <c r="B59" s="241"/>
      <c r="C59" s="234"/>
      <c r="D59" s="238"/>
      <c r="E59" s="489"/>
      <c r="F59" s="489"/>
      <c r="G59" s="250"/>
      <c r="H59" s="266"/>
      <c r="I59" s="252"/>
      <c r="J59" s="239"/>
      <c r="K59" s="230"/>
      <c r="L59" s="230"/>
      <c r="M59" s="230"/>
      <c r="N59" s="230"/>
    </row>
    <row r="60" spans="1:14" ht="12.75" customHeight="1">
      <c r="A60" s="268" t="s">
        <v>154</v>
      </c>
      <c r="B60" s="241"/>
      <c r="C60" s="234"/>
      <c r="D60" s="238"/>
      <c r="E60" s="489"/>
      <c r="F60" s="489"/>
      <c r="G60" s="250"/>
      <c r="H60" s="266"/>
      <c r="I60" s="252"/>
      <c r="J60" s="239"/>
      <c r="K60" s="230"/>
      <c r="L60" s="230"/>
      <c r="M60" s="230"/>
      <c r="N60" s="230"/>
    </row>
    <row r="61" spans="1:14" ht="12.75" customHeight="1">
      <c r="A61" s="249"/>
      <c r="B61" s="241"/>
      <c r="C61" s="234"/>
      <c r="D61" s="238"/>
      <c r="E61" s="489"/>
      <c r="F61" s="489"/>
      <c r="G61" s="250"/>
      <c r="H61" s="266"/>
      <c r="I61" s="252"/>
      <c r="J61" s="239"/>
      <c r="K61" s="230"/>
      <c r="L61" s="230"/>
      <c r="M61" s="230"/>
      <c r="N61" s="230"/>
    </row>
    <row r="62" spans="1:14" ht="12.75" customHeight="1">
      <c r="A62" s="249">
        <f>+A58+1</f>
        <v>23</v>
      </c>
      <c r="B62" s="241"/>
      <c r="C62" s="234" t="s">
        <v>155</v>
      </c>
      <c r="D62" s="987" t="s">
        <v>657</v>
      </c>
      <c r="E62" s="305">
        <v>1605371</v>
      </c>
      <c r="F62" s="305">
        <v>1599484</v>
      </c>
      <c r="G62" s="488">
        <f>IF(F62="",0,AVERAGE(E62:F62))</f>
        <v>1602427.5</v>
      </c>
      <c r="H62" s="266"/>
      <c r="I62" s="1132"/>
      <c r="J62" s="1133"/>
      <c r="K62" s="230"/>
      <c r="L62" s="230"/>
      <c r="M62" s="230"/>
      <c r="N62" s="230"/>
    </row>
    <row r="63" spans="1:14" ht="12.75" customHeight="1">
      <c r="A63" s="249"/>
      <c r="B63" s="241"/>
      <c r="C63" s="234"/>
      <c r="D63" s="238"/>
      <c r="E63" s="227"/>
      <c r="F63" s="227"/>
      <c r="G63" s="488"/>
      <c r="H63" s="266"/>
      <c r="I63" s="252"/>
      <c r="J63" s="239"/>
      <c r="K63" s="230"/>
      <c r="L63" s="230"/>
      <c r="M63" s="230"/>
      <c r="N63" s="230"/>
    </row>
    <row r="64" spans="1:14" ht="12.75" customHeight="1">
      <c r="A64" s="249">
        <f>+A62+1</f>
        <v>24</v>
      </c>
      <c r="B64" s="241"/>
      <c r="C64" s="234" t="s">
        <v>156</v>
      </c>
      <c r="D64" s="987" t="s">
        <v>657</v>
      </c>
      <c r="E64" s="305">
        <v>582061</v>
      </c>
      <c r="F64" s="305">
        <v>556525</v>
      </c>
      <c r="G64" s="488">
        <f>IF(F64="",0,AVERAGE(E64:F64))</f>
        <v>569293</v>
      </c>
      <c r="H64" s="266"/>
      <c r="I64" s="1132"/>
      <c r="J64" s="1133"/>
      <c r="K64" s="230"/>
      <c r="L64" s="230"/>
      <c r="M64" s="230"/>
      <c r="N64" s="230"/>
    </row>
    <row r="65" spans="1:14" ht="12.75" customHeight="1">
      <c r="A65" s="249"/>
      <c r="B65" s="241"/>
      <c r="C65" s="234"/>
      <c r="D65" s="238"/>
      <c r="E65" s="489"/>
      <c r="F65" s="489"/>
      <c r="G65" s="250"/>
      <c r="H65" s="266"/>
      <c r="I65" s="252"/>
      <c r="J65" s="239"/>
      <c r="K65" s="230"/>
      <c r="L65" s="230"/>
      <c r="M65" s="230"/>
      <c r="N65" s="230"/>
    </row>
    <row r="66" spans="1:14" ht="12.75" customHeight="1">
      <c r="A66" s="249">
        <f>+A64+1</f>
        <v>25</v>
      </c>
      <c r="B66" s="241"/>
      <c r="C66" s="234" t="s">
        <v>199</v>
      </c>
      <c r="D66" s="238" t="str">
        <f>"(Line "&amp;A62&amp;" - Line  "&amp;A64&amp;")"</f>
        <v>(Line 23 - Line  24)</v>
      </c>
      <c r="E66" s="282">
        <f>+E62-E64</f>
        <v>1023310</v>
      </c>
      <c r="F66" s="282">
        <f>+F62-F64</f>
        <v>1042959</v>
      </c>
      <c r="G66" s="282">
        <f>+G62-G64</f>
        <v>1033134.5</v>
      </c>
      <c r="H66" s="266"/>
      <c r="I66" s="252"/>
      <c r="J66" s="239"/>
      <c r="K66" s="230"/>
      <c r="L66" s="230"/>
      <c r="M66" s="230"/>
      <c r="N66" s="230"/>
    </row>
    <row r="67" spans="1:14" ht="12.75" customHeight="1">
      <c r="A67" s="249"/>
      <c r="B67" s="241"/>
      <c r="C67" s="234"/>
      <c r="D67" s="238"/>
      <c r="E67" s="227"/>
      <c r="F67" s="227"/>
      <c r="G67" s="227"/>
      <c r="H67" s="266"/>
      <c r="I67" s="252"/>
      <c r="J67" s="239"/>
      <c r="K67" s="230"/>
      <c r="L67" s="230"/>
      <c r="M67" s="230"/>
      <c r="N67" s="230"/>
    </row>
    <row r="68" spans="1:14" ht="12.75" customHeight="1">
      <c r="A68" s="240" t="s">
        <v>410</v>
      </c>
      <c r="B68" s="241"/>
      <c r="C68" s="234"/>
      <c r="D68" s="238"/>
      <c r="E68" s="227"/>
      <c r="F68" s="227"/>
      <c r="G68" s="227"/>
      <c r="H68" s="266"/>
      <c r="I68" s="252"/>
      <c r="J68" s="239"/>
      <c r="K68" s="230"/>
      <c r="L68" s="230"/>
      <c r="M68" s="230"/>
      <c r="N68" s="230"/>
    </row>
    <row r="69" spans="1:14" ht="12.75" customHeight="1">
      <c r="A69" s="240"/>
      <c r="B69" s="241"/>
      <c r="C69" s="234"/>
      <c r="D69" s="238"/>
      <c r="E69" s="227"/>
      <c r="F69" s="227"/>
      <c r="G69" s="227"/>
      <c r="H69" s="266"/>
      <c r="I69" s="252"/>
      <c r="J69" s="239"/>
      <c r="K69" s="230"/>
      <c r="L69" s="230"/>
      <c r="M69" s="230"/>
      <c r="N69" s="230"/>
    </row>
    <row r="70" spans="1:14" ht="12.75" customHeight="1">
      <c r="A70" s="249">
        <f>+A66+1</f>
        <v>26</v>
      </c>
      <c r="B70" s="241"/>
      <c r="C70" s="234" t="s">
        <v>897</v>
      </c>
      <c r="D70" s="238" t="str">
        <f>"(Line "&amp;A42&amp;" Above)"</f>
        <v>(Line 14 Above)</v>
      </c>
      <c r="E70" s="227">
        <f>+E42</f>
        <v>141779874</v>
      </c>
      <c r="F70" s="227">
        <f>+F42</f>
        <v>135462933</v>
      </c>
      <c r="G70" s="488">
        <f>IF(F70="",0,AVERAGE(E70:F70))</f>
        <v>138621403.5</v>
      </c>
      <c r="H70" s="266"/>
      <c r="I70" s="252"/>
      <c r="J70" s="239"/>
      <c r="K70" s="230"/>
      <c r="L70" s="230"/>
      <c r="M70" s="230"/>
      <c r="N70" s="230"/>
    </row>
    <row r="71" spans="1:14" ht="12.75" customHeight="1">
      <c r="A71" s="249"/>
      <c r="B71" s="241"/>
      <c r="C71" s="234"/>
      <c r="D71" s="238"/>
      <c r="E71" s="227"/>
      <c r="F71" s="227"/>
      <c r="G71" s="488"/>
      <c r="H71" s="266"/>
      <c r="I71" s="252"/>
      <c r="J71" s="239"/>
      <c r="K71" s="230"/>
      <c r="L71" s="230"/>
      <c r="M71" s="230"/>
      <c r="N71" s="230"/>
    </row>
    <row r="72" spans="1:14" ht="12.75" customHeight="1">
      <c r="A72" s="249">
        <f>+A70+1</f>
        <v>27</v>
      </c>
      <c r="B72" s="241"/>
      <c r="C72" s="234" t="s">
        <v>412</v>
      </c>
      <c r="D72" s="238" t="str">
        <f>"(Line "&amp;A64&amp;" Above)"</f>
        <v>(Line 24 Above)</v>
      </c>
      <c r="E72" s="489">
        <f>+E64</f>
        <v>582061</v>
      </c>
      <c r="F72" s="489">
        <f>+F64</f>
        <v>556525</v>
      </c>
      <c r="G72" s="488">
        <f>IF(F72="",0,AVERAGE(E72:F72))</f>
        <v>569293</v>
      </c>
      <c r="H72" s="266"/>
      <c r="I72" s="252"/>
      <c r="J72" s="239"/>
      <c r="K72" s="230"/>
      <c r="L72" s="230"/>
      <c r="M72" s="230"/>
      <c r="N72" s="230"/>
    </row>
    <row r="73" spans="1:14" ht="12.75" customHeight="1">
      <c r="A73" s="249"/>
      <c r="B73" s="241"/>
      <c r="C73" s="234"/>
      <c r="D73" s="238"/>
      <c r="E73" s="489"/>
      <c r="F73" s="489"/>
      <c r="G73" s="250"/>
      <c r="H73" s="266"/>
      <c r="I73" s="252"/>
      <c r="J73" s="239"/>
      <c r="K73" s="230"/>
      <c r="L73" s="230"/>
      <c r="M73" s="230"/>
      <c r="N73" s="230"/>
    </row>
    <row r="74" spans="1:14" ht="12.75" customHeight="1">
      <c r="A74" s="249">
        <f>+A72+1</f>
        <v>28</v>
      </c>
      <c r="B74" s="241"/>
      <c r="C74" s="234" t="s">
        <v>411</v>
      </c>
      <c r="D74" s="238" t="str">
        <f>"(Line "&amp;A70&amp;" - Line  "&amp;A72&amp;")"</f>
        <v>(Line 26 - Line  27)</v>
      </c>
      <c r="E74" s="282">
        <f>+E70-E72</f>
        <v>141197813</v>
      </c>
      <c r="F74" s="282">
        <f>+F70-F72</f>
        <v>134906408</v>
      </c>
      <c r="G74" s="892">
        <f>+G70-G72</f>
        <v>138052110.5</v>
      </c>
      <c r="H74" s="266"/>
      <c r="I74" s="252"/>
      <c r="J74" s="239"/>
      <c r="K74" s="230"/>
      <c r="L74" s="230"/>
      <c r="M74" s="230"/>
      <c r="N74" s="230"/>
    </row>
    <row r="75" spans="1:14" ht="12.75" customHeight="1">
      <c r="A75" s="249"/>
      <c r="B75" s="241"/>
      <c r="C75" s="234"/>
      <c r="D75" s="238"/>
      <c r="E75" s="489"/>
      <c r="F75" s="489"/>
      <c r="G75" s="250"/>
      <c r="H75" s="266"/>
      <c r="I75" s="252"/>
      <c r="J75" s="239"/>
      <c r="K75" s="230"/>
      <c r="L75" s="230"/>
      <c r="M75" s="230"/>
      <c r="N75" s="230"/>
    </row>
    <row r="76" spans="1:14" ht="12.75" customHeight="1">
      <c r="A76" s="268" t="s">
        <v>459</v>
      </c>
      <c r="B76" s="241"/>
      <c r="C76" s="233"/>
      <c r="D76" s="239"/>
      <c r="E76" s="233"/>
      <c r="F76" s="233"/>
      <c r="G76" s="250"/>
      <c r="H76" s="266"/>
      <c r="I76" s="252"/>
      <c r="J76" s="239"/>
      <c r="K76" s="230"/>
      <c r="L76" s="230"/>
      <c r="M76" s="230"/>
      <c r="N76" s="230"/>
    </row>
    <row r="77" spans="1:14" ht="12.75" customHeight="1">
      <c r="A77" s="249"/>
      <c r="B77" s="229"/>
      <c r="D77" s="239"/>
      <c r="E77" s="239"/>
      <c r="F77" s="239"/>
      <c r="G77" s="250"/>
      <c r="H77" s="266"/>
      <c r="I77" s="252"/>
      <c r="J77" s="239"/>
      <c r="K77" s="230"/>
      <c r="L77" s="230"/>
      <c r="M77" s="230"/>
      <c r="N77" s="230"/>
    </row>
    <row r="78" spans="1:14" ht="12.75" customHeight="1">
      <c r="A78" s="249">
        <f>+A74+1</f>
        <v>29</v>
      </c>
      <c r="B78" s="244"/>
      <c r="C78" s="268" t="s">
        <v>459</v>
      </c>
      <c r="D78" s="238" t="s">
        <v>202</v>
      </c>
      <c r="E78" s="305">
        <v>7436551</v>
      </c>
      <c r="F78" s="305">
        <v>6808947</v>
      </c>
      <c r="G78" s="488">
        <f>IF(F78="",0,AVERAGE(E78:F78))</f>
        <v>7122749</v>
      </c>
      <c r="H78" s="266"/>
      <c r="I78" s="1132"/>
      <c r="J78" s="1133"/>
      <c r="K78" s="230"/>
      <c r="L78" s="230"/>
      <c r="M78" s="230"/>
      <c r="N78" s="230"/>
    </row>
    <row r="79" spans="1:14" ht="12.75" customHeight="1">
      <c r="A79" s="228"/>
      <c r="B79" s="244"/>
      <c r="C79" s="244"/>
      <c r="D79" s="244"/>
      <c r="E79" s="244"/>
      <c r="F79" s="244"/>
      <c r="G79" s="250"/>
      <c r="H79" s="266"/>
      <c r="I79" s="252"/>
      <c r="J79" s="239"/>
      <c r="K79" s="230"/>
      <c r="L79" s="230"/>
      <c r="M79" s="230"/>
      <c r="N79" s="230"/>
    </row>
    <row r="80" spans="1:14" ht="12.75" customHeight="1">
      <c r="A80" s="249">
        <f>+A78+1</f>
        <v>30</v>
      </c>
      <c r="B80" s="229"/>
      <c r="C80" s="268" t="s">
        <v>200</v>
      </c>
      <c r="D80" s="987" t="s">
        <v>657</v>
      </c>
      <c r="E80" s="305">
        <v>30592</v>
      </c>
      <c r="F80" s="305">
        <v>30592</v>
      </c>
      <c r="G80" s="488">
        <f>IF(F80="",0,AVERAGE(E80:F80))</f>
        <v>30592</v>
      </c>
      <c r="H80" s="266"/>
      <c r="I80" s="1132"/>
      <c r="J80" s="1133"/>
      <c r="K80" s="230"/>
      <c r="L80" s="230"/>
      <c r="M80" s="230"/>
      <c r="N80" s="230"/>
    </row>
    <row r="81" spans="1:14" ht="12.75" customHeight="1">
      <c r="A81"/>
      <c r="B81"/>
      <c r="C81"/>
      <c r="D81"/>
      <c r="E81"/>
      <c r="F81"/>
      <c r="G81"/>
      <c r="H81"/>
      <c r="I81" s="146"/>
      <c r="J81" s="146"/>
      <c r="K81"/>
      <c r="L81" s="230"/>
      <c r="M81" s="230"/>
      <c r="N81" s="230"/>
    </row>
    <row r="82" spans="1:14" ht="12.75" customHeight="1">
      <c r="A82" s="268" t="s">
        <v>17</v>
      </c>
      <c r="B82"/>
      <c r="C82" s="794"/>
      <c r="D82"/>
      <c r="E82"/>
      <c r="F82"/>
      <c r="G82"/>
      <c r="H82"/>
      <c r="I82" s="146"/>
      <c r="J82" s="146"/>
      <c r="K82"/>
      <c r="L82" s="230"/>
      <c r="M82" s="230"/>
      <c r="N82" s="230"/>
    </row>
    <row r="83" spans="1:10" ht="12.75">
      <c r="A83" s="232"/>
      <c r="B83" s="244"/>
      <c r="C83" s="893" t="s">
        <v>182</v>
      </c>
      <c r="D83" s="244"/>
      <c r="E83" s="244"/>
      <c r="F83" s="244"/>
      <c r="G83" s="244"/>
      <c r="H83" s="244"/>
      <c r="J83" s="244"/>
    </row>
    <row r="84" spans="1:10" ht="12.75">
      <c r="A84" s="249">
        <f>+A80+1</f>
        <v>31</v>
      </c>
      <c r="B84" s="244"/>
      <c r="C84" s="893"/>
      <c r="D84" s="244"/>
      <c r="E84" s="305"/>
      <c r="F84" s="305"/>
      <c r="G84" s="488">
        <f>IF(F84="",0,AVERAGE(E84:F84))</f>
        <v>0</v>
      </c>
      <c r="H84" s="244"/>
      <c r="J84" s="244"/>
    </row>
    <row r="85" spans="1:10" ht="12.75">
      <c r="A85" s="249">
        <f>+A84+1</f>
        <v>32</v>
      </c>
      <c r="B85" s="244"/>
      <c r="C85" s="893"/>
      <c r="D85" s="244"/>
      <c r="E85" s="305"/>
      <c r="F85" s="305"/>
      <c r="G85" s="488">
        <f>IF(F85="",0,AVERAGE(E85:F85))</f>
        <v>0</v>
      </c>
      <c r="H85" s="244"/>
      <c r="J85" s="244"/>
    </row>
    <row r="86" spans="1:10" ht="12.75">
      <c r="A86" s="249">
        <f>+A85+1</f>
        <v>33</v>
      </c>
      <c r="B86" s="244"/>
      <c r="C86" s="893"/>
      <c r="D86" s="244"/>
      <c r="E86" s="305"/>
      <c r="F86" s="305"/>
      <c r="G86" s="488">
        <f>IF(F86="",0,AVERAGE(E86:F86))</f>
        <v>0</v>
      </c>
      <c r="H86" s="244"/>
      <c r="J86" s="244"/>
    </row>
    <row r="87" spans="1:10" ht="12.75">
      <c r="A87" s="249">
        <f>+A86+1</f>
        <v>34</v>
      </c>
      <c r="B87" s="244"/>
      <c r="C87" s="893"/>
      <c r="D87" s="244"/>
      <c r="E87" s="305"/>
      <c r="F87" s="305"/>
      <c r="G87" s="488">
        <f>IF(F87="",0,AVERAGE(E87:F87))</f>
        <v>0</v>
      </c>
      <c r="H87" s="244"/>
      <c r="J87" s="244"/>
    </row>
    <row r="88" spans="1:10" ht="12.75">
      <c r="A88" s="249">
        <f>+A87+1</f>
        <v>35</v>
      </c>
      <c r="B88" s="244"/>
      <c r="C88" s="244"/>
      <c r="D88" s="244"/>
      <c r="E88" s="580"/>
      <c r="F88" s="580"/>
      <c r="G88" s="488">
        <f>IF(F88="",0,AVERAGE(E88:F88))</f>
        <v>0</v>
      </c>
      <c r="H88" s="244"/>
      <c r="J88" s="244"/>
    </row>
    <row r="89" spans="1:10" ht="12.75">
      <c r="A89" s="249">
        <f>+A88+1</f>
        <v>36</v>
      </c>
      <c r="B89" s="244"/>
      <c r="C89" s="244" t="s">
        <v>387</v>
      </c>
      <c r="D89" s="244"/>
      <c r="E89" s="579">
        <f>SUM(E84:E88)</f>
        <v>0</v>
      </c>
      <c r="F89" s="579">
        <f>SUM(F84:F88)</f>
        <v>0</v>
      </c>
      <c r="G89" s="579">
        <f>SUM(G84:G88)</f>
        <v>0</v>
      </c>
      <c r="H89" s="244"/>
      <c r="J89" s="244"/>
    </row>
    <row r="90" spans="1:10" ht="12.75">
      <c r="A90" s="249"/>
      <c r="B90" s="244"/>
      <c r="C90" s="244"/>
      <c r="D90" s="244"/>
      <c r="E90" s="244"/>
      <c r="F90" s="244"/>
      <c r="G90" s="244"/>
      <c r="H90" s="244"/>
      <c r="J90" s="244"/>
    </row>
    <row r="91" spans="1:10" ht="12.75">
      <c r="A91" s="988" t="s">
        <v>658</v>
      </c>
      <c r="B91" s="989" t="s">
        <v>659</v>
      </c>
      <c r="C91" s="244"/>
      <c r="D91" s="244"/>
      <c r="E91" s="244"/>
      <c r="F91" s="244"/>
      <c r="G91" s="244"/>
      <c r="H91" s="244"/>
      <c r="J91" s="244"/>
    </row>
    <row r="92" spans="1:10" ht="12.75">
      <c r="A92" s="249"/>
      <c r="B92" s="244"/>
      <c r="C92" s="244"/>
      <c r="D92" s="244"/>
      <c r="E92" s="244"/>
      <c r="F92" s="244"/>
      <c r="G92" s="244"/>
      <c r="H92" s="244"/>
      <c r="J92" s="244"/>
    </row>
    <row r="93" spans="1:10" ht="12.75">
      <c r="A93" s="1066" t="s">
        <v>925</v>
      </c>
      <c r="B93" s="244"/>
      <c r="C93" s="244"/>
      <c r="D93" s="244"/>
      <c r="E93" s="244"/>
      <c r="F93" s="244"/>
      <c r="G93" s="244"/>
      <c r="H93" s="244"/>
      <c r="J93" s="244"/>
    </row>
    <row r="299" ht="6" customHeight="1"/>
    <row r="301" ht="6" customHeight="1"/>
    <row r="308" ht="6" customHeight="1"/>
    <row r="310" ht="6" customHeight="1"/>
    <row r="314" ht="6" customHeight="1"/>
    <row r="317" ht="6" customHeight="1"/>
    <row r="322" ht="6" customHeight="1"/>
    <row r="326" ht="6" customHeight="1"/>
    <row r="328" ht="6" customHeight="1"/>
    <row r="337" ht="6" customHeight="1"/>
    <row r="339" ht="6" customHeight="1"/>
    <row r="341" ht="6" customHeight="1"/>
    <row r="343" ht="6" customHeight="1"/>
    <row r="352" ht="6" customHeight="1"/>
    <row r="354" ht="6" customHeight="1"/>
  </sheetData>
  <sheetProtection/>
  <mergeCells count="7">
    <mergeCell ref="G7:G8"/>
    <mergeCell ref="A2:G2"/>
    <mergeCell ref="A1:G1"/>
    <mergeCell ref="A3:G3"/>
    <mergeCell ref="A4:G4"/>
    <mergeCell ref="E7:E8"/>
    <mergeCell ref="F7:F8"/>
  </mergeCells>
  <printOptions/>
  <pageMargins left="0.26" right="0.34" top="1" bottom="0.51" header="0.75" footer="0.67"/>
  <pageSetup horizontalDpi="600" verticalDpi="600" orientation="portrait" scale="55" r:id="rId1"/>
  <headerFooter alignWithMargins="0">
    <oddHeader>&amp;R&amp;"Arial,Bold"Formula Rate 
&amp;A
Page &amp;P of &amp;N</oddHeader>
  </headerFooter>
</worksheet>
</file>

<file path=xl/worksheets/sheet5.xml><?xml version="1.0" encoding="utf-8"?>
<worksheet xmlns="http://schemas.openxmlformats.org/spreadsheetml/2006/main" xmlns:r="http://schemas.openxmlformats.org/officeDocument/2006/relationships">
  <sheetPr>
    <tabColor indexed="45"/>
    <pageSetUpPr fitToPage="1"/>
  </sheetPr>
  <dimension ref="A1:O220"/>
  <sheetViews>
    <sheetView zoomScaleSheetLayoutView="100" zoomScalePageLayoutView="0" workbookViewId="0" topLeftCell="A1">
      <selection activeCell="A1" sqref="A1:I1"/>
    </sheetView>
  </sheetViews>
  <sheetFormatPr defaultColWidth="9.140625" defaultRowHeight="12.75"/>
  <cols>
    <col min="1" max="1" width="9.140625" style="162" customWidth="1"/>
    <col min="2" max="2" width="0.85546875" style="168" customWidth="1"/>
    <col min="3" max="3" width="41.57421875" style="162" customWidth="1"/>
    <col min="4" max="4" width="27.140625" style="162" customWidth="1"/>
    <col min="5" max="5" width="19.8515625" style="162" customWidth="1"/>
    <col min="6" max="6" width="1.7109375" style="162" customWidth="1"/>
    <col min="7" max="7" width="19.421875" style="162" customWidth="1"/>
    <col min="8" max="8" width="2.8515625" style="162" customWidth="1"/>
    <col min="9" max="9" width="17.8515625" style="162" customWidth="1"/>
    <col min="10" max="10" width="15.7109375" style="162" customWidth="1"/>
    <col min="11" max="11" width="18.00390625" style="162" bestFit="1" customWidth="1"/>
    <col min="12" max="12" width="20.421875" style="162" customWidth="1"/>
    <col min="13" max="15" width="9.140625" style="162" customWidth="1"/>
    <col min="16" max="16" width="10.00390625" style="162" bestFit="1" customWidth="1"/>
    <col min="17" max="17" width="17.7109375" style="162" customWidth="1"/>
    <col min="18" max="18" width="15.57421875" style="162" bestFit="1" customWidth="1"/>
    <col min="19" max="16384" width="9.140625" style="162" customWidth="1"/>
  </cols>
  <sheetData>
    <row r="1" spans="1:11" ht="15">
      <c r="A1" s="1091" t="s">
        <v>230</v>
      </c>
      <c r="B1" s="1091"/>
      <c r="C1" s="1091"/>
      <c r="D1" s="1091"/>
      <c r="E1" s="1091"/>
      <c r="F1" s="1091"/>
      <c r="G1" s="1091"/>
      <c r="H1" s="1091"/>
      <c r="I1" s="1091"/>
      <c r="J1" s="172"/>
      <c r="K1" s="172"/>
    </row>
    <row r="2" spans="1:11" ht="15">
      <c r="A2" s="1090" t="str">
        <f>"Cost of Service Formula Rate Using "&amp;'KPCo Historic TCOS'!O1&amp;" FF1 Balances"</f>
        <v>Cost of Service Formula Rate Using 2009 FF1 Balances</v>
      </c>
      <c r="B2" s="1090"/>
      <c r="C2" s="1090"/>
      <c r="D2" s="1090"/>
      <c r="E2" s="1090"/>
      <c r="F2" s="1090"/>
      <c r="G2" s="1090"/>
      <c r="H2" s="1090"/>
      <c r="I2" s="1090"/>
      <c r="J2" s="276"/>
      <c r="K2" s="276"/>
    </row>
    <row r="3" spans="1:11" ht="15">
      <c r="A3" s="1090" t="s">
        <v>329</v>
      </c>
      <c r="B3" s="1090"/>
      <c r="C3" s="1090"/>
      <c r="D3" s="1090"/>
      <c r="E3" s="1090"/>
      <c r="F3" s="1090"/>
      <c r="G3" s="1090"/>
      <c r="H3" s="1090"/>
      <c r="I3" s="1090"/>
      <c r="J3" s="275"/>
      <c r="K3" s="275"/>
    </row>
    <row r="4" spans="1:13" ht="15">
      <c r="A4" s="1094" t="str">
        <f>+'KPCo WS A  - RB Support '!A4:F4</f>
        <v>KENTUCKY POWER COMPANY</v>
      </c>
      <c r="B4" s="1094"/>
      <c r="C4" s="1094"/>
      <c r="D4" s="1094"/>
      <c r="E4" s="1094"/>
      <c r="F4" s="1094"/>
      <c r="G4" s="1094"/>
      <c r="H4" s="1094"/>
      <c r="I4" s="1094"/>
      <c r="J4" s="10"/>
      <c r="K4" s="10"/>
      <c r="L4"/>
      <c r="M4"/>
    </row>
    <row r="5" spans="3:4" ht="12.75">
      <c r="C5" s="166"/>
      <c r="D5" s="166"/>
    </row>
    <row r="6" spans="3:15" ht="12.75">
      <c r="C6" s="108" t="s">
        <v>770</v>
      </c>
      <c r="D6" s="108" t="s">
        <v>771</v>
      </c>
      <c r="E6" s="108" t="s">
        <v>772</v>
      </c>
      <c r="G6" s="108" t="s">
        <v>773</v>
      </c>
      <c r="I6" s="108" t="s">
        <v>588</v>
      </c>
      <c r="J6" s="108"/>
      <c r="K6" s="108"/>
      <c r="L6" s="108"/>
      <c r="M6"/>
      <c r="N6"/>
      <c r="O6"/>
    </row>
    <row r="7" spans="1:15" ht="12.75">
      <c r="A7" s="273"/>
      <c r="I7" s="114"/>
      <c r="J7"/>
      <c r="K7"/>
      <c r="L7"/>
      <c r="M7"/>
      <c r="N7"/>
      <c r="O7"/>
    </row>
    <row r="8" spans="1:15" ht="12.75" customHeight="1">
      <c r="A8" s="112" t="s">
        <v>777</v>
      </c>
      <c r="C8" s="167"/>
      <c r="D8" s="167"/>
      <c r="E8" s="1093" t="str">
        <f>"Balance @ December 31, "&amp;'KPCo Historic TCOS'!O1&amp;""</f>
        <v>Balance @ December 31, 2009</v>
      </c>
      <c r="F8" s="496"/>
      <c r="G8" s="1093" t="str">
        <f>"Balance @ December 31, "&amp;'KPCo Historic TCOS'!O1-1&amp;""</f>
        <v>Balance @ December 31, 2008</v>
      </c>
      <c r="H8" s="496"/>
      <c r="I8" s="1088" t="str">
        <f>"Average Balance for "&amp;'KPCo Historic TCOS'!O1&amp;""</f>
        <v>Average Balance for 2009</v>
      </c>
      <c r="J8"/>
      <c r="K8"/>
      <c r="L8"/>
      <c r="M8"/>
      <c r="N8"/>
      <c r="O8"/>
    </row>
    <row r="9" spans="1:15" ht="12.75">
      <c r="A9" s="112" t="s">
        <v>713</v>
      </c>
      <c r="B9" s="111"/>
      <c r="C9" s="112" t="s">
        <v>775</v>
      </c>
      <c r="D9" s="112" t="s">
        <v>891</v>
      </c>
      <c r="E9" s="1089"/>
      <c r="F9" s="254"/>
      <c r="G9" s="1089"/>
      <c r="H9" s="743"/>
      <c r="I9" s="1089"/>
      <c r="J9"/>
      <c r="K9"/>
      <c r="L9"/>
      <c r="M9"/>
      <c r="N9"/>
      <c r="O9"/>
    </row>
    <row r="10" spans="1:7" ht="12.75">
      <c r="A10" s="273"/>
      <c r="C10" s="166"/>
      <c r="D10" s="166"/>
      <c r="G10" s="788"/>
    </row>
    <row r="11" spans="1:4" ht="12.75">
      <c r="A11" s="273"/>
      <c r="C11" s="166"/>
      <c r="D11" s="166"/>
    </row>
    <row r="12" spans="1:4" ht="12.75">
      <c r="A12" s="273"/>
      <c r="C12" s="166"/>
      <c r="D12" s="166"/>
    </row>
    <row r="13" spans="1:4" ht="15.75">
      <c r="A13" s="273">
        <v>1</v>
      </c>
      <c r="C13" s="195" t="s">
        <v>404</v>
      </c>
      <c r="D13" s="195"/>
    </row>
    <row r="14" spans="1:8" ht="15.75">
      <c r="A14" s="273"/>
      <c r="C14" s="195"/>
      <c r="D14" s="195"/>
      <c r="H14"/>
    </row>
    <row r="15" spans="1:12" ht="12.75">
      <c r="A15" s="273">
        <f>+A13+1</f>
        <v>2</v>
      </c>
      <c r="C15" s="203" t="s">
        <v>415</v>
      </c>
      <c r="D15" s="238" t="s">
        <v>417</v>
      </c>
      <c r="E15" s="307">
        <v>31362189</v>
      </c>
      <c r="G15" s="307">
        <v>32792379</v>
      </c>
      <c r="H15"/>
      <c r="I15" s="488">
        <f>IF(G15="",0,(E15+G15)/2)</f>
        <v>32077284</v>
      </c>
      <c r="K15" s="1134"/>
      <c r="L15" s="1134"/>
    </row>
    <row r="16" spans="1:12" ht="12.75">
      <c r="A16" s="273">
        <f>+A15+1</f>
        <v>3</v>
      </c>
      <c r="C16" s="203" t="s">
        <v>419</v>
      </c>
      <c r="D16" s="990" t="s">
        <v>664</v>
      </c>
      <c r="E16" s="307">
        <v>0</v>
      </c>
      <c r="G16" s="307">
        <v>0</v>
      </c>
      <c r="H16"/>
      <c r="I16" s="488">
        <f>IF(G16="",0,(E16+G16)/2)</f>
        <v>0</v>
      </c>
      <c r="K16" s="1134"/>
      <c r="L16" s="1134"/>
    </row>
    <row r="17" spans="1:12" ht="15">
      <c r="A17" s="273">
        <f>+A16+1</f>
        <v>4</v>
      </c>
      <c r="C17" s="203" t="s">
        <v>420</v>
      </c>
      <c r="D17" s="990" t="s">
        <v>664</v>
      </c>
      <c r="E17" s="498">
        <v>31362189</v>
      </c>
      <c r="G17" s="498">
        <v>32792379</v>
      </c>
      <c r="I17" s="661">
        <f>IF(G17="",0,(E17+G17)/2)</f>
        <v>32077284</v>
      </c>
      <c r="K17" s="1134"/>
      <c r="L17" s="1134"/>
    </row>
    <row r="18" spans="1:12" ht="12.75">
      <c r="A18" s="273">
        <f>+A17+1</f>
        <v>5</v>
      </c>
      <c r="C18" s="203" t="s">
        <v>416</v>
      </c>
      <c r="D18" s="499" t="str">
        <f>"Ln "&amp;A15&amp;" - ln "&amp;A16&amp;" - ln "&amp;A17&amp;""</f>
        <v>Ln 2 - ln 3 - ln 4</v>
      </c>
      <c r="E18" s="152">
        <f>+E15-E16-E17</f>
        <v>0</v>
      </c>
      <c r="G18" s="152">
        <f>+G15-G16-G17</f>
        <v>0</v>
      </c>
      <c r="I18" s="488">
        <f>+I15-I16-I17</f>
        <v>0</v>
      </c>
      <c r="K18" s="151"/>
      <c r="L18" s="151"/>
    </row>
    <row r="19" spans="1:12" ht="12.75">
      <c r="A19" s="273"/>
      <c r="C19" s="203"/>
      <c r="D19" s="203"/>
      <c r="K19" s="151"/>
      <c r="L19" s="151"/>
    </row>
    <row r="20" spans="1:12" ht="12.75">
      <c r="A20" s="273"/>
      <c r="C20" s="203"/>
      <c r="D20" s="203"/>
      <c r="K20" s="151"/>
      <c r="L20" s="151"/>
    </row>
    <row r="21" spans="1:12" ht="15.75">
      <c r="A21" s="273">
        <f>+A18+1</f>
        <v>6</v>
      </c>
      <c r="C21" s="195" t="s">
        <v>405</v>
      </c>
      <c r="D21" s="203"/>
      <c r="K21" s="151"/>
      <c r="L21" s="151"/>
    </row>
    <row r="22" spans="1:12" ht="12.75">
      <c r="A22" s="273"/>
      <c r="C22" s="203"/>
      <c r="D22" s="203"/>
      <c r="K22" s="151"/>
      <c r="L22" s="151"/>
    </row>
    <row r="23" spans="1:12" ht="12.75">
      <c r="A23" s="273">
        <f>+A21+1</f>
        <v>7</v>
      </c>
      <c r="C23" s="203" t="s">
        <v>415</v>
      </c>
      <c r="D23" s="238" t="s">
        <v>286</v>
      </c>
      <c r="E23" s="306">
        <v>162185880</v>
      </c>
      <c r="G23" s="306">
        <v>131548600</v>
      </c>
      <c r="H23"/>
      <c r="I23" s="488">
        <f>IF(G23="",0,(E23+G23)/2)</f>
        <v>146867240</v>
      </c>
      <c r="K23" s="1134"/>
      <c r="L23" s="1134"/>
    </row>
    <row r="24" spans="1:12" ht="12.75">
      <c r="A24" s="273">
        <f>+A23+1</f>
        <v>8</v>
      </c>
      <c r="C24" s="203" t="s">
        <v>419</v>
      </c>
      <c r="D24" s="990" t="s">
        <v>664</v>
      </c>
      <c r="E24" s="306">
        <v>490807</v>
      </c>
      <c r="G24" s="306">
        <v>468472</v>
      </c>
      <c r="H24"/>
      <c r="I24" s="488">
        <f>IF(G24="",0,(E24+G24)/2)</f>
        <v>479639.5</v>
      </c>
      <c r="K24" s="1134"/>
      <c r="L24" s="1134"/>
    </row>
    <row r="25" spans="1:12" ht="15">
      <c r="A25" s="273">
        <f>+A24+1</f>
        <v>9</v>
      </c>
      <c r="C25" s="203" t="s">
        <v>420</v>
      </c>
      <c r="D25" s="990" t="s">
        <v>664</v>
      </c>
      <c r="E25" s="498">
        <v>115337834</v>
      </c>
      <c r="G25" s="498">
        <v>88626589</v>
      </c>
      <c r="I25" s="661">
        <f>IF(G25="",0,(E25+G25)/2)</f>
        <v>101982211.5</v>
      </c>
      <c r="K25" s="1134"/>
      <c r="L25" s="1134"/>
    </row>
    <row r="26" spans="1:12" ht="12.75">
      <c r="A26" s="273">
        <f>+A25+1</f>
        <v>10</v>
      </c>
      <c r="C26" s="203" t="s">
        <v>416</v>
      </c>
      <c r="D26" s="499" t="str">
        <f>"Ln "&amp;A23&amp;" - ln "&amp;A24&amp;" - ln "&amp;A25&amp;""</f>
        <v>Ln 7 - ln 8 - ln 9</v>
      </c>
      <c r="E26" s="152">
        <f>+E23-E24-E25</f>
        <v>46357239</v>
      </c>
      <c r="G26" s="152">
        <f>+G23-G24-G25</f>
        <v>42453539</v>
      </c>
      <c r="I26" s="488">
        <f>+I23-I24-I25</f>
        <v>44405389</v>
      </c>
      <c r="K26" s="151"/>
      <c r="L26" s="151"/>
    </row>
    <row r="27" spans="1:12" ht="12.75">
      <c r="A27" s="273"/>
      <c r="C27" s="203"/>
      <c r="D27" s="203"/>
      <c r="K27" s="151"/>
      <c r="L27" s="151"/>
    </row>
    <row r="28" spans="1:12" ht="12.75">
      <c r="A28" s="273"/>
      <c r="C28" s="203"/>
      <c r="D28" s="203"/>
      <c r="E28" s="494"/>
      <c r="G28" s="494"/>
      <c r="K28" s="151"/>
      <c r="L28" s="151"/>
    </row>
    <row r="29" spans="1:12" ht="15.75">
      <c r="A29" s="273">
        <f>+A26+1</f>
        <v>11</v>
      </c>
      <c r="C29" s="195" t="s">
        <v>406</v>
      </c>
      <c r="D29" s="203"/>
      <c r="K29" s="151"/>
      <c r="L29" s="151"/>
    </row>
    <row r="30" spans="1:12" ht="15.75">
      <c r="A30" s="273"/>
      <c r="C30" s="195"/>
      <c r="D30" s="203"/>
      <c r="K30" s="151"/>
      <c r="L30" s="151"/>
    </row>
    <row r="31" spans="1:12" ht="12.75">
      <c r="A31" s="273">
        <f>+A29+1</f>
        <v>12</v>
      </c>
      <c r="C31" s="203" t="s">
        <v>415</v>
      </c>
      <c r="D31" s="238" t="s">
        <v>418</v>
      </c>
      <c r="E31" s="306">
        <v>21654672</v>
      </c>
      <c r="G31" s="306">
        <v>27781673</v>
      </c>
      <c r="H31"/>
      <c r="I31" s="488">
        <f>IF(G31="",0,(E31+G31)/2)</f>
        <v>24718172.5</v>
      </c>
      <c r="K31" s="1134"/>
      <c r="L31" s="1134"/>
    </row>
    <row r="32" spans="1:12" ht="12.75">
      <c r="A32" s="273">
        <f>+A31+1</f>
        <v>13</v>
      </c>
      <c r="C32" s="203" t="s">
        <v>419</v>
      </c>
      <c r="D32" s="990" t="s">
        <v>664</v>
      </c>
      <c r="E32" s="307">
        <v>0</v>
      </c>
      <c r="G32" s="306">
        <v>0</v>
      </c>
      <c r="H32"/>
      <c r="I32" s="488">
        <f>IF(G32="",0,(E32+G32)/2)</f>
        <v>0</v>
      </c>
      <c r="K32" s="1134"/>
      <c r="L32" s="1134"/>
    </row>
    <row r="33" spans="1:12" ht="15">
      <c r="A33" s="273">
        <f>+A32+1</f>
        <v>14</v>
      </c>
      <c r="C33" s="203" t="s">
        <v>420</v>
      </c>
      <c r="D33" s="990" t="s">
        <v>664</v>
      </c>
      <c r="E33" s="498">
        <v>20274538</v>
      </c>
      <c r="G33" s="498">
        <v>26159962</v>
      </c>
      <c r="I33" s="661">
        <f>IF(G33="",0,(E33+G33)/2)</f>
        <v>23217250</v>
      </c>
      <c r="K33" s="1134"/>
      <c r="L33" s="1134"/>
    </row>
    <row r="34" spans="1:12" ht="12.75">
      <c r="A34" s="273">
        <f>+A33+1</f>
        <v>15</v>
      </c>
      <c r="C34" s="203" t="s">
        <v>416</v>
      </c>
      <c r="D34" s="499" t="str">
        <f>"Ln "&amp;A31&amp;" - ln "&amp;A32&amp;" - ln "&amp;A33&amp;""</f>
        <v>Ln 12 - ln 13 - ln 14</v>
      </c>
      <c r="E34" s="152">
        <f>+E31-E32-E33</f>
        <v>1380134</v>
      </c>
      <c r="G34" s="152">
        <f>+G31-G32-G33</f>
        <v>1621711</v>
      </c>
      <c r="I34" s="488">
        <f>+I31-I32-I33</f>
        <v>1500922.5</v>
      </c>
      <c r="K34" s="151"/>
      <c r="L34" s="151"/>
    </row>
    <row r="35" spans="1:12" ht="15.75">
      <c r="A35" s="273"/>
      <c r="C35" s="195"/>
      <c r="D35" s="203"/>
      <c r="K35" s="151"/>
      <c r="L35" s="151"/>
    </row>
    <row r="36" spans="1:12" ht="12.75">
      <c r="A36" s="273"/>
      <c r="C36" s="203"/>
      <c r="D36" s="203"/>
      <c r="K36" s="151"/>
      <c r="L36" s="151"/>
    </row>
    <row r="37" spans="1:12" ht="15.75">
      <c r="A37" s="273">
        <f>+A34+1</f>
        <v>16</v>
      </c>
      <c r="C37" s="195" t="s">
        <v>407</v>
      </c>
      <c r="D37" s="203"/>
      <c r="K37" s="151"/>
      <c r="L37" s="151"/>
    </row>
    <row r="38" spans="1:12" ht="12.75">
      <c r="A38" s="273"/>
      <c r="C38" s="203"/>
      <c r="D38" s="203"/>
      <c r="K38" s="151"/>
      <c r="L38" s="151"/>
    </row>
    <row r="39" spans="1:12" ht="12.75">
      <c r="A39" s="273">
        <f>+A37+1</f>
        <v>17</v>
      </c>
      <c r="C39" s="203" t="s">
        <v>415</v>
      </c>
      <c r="D39" s="238" t="s">
        <v>409</v>
      </c>
      <c r="E39" s="306">
        <v>14157012</v>
      </c>
      <c r="G39" s="306">
        <v>42717261</v>
      </c>
      <c r="H39"/>
      <c r="I39" s="488">
        <f>IF(G39="",0,(E39+G39)/2)</f>
        <v>28437136.5</v>
      </c>
      <c r="K39" s="151"/>
      <c r="L39" s="151"/>
    </row>
    <row r="40" spans="1:12" ht="12.75">
      <c r="A40" s="273">
        <f>+A39+1</f>
        <v>18</v>
      </c>
      <c r="C40" s="203" t="s">
        <v>419</v>
      </c>
      <c r="D40" s="990" t="s">
        <v>664</v>
      </c>
      <c r="E40" s="306">
        <v>1232754</v>
      </c>
      <c r="G40" s="306">
        <v>1146114</v>
      </c>
      <c r="H40"/>
      <c r="I40" s="488">
        <f>IF(G40="",0,(E40+G40)/2)</f>
        <v>1189434</v>
      </c>
      <c r="K40" s="151"/>
      <c r="L40" s="151"/>
    </row>
    <row r="41" spans="1:12" ht="15">
      <c r="A41" s="273">
        <f>+A40+1</f>
        <v>19</v>
      </c>
      <c r="C41" s="203" t="s">
        <v>420</v>
      </c>
      <c r="D41" s="990" t="s">
        <v>664</v>
      </c>
      <c r="E41" s="498">
        <v>9463837</v>
      </c>
      <c r="G41" s="498">
        <v>37931306</v>
      </c>
      <c r="I41" s="661">
        <f>IF(G41="",0,(E41+G41)/2)</f>
        <v>23697571.5</v>
      </c>
      <c r="K41" s="151"/>
      <c r="L41" s="151"/>
    </row>
    <row r="42" spans="1:12" ht="12.75">
      <c r="A42" s="273">
        <f>+A41+1</f>
        <v>20</v>
      </c>
      <c r="C42" s="203" t="s">
        <v>416</v>
      </c>
      <c r="D42" s="499" t="str">
        <f>"Ln "&amp;A39&amp;" - ln "&amp;A40&amp;" - ln "&amp;A41&amp;""</f>
        <v>Ln 17 - ln 18 - ln 19</v>
      </c>
      <c r="E42" s="152">
        <f>+E39-E40-E41</f>
        <v>3460421</v>
      </c>
      <c r="G42" s="152">
        <f>+G39-G40-G41</f>
        <v>3639841</v>
      </c>
      <c r="I42" s="488">
        <f>+I39-I40-I41</f>
        <v>3550131</v>
      </c>
      <c r="K42" s="151"/>
      <c r="L42" s="151"/>
    </row>
    <row r="43" spans="1:12" ht="12.75">
      <c r="A43" s="273"/>
      <c r="C43" s="203"/>
      <c r="D43" s="203"/>
      <c r="K43" s="151"/>
      <c r="L43" s="151"/>
    </row>
    <row r="44" spans="1:12" ht="12.75">
      <c r="A44" s="273"/>
      <c r="C44" s="203"/>
      <c r="D44" s="203"/>
      <c r="K44" s="151"/>
      <c r="L44" s="151"/>
    </row>
    <row r="45" spans="1:12" ht="15.75">
      <c r="A45" s="273">
        <f>+A42+1</f>
        <v>21</v>
      </c>
      <c r="C45" s="195" t="s">
        <v>408</v>
      </c>
      <c r="D45" s="203"/>
      <c r="K45" s="151"/>
      <c r="L45" s="151"/>
    </row>
    <row r="46" spans="1:12" ht="12.75">
      <c r="A46" s="273"/>
      <c r="C46" s="203"/>
      <c r="D46" s="203"/>
      <c r="K46" s="151"/>
      <c r="L46" s="151"/>
    </row>
    <row r="47" spans="1:12" ht="12.75">
      <c r="A47" s="273">
        <f>+A45+1</f>
        <v>22</v>
      </c>
      <c r="C47" s="203" t="s">
        <v>421</v>
      </c>
      <c r="D47" s="238" t="s">
        <v>328</v>
      </c>
      <c r="E47" s="306">
        <v>1697364</v>
      </c>
      <c r="G47" s="306">
        <v>2519320</v>
      </c>
      <c r="H47"/>
      <c r="I47" s="488">
        <f>IF(G47="",0,(E47+G47)/2)</f>
        <v>2108342</v>
      </c>
      <c r="K47" s="1134"/>
      <c r="L47" s="1134"/>
    </row>
    <row r="48" spans="1:12" ht="15">
      <c r="A48" s="273">
        <f>+A47+1</f>
        <v>23</v>
      </c>
      <c r="C48" s="203" t="s">
        <v>422</v>
      </c>
      <c r="D48" s="990" t="s">
        <v>664</v>
      </c>
      <c r="E48" s="500">
        <v>1697364</v>
      </c>
      <c r="G48" s="500">
        <v>2519320</v>
      </c>
      <c r="H48"/>
      <c r="I48" s="661">
        <f>IF(G48="",0,(E48+G48)/2)</f>
        <v>2108342</v>
      </c>
      <c r="K48" s="1134"/>
      <c r="L48" s="1134"/>
    </row>
    <row r="49" spans="1:12" ht="12.75">
      <c r="A49" s="273">
        <f>+A48+1</f>
        <v>24</v>
      </c>
      <c r="C49" s="203" t="s">
        <v>233</v>
      </c>
      <c r="D49" s="499" t="str">
        <f>"Ln "&amp;A47&amp;" - ln "&amp;A48&amp;""</f>
        <v>Ln 22 - ln 23</v>
      </c>
      <c r="E49" s="152">
        <f>+E47-E48</f>
        <v>0</v>
      </c>
      <c r="G49" s="152">
        <f>+G47-G48</f>
        <v>0</v>
      </c>
      <c r="H49"/>
      <c r="I49" s="488">
        <f>+I47-I48</f>
        <v>0</v>
      </c>
      <c r="K49" s="151"/>
      <c r="L49" s="151"/>
    </row>
    <row r="50" spans="1:12" ht="12.75">
      <c r="A50" s="273">
        <f>+A49+1</f>
        <v>25</v>
      </c>
      <c r="C50" s="203" t="s">
        <v>416</v>
      </c>
      <c r="D50" s="990" t="s">
        <v>664</v>
      </c>
      <c r="E50" s="306">
        <v>0</v>
      </c>
      <c r="G50" s="306">
        <v>0</v>
      </c>
      <c r="H50"/>
      <c r="I50" s="488">
        <f>IF(G50="",0,(E50+G50)/2)</f>
        <v>0</v>
      </c>
      <c r="K50" s="1134"/>
      <c r="L50" s="1134"/>
    </row>
    <row r="51" spans="1:4" ht="12.75">
      <c r="A51" s="273"/>
      <c r="C51" s="203"/>
      <c r="D51" s="203"/>
    </row>
    <row r="52" spans="1:4" ht="12.75">
      <c r="A52" s="988" t="s">
        <v>660</v>
      </c>
      <c r="B52" s="989" t="s">
        <v>661</v>
      </c>
      <c r="C52" s="203"/>
      <c r="D52" s="203"/>
    </row>
    <row r="53" spans="1:4" ht="12.75">
      <c r="A53" s="273"/>
      <c r="C53" s="203"/>
      <c r="D53" s="203"/>
    </row>
    <row r="54" spans="1:4" ht="12.75">
      <c r="A54" s="990" t="s">
        <v>662</v>
      </c>
      <c r="B54" s="991" t="s">
        <v>663</v>
      </c>
      <c r="C54" s="203"/>
      <c r="D54" s="203"/>
    </row>
    <row r="55" spans="2:11" ht="12.75">
      <c r="B55" s="100"/>
      <c r="C55" s="100"/>
      <c r="D55" s="100"/>
      <c r="E55" s="100"/>
      <c r="F55" s="100"/>
      <c r="G55" s="100"/>
      <c r="H55" s="100"/>
      <c r="I55" s="100"/>
      <c r="J55" s="100"/>
      <c r="K55" s="100"/>
    </row>
    <row r="56" spans="2:11" ht="12.75">
      <c r="B56" s="100"/>
      <c r="C56" s="100"/>
      <c r="D56" s="100"/>
      <c r="E56" s="100"/>
      <c r="F56" s="100"/>
      <c r="G56" s="100"/>
      <c r="H56" s="100"/>
      <c r="I56" s="100"/>
      <c r="J56" s="100"/>
      <c r="K56" s="100"/>
    </row>
    <row r="57" spans="2:11" ht="12.75">
      <c r="B57" s="100"/>
      <c r="C57" s="100"/>
      <c r="D57" s="100"/>
      <c r="E57" s="100"/>
      <c r="F57" s="100"/>
      <c r="G57" s="100"/>
      <c r="H57" s="100"/>
      <c r="I57" s="100"/>
      <c r="J57" s="100"/>
      <c r="K57" s="100"/>
    </row>
    <row r="58" spans="2:11" ht="12.75">
      <c r="B58" s="100"/>
      <c r="C58" s="100"/>
      <c r="D58" s="100"/>
      <c r="E58" s="100"/>
      <c r="F58" s="100"/>
      <c r="G58" s="100"/>
      <c r="H58" s="100"/>
      <c r="I58" s="100"/>
      <c r="J58" s="100"/>
      <c r="K58" s="100"/>
    </row>
    <row r="59" spans="2:11" ht="12.75">
      <c r="B59" s="100"/>
      <c r="C59" s="100"/>
      <c r="D59" s="100"/>
      <c r="E59" s="100"/>
      <c r="F59" s="100"/>
      <c r="G59" s="100"/>
      <c r="H59" s="100"/>
      <c r="I59" s="100"/>
      <c r="J59" s="100"/>
      <c r="K59" s="100"/>
    </row>
    <row r="60" spans="2:12" ht="12.75">
      <c r="B60" s="100"/>
      <c r="C60" s="100"/>
      <c r="D60" s="100"/>
      <c r="E60" s="100"/>
      <c r="F60" s="100"/>
      <c r="G60" s="100"/>
      <c r="H60" s="100"/>
      <c r="I60" s="100"/>
      <c r="J60" s="100"/>
      <c r="K60" s="100"/>
      <c r="L60" s="100"/>
    </row>
    <row r="61" spans="2:12" ht="12.75">
      <c r="B61" s="100"/>
      <c r="C61" s="100"/>
      <c r="D61" s="100"/>
      <c r="E61" s="100"/>
      <c r="F61" s="100"/>
      <c r="G61" s="100"/>
      <c r="H61" s="100"/>
      <c r="I61" s="100"/>
      <c r="J61" s="100"/>
      <c r="K61" s="100"/>
      <c r="L61" s="100"/>
    </row>
    <row r="62" spans="2:12" ht="12.75">
      <c r="B62" s="100"/>
      <c r="C62" s="100"/>
      <c r="D62" s="100"/>
      <c r="E62" s="100"/>
      <c r="F62" s="100"/>
      <c r="G62" s="100"/>
      <c r="H62" s="100"/>
      <c r="I62" s="100"/>
      <c r="J62" s="100"/>
      <c r="K62" s="100"/>
      <c r="L62" s="100"/>
    </row>
    <row r="63" spans="2:12" ht="12.75">
      <c r="B63" s="100"/>
      <c r="C63" s="100"/>
      <c r="D63" s="100"/>
      <c r="E63" s="100"/>
      <c r="F63" s="100"/>
      <c r="G63" s="100"/>
      <c r="H63" s="100"/>
      <c r="I63" s="100"/>
      <c r="J63" s="100"/>
      <c r="K63" s="100"/>
      <c r="L63" s="100"/>
    </row>
    <row r="64" spans="2:12" ht="12.75">
      <c r="B64" s="100"/>
      <c r="C64" s="100"/>
      <c r="D64" s="100"/>
      <c r="E64" s="100"/>
      <c r="F64" s="100"/>
      <c r="G64" s="100"/>
      <c r="H64" s="100"/>
      <c r="I64" s="100"/>
      <c r="J64" s="100"/>
      <c r="K64" s="100"/>
      <c r="L64" s="100"/>
    </row>
    <row r="65" spans="2:12" ht="12.75">
      <c r="B65" s="100"/>
      <c r="C65" s="100"/>
      <c r="D65" s="100"/>
      <c r="E65" s="100"/>
      <c r="F65" s="100"/>
      <c r="G65" s="100"/>
      <c r="H65" s="100"/>
      <c r="I65" s="100"/>
      <c r="J65" s="100"/>
      <c r="K65" s="100"/>
      <c r="L65" s="100"/>
    </row>
    <row r="66" spans="2:12" ht="12.75">
      <c r="B66" s="100"/>
      <c r="C66" s="100"/>
      <c r="D66" s="100"/>
      <c r="E66" s="100"/>
      <c r="F66" s="100"/>
      <c r="G66" s="100"/>
      <c r="H66" s="100"/>
      <c r="I66" s="100"/>
      <c r="J66" s="100"/>
      <c r="K66" s="100"/>
      <c r="L66" s="100"/>
    </row>
    <row r="67" spans="2:12" ht="12.75">
      <c r="B67" s="100"/>
      <c r="C67" s="100"/>
      <c r="D67" s="100"/>
      <c r="E67" s="100"/>
      <c r="F67" s="100"/>
      <c r="G67" s="100"/>
      <c r="H67" s="100"/>
      <c r="I67" s="100"/>
      <c r="J67" s="100"/>
      <c r="K67" s="100"/>
      <c r="L67" s="100"/>
    </row>
    <row r="68" spans="2:12" ht="12.75">
      <c r="B68" s="100"/>
      <c r="C68" s="100"/>
      <c r="D68" s="100"/>
      <c r="E68" s="100"/>
      <c r="F68" s="100"/>
      <c r="G68" s="100"/>
      <c r="H68" s="100"/>
      <c r="I68" s="100"/>
      <c r="J68" s="100"/>
      <c r="K68" s="100"/>
      <c r="L68" s="100"/>
    </row>
    <row r="69" spans="2:12" ht="12.75">
      <c r="B69" s="100"/>
      <c r="C69" s="100"/>
      <c r="D69" s="100"/>
      <c r="E69" s="100"/>
      <c r="F69" s="100"/>
      <c r="G69" s="100"/>
      <c r="H69" s="100"/>
      <c r="I69" s="100"/>
      <c r="J69" s="100"/>
      <c r="K69" s="100"/>
      <c r="L69" s="100"/>
    </row>
    <row r="70" spans="2:12" ht="12.75">
      <c r="B70" s="100"/>
      <c r="C70" s="100"/>
      <c r="D70" s="100"/>
      <c r="E70" s="100"/>
      <c r="F70" s="100"/>
      <c r="G70" s="100"/>
      <c r="H70" s="100"/>
      <c r="I70" s="100"/>
      <c r="J70" s="100"/>
      <c r="K70" s="100"/>
      <c r="L70" s="100"/>
    </row>
    <row r="71" spans="2:12" ht="12.75">
      <c r="B71" s="100"/>
      <c r="C71" s="100"/>
      <c r="D71" s="100"/>
      <c r="E71" s="100"/>
      <c r="F71" s="100"/>
      <c r="G71" s="100"/>
      <c r="H71" s="100"/>
      <c r="I71" s="100"/>
      <c r="J71" s="100"/>
      <c r="K71" s="100"/>
      <c r="L71" s="100"/>
    </row>
    <row r="72" spans="2:12" ht="12.75">
      <c r="B72" s="100"/>
      <c r="C72" s="100"/>
      <c r="D72" s="100"/>
      <c r="E72" s="100"/>
      <c r="F72" s="100"/>
      <c r="G72" s="100"/>
      <c r="H72" s="100"/>
      <c r="I72" s="100"/>
      <c r="J72" s="100"/>
      <c r="K72" s="100"/>
      <c r="L72" s="100"/>
    </row>
    <row r="73" spans="2:12" ht="12.75">
      <c r="B73" s="100"/>
      <c r="C73" s="100"/>
      <c r="D73" s="100"/>
      <c r="E73" s="100"/>
      <c r="F73" s="100"/>
      <c r="G73" s="100"/>
      <c r="H73" s="100"/>
      <c r="I73" s="100"/>
      <c r="J73" s="100"/>
      <c r="K73" s="100"/>
      <c r="L73" s="100"/>
    </row>
    <row r="74" spans="2:12" ht="12.75">
      <c r="B74" s="100"/>
      <c r="C74" s="100"/>
      <c r="D74" s="100"/>
      <c r="E74" s="100"/>
      <c r="F74" s="100"/>
      <c r="G74" s="100"/>
      <c r="H74" s="100"/>
      <c r="I74" s="100"/>
      <c r="J74" s="100"/>
      <c r="K74" s="100"/>
      <c r="L74" s="100"/>
    </row>
    <row r="75" spans="2:12" ht="12.75">
      <c r="B75" s="100"/>
      <c r="C75" s="100"/>
      <c r="D75" s="100"/>
      <c r="E75" s="100"/>
      <c r="F75" s="100"/>
      <c r="G75" s="100"/>
      <c r="H75" s="100"/>
      <c r="I75" s="100"/>
      <c r="J75" s="100"/>
      <c r="K75" s="100"/>
      <c r="L75" s="100"/>
    </row>
    <row r="76" spans="2:12" ht="12.75">
      <c r="B76" s="100"/>
      <c r="C76" s="100"/>
      <c r="D76" s="100"/>
      <c r="E76" s="100"/>
      <c r="F76" s="100"/>
      <c r="G76" s="100"/>
      <c r="H76" s="100"/>
      <c r="I76" s="100"/>
      <c r="J76" s="100"/>
      <c r="K76" s="100"/>
      <c r="L76" s="100"/>
    </row>
    <row r="77" spans="2:12" ht="12.75">
      <c r="B77" s="100"/>
      <c r="C77" s="100"/>
      <c r="D77" s="100"/>
      <c r="E77" s="100"/>
      <c r="F77" s="100"/>
      <c r="G77" s="100"/>
      <c r="H77" s="100"/>
      <c r="I77" s="100"/>
      <c r="J77" s="100"/>
      <c r="K77" s="100"/>
      <c r="L77" s="100"/>
    </row>
    <row r="78" spans="2:12" ht="12.75">
      <c r="B78" s="100"/>
      <c r="C78" s="100"/>
      <c r="D78" s="100"/>
      <c r="E78" s="100"/>
      <c r="F78" s="100"/>
      <c r="G78" s="100"/>
      <c r="H78" s="100"/>
      <c r="I78" s="100"/>
      <c r="J78" s="100"/>
      <c r="K78" s="100"/>
      <c r="L78" s="100"/>
    </row>
    <row r="79" spans="2:12" ht="12.75">
      <c r="B79" s="100"/>
      <c r="C79" s="100"/>
      <c r="D79" s="100"/>
      <c r="E79" s="100"/>
      <c r="F79" s="100"/>
      <c r="G79" s="100"/>
      <c r="H79" s="100"/>
      <c r="I79" s="100"/>
      <c r="J79" s="100"/>
      <c r="K79" s="100"/>
      <c r="L79" s="100"/>
    </row>
    <row r="80" spans="2:12" ht="12.75">
      <c r="B80" s="100"/>
      <c r="C80" s="100"/>
      <c r="D80" s="100"/>
      <c r="E80" s="100"/>
      <c r="F80" s="100"/>
      <c r="G80" s="100"/>
      <c r="H80" s="100"/>
      <c r="I80" s="100"/>
      <c r="J80" s="100"/>
      <c r="K80" s="100"/>
      <c r="L80" s="100"/>
    </row>
    <row r="81" spans="2:12" ht="12.75">
      <c r="B81" s="100"/>
      <c r="C81" s="100"/>
      <c r="D81" s="100"/>
      <c r="E81" s="100"/>
      <c r="F81" s="100"/>
      <c r="G81" s="100"/>
      <c r="H81" s="100"/>
      <c r="I81" s="100"/>
      <c r="J81" s="100"/>
      <c r="K81" s="100"/>
      <c r="L81" s="100"/>
    </row>
    <row r="82" spans="2:12" ht="12.75">
      <c r="B82" s="100"/>
      <c r="C82" s="100"/>
      <c r="D82" s="100"/>
      <c r="E82" s="100"/>
      <c r="F82" s="100"/>
      <c r="G82" s="100"/>
      <c r="H82" s="100"/>
      <c r="I82" s="100"/>
      <c r="J82" s="100"/>
      <c r="K82" s="100"/>
      <c r="L82" s="100"/>
    </row>
    <row r="83" spans="2:12" ht="12.75">
      <c r="B83" s="100"/>
      <c r="C83" s="100"/>
      <c r="D83" s="100"/>
      <c r="E83" s="100"/>
      <c r="F83" s="100"/>
      <c r="G83" s="100"/>
      <c r="H83" s="100"/>
      <c r="I83" s="100"/>
      <c r="J83" s="100"/>
      <c r="K83" s="100"/>
      <c r="L83" s="100"/>
    </row>
    <row r="84" spans="2:12" ht="12.75">
      <c r="B84" s="100"/>
      <c r="C84" s="100"/>
      <c r="D84" s="100"/>
      <c r="E84" s="100"/>
      <c r="F84" s="100"/>
      <c r="G84" s="100"/>
      <c r="H84" s="100"/>
      <c r="I84" s="100"/>
      <c r="J84" s="100"/>
      <c r="K84" s="100"/>
      <c r="L84" s="100"/>
    </row>
    <row r="85" spans="2:12" ht="12.75">
      <c r="B85" s="100"/>
      <c r="C85" s="100"/>
      <c r="D85" s="100"/>
      <c r="E85" s="100"/>
      <c r="F85" s="100"/>
      <c r="G85" s="100"/>
      <c r="H85" s="100"/>
      <c r="I85" s="100"/>
      <c r="J85" s="100"/>
      <c r="K85" s="100"/>
      <c r="L85" s="100"/>
    </row>
    <row r="86" spans="2:12" ht="12.75">
      <c r="B86" s="100"/>
      <c r="C86" s="100"/>
      <c r="D86" s="100"/>
      <c r="E86" s="100"/>
      <c r="F86" s="100"/>
      <c r="G86" s="100"/>
      <c r="H86" s="100"/>
      <c r="I86" s="100"/>
      <c r="J86" s="100"/>
      <c r="K86" s="100"/>
      <c r="L86" s="100"/>
    </row>
    <row r="87" spans="2:12" ht="12.75">
      <c r="B87" s="100"/>
      <c r="C87" s="100"/>
      <c r="D87" s="100"/>
      <c r="E87" s="100"/>
      <c r="F87" s="100"/>
      <c r="G87" s="100"/>
      <c r="H87" s="100"/>
      <c r="I87" s="100"/>
      <c r="J87" s="100"/>
      <c r="K87" s="100"/>
      <c r="L87" s="100"/>
    </row>
    <row r="88" spans="2:12" ht="12.75">
      <c r="B88" s="100"/>
      <c r="C88" s="100"/>
      <c r="D88" s="100"/>
      <c r="E88" s="100"/>
      <c r="F88" s="100"/>
      <c r="G88" s="100"/>
      <c r="H88" s="100"/>
      <c r="I88" s="100"/>
      <c r="J88" s="100"/>
      <c r="K88" s="100"/>
      <c r="L88" s="100"/>
    </row>
    <row r="89" spans="2:12" ht="12.75">
      <c r="B89" s="100"/>
      <c r="C89" s="100"/>
      <c r="D89" s="100"/>
      <c r="E89" s="100"/>
      <c r="F89" s="100"/>
      <c r="G89" s="100"/>
      <c r="H89" s="100"/>
      <c r="I89" s="100"/>
      <c r="J89" s="100"/>
      <c r="K89" s="100"/>
      <c r="L89" s="100"/>
    </row>
    <row r="90" spans="2:12" ht="12.75">
      <c r="B90" s="100"/>
      <c r="C90" s="100"/>
      <c r="D90" s="100"/>
      <c r="E90" s="100"/>
      <c r="F90" s="100"/>
      <c r="G90" s="100"/>
      <c r="H90" s="100"/>
      <c r="I90" s="100"/>
      <c r="J90" s="100"/>
      <c r="K90" s="100"/>
      <c r="L90" s="100"/>
    </row>
    <row r="91" spans="2:12" ht="12.75">
      <c r="B91" s="100"/>
      <c r="C91" s="100"/>
      <c r="D91" s="100"/>
      <c r="E91" s="100"/>
      <c r="F91" s="100"/>
      <c r="G91" s="100"/>
      <c r="H91" s="100"/>
      <c r="I91" s="100"/>
      <c r="J91" s="100"/>
      <c r="K91" s="100"/>
      <c r="L91" s="100"/>
    </row>
    <row r="92" spans="2:12" ht="12.75">
      <c r="B92" s="100"/>
      <c r="C92" s="100"/>
      <c r="D92" s="100"/>
      <c r="E92" s="100"/>
      <c r="F92" s="100"/>
      <c r="G92" s="100"/>
      <c r="H92" s="100"/>
      <c r="I92" s="100"/>
      <c r="J92" s="100"/>
      <c r="K92" s="100"/>
      <c r="L92" s="100"/>
    </row>
    <row r="93" spans="2:12" ht="12.75">
      <c r="B93" s="100"/>
      <c r="C93" s="100"/>
      <c r="D93" s="100"/>
      <c r="E93" s="100"/>
      <c r="F93" s="100"/>
      <c r="G93" s="100"/>
      <c r="H93" s="100"/>
      <c r="I93" s="100"/>
      <c r="J93" s="100"/>
      <c r="K93" s="100"/>
      <c r="L93" s="100"/>
    </row>
    <row r="94" spans="2:12" ht="12.75">
      <c r="B94" s="100"/>
      <c r="C94" s="100"/>
      <c r="D94" s="100"/>
      <c r="E94" s="100"/>
      <c r="F94" s="100"/>
      <c r="G94" s="100"/>
      <c r="H94" s="100"/>
      <c r="I94" s="100"/>
      <c r="J94" s="100"/>
      <c r="K94" s="100"/>
      <c r="L94" s="100"/>
    </row>
    <row r="95" spans="2:12" ht="12.75">
      <c r="B95" s="100"/>
      <c r="C95" s="100"/>
      <c r="D95" s="100"/>
      <c r="E95" s="100"/>
      <c r="F95" s="100"/>
      <c r="G95" s="100"/>
      <c r="H95" s="100"/>
      <c r="I95" s="100"/>
      <c r="J95" s="100"/>
      <c r="K95" s="100"/>
      <c r="L95" s="100"/>
    </row>
    <row r="96" spans="2:12" ht="12.75">
      <c r="B96" s="100"/>
      <c r="C96" s="100"/>
      <c r="D96" s="100"/>
      <c r="E96" s="100"/>
      <c r="F96" s="100"/>
      <c r="G96" s="100"/>
      <c r="H96" s="100"/>
      <c r="I96" s="100"/>
      <c r="J96" s="100"/>
      <c r="K96" s="100"/>
      <c r="L96" s="100"/>
    </row>
    <row r="97" spans="2:12" ht="12.75">
      <c r="B97" s="100"/>
      <c r="C97" s="100"/>
      <c r="D97" s="100"/>
      <c r="E97" s="100"/>
      <c r="F97" s="100"/>
      <c r="G97" s="100"/>
      <c r="H97" s="100"/>
      <c r="I97" s="100"/>
      <c r="J97" s="100"/>
      <c r="K97" s="100"/>
      <c r="L97" s="100"/>
    </row>
    <row r="98" spans="2:12" ht="12.75">
      <c r="B98" s="100"/>
      <c r="C98" s="100"/>
      <c r="D98" s="100"/>
      <c r="E98" s="100"/>
      <c r="F98" s="100"/>
      <c r="G98" s="100"/>
      <c r="H98" s="100"/>
      <c r="I98" s="100"/>
      <c r="J98" s="100"/>
      <c r="K98" s="100"/>
      <c r="L98" s="100"/>
    </row>
    <row r="99" spans="2:12" ht="12.75">
      <c r="B99" s="100"/>
      <c r="C99" s="100"/>
      <c r="D99" s="100"/>
      <c r="E99" s="100"/>
      <c r="F99" s="100"/>
      <c r="G99" s="100"/>
      <c r="H99" s="100"/>
      <c r="I99" s="100"/>
      <c r="J99" s="100"/>
      <c r="K99" s="100"/>
      <c r="L99" s="100"/>
    </row>
    <row r="100" spans="2:12" ht="12.75">
      <c r="B100" s="100"/>
      <c r="C100" s="100"/>
      <c r="D100" s="100"/>
      <c r="E100" s="100"/>
      <c r="F100" s="100"/>
      <c r="G100" s="100"/>
      <c r="H100" s="100"/>
      <c r="I100" s="100"/>
      <c r="J100" s="100"/>
      <c r="K100" s="100"/>
      <c r="L100" s="100"/>
    </row>
    <row r="101" spans="2:12" ht="12.75">
      <c r="B101" s="100"/>
      <c r="C101" s="100"/>
      <c r="D101" s="100"/>
      <c r="E101" s="100"/>
      <c r="F101" s="100"/>
      <c r="G101" s="100"/>
      <c r="H101" s="100"/>
      <c r="I101" s="100"/>
      <c r="J101" s="100"/>
      <c r="K101" s="100"/>
      <c r="L101" s="100"/>
    </row>
    <row r="102" spans="2:12" ht="12.75">
      <c r="B102" s="100"/>
      <c r="C102" s="100"/>
      <c r="D102" s="100"/>
      <c r="E102" s="100"/>
      <c r="F102" s="100"/>
      <c r="G102" s="100"/>
      <c r="H102" s="100"/>
      <c r="I102" s="100"/>
      <c r="J102" s="100"/>
      <c r="K102" s="100"/>
      <c r="L102" s="100"/>
    </row>
    <row r="103" spans="2:12" ht="12.75">
      <c r="B103" s="100"/>
      <c r="C103" s="100"/>
      <c r="D103" s="100"/>
      <c r="E103" s="100"/>
      <c r="F103" s="100"/>
      <c r="G103" s="100"/>
      <c r="H103" s="100"/>
      <c r="I103" s="100"/>
      <c r="J103" s="100"/>
      <c r="K103" s="100"/>
      <c r="L103" s="100"/>
    </row>
    <row r="104" spans="2:12" ht="12.75">
      <c r="B104" s="100"/>
      <c r="C104" s="100"/>
      <c r="D104" s="100"/>
      <c r="E104" s="100"/>
      <c r="F104" s="100"/>
      <c r="G104" s="100"/>
      <c r="H104" s="100"/>
      <c r="I104" s="100"/>
      <c r="J104" s="100"/>
      <c r="K104" s="100"/>
      <c r="L104" s="100"/>
    </row>
    <row r="105" spans="2:12" ht="12.75">
      <c r="B105" s="100"/>
      <c r="C105" s="100"/>
      <c r="D105" s="100"/>
      <c r="E105" s="100"/>
      <c r="F105" s="100"/>
      <c r="G105" s="100"/>
      <c r="H105" s="100"/>
      <c r="I105" s="100"/>
      <c r="J105" s="100"/>
      <c r="K105" s="100"/>
      <c r="L105" s="100"/>
    </row>
    <row r="106" spans="2:12" ht="12.75">
      <c r="B106" s="100"/>
      <c r="C106" s="100"/>
      <c r="D106" s="100"/>
      <c r="E106" s="100"/>
      <c r="F106" s="100"/>
      <c r="G106" s="100"/>
      <c r="H106" s="100"/>
      <c r="I106" s="100"/>
      <c r="J106" s="100"/>
      <c r="K106" s="100"/>
      <c r="L106" s="100"/>
    </row>
    <row r="107" spans="2:12" ht="12.75">
      <c r="B107" s="100"/>
      <c r="C107" s="100"/>
      <c r="D107" s="100"/>
      <c r="E107" s="100"/>
      <c r="F107" s="100"/>
      <c r="G107" s="100"/>
      <c r="H107" s="100"/>
      <c r="I107" s="100"/>
      <c r="J107" s="100"/>
      <c r="K107" s="100"/>
      <c r="L107" s="100"/>
    </row>
    <row r="108" spans="2:12" ht="12.75">
      <c r="B108" s="100"/>
      <c r="C108" s="100"/>
      <c r="D108" s="100"/>
      <c r="E108" s="100"/>
      <c r="F108" s="100"/>
      <c r="G108" s="100"/>
      <c r="H108" s="100"/>
      <c r="I108" s="100"/>
      <c r="J108" s="100"/>
      <c r="K108" s="100"/>
      <c r="L108" s="100"/>
    </row>
    <row r="109" spans="2:12" ht="12.75">
      <c r="B109" s="100"/>
      <c r="C109" s="100"/>
      <c r="D109" s="100"/>
      <c r="E109" s="100"/>
      <c r="F109" s="100"/>
      <c r="G109" s="100"/>
      <c r="H109" s="100"/>
      <c r="I109" s="100"/>
      <c r="J109" s="100"/>
      <c r="K109" s="100"/>
      <c r="L109" s="100"/>
    </row>
    <row r="110" spans="2:12" ht="12.75">
      <c r="B110" s="100"/>
      <c r="C110" s="100"/>
      <c r="D110" s="100"/>
      <c r="E110" s="100"/>
      <c r="F110" s="100"/>
      <c r="G110" s="100"/>
      <c r="H110" s="100"/>
      <c r="I110" s="100"/>
      <c r="J110" s="100"/>
      <c r="K110" s="100"/>
      <c r="L110" s="100"/>
    </row>
    <row r="111" spans="2:12" ht="12.75">
      <c r="B111" s="100"/>
      <c r="C111" s="100"/>
      <c r="D111" s="100"/>
      <c r="E111" s="100"/>
      <c r="F111" s="100"/>
      <c r="G111" s="100"/>
      <c r="H111" s="100"/>
      <c r="I111" s="100"/>
      <c r="J111" s="100"/>
      <c r="K111" s="100"/>
      <c r="L111" s="100"/>
    </row>
    <row r="112" spans="2:12" ht="12.75">
      <c r="B112" s="100"/>
      <c r="C112" s="100"/>
      <c r="D112" s="100"/>
      <c r="E112" s="100"/>
      <c r="F112" s="100"/>
      <c r="G112" s="100"/>
      <c r="H112" s="100"/>
      <c r="I112" s="100"/>
      <c r="J112" s="100"/>
      <c r="K112" s="100"/>
      <c r="L112" s="100"/>
    </row>
    <row r="113" spans="2:12" ht="12.75">
      <c r="B113" s="100"/>
      <c r="C113" s="100"/>
      <c r="D113" s="100"/>
      <c r="E113" s="100"/>
      <c r="F113" s="100"/>
      <c r="G113" s="100"/>
      <c r="H113" s="100"/>
      <c r="I113" s="100"/>
      <c r="J113" s="100"/>
      <c r="K113" s="100"/>
      <c r="L113" s="100"/>
    </row>
    <row r="114" spans="2:12" ht="12.75">
      <c r="B114" s="100"/>
      <c r="C114" s="100"/>
      <c r="D114" s="100"/>
      <c r="E114" s="100"/>
      <c r="F114" s="100"/>
      <c r="G114" s="100"/>
      <c r="H114" s="100"/>
      <c r="I114" s="100"/>
      <c r="J114" s="100"/>
      <c r="K114" s="100"/>
      <c r="L114" s="100"/>
    </row>
    <row r="115" spans="2:12" ht="12.75">
      <c r="B115" s="100"/>
      <c r="C115" s="100"/>
      <c r="D115" s="100"/>
      <c r="E115" s="100"/>
      <c r="F115" s="100"/>
      <c r="G115" s="100"/>
      <c r="H115" s="100"/>
      <c r="I115" s="100"/>
      <c r="J115" s="100"/>
      <c r="K115" s="100"/>
      <c r="L115" s="100"/>
    </row>
    <row r="116" spans="2:12" ht="12.75">
      <c r="B116" s="100"/>
      <c r="C116" s="100"/>
      <c r="D116" s="100"/>
      <c r="E116" s="100"/>
      <c r="F116" s="100"/>
      <c r="G116" s="100"/>
      <c r="H116" s="100"/>
      <c r="I116" s="100"/>
      <c r="J116" s="100"/>
      <c r="K116" s="100"/>
      <c r="L116" s="100"/>
    </row>
    <row r="117" spans="2:12" ht="12.75">
      <c r="B117" s="100"/>
      <c r="C117" s="100"/>
      <c r="D117" s="100"/>
      <c r="E117" s="100"/>
      <c r="F117" s="100"/>
      <c r="G117" s="100"/>
      <c r="H117" s="100"/>
      <c r="I117" s="100"/>
      <c r="J117" s="100"/>
      <c r="K117" s="100"/>
      <c r="L117" s="100"/>
    </row>
    <row r="118" spans="2:12" ht="12.75">
      <c r="B118" s="100"/>
      <c r="C118" s="100"/>
      <c r="D118" s="100"/>
      <c r="E118" s="100"/>
      <c r="F118" s="100"/>
      <c r="G118" s="100"/>
      <c r="H118" s="100"/>
      <c r="I118" s="100"/>
      <c r="J118" s="100"/>
      <c r="K118" s="100"/>
      <c r="L118" s="100"/>
    </row>
    <row r="119" spans="2:12" ht="12.75">
      <c r="B119" s="100"/>
      <c r="C119" s="100"/>
      <c r="D119" s="100"/>
      <c r="E119" s="100"/>
      <c r="F119" s="100"/>
      <c r="G119" s="100"/>
      <c r="H119" s="100"/>
      <c r="I119" s="100"/>
      <c r="J119" s="100"/>
      <c r="K119" s="100"/>
      <c r="L119" s="100"/>
    </row>
    <row r="120" spans="2:12" ht="12.75">
      <c r="B120" s="100"/>
      <c r="C120" s="100"/>
      <c r="D120" s="100"/>
      <c r="E120" s="100"/>
      <c r="F120" s="100"/>
      <c r="G120" s="100"/>
      <c r="H120" s="100"/>
      <c r="I120" s="100"/>
      <c r="J120" s="100"/>
      <c r="K120" s="100"/>
      <c r="L120" s="100"/>
    </row>
    <row r="121" spans="2:12" ht="12.75">
      <c r="B121" s="100"/>
      <c r="C121" s="100"/>
      <c r="D121" s="100"/>
      <c r="E121" s="100"/>
      <c r="F121" s="100"/>
      <c r="G121" s="100"/>
      <c r="H121" s="100"/>
      <c r="I121" s="100"/>
      <c r="J121" s="100"/>
      <c r="K121" s="100"/>
      <c r="L121" s="100"/>
    </row>
    <row r="122" spans="2:12" ht="12.75">
      <c r="B122" s="100"/>
      <c r="C122" s="100"/>
      <c r="D122" s="100"/>
      <c r="E122" s="100"/>
      <c r="F122" s="100"/>
      <c r="G122" s="100"/>
      <c r="H122" s="100"/>
      <c r="I122" s="100"/>
      <c r="J122" s="100"/>
      <c r="K122" s="100"/>
      <c r="L122" s="100"/>
    </row>
    <row r="123" spans="2:12" ht="12.75">
      <c r="B123" s="100"/>
      <c r="C123" s="100"/>
      <c r="D123" s="100"/>
      <c r="E123" s="100"/>
      <c r="F123" s="100"/>
      <c r="G123" s="100"/>
      <c r="H123" s="100"/>
      <c r="I123" s="100"/>
      <c r="J123" s="100"/>
      <c r="K123" s="100"/>
      <c r="L123" s="100"/>
    </row>
    <row r="124" spans="2:12" ht="12.75">
      <c r="B124" s="100"/>
      <c r="C124" s="100"/>
      <c r="D124" s="100"/>
      <c r="E124" s="100"/>
      <c r="F124" s="100"/>
      <c r="G124" s="100"/>
      <c r="H124" s="100"/>
      <c r="I124" s="100"/>
      <c r="J124" s="100"/>
      <c r="K124" s="100"/>
      <c r="L124" s="100"/>
    </row>
    <row r="125" spans="2:12" ht="12.75">
      <c r="B125" s="100"/>
      <c r="C125" s="100"/>
      <c r="D125" s="100"/>
      <c r="E125" s="100"/>
      <c r="F125" s="100"/>
      <c r="G125" s="100"/>
      <c r="H125" s="100"/>
      <c r="I125" s="100"/>
      <c r="J125" s="100"/>
      <c r="K125" s="100"/>
      <c r="L125" s="100"/>
    </row>
    <row r="126" spans="2:12" ht="12.75">
      <c r="B126" s="100"/>
      <c r="C126" s="100"/>
      <c r="D126" s="100"/>
      <c r="E126" s="100"/>
      <c r="F126" s="100"/>
      <c r="G126" s="100"/>
      <c r="H126" s="100"/>
      <c r="I126" s="100"/>
      <c r="J126" s="100"/>
      <c r="K126" s="100"/>
      <c r="L126" s="100"/>
    </row>
    <row r="127" spans="2:12" ht="12.75">
      <c r="B127" s="100"/>
      <c r="C127" s="100"/>
      <c r="D127" s="100"/>
      <c r="E127" s="100"/>
      <c r="F127" s="100"/>
      <c r="G127" s="100"/>
      <c r="H127" s="100"/>
      <c r="I127" s="100"/>
      <c r="J127" s="100"/>
      <c r="K127" s="100"/>
      <c r="L127" s="100"/>
    </row>
    <row r="128" spans="2:12" ht="12.75">
      <c r="B128" s="100"/>
      <c r="C128" s="100"/>
      <c r="D128" s="100"/>
      <c r="E128" s="100"/>
      <c r="F128" s="100"/>
      <c r="G128" s="100"/>
      <c r="H128" s="100"/>
      <c r="I128" s="100"/>
      <c r="J128" s="100"/>
      <c r="K128" s="100"/>
      <c r="L128" s="100"/>
    </row>
    <row r="129" spans="2:12" ht="12.75">
      <c r="B129" s="100"/>
      <c r="C129" s="100"/>
      <c r="D129" s="100"/>
      <c r="E129" s="100"/>
      <c r="F129" s="100"/>
      <c r="G129" s="100"/>
      <c r="H129" s="100"/>
      <c r="I129" s="100"/>
      <c r="J129" s="100"/>
      <c r="K129" s="100"/>
      <c r="L129" s="100"/>
    </row>
    <row r="130" spans="2:12" ht="12.75">
      <c r="B130" s="100"/>
      <c r="C130" s="100"/>
      <c r="D130" s="100"/>
      <c r="E130" s="100"/>
      <c r="F130" s="100"/>
      <c r="G130" s="100"/>
      <c r="H130" s="100"/>
      <c r="I130" s="100"/>
      <c r="J130" s="100"/>
      <c r="K130" s="100"/>
      <c r="L130" s="100"/>
    </row>
    <row r="131" spans="2:12" ht="12.75">
      <c r="B131" s="100"/>
      <c r="C131" s="100"/>
      <c r="D131" s="100"/>
      <c r="E131" s="100"/>
      <c r="F131" s="100"/>
      <c r="G131" s="100"/>
      <c r="H131" s="100"/>
      <c r="I131" s="100"/>
      <c r="J131" s="100"/>
      <c r="K131" s="100"/>
      <c r="L131" s="100"/>
    </row>
    <row r="132" spans="2:12" ht="12.75">
      <c r="B132" s="100"/>
      <c r="C132" s="100"/>
      <c r="D132" s="100"/>
      <c r="E132" s="100"/>
      <c r="F132" s="100"/>
      <c r="G132" s="100"/>
      <c r="H132" s="100"/>
      <c r="I132" s="100"/>
      <c r="J132" s="100"/>
      <c r="K132" s="100"/>
      <c r="L132" s="100"/>
    </row>
    <row r="133" spans="2:12" ht="12.75">
      <c r="B133" s="100"/>
      <c r="C133" s="100"/>
      <c r="D133" s="100"/>
      <c r="E133" s="100"/>
      <c r="F133" s="100"/>
      <c r="G133" s="100"/>
      <c r="H133" s="100"/>
      <c r="I133" s="100"/>
      <c r="J133" s="100"/>
      <c r="K133" s="100"/>
      <c r="L133" s="100"/>
    </row>
    <row r="134" spans="2:12" ht="12.75">
      <c r="B134" s="100"/>
      <c r="C134" s="100"/>
      <c r="D134" s="100"/>
      <c r="E134" s="100"/>
      <c r="F134" s="100"/>
      <c r="G134" s="100"/>
      <c r="H134" s="100"/>
      <c r="I134" s="100"/>
      <c r="J134" s="100"/>
      <c r="K134" s="100"/>
      <c r="L134" s="100"/>
    </row>
    <row r="135" spans="2:12" ht="12.75">
      <c r="B135" s="100"/>
      <c r="C135" s="100"/>
      <c r="D135" s="100"/>
      <c r="E135" s="100"/>
      <c r="F135" s="100"/>
      <c r="G135" s="100"/>
      <c r="H135" s="100"/>
      <c r="I135" s="100"/>
      <c r="J135" s="100"/>
      <c r="K135" s="100"/>
      <c r="L135" s="100"/>
    </row>
    <row r="136" spans="2:12" ht="12.75">
      <c r="B136" s="100"/>
      <c r="C136" s="100"/>
      <c r="D136" s="100"/>
      <c r="E136" s="100"/>
      <c r="F136" s="100"/>
      <c r="G136" s="100"/>
      <c r="H136" s="100"/>
      <c r="I136" s="100"/>
      <c r="J136" s="100"/>
      <c r="K136" s="100"/>
      <c r="L136" s="100"/>
    </row>
    <row r="137" spans="2:12" ht="12.75">
      <c r="B137" s="100"/>
      <c r="C137" s="100"/>
      <c r="D137" s="100"/>
      <c r="E137" s="100"/>
      <c r="F137" s="100"/>
      <c r="G137" s="100"/>
      <c r="H137" s="100"/>
      <c r="I137" s="100"/>
      <c r="J137" s="100"/>
      <c r="K137" s="100"/>
      <c r="L137" s="100"/>
    </row>
    <row r="138" spans="2:12" ht="12.75">
      <c r="B138" s="100"/>
      <c r="C138" s="100"/>
      <c r="D138" s="100"/>
      <c r="E138" s="100"/>
      <c r="F138" s="100"/>
      <c r="G138" s="100"/>
      <c r="H138" s="100"/>
      <c r="I138" s="100"/>
      <c r="J138" s="100"/>
      <c r="K138" s="100"/>
      <c r="L138" s="100"/>
    </row>
    <row r="139" spans="2:12" ht="12.75">
      <c r="B139" s="100"/>
      <c r="C139" s="100"/>
      <c r="D139" s="100"/>
      <c r="E139" s="100"/>
      <c r="F139" s="100"/>
      <c r="G139" s="100"/>
      <c r="H139" s="100"/>
      <c r="I139" s="100"/>
      <c r="J139" s="100"/>
      <c r="K139" s="100"/>
      <c r="L139" s="100"/>
    </row>
    <row r="140" spans="2:12" ht="12.75">
      <c r="B140" s="100"/>
      <c r="C140" s="100"/>
      <c r="D140" s="100"/>
      <c r="E140" s="100"/>
      <c r="F140" s="100"/>
      <c r="G140" s="100"/>
      <c r="H140" s="100"/>
      <c r="I140" s="100"/>
      <c r="J140" s="100"/>
      <c r="K140" s="100"/>
      <c r="L140" s="100"/>
    </row>
    <row r="141" spans="2:12" ht="12.75">
      <c r="B141" s="100"/>
      <c r="C141" s="100"/>
      <c r="D141" s="100"/>
      <c r="E141" s="100"/>
      <c r="F141" s="100"/>
      <c r="G141" s="100"/>
      <c r="H141" s="100"/>
      <c r="I141" s="100"/>
      <c r="J141" s="100"/>
      <c r="K141" s="100"/>
      <c r="L141" s="100"/>
    </row>
    <row r="142" spans="2:12" ht="12.75">
      <c r="B142" s="100"/>
      <c r="C142" s="100"/>
      <c r="D142" s="100"/>
      <c r="E142" s="100"/>
      <c r="F142" s="100"/>
      <c r="G142" s="100"/>
      <c r="H142" s="100"/>
      <c r="I142" s="100"/>
      <c r="J142" s="100"/>
      <c r="K142" s="100"/>
      <c r="L142" s="100"/>
    </row>
    <row r="143" spans="2:12" ht="12.75">
      <c r="B143" s="100"/>
      <c r="C143" s="100"/>
      <c r="D143" s="100"/>
      <c r="E143" s="100"/>
      <c r="F143" s="100"/>
      <c r="G143" s="100"/>
      <c r="H143" s="100"/>
      <c r="I143" s="100"/>
      <c r="J143" s="100"/>
      <c r="K143" s="100"/>
      <c r="L143" s="100"/>
    </row>
    <row r="144" spans="2:12" ht="12.75">
      <c r="B144" s="100"/>
      <c r="C144" s="100"/>
      <c r="D144" s="100"/>
      <c r="E144" s="100"/>
      <c r="F144" s="100"/>
      <c r="G144" s="100"/>
      <c r="H144" s="100"/>
      <c r="I144" s="100"/>
      <c r="J144" s="100"/>
      <c r="K144" s="100"/>
      <c r="L144" s="100"/>
    </row>
    <row r="145" spans="2:12" ht="12.75">
      <c r="B145" s="100"/>
      <c r="C145" s="100"/>
      <c r="D145" s="100"/>
      <c r="E145" s="100"/>
      <c r="F145" s="100"/>
      <c r="G145" s="100"/>
      <c r="H145" s="100"/>
      <c r="I145" s="100"/>
      <c r="J145" s="100"/>
      <c r="K145" s="100"/>
      <c r="L145" s="100"/>
    </row>
    <row r="146" spans="2:12" ht="12.75">
      <c r="B146" s="100"/>
      <c r="C146" s="100"/>
      <c r="D146" s="100"/>
      <c r="E146" s="100"/>
      <c r="F146" s="100"/>
      <c r="G146" s="100"/>
      <c r="H146" s="100"/>
      <c r="I146" s="100"/>
      <c r="J146" s="100"/>
      <c r="K146" s="100"/>
      <c r="L146" s="100"/>
    </row>
    <row r="147" spans="2:12" ht="12.75">
      <c r="B147" s="100"/>
      <c r="C147" s="100"/>
      <c r="D147" s="100"/>
      <c r="E147" s="100"/>
      <c r="F147" s="100"/>
      <c r="G147" s="100"/>
      <c r="H147" s="100"/>
      <c r="I147" s="100"/>
      <c r="J147" s="100"/>
      <c r="K147" s="100"/>
      <c r="L147" s="100"/>
    </row>
    <row r="148" spans="2:12" ht="12.75">
      <c r="B148" s="100"/>
      <c r="C148" s="100"/>
      <c r="D148" s="100"/>
      <c r="E148" s="100"/>
      <c r="F148" s="100"/>
      <c r="G148" s="100"/>
      <c r="H148" s="100"/>
      <c r="I148" s="100"/>
      <c r="J148" s="100"/>
      <c r="K148" s="100"/>
      <c r="L148" s="100"/>
    </row>
    <row r="149" spans="2:12" ht="12.75">
      <c r="B149" s="100"/>
      <c r="C149" s="100"/>
      <c r="D149" s="100"/>
      <c r="E149" s="100"/>
      <c r="F149" s="100"/>
      <c r="G149" s="100"/>
      <c r="H149" s="100"/>
      <c r="I149" s="100"/>
      <c r="J149" s="100"/>
      <c r="K149" s="100"/>
      <c r="L149" s="100"/>
    </row>
    <row r="150" spans="2:12" ht="12.75">
      <c r="B150" s="100"/>
      <c r="C150" s="100"/>
      <c r="D150" s="100"/>
      <c r="E150" s="100"/>
      <c r="F150" s="100"/>
      <c r="G150" s="100"/>
      <c r="H150" s="100"/>
      <c r="I150" s="100"/>
      <c r="J150" s="100"/>
      <c r="K150" s="100"/>
      <c r="L150" s="100"/>
    </row>
    <row r="151" spans="2:12" ht="12.75">
      <c r="B151" s="100"/>
      <c r="C151" s="100"/>
      <c r="D151" s="100"/>
      <c r="E151" s="100"/>
      <c r="F151" s="100"/>
      <c r="G151" s="100"/>
      <c r="H151" s="100"/>
      <c r="I151" s="100"/>
      <c r="J151" s="100"/>
      <c r="K151" s="100"/>
      <c r="L151" s="100"/>
    </row>
    <row r="152" spans="2:12" ht="12.75">
      <c r="B152" s="100"/>
      <c r="C152" s="100"/>
      <c r="D152" s="100"/>
      <c r="E152" s="100"/>
      <c r="F152" s="100"/>
      <c r="G152" s="100"/>
      <c r="H152" s="100"/>
      <c r="I152" s="100"/>
      <c r="J152" s="100"/>
      <c r="K152" s="100"/>
      <c r="L152" s="100"/>
    </row>
    <row r="153" spans="2:12" ht="12.75">
      <c r="B153" s="100"/>
      <c r="C153" s="100"/>
      <c r="D153" s="100"/>
      <c r="E153" s="100"/>
      <c r="F153" s="100"/>
      <c r="G153" s="100"/>
      <c r="H153" s="100"/>
      <c r="I153" s="100"/>
      <c r="J153" s="100"/>
      <c r="K153" s="100"/>
      <c r="L153" s="100"/>
    </row>
    <row r="154" spans="2:12" ht="12.75">
      <c r="B154" s="100"/>
      <c r="C154" s="100"/>
      <c r="D154" s="100"/>
      <c r="E154" s="100"/>
      <c r="F154" s="100"/>
      <c r="G154" s="100"/>
      <c r="H154" s="100"/>
      <c r="I154" s="100"/>
      <c r="J154" s="100"/>
      <c r="K154" s="100"/>
      <c r="L154" s="100"/>
    </row>
    <row r="155" spans="2:12" ht="12.75">
      <c r="B155" s="100"/>
      <c r="C155" s="100"/>
      <c r="D155" s="100"/>
      <c r="E155" s="100"/>
      <c r="F155" s="100"/>
      <c r="G155" s="100"/>
      <c r="H155" s="100"/>
      <c r="I155" s="100"/>
      <c r="J155" s="100"/>
      <c r="K155" s="100"/>
      <c r="L155" s="100"/>
    </row>
    <row r="156" spans="2:12" ht="12.75">
      <c r="B156" s="100"/>
      <c r="C156" s="100"/>
      <c r="D156" s="100"/>
      <c r="E156" s="100"/>
      <c r="F156" s="100"/>
      <c r="G156" s="100"/>
      <c r="H156" s="100"/>
      <c r="I156" s="100"/>
      <c r="J156" s="100"/>
      <c r="K156" s="100"/>
      <c r="L156" s="100"/>
    </row>
    <row r="157" spans="2:12" ht="12.75">
      <c r="B157" s="100"/>
      <c r="C157" s="100"/>
      <c r="D157" s="100"/>
      <c r="E157" s="100"/>
      <c r="F157" s="100"/>
      <c r="G157" s="100"/>
      <c r="H157" s="100"/>
      <c r="I157" s="100"/>
      <c r="J157" s="100"/>
      <c r="K157" s="100"/>
      <c r="L157" s="100"/>
    </row>
    <row r="158" spans="2:12" ht="12.75">
      <c r="B158" s="100"/>
      <c r="C158" s="100"/>
      <c r="D158" s="100"/>
      <c r="E158" s="100"/>
      <c r="F158" s="100"/>
      <c r="G158" s="100"/>
      <c r="H158" s="100"/>
      <c r="I158" s="100"/>
      <c r="J158" s="100"/>
      <c r="K158" s="100"/>
      <c r="L158" s="100"/>
    </row>
    <row r="159" spans="2:12" ht="12.75">
      <c r="B159" s="100"/>
      <c r="C159" s="100"/>
      <c r="D159" s="100"/>
      <c r="E159" s="100"/>
      <c r="F159" s="100"/>
      <c r="G159" s="100"/>
      <c r="H159" s="100"/>
      <c r="I159" s="100"/>
      <c r="J159" s="100"/>
      <c r="K159" s="100"/>
      <c r="L159" s="100"/>
    </row>
    <row r="160" spans="2:12" ht="12.75">
      <c r="B160" s="100"/>
      <c r="C160" s="100"/>
      <c r="D160" s="100"/>
      <c r="E160" s="100"/>
      <c r="F160" s="100"/>
      <c r="G160" s="100"/>
      <c r="H160" s="100"/>
      <c r="I160" s="100"/>
      <c r="J160" s="100"/>
      <c r="K160" s="100"/>
      <c r="L160" s="100"/>
    </row>
    <row r="161" spans="2:12" ht="12.75">
      <c r="B161" s="100"/>
      <c r="C161" s="100"/>
      <c r="D161" s="100"/>
      <c r="E161" s="100"/>
      <c r="F161" s="100"/>
      <c r="G161" s="100"/>
      <c r="H161" s="100"/>
      <c r="I161" s="100"/>
      <c r="J161" s="100"/>
      <c r="K161" s="100"/>
      <c r="L161" s="100"/>
    </row>
    <row r="162" spans="2:12" ht="12.75">
      <c r="B162" s="100"/>
      <c r="C162" s="100"/>
      <c r="D162" s="100"/>
      <c r="E162" s="100"/>
      <c r="F162" s="100"/>
      <c r="G162" s="100"/>
      <c r="H162" s="100"/>
      <c r="I162" s="100"/>
      <c r="J162" s="100"/>
      <c r="K162" s="100"/>
      <c r="L162" s="100"/>
    </row>
    <row r="163" spans="2:12" ht="12.75">
      <c r="B163" s="100"/>
      <c r="C163" s="100"/>
      <c r="D163" s="100"/>
      <c r="E163" s="100"/>
      <c r="F163" s="100"/>
      <c r="G163" s="100"/>
      <c r="H163" s="100"/>
      <c r="I163" s="100"/>
      <c r="J163" s="100"/>
      <c r="K163" s="100"/>
      <c r="L163" s="100"/>
    </row>
    <row r="164" spans="2:12" ht="12.75">
      <c r="B164" s="100"/>
      <c r="C164" s="100"/>
      <c r="D164" s="100"/>
      <c r="E164" s="100"/>
      <c r="F164" s="100"/>
      <c r="G164" s="100"/>
      <c r="H164" s="100"/>
      <c r="I164" s="100"/>
      <c r="J164" s="100"/>
      <c r="K164" s="100"/>
      <c r="L164" s="100"/>
    </row>
    <row r="165" spans="2:12" ht="12.75">
      <c r="B165" s="100"/>
      <c r="C165" s="100"/>
      <c r="D165" s="100"/>
      <c r="E165" s="100"/>
      <c r="F165" s="100"/>
      <c r="G165" s="100"/>
      <c r="H165" s="100"/>
      <c r="I165" s="100"/>
      <c r="J165" s="100"/>
      <c r="K165" s="100"/>
      <c r="L165" s="100"/>
    </row>
    <row r="166" spans="2:12" ht="12.75">
      <c r="B166" s="100"/>
      <c r="C166" s="100"/>
      <c r="D166" s="100"/>
      <c r="E166" s="100"/>
      <c r="F166" s="100"/>
      <c r="G166" s="100"/>
      <c r="H166" s="100"/>
      <c r="I166" s="100"/>
      <c r="J166" s="100"/>
      <c r="K166" s="100"/>
      <c r="L166" s="100"/>
    </row>
    <row r="167" spans="2:12" ht="12.75">
      <c r="B167" s="100"/>
      <c r="C167" s="100"/>
      <c r="D167" s="100"/>
      <c r="E167" s="100"/>
      <c r="F167" s="100"/>
      <c r="G167" s="100"/>
      <c r="H167" s="100"/>
      <c r="I167" s="100"/>
      <c r="J167" s="100"/>
      <c r="K167" s="100"/>
      <c r="L167" s="100"/>
    </row>
    <row r="168" spans="2:12" ht="12.75">
      <c r="B168" s="100"/>
      <c r="C168" s="100"/>
      <c r="D168" s="100"/>
      <c r="E168" s="100"/>
      <c r="F168" s="100"/>
      <c r="G168" s="100"/>
      <c r="H168" s="100"/>
      <c r="I168" s="100"/>
      <c r="J168" s="100"/>
      <c r="K168" s="100"/>
      <c r="L168" s="100"/>
    </row>
    <row r="169" spans="2:12" ht="12.75">
      <c r="B169" s="100"/>
      <c r="C169" s="100"/>
      <c r="D169" s="100"/>
      <c r="E169" s="100"/>
      <c r="F169" s="100"/>
      <c r="G169" s="100"/>
      <c r="H169" s="100"/>
      <c r="I169" s="100"/>
      <c r="J169" s="100"/>
      <c r="K169" s="100"/>
      <c r="L169" s="100"/>
    </row>
    <row r="170" spans="2:12" ht="12.75">
      <c r="B170" s="100"/>
      <c r="C170" s="100"/>
      <c r="D170" s="100"/>
      <c r="E170" s="100"/>
      <c r="F170" s="100"/>
      <c r="G170" s="100"/>
      <c r="H170" s="100"/>
      <c r="I170" s="100"/>
      <c r="J170" s="100"/>
      <c r="K170" s="100"/>
      <c r="L170" s="100"/>
    </row>
    <row r="171" spans="2:12" ht="12.75">
      <c r="B171" s="100"/>
      <c r="C171" s="100"/>
      <c r="D171" s="100"/>
      <c r="E171" s="100"/>
      <c r="F171" s="100"/>
      <c r="G171" s="100"/>
      <c r="H171" s="100"/>
      <c r="I171" s="100"/>
      <c r="J171" s="100"/>
      <c r="K171" s="100"/>
      <c r="L171" s="100"/>
    </row>
    <row r="172" spans="2:12" ht="12.75">
      <c r="B172" s="100"/>
      <c r="C172" s="100"/>
      <c r="D172" s="100"/>
      <c r="E172" s="100"/>
      <c r="F172" s="100"/>
      <c r="G172" s="100"/>
      <c r="H172" s="100"/>
      <c r="I172" s="100"/>
      <c r="J172" s="100"/>
      <c r="K172" s="100"/>
      <c r="L172" s="100"/>
    </row>
    <row r="173" spans="2:12" ht="12.75">
      <c r="B173" s="100"/>
      <c r="C173" s="100"/>
      <c r="D173" s="100"/>
      <c r="E173" s="100"/>
      <c r="F173" s="100"/>
      <c r="G173" s="100"/>
      <c r="H173" s="100"/>
      <c r="I173" s="100"/>
      <c r="J173" s="100"/>
      <c r="K173" s="100"/>
      <c r="L173" s="100"/>
    </row>
    <row r="174" spans="2:12" ht="12.75">
      <c r="B174" s="100"/>
      <c r="C174" s="100"/>
      <c r="D174" s="100"/>
      <c r="E174" s="100"/>
      <c r="F174" s="100"/>
      <c r="G174" s="100"/>
      <c r="H174" s="100"/>
      <c r="I174" s="100"/>
      <c r="J174" s="100"/>
      <c r="K174" s="100"/>
      <c r="L174" s="100"/>
    </row>
    <row r="175" spans="2:12" ht="12.75">
      <c r="B175" s="100"/>
      <c r="C175" s="100"/>
      <c r="D175" s="100"/>
      <c r="E175" s="100"/>
      <c r="F175" s="100"/>
      <c r="G175" s="100"/>
      <c r="H175" s="100"/>
      <c r="I175" s="100"/>
      <c r="J175" s="100"/>
      <c r="K175" s="100"/>
      <c r="L175" s="100"/>
    </row>
    <row r="176" spans="2:12" ht="12.75">
      <c r="B176" s="100"/>
      <c r="C176" s="100"/>
      <c r="D176" s="100"/>
      <c r="E176" s="100"/>
      <c r="F176" s="100"/>
      <c r="G176" s="100"/>
      <c r="H176" s="100"/>
      <c r="I176" s="100"/>
      <c r="J176" s="100"/>
      <c r="K176" s="100"/>
      <c r="L176" s="100"/>
    </row>
    <row r="177" spans="2:12" ht="12.75">
      <c r="B177" s="100"/>
      <c r="C177" s="100"/>
      <c r="D177" s="100"/>
      <c r="E177" s="100"/>
      <c r="F177" s="100"/>
      <c r="G177" s="100"/>
      <c r="H177" s="100"/>
      <c r="I177" s="100"/>
      <c r="J177" s="100"/>
      <c r="K177" s="100"/>
      <c r="L177" s="100"/>
    </row>
    <row r="178" spans="2:12" ht="12.75">
      <c r="B178" s="100"/>
      <c r="C178" s="100"/>
      <c r="D178" s="100"/>
      <c r="E178" s="100"/>
      <c r="F178" s="100"/>
      <c r="G178" s="100"/>
      <c r="H178" s="100"/>
      <c r="I178" s="100"/>
      <c r="J178" s="100"/>
      <c r="K178" s="100"/>
      <c r="L178" s="100"/>
    </row>
    <row r="179" spans="2:12" ht="12.75">
      <c r="B179" s="100"/>
      <c r="C179" s="100"/>
      <c r="D179" s="100"/>
      <c r="E179" s="100"/>
      <c r="F179" s="100"/>
      <c r="G179" s="100"/>
      <c r="H179" s="100"/>
      <c r="I179" s="100"/>
      <c r="J179" s="100"/>
      <c r="K179" s="100"/>
      <c r="L179" s="100"/>
    </row>
    <row r="180" spans="2:12" ht="12.75">
      <c r="B180" s="100"/>
      <c r="C180" s="100"/>
      <c r="D180" s="100"/>
      <c r="E180" s="100"/>
      <c r="F180" s="100"/>
      <c r="G180" s="100"/>
      <c r="H180" s="100"/>
      <c r="I180" s="100"/>
      <c r="J180" s="100"/>
      <c r="K180" s="100"/>
      <c r="L180" s="100"/>
    </row>
    <row r="181" spans="2:12" ht="12.75">
      <c r="B181" s="100"/>
      <c r="C181" s="100"/>
      <c r="D181" s="100"/>
      <c r="E181" s="100"/>
      <c r="F181" s="100"/>
      <c r="G181" s="100"/>
      <c r="H181" s="100"/>
      <c r="I181" s="100"/>
      <c r="J181" s="100"/>
      <c r="K181" s="100"/>
      <c r="L181" s="100"/>
    </row>
    <row r="182" spans="2:12" ht="12.75">
      <c r="B182" s="100"/>
      <c r="C182" s="100"/>
      <c r="D182" s="100"/>
      <c r="E182" s="100"/>
      <c r="F182" s="100"/>
      <c r="G182" s="100"/>
      <c r="H182" s="100"/>
      <c r="I182" s="100"/>
      <c r="J182" s="100"/>
      <c r="K182" s="100"/>
      <c r="L182" s="100"/>
    </row>
    <row r="183" spans="2:12" ht="12.75">
      <c r="B183" s="100"/>
      <c r="C183" s="100"/>
      <c r="D183" s="100"/>
      <c r="E183" s="100"/>
      <c r="F183" s="100"/>
      <c r="G183" s="100"/>
      <c r="H183" s="100"/>
      <c r="I183" s="100"/>
      <c r="J183" s="100"/>
      <c r="K183" s="100"/>
      <c r="L183" s="100"/>
    </row>
    <row r="184" spans="2:12" ht="12.75">
      <c r="B184" s="100"/>
      <c r="C184" s="100"/>
      <c r="D184" s="100"/>
      <c r="E184" s="100"/>
      <c r="F184" s="100"/>
      <c r="G184" s="100"/>
      <c r="H184" s="100"/>
      <c r="I184" s="100"/>
      <c r="J184" s="100"/>
      <c r="K184" s="100"/>
      <c r="L184" s="100"/>
    </row>
    <row r="185" spans="2:12" ht="12.75">
      <c r="B185" s="100"/>
      <c r="C185" s="100"/>
      <c r="D185" s="100"/>
      <c r="E185" s="100"/>
      <c r="F185" s="100"/>
      <c r="G185" s="100"/>
      <c r="H185" s="100"/>
      <c r="I185" s="100"/>
      <c r="J185" s="100"/>
      <c r="K185" s="100"/>
      <c r="L185" s="100"/>
    </row>
    <row r="186" spans="2:12" ht="12.75">
      <c r="B186" s="100"/>
      <c r="C186" s="100"/>
      <c r="D186" s="100"/>
      <c r="E186" s="100"/>
      <c r="F186" s="100"/>
      <c r="G186" s="100"/>
      <c r="H186" s="100"/>
      <c r="I186" s="100"/>
      <c r="J186" s="100"/>
      <c r="K186" s="100"/>
      <c r="L186" s="100"/>
    </row>
    <row r="187" spans="2:12" ht="14.25" customHeight="1">
      <c r="B187" s="100"/>
      <c r="C187" s="100"/>
      <c r="D187" s="100"/>
      <c r="E187" s="100"/>
      <c r="F187" s="100"/>
      <c r="G187" s="100"/>
      <c r="H187" s="100"/>
      <c r="I187" s="100"/>
      <c r="J187" s="100"/>
      <c r="K187" s="100"/>
      <c r="L187" s="100"/>
    </row>
    <row r="188" spans="2:12" ht="12.75" customHeight="1">
      <c r="B188" s="100"/>
      <c r="C188" s="100"/>
      <c r="D188" s="100"/>
      <c r="E188" s="100"/>
      <c r="F188" s="100"/>
      <c r="G188" s="100"/>
      <c r="H188" s="100"/>
      <c r="I188" s="100"/>
      <c r="J188" s="100"/>
      <c r="K188" s="100"/>
      <c r="L188" s="100"/>
    </row>
    <row r="189" spans="2:12" ht="12.75" customHeight="1">
      <c r="B189" s="100"/>
      <c r="C189" s="100"/>
      <c r="D189" s="100"/>
      <c r="E189" s="100"/>
      <c r="F189" s="100"/>
      <c r="G189" s="100"/>
      <c r="H189" s="100"/>
      <c r="I189" s="100"/>
      <c r="J189" s="100"/>
      <c r="K189" s="100"/>
      <c r="L189" s="100"/>
    </row>
    <row r="190" spans="2:12" ht="12.75" customHeight="1">
      <c r="B190" s="100"/>
      <c r="C190" s="100"/>
      <c r="D190" s="100"/>
      <c r="E190" s="100"/>
      <c r="F190" s="100"/>
      <c r="G190" s="100"/>
      <c r="H190" s="100"/>
      <c r="I190" s="100"/>
      <c r="J190" s="100"/>
      <c r="K190" s="100"/>
      <c r="L190" s="100"/>
    </row>
    <row r="191" spans="2:12" ht="12.75" customHeight="1">
      <c r="B191" s="100"/>
      <c r="C191" s="100"/>
      <c r="D191" s="100"/>
      <c r="E191" s="100"/>
      <c r="F191" s="100"/>
      <c r="G191" s="100"/>
      <c r="H191" s="100"/>
      <c r="I191" s="100"/>
      <c r="J191" s="100"/>
      <c r="K191" s="100"/>
      <c r="L191" s="100"/>
    </row>
    <row r="192" spans="2:12" ht="12.75" customHeight="1">
      <c r="B192" s="100"/>
      <c r="C192" s="100"/>
      <c r="D192" s="100"/>
      <c r="E192" s="100"/>
      <c r="F192" s="100"/>
      <c r="G192" s="100"/>
      <c r="H192" s="100"/>
      <c r="I192" s="100"/>
      <c r="J192" s="100"/>
      <c r="K192" s="100"/>
      <c r="L192" s="100"/>
    </row>
    <row r="193" spans="2:12" ht="12.75" customHeight="1">
      <c r="B193" s="100"/>
      <c r="C193" s="100"/>
      <c r="D193" s="100"/>
      <c r="E193" s="100"/>
      <c r="F193" s="100"/>
      <c r="G193" s="100"/>
      <c r="H193" s="100"/>
      <c r="I193" s="100"/>
      <c r="J193" s="100"/>
      <c r="K193" s="100"/>
      <c r="L193" s="100"/>
    </row>
    <row r="194" spans="2:12" ht="12.75" customHeight="1">
      <c r="B194" s="100"/>
      <c r="C194" s="100"/>
      <c r="D194" s="100"/>
      <c r="E194" s="100"/>
      <c r="F194" s="100"/>
      <c r="G194" s="100"/>
      <c r="H194" s="100"/>
      <c r="I194" s="100"/>
      <c r="J194" s="100"/>
      <c r="K194" s="100"/>
      <c r="L194" s="100"/>
    </row>
    <row r="195" spans="2:12" ht="12.75" customHeight="1">
      <c r="B195" s="100"/>
      <c r="C195" s="100"/>
      <c r="D195" s="100"/>
      <c r="E195" s="100"/>
      <c r="F195" s="100"/>
      <c r="G195" s="100"/>
      <c r="H195" s="100"/>
      <c r="I195" s="100"/>
      <c r="J195" s="100"/>
      <c r="K195" s="100"/>
      <c r="L195" s="100"/>
    </row>
    <row r="196" spans="2:12" ht="12.75" customHeight="1">
      <c r="B196" s="100"/>
      <c r="C196" s="100"/>
      <c r="D196" s="100"/>
      <c r="E196" s="100"/>
      <c r="F196" s="100"/>
      <c r="G196" s="100"/>
      <c r="H196" s="100"/>
      <c r="I196" s="100"/>
      <c r="J196" s="100"/>
      <c r="K196" s="100"/>
      <c r="L196" s="100"/>
    </row>
    <row r="197" spans="2:12" ht="12.75" customHeight="1">
      <c r="B197" s="100"/>
      <c r="C197" s="100"/>
      <c r="D197" s="100"/>
      <c r="E197" s="100"/>
      <c r="F197" s="100"/>
      <c r="G197" s="100"/>
      <c r="H197" s="100"/>
      <c r="I197" s="100"/>
      <c r="J197" s="100"/>
      <c r="K197" s="100"/>
      <c r="L197" s="100"/>
    </row>
    <row r="198" spans="2:12" ht="12.75" customHeight="1">
      <c r="B198" s="100"/>
      <c r="C198" s="100"/>
      <c r="D198" s="100"/>
      <c r="E198" s="100"/>
      <c r="F198" s="100"/>
      <c r="G198" s="100"/>
      <c r="H198" s="100"/>
      <c r="I198" s="100"/>
      <c r="J198" s="100"/>
      <c r="K198" s="100"/>
      <c r="L198" s="100"/>
    </row>
    <row r="199" spans="2:12" ht="12.75" customHeight="1">
      <c r="B199" s="100"/>
      <c r="C199" s="100"/>
      <c r="D199" s="100"/>
      <c r="E199" s="100"/>
      <c r="F199" s="100"/>
      <c r="G199" s="100"/>
      <c r="H199" s="100"/>
      <c r="I199" s="100"/>
      <c r="J199" s="100"/>
      <c r="K199" s="100"/>
      <c r="L199" s="100"/>
    </row>
    <row r="200" spans="2:12" ht="12.75" customHeight="1">
      <c r="B200" s="100"/>
      <c r="C200" s="100"/>
      <c r="D200" s="100"/>
      <c r="E200" s="100"/>
      <c r="F200" s="100"/>
      <c r="G200" s="100"/>
      <c r="H200" s="100"/>
      <c r="I200" s="100"/>
      <c r="J200" s="100"/>
      <c r="K200" s="100"/>
      <c r="L200" s="100"/>
    </row>
    <row r="201" spans="2:12" ht="12.75" customHeight="1">
      <c r="B201" s="100"/>
      <c r="C201" s="100"/>
      <c r="D201" s="100"/>
      <c r="E201" s="100"/>
      <c r="F201" s="100"/>
      <c r="G201" s="100"/>
      <c r="H201" s="100"/>
      <c r="I201" s="100"/>
      <c r="J201" s="100"/>
      <c r="K201" s="100"/>
      <c r="L201" s="100"/>
    </row>
    <row r="202" spans="2:12" ht="12.75" customHeight="1">
      <c r="B202" s="100"/>
      <c r="C202" s="100"/>
      <c r="D202" s="100"/>
      <c r="E202" s="100"/>
      <c r="F202" s="100"/>
      <c r="G202" s="100"/>
      <c r="H202" s="100"/>
      <c r="I202" s="100"/>
      <c r="J202" s="100"/>
      <c r="K202" s="100"/>
      <c r="L202" s="100"/>
    </row>
    <row r="203" spans="2:12" ht="12.75">
      <c r="B203" s="100"/>
      <c r="C203" s="100"/>
      <c r="D203" s="100"/>
      <c r="E203" s="100"/>
      <c r="F203" s="100"/>
      <c r="G203" s="100"/>
      <c r="H203" s="100"/>
      <c r="I203" s="100"/>
      <c r="J203" s="100"/>
      <c r="K203" s="100"/>
      <c r="L203" s="100"/>
    </row>
    <row r="204" spans="2:12" ht="12.75">
      <c r="B204" s="100"/>
      <c r="C204" s="100"/>
      <c r="D204" s="100"/>
      <c r="E204" s="100"/>
      <c r="F204" s="100"/>
      <c r="G204" s="100"/>
      <c r="H204" s="100"/>
      <c r="I204" s="100"/>
      <c r="J204" s="100"/>
      <c r="K204" s="100"/>
      <c r="L204" s="100"/>
    </row>
    <row r="205" spans="2:12" ht="12.75">
      <c r="B205" s="100"/>
      <c r="C205" s="100"/>
      <c r="D205" s="100"/>
      <c r="E205" s="100"/>
      <c r="F205" s="100"/>
      <c r="G205" s="100"/>
      <c r="H205" s="100"/>
      <c r="I205" s="100"/>
      <c r="J205" s="100"/>
      <c r="K205" s="100"/>
      <c r="L205" s="100"/>
    </row>
    <row r="206" spans="2:12" ht="12.75">
      <c r="B206" s="100"/>
      <c r="C206" s="100"/>
      <c r="D206" s="100"/>
      <c r="E206" s="100"/>
      <c r="F206" s="100"/>
      <c r="G206" s="100"/>
      <c r="H206" s="100"/>
      <c r="I206" s="100"/>
      <c r="J206" s="100"/>
      <c r="K206" s="100"/>
      <c r="L206" s="100"/>
    </row>
    <row r="207" spans="2:12" ht="12.75">
      <c r="B207" s="100"/>
      <c r="C207" s="100"/>
      <c r="D207" s="100"/>
      <c r="E207" s="100"/>
      <c r="F207" s="100"/>
      <c r="G207" s="100"/>
      <c r="H207" s="100"/>
      <c r="I207" s="100"/>
      <c r="J207" s="100"/>
      <c r="K207" s="100"/>
      <c r="L207" s="100"/>
    </row>
    <row r="208" spans="2:12" ht="12.75">
      <c r="B208" s="100"/>
      <c r="C208" s="100"/>
      <c r="D208" s="100"/>
      <c r="E208" s="100"/>
      <c r="F208" s="100"/>
      <c r="G208" s="100"/>
      <c r="H208" s="100"/>
      <c r="I208" s="100"/>
      <c r="J208" s="100"/>
      <c r="K208" s="100"/>
      <c r="L208" s="100"/>
    </row>
    <row r="209" spans="2:12" ht="12.75">
      <c r="B209" s="100"/>
      <c r="C209" s="100"/>
      <c r="D209" s="100"/>
      <c r="E209" s="100"/>
      <c r="F209" s="100"/>
      <c r="G209" s="100"/>
      <c r="H209" s="100"/>
      <c r="I209" s="100"/>
      <c r="J209" s="100"/>
      <c r="K209" s="100"/>
      <c r="L209" s="100"/>
    </row>
    <row r="210" spans="2:12" ht="12.75">
      <c r="B210" s="100"/>
      <c r="C210" s="100"/>
      <c r="D210" s="100"/>
      <c r="E210" s="100"/>
      <c r="F210" s="100"/>
      <c r="G210" s="100"/>
      <c r="H210" s="100"/>
      <c r="I210" s="100"/>
      <c r="J210" s="100"/>
      <c r="K210" s="100"/>
      <c r="L210" s="100"/>
    </row>
    <row r="211" spans="2:12" ht="12.75">
      <c r="B211" s="100"/>
      <c r="C211" s="100"/>
      <c r="D211" s="100"/>
      <c r="E211" s="100"/>
      <c r="F211" s="100"/>
      <c r="G211" s="100"/>
      <c r="H211" s="100"/>
      <c r="I211" s="100"/>
      <c r="J211" s="100"/>
      <c r="K211" s="100"/>
      <c r="L211" s="100"/>
    </row>
    <row r="212" spans="2:12" ht="12.75">
      <c r="B212" s="100"/>
      <c r="C212" s="100"/>
      <c r="D212" s="100"/>
      <c r="E212" s="100"/>
      <c r="F212" s="100"/>
      <c r="G212" s="100"/>
      <c r="H212" s="100"/>
      <c r="I212" s="100"/>
      <c r="J212" s="100"/>
      <c r="K212" s="100"/>
      <c r="L212" s="100"/>
    </row>
    <row r="213" spans="2:12" ht="12.75">
      <c r="B213" s="100"/>
      <c r="C213" s="100"/>
      <c r="D213" s="100"/>
      <c r="E213" s="100"/>
      <c r="F213" s="100"/>
      <c r="G213" s="100"/>
      <c r="H213" s="100"/>
      <c r="I213" s="100"/>
      <c r="J213" s="100"/>
      <c r="K213" s="100"/>
      <c r="L213" s="100"/>
    </row>
    <row r="214" spans="2:12" ht="12.75">
      <c r="B214" s="100"/>
      <c r="C214" s="100"/>
      <c r="D214" s="100"/>
      <c r="E214" s="100"/>
      <c r="F214" s="100"/>
      <c r="G214" s="100"/>
      <c r="H214" s="100"/>
      <c r="I214" s="100"/>
      <c r="J214" s="100"/>
      <c r="K214" s="100"/>
      <c r="L214" s="100"/>
    </row>
    <row r="215" spans="2:12" ht="12.75">
      <c r="B215" s="100"/>
      <c r="C215" s="100"/>
      <c r="D215" s="100"/>
      <c r="E215" s="100"/>
      <c r="F215" s="100"/>
      <c r="G215" s="100"/>
      <c r="H215" s="100"/>
      <c r="I215" s="100"/>
      <c r="J215" s="100"/>
      <c r="K215" s="100"/>
      <c r="L215" s="100"/>
    </row>
    <row r="216" spans="2:12" ht="12.75">
      <c r="B216" s="100"/>
      <c r="C216" s="100"/>
      <c r="D216" s="100"/>
      <c r="E216" s="100"/>
      <c r="F216" s="100"/>
      <c r="G216" s="100"/>
      <c r="H216" s="100"/>
      <c r="I216" s="100"/>
      <c r="J216" s="100"/>
      <c r="K216" s="100"/>
      <c r="L216" s="100"/>
    </row>
    <row r="217" spans="2:12" ht="12.75">
      <c r="B217" s="100"/>
      <c r="C217" s="100"/>
      <c r="D217" s="100"/>
      <c r="E217" s="100"/>
      <c r="F217" s="100"/>
      <c r="G217" s="100"/>
      <c r="H217" s="100"/>
      <c r="I217" s="100"/>
      <c r="J217" s="100"/>
      <c r="K217" s="100"/>
      <c r="L217" s="100"/>
    </row>
    <row r="218" spans="2:12" ht="12.75">
      <c r="B218" s="100"/>
      <c r="C218" s="100"/>
      <c r="D218" s="100"/>
      <c r="E218" s="100"/>
      <c r="F218" s="100"/>
      <c r="G218" s="100"/>
      <c r="H218" s="100"/>
      <c r="I218" s="100"/>
      <c r="J218" s="100"/>
      <c r="K218" s="100"/>
      <c r="L218" s="100"/>
    </row>
    <row r="219" spans="2:12" ht="12.75">
      <c r="B219" s="100"/>
      <c r="C219" s="100"/>
      <c r="D219" s="100"/>
      <c r="E219" s="100"/>
      <c r="F219" s="100"/>
      <c r="G219" s="100"/>
      <c r="H219" s="100"/>
      <c r="I219" s="100"/>
      <c r="J219" s="100"/>
      <c r="K219" s="100"/>
      <c r="L219" s="100"/>
    </row>
    <row r="220" spans="2:12" ht="12.75">
      <c r="B220" s="100"/>
      <c r="C220" s="100"/>
      <c r="D220" s="100"/>
      <c r="E220" s="100"/>
      <c r="F220" s="100"/>
      <c r="G220" s="100"/>
      <c r="H220" s="100"/>
      <c r="I220" s="100"/>
      <c r="J220" s="100"/>
      <c r="K220" s="100"/>
      <c r="L220" s="100"/>
    </row>
    <row r="299" ht="6" customHeight="1"/>
    <row r="301" ht="6" customHeight="1"/>
    <row r="308" ht="6" customHeight="1"/>
    <row r="310" ht="6" customHeight="1"/>
    <row r="314" ht="6" customHeight="1"/>
    <row r="317" ht="6" customHeight="1"/>
    <row r="322" ht="6" customHeight="1"/>
    <row r="326" ht="6" customHeight="1"/>
    <row r="328" ht="6" customHeight="1"/>
    <row r="337" ht="6" customHeight="1"/>
    <row r="339" ht="6" customHeight="1"/>
    <row r="341" ht="6" customHeight="1"/>
    <row r="343" ht="6" customHeight="1"/>
    <row r="352" ht="6" customHeight="1"/>
    <row r="354" ht="6" customHeight="1"/>
  </sheetData>
  <sheetProtection/>
  <mergeCells count="7">
    <mergeCell ref="A1:I1"/>
    <mergeCell ref="A2:I2"/>
    <mergeCell ref="A3:I3"/>
    <mergeCell ref="E8:E9"/>
    <mergeCell ref="A4:I4"/>
    <mergeCell ref="G8:G9"/>
    <mergeCell ref="I8:I9"/>
  </mergeCells>
  <printOptions/>
  <pageMargins left="0.26" right="0.42" top="1" bottom="1" header="0.75" footer="0.5"/>
  <pageSetup fitToHeight="1" fitToWidth="1" horizontalDpi="600" verticalDpi="600" orientation="portrait" scale="72" r:id="rId1"/>
  <headerFooter alignWithMargins="0">
    <oddHeader>&amp;R&amp;"Arial,Bold"Formula Rate
 &amp;A
Page &amp;P of &amp;N</oddHeader>
  </headerFooter>
  <rowBreaks count="1" manualBreakCount="1">
    <brk id="59" max="255" man="1"/>
  </rowBreaks>
</worksheet>
</file>

<file path=xl/worksheets/sheet6.xml><?xml version="1.0" encoding="utf-8"?>
<worksheet xmlns="http://schemas.openxmlformats.org/spreadsheetml/2006/main" xmlns:r="http://schemas.openxmlformats.org/officeDocument/2006/relationships">
  <sheetPr>
    <tabColor indexed="45"/>
    <pageSetUpPr fitToPage="1"/>
  </sheetPr>
  <dimension ref="A1:O109"/>
  <sheetViews>
    <sheetView zoomScaleSheetLayoutView="85" zoomScalePageLayoutView="0" workbookViewId="0" topLeftCell="A1">
      <selection activeCell="A1" sqref="A1:L1"/>
    </sheetView>
  </sheetViews>
  <sheetFormatPr defaultColWidth="11.421875" defaultRowHeight="12.75"/>
  <cols>
    <col min="1" max="1" width="8.140625" style="231" customWidth="1"/>
    <col min="2" max="2" width="11.140625" style="232" customWidth="1"/>
    <col min="3" max="3" width="47.8515625" style="232" customWidth="1"/>
    <col min="4" max="4" width="24.00390625" style="232" customWidth="1"/>
    <col min="5" max="5" width="19.8515625" style="244" customWidth="1"/>
    <col min="6" max="6" width="0.9921875" style="244" customWidth="1"/>
    <col min="7" max="7" width="20.8515625" style="232" customWidth="1"/>
    <col min="8" max="8" width="0.9921875" style="232" customWidth="1"/>
    <col min="9" max="9" width="19.140625" style="232" customWidth="1"/>
    <col min="10" max="10" width="16.7109375" style="232" customWidth="1"/>
    <col min="11" max="11" width="15.28125" style="232" customWidth="1"/>
    <col min="12" max="12" width="30.140625" style="232" bestFit="1" customWidth="1"/>
    <col min="13" max="14" width="13.421875" style="232" customWidth="1"/>
    <col min="15" max="15" width="13.7109375" style="232" customWidth="1"/>
    <col min="16" max="16384" width="11.421875" style="232" customWidth="1"/>
  </cols>
  <sheetData>
    <row r="1" spans="1:15" ht="15">
      <c r="A1" s="1091" t="str">
        <f>+'KPCo WS B ADIT &amp; ITC'!A1:I1</f>
        <v>AEP East Companies</v>
      </c>
      <c r="B1" s="1091"/>
      <c r="C1" s="1091"/>
      <c r="D1" s="1091"/>
      <c r="E1" s="1091"/>
      <c r="F1" s="1091"/>
      <c r="G1" s="1091"/>
      <c r="H1" s="1091"/>
      <c r="I1" s="1091"/>
      <c r="J1" s="1091"/>
      <c r="K1" s="1091"/>
      <c r="L1" s="1091"/>
      <c r="M1" s="172"/>
      <c r="N1" s="172"/>
      <c r="O1" s="172"/>
    </row>
    <row r="2" spans="1:15" ht="15">
      <c r="A2" s="1090" t="str">
        <f>"Cost of Service Formula Rate Using "&amp;'KPCo Historic TCOS'!O1&amp;" FF1 Balances"</f>
        <v>Cost of Service Formula Rate Using 2009 FF1 Balances</v>
      </c>
      <c r="B2" s="1090"/>
      <c r="C2" s="1090"/>
      <c r="D2" s="1090"/>
      <c r="E2" s="1090"/>
      <c r="F2" s="1090"/>
      <c r="G2" s="1090"/>
      <c r="H2" s="1090"/>
      <c r="I2" s="1090"/>
      <c r="J2" s="1090"/>
      <c r="K2" s="1090"/>
      <c r="L2" s="1090"/>
      <c r="M2" s="276"/>
      <c r="N2" s="276"/>
      <c r="O2" s="276"/>
    </row>
    <row r="3" spans="1:15" ht="15">
      <c r="A3" s="1090" t="s">
        <v>381</v>
      </c>
      <c r="B3" s="1090"/>
      <c r="C3" s="1090"/>
      <c r="D3" s="1090"/>
      <c r="E3" s="1090"/>
      <c r="F3" s="1090"/>
      <c r="G3" s="1090"/>
      <c r="H3" s="1090"/>
      <c r="I3" s="1090"/>
      <c r="J3" s="1090"/>
      <c r="K3" s="1090"/>
      <c r="L3" s="1090"/>
      <c r="M3" s="275"/>
      <c r="N3" s="275"/>
      <c r="O3" s="275"/>
    </row>
    <row r="4" spans="1:15" ht="15">
      <c r="A4" s="1094" t="str">
        <f>+'KPCo WS A  - RB Support '!A4:F4</f>
        <v>KENTUCKY POWER COMPANY</v>
      </c>
      <c r="B4" s="1094"/>
      <c r="C4" s="1094"/>
      <c r="D4" s="1094"/>
      <c r="E4" s="1094"/>
      <c r="F4" s="1094"/>
      <c r="G4" s="1094"/>
      <c r="H4" s="1094"/>
      <c r="I4" s="1094"/>
      <c r="J4" s="1094"/>
      <c r="K4" s="1094"/>
      <c r="L4" s="1094"/>
      <c r="M4" s="10"/>
      <c r="N4" s="10"/>
      <c r="O4" s="10"/>
    </row>
    <row r="5" spans="1:15" ht="15">
      <c r="A5" s="10"/>
      <c r="B5" s="10"/>
      <c r="C5" s="10"/>
      <c r="D5" s="10"/>
      <c r="E5" s="10"/>
      <c r="F5" s="10"/>
      <c r="G5" s="10"/>
      <c r="H5" s="8"/>
      <c r="I5" s="230"/>
      <c r="J5" s="230"/>
      <c r="K5" s="230"/>
      <c r="L5" s="230"/>
      <c r="M5" s="230"/>
      <c r="N5" s="230"/>
      <c r="O5" s="230"/>
    </row>
    <row r="6" spans="1:15" ht="12.75" customHeight="1">
      <c r="A6" s="272"/>
      <c r="B6" s="272" t="s">
        <v>770</v>
      </c>
      <c r="C6" s="272" t="s">
        <v>771</v>
      </c>
      <c r="D6" s="270" t="s">
        <v>460</v>
      </c>
      <c r="E6" s="270" t="s">
        <v>773</v>
      </c>
      <c r="F6" s="272"/>
      <c r="G6" s="272" t="s">
        <v>588</v>
      </c>
      <c r="H6" s="272"/>
      <c r="I6" s="272" t="s">
        <v>589</v>
      </c>
      <c r="J6" s="272" t="s">
        <v>590</v>
      </c>
      <c r="K6" s="272" t="s">
        <v>595</v>
      </c>
      <c r="L6" s="272" t="s">
        <v>393</v>
      </c>
      <c r="M6" s="272"/>
      <c r="N6" s="272"/>
      <c r="O6" s="272"/>
    </row>
    <row r="7" ht="12.75">
      <c r="A7" s="228"/>
    </row>
    <row r="8" spans="1:15" ht="18">
      <c r="A8" s="269"/>
      <c r="B8" s="1150" t="s">
        <v>905</v>
      </c>
      <c r="C8" s="1150"/>
      <c r="D8" s="1150"/>
      <c r="E8" s="1150"/>
      <c r="F8" s="1150"/>
      <c r="G8" s="1150"/>
      <c r="H8" s="1150"/>
      <c r="I8" s="1150"/>
      <c r="J8" s="1150"/>
      <c r="K8" s="1150"/>
      <c r="O8" s="244"/>
    </row>
    <row r="9" spans="1:15" ht="12.75">
      <c r="A9" s="269"/>
      <c r="I9" s="132"/>
      <c r="J9" s="132"/>
      <c r="O9" s="244"/>
    </row>
    <row r="10" spans="1:15" ht="12.75" customHeight="1">
      <c r="A10" s="112" t="s">
        <v>777</v>
      </c>
      <c r="B10" s="234"/>
      <c r="C10" s="245"/>
      <c r="D10" s="610"/>
      <c r="E10" s="1152" t="str">
        <f>"Balance @ December 31, "&amp;'KPCo Historic TCOS'!O1&amp;""</f>
        <v>Balance @ December 31, 2009</v>
      </c>
      <c r="F10" s="610"/>
      <c r="G10" s="1152" t="str">
        <f>"Balance @ December 31, "&amp;'KPCo Historic TCOS'!O1-1&amp;""</f>
        <v>Balance @ December 31, 2008</v>
      </c>
      <c r="H10" s="834"/>
      <c r="I10" s="1088" t="str">
        <f>"Average Balance for "&amp;'KPCo Historic TCOS'!O1&amp;""</f>
        <v>Average Balance for 2009</v>
      </c>
      <c r="J10" s="354"/>
      <c r="K10" s="239"/>
      <c r="L10" s="246"/>
      <c r="M10" s="239"/>
      <c r="N10" s="239"/>
      <c r="O10" s="244"/>
    </row>
    <row r="11" spans="1:14" ht="12.75">
      <c r="A11" s="112" t="s">
        <v>713</v>
      </c>
      <c r="B11" s="241"/>
      <c r="C11" s="234"/>
      <c r="D11" s="611" t="s">
        <v>891</v>
      </c>
      <c r="E11" s="1153"/>
      <c r="F11" s="612"/>
      <c r="G11" s="1153"/>
      <c r="H11" s="613"/>
      <c r="I11" s="1089"/>
      <c r="J11" s="354"/>
      <c r="K11" s="247"/>
      <c r="L11" s="248"/>
      <c r="M11" s="237"/>
      <c r="N11" s="237"/>
    </row>
    <row r="12" spans="1:13" ht="12.75">
      <c r="A12" s="241"/>
      <c r="B12" s="241"/>
      <c r="C12" s="234"/>
      <c r="D12" s="243"/>
      <c r="E12" s="233"/>
      <c r="F12" s="233"/>
      <c r="G12" s="677"/>
      <c r="H12" s="242"/>
      <c r="J12" s="132"/>
      <c r="K12" s="247"/>
      <c r="L12" s="248"/>
      <c r="M12" s="237"/>
    </row>
    <row r="13" spans="1:13" ht="12.75">
      <c r="A13" s="241">
        <v>1</v>
      </c>
      <c r="B13" s="241"/>
      <c r="D13" s="203"/>
      <c r="E13" s="162"/>
      <c r="F13" s="162"/>
      <c r="G13" s="162"/>
      <c r="H13" s="162"/>
      <c r="I13" s="162"/>
      <c r="K13" s="162"/>
      <c r="L13" s="162"/>
      <c r="M13" s="237"/>
    </row>
    <row r="14" spans="1:13" ht="12.75">
      <c r="A14" s="241"/>
      <c r="B14" s="241"/>
      <c r="C14" s="203"/>
      <c r="D14" s="203"/>
      <c r="E14" s="162"/>
      <c r="F14" s="162"/>
      <c r="G14" s="162"/>
      <c r="H14" s="162"/>
      <c r="I14" s="162"/>
      <c r="K14" s="162"/>
      <c r="L14" s="162"/>
      <c r="M14" s="237"/>
    </row>
    <row r="15" spans="1:13" ht="12.75">
      <c r="A15" s="241">
        <f>+A13+1</f>
        <v>2</v>
      </c>
      <c r="B15" s="241"/>
      <c r="C15" s="203" t="s">
        <v>439</v>
      </c>
      <c r="D15" s="238" t="s">
        <v>266</v>
      </c>
      <c r="E15" s="306">
        <v>103391</v>
      </c>
      <c r="F15" s="162"/>
      <c r="G15" s="306">
        <v>38016</v>
      </c>
      <c r="H15" s="162"/>
      <c r="I15" s="488">
        <f>IF(G15="",0,(E15+G15)/2)</f>
        <v>70703.5</v>
      </c>
      <c r="J15"/>
      <c r="K15" s="488"/>
      <c r="L15" s="162"/>
      <c r="M15" s="237"/>
    </row>
    <row r="16" spans="1:13" ht="12.75">
      <c r="A16" s="241"/>
      <c r="B16" s="241"/>
      <c r="C16" s="203"/>
      <c r="D16"/>
      <c r="E16"/>
      <c r="F16"/>
      <c r="G16"/>
      <c r="H16"/>
      <c r="I16" s="99"/>
      <c r="J16"/>
      <c r="K16"/>
      <c r="L16" s="162"/>
      <c r="M16" s="237"/>
    </row>
    <row r="17" spans="1:13" ht="12.75">
      <c r="A17" s="241">
        <f>+A15+1</f>
        <v>3</v>
      </c>
      <c r="B17" s="241"/>
      <c r="C17" s="203" t="s">
        <v>440</v>
      </c>
      <c r="D17" s="238" t="s">
        <v>267</v>
      </c>
      <c r="E17" s="306">
        <v>119885</v>
      </c>
      <c r="F17" s="233"/>
      <c r="G17" s="306">
        <v>94928</v>
      </c>
      <c r="H17" s="242"/>
      <c r="I17" s="488">
        <f>IF(G17="",0,(E17+G17)/2)</f>
        <v>107406.5</v>
      </c>
      <c r="J17" s="132"/>
      <c r="K17" s="247"/>
      <c r="L17" s="248"/>
      <c r="M17" s="237"/>
    </row>
    <row r="18" spans="1:13" ht="12.75">
      <c r="A18" s="241"/>
      <c r="B18" s="241"/>
      <c r="C18" s="203"/>
      <c r="D18" s="238"/>
      <c r="E18"/>
      <c r="F18"/>
      <c r="G18"/>
      <c r="H18"/>
      <c r="I18"/>
      <c r="J18"/>
      <c r="K18" s="247"/>
      <c r="L18" s="248"/>
      <c r="M18" s="237"/>
    </row>
    <row r="19" spans="1:13" ht="12.75">
      <c r="A19" s="241">
        <f>+A17+1</f>
        <v>4</v>
      </c>
      <c r="B19" s="241"/>
      <c r="C19" s="203" t="s">
        <v>441</v>
      </c>
      <c r="D19" s="238" t="s">
        <v>268</v>
      </c>
      <c r="E19" s="306">
        <v>0</v>
      </c>
      <c r="F19" s="233"/>
      <c r="G19" s="306">
        <v>0</v>
      </c>
      <c r="H19" s="242"/>
      <c r="I19" s="488">
        <f>IF(G19="",0,(E19+G19)/2)</f>
        <v>0</v>
      </c>
      <c r="J19" s="132"/>
      <c r="K19" s="247"/>
      <c r="L19" s="248"/>
      <c r="M19" s="237"/>
    </row>
    <row r="20" spans="1:13" ht="12.75">
      <c r="A20" s="241"/>
      <c r="B20" s="241"/>
      <c r="C20" s="234"/>
      <c r="D20" s="243"/>
      <c r="E20" s="233"/>
      <c r="F20" s="233"/>
      <c r="G20" s="244"/>
      <c r="H20" s="242"/>
      <c r="I20" s="244"/>
      <c r="J20" s="132"/>
      <c r="K20" s="247"/>
      <c r="L20" s="248"/>
      <c r="M20" s="237"/>
    </row>
    <row r="21" spans="1:13" ht="12.75">
      <c r="A21" s="588"/>
      <c r="B21" s="588"/>
      <c r="C21" s="589"/>
      <c r="D21" s="590"/>
      <c r="E21" s="591"/>
      <c r="F21" s="591"/>
      <c r="G21" s="592"/>
      <c r="H21" s="593"/>
      <c r="I21" s="592"/>
      <c r="J21" s="594"/>
      <c r="K21" s="595"/>
      <c r="L21" s="596"/>
      <c r="M21" s="237"/>
    </row>
    <row r="22" spans="1:13" ht="18">
      <c r="A22" s="241"/>
      <c r="B22" s="1150" t="s">
        <v>449</v>
      </c>
      <c r="C22" s="1150"/>
      <c r="D22" s="1150"/>
      <c r="E22" s="1150"/>
      <c r="F22" s="1150"/>
      <c r="G22" s="1150"/>
      <c r="H22" s="1150"/>
      <c r="I22" s="1150"/>
      <c r="J22" s="1150"/>
      <c r="K22" s="1150"/>
      <c r="L22" s="248"/>
      <c r="M22" s="237"/>
    </row>
    <row r="23" spans="1:13" ht="12.75" customHeight="1">
      <c r="A23" s="241"/>
      <c r="B23" s="509"/>
      <c r="C23" s="234"/>
      <c r="D23" s="151"/>
      <c r="E23" s="110"/>
      <c r="F23" s="232"/>
      <c r="G23" s="110" t="s">
        <v>591</v>
      </c>
      <c r="I23" s="108" t="s">
        <v>723</v>
      </c>
      <c r="J23" s="108" t="s">
        <v>723</v>
      </c>
      <c r="K23" s="108" t="s">
        <v>787</v>
      </c>
      <c r="L23" s="248"/>
      <c r="M23" s="237"/>
    </row>
    <row r="24" spans="1:13" ht="12.75" customHeight="1">
      <c r="A24" s="241"/>
      <c r="B24" s="509"/>
      <c r="C24" s="234"/>
      <c r="D24" s="505" t="s">
        <v>394</v>
      </c>
      <c r="E24" s="108" t="s">
        <v>445</v>
      </c>
      <c r="F24" s="232"/>
      <c r="G24" s="108" t="s">
        <v>723</v>
      </c>
      <c r="I24" s="108" t="s">
        <v>423</v>
      </c>
      <c r="J24" s="108" t="s">
        <v>769</v>
      </c>
      <c r="K24" s="108" t="s">
        <v>788</v>
      </c>
      <c r="L24" s="248"/>
      <c r="M24" s="237"/>
    </row>
    <row r="25" spans="1:13" ht="12.75" customHeight="1">
      <c r="A25" s="241">
        <f>+A19+1</f>
        <v>5</v>
      </c>
      <c r="B25" s="509"/>
      <c r="C25" s="234"/>
      <c r="D25" s="113" t="s">
        <v>592</v>
      </c>
      <c r="E25" s="113" t="s">
        <v>395</v>
      </c>
      <c r="F25" s="232"/>
      <c r="G25" s="113" t="s">
        <v>424</v>
      </c>
      <c r="I25" s="113" t="s">
        <v>424</v>
      </c>
      <c r="J25" s="113" t="s">
        <v>424</v>
      </c>
      <c r="K25" s="113" t="s">
        <v>425</v>
      </c>
      <c r="L25" s="248"/>
      <c r="M25" s="237"/>
    </row>
    <row r="26" spans="1:13" ht="12.75">
      <c r="A26" s="241"/>
      <c r="B26" s="241"/>
      <c r="C26" s="234"/>
      <c r="D26" s="243"/>
      <c r="E26" s="233"/>
      <c r="F26" s="233"/>
      <c r="G26" s="244"/>
      <c r="H26" s="242"/>
      <c r="I26" s="244"/>
      <c r="J26" s="132"/>
      <c r="K26" s="680"/>
      <c r="L26" s="248"/>
      <c r="M26" s="237"/>
    </row>
    <row r="27" spans="1:13" ht="12.75">
      <c r="A27" s="241">
        <f>+A25+1</f>
        <v>6</v>
      </c>
      <c r="B27" s="241"/>
      <c r="C27" s="232" t="str">
        <f>"Totals as of December 31, "&amp;'KPCo Historic TCOS'!O1&amp;""</f>
        <v>Totals as of December 31, 2009</v>
      </c>
      <c r="D27" s="510">
        <f>ROUND(D47,0)</f>
        <v>1281855</v>
      </c>
      <c r="E27" s="735">
        <f>ROUND(E47,0)</f>
        <v>-14476581</v>
      </c>
      <c r="F27" s="511"/>
      <c r="G27" s="510">
        <f>ROUND(G47,0)</f>
        <v>0</v>
      </c>
      <c r="H27" s="242"/>
      <c r="I27" s="510">
        <f>ROUND(I47,0)</f>
        <v>922254</v>
      </c>
      <c r="J27" s="512">
        <f>+J47</f>
        <v>14836181</v>
      </c>
      <c r="K27" s="510">
        <f>ROUND(K47,0)</f>
        <v>15758435</v>
      </c>
      <c r="L27" s="248"/>
      <c r="M27" s="237"/>
    </row>
    <row r="28" spans="1:13" ht="12.75">
      <c r="A28" s="241">
        <f>+A27+1</f>
        <v>7</v>
      </c>
      <c r="B28" s="241"/>
      <c r="C28" s="232" t="str">
        <f>"Totals as of December 31, "&amp;'KPCo Historic TCOS'!O1-1&amp;""</f>
        <v>Totals as of December 31, 2008</v>
      </c>
      <c r="D28" s="515">
        <f>IF(D63="","",D63)</f>
        <v>1270714</v>
      </c>
      <c r="E28" s="736">
        <f>IF(E63="","",E63)</f>
        <v>-16559778</v>
      </c>
      <c r="F28" s="233"/>
      <c r="G28" s="515">
        <f>IF(G63="","",G63)</f>
      </c>
      <c r="H28" s="242"/>
      <c r="I28" s="515">
        <f>IF(I63="","",I63)</f>
        <v>778895</v>
      </c>
      <c r="J28" s="515">
        <f>IF(J63="","",J63)</f>
        <v>17051597</v>
      </c>
      <c r="K28" s="515">
        <f>IF(K63="","",K63)</f>
        <v>17830492</v>
      </c>
      <c r="L28" s="248"/>
      <c r="M28" s="237"/>
    </row>
    <row r="29" spans="1:13" ht="13.5" thickBot="1">
      <c r="A29" s="241">
        <f>+A28+1</f>
        <v>8</v>
      </c>
      <c r="B29" s="241"/>
      <c r="C29" s="288" t="s">
        <v>911</v>
      </c>
      <c r="D29" s="516">
        <f>IF(D28="",0,(D27+D28)/2)</f>
        <v>1276284.5</v>
      </c>
      <c r="E29" s="516">
        <f>IF(E28="",0,(E27+E28)/2)</f>
        <v>-15518179.5</v>
      </c>
      <c r="F29" s="517"/>
      <c r="G29" s="516">
        <f>IF(G28="",0,(G27+G28)/2)</f>
        <v>0</v>
      </c>
      <c r="H29" s="271"/>
      <c r="I29" s="516">
        <f>IF(I28="",0,(I27+I28)/2)</f>
        <v>850574.5</v>
      </c>
      <c r="J29" s="516">
        <f>IF(J28="",0,(J27+J28)/2)</f>
        <v>15943889</v>
      </c>
      <c r="K29" s="516">
        <f>IF(K28="",0,(K27+K28)/2)</f>
        <v>16794463.5</v>
      </c>
      <c r="L29" s="248"/>
      <c r="M29" s="237"/>
    </row>
    <row r="30" spans="1:13" ht="13.5" thickTop="1">
      <c r="A30" s="241"/>
      <c r="B30" s="241"/>
      <c r="D30" s="243"/>
      <c r="E30" s="233"/>
      <c r="F30" s="233"/>
      <c r="G30" s="244"/>
      <c r="H30" s="242"/>
      <c r="I30" s="244"/>
      <c r="J30" s="132"/>
      <c r="K30" s="247"/>
      <c r="L30" s="248"/>
      <c r="M30" s="237"/>
    </row>
    <row r="31" spans="1:13" ht="12.75">
      <c r="A31" s="232"/>
      <c r="E31" s="232"/>
      <c r="F31" s="232"/>
      <c r="J31" s="132"/>
      <c r="K31" s="247"/>
      <c r="L31" s="248"/>
      <c r="M31" s="237"/>
    </row>
    <row r="32" spans="1:13" ht="18">
      <c r="A32" s="241"/>
      <c r="B32" s="1151" t="str">
        <f>"Prepayments Account 165 - Balance @ 12/31/"&amp;D34&amp;""</f>
        <v>Prepayments Account 165 - Balance @ 12/31/2009</v>
      </c>
      <c r="C32" s="1154"/>
      <c r="D32" s="1154"/>
      <c r="E32" s="1154"/>
      <c r="F32" s="1154"/>
      <c r="G32" s="1154"/>
      <c r="H32" s="1154"/>
      <c r="I32" s="1154"/>
      <c r="J32" s="1154"/>
      <c r="K32" s="247"/>
      <c r="L32" s="248"/>
      <c r="M32" s="237"/>
    </row>
    <row r="33" spans="1:13" ht="12.75">
      <c r="A33" s="241"/>
      <c r="B33" s="501"/>
      <c r="C33" s="503"/>
      <c r="D33" s="151"/>
      <c r="E33" s="110"/>
      <c r="F33" s="232"/>
      <c r="G33" s="110" t="s">
        <v>591</v>
      </c>
      <c r="I33" s="108" t="s">
        <v>723</v>
      </c>
      <c r="J33" s="108" t="s">
        <v>723</v>
      </c>
      <c r="K33" s="108" t="s">
        <v>787</v>
      </c>
      <c r="L33"/>
      <c r="M33" s="237"/>
    </row>
    <row r="34" spans="1:13" ht="12.75">
      <c r="A34" s="241"/>
      <c r="B34" s="501"/>
      <c r="C34" s="504"/>
      <c r="D34" s="505" t="str">
        <f>""&amp;'KPCo Historic TCOS'!O1</f>
        <v>2009</v>
      </c>
      <c r="E34" s="108" t="s">
        <v>445</v>
      </c>
      <c r="F34" s="232"/>
      <c r="G34" s="108" t="s">
        <v>723</v>
      </c>
      <c r="I34" s="108" t="s">
        <v>423</v>
      </c>
      <c r="J34" s="108" t="s">
        <v>769</v>
      </c>
      <c r="K34" s="108" t="s">
        <v>788</v>
      </c>
      <c r="L34"/>
      <c r="M34" s="237"/>
    </row>
    <row r="35" spans="1:13" ht="12.75">
      <c r="A35" s="241">
        <f>+A29+1</f>
        <v>9</v>
      </c>
      <c r="B35" s="113" t="s">
        <v>594</v>
      </c>
      <c r="C35" s="113" t="s">
        <v>775</v>
      </c>
      <c r="D35" s="113" t="s">
        <v>592</v>
      </c>
      <c r="E35" s="113" t="s">
        <v>395</v>
      </c>
      <c r="F35" s="232"/>
      <c r="G35" s="113" t="s">
        <v>424</v>
      </c>
      <c r="I35" s="113" t="s">
        <v>424</v>
      </c>
      <c r="J35" s="113" t="s">
        <v>424</v>
      </c>
      <c r="K35" s="113" t="s">
        <v>425</v>
      </c>
      <c r="L35" s="1067" t="s">
        <v>575</v>
      </c>
      <c r="M35" s="237"/>
    </row>
    <row r="36" spans="1:13" ht="12.75">
      <c r="A36" s="241"/>
      <c r="B36" s="501"/>
      <c r="C36" s="503"/>
      <c r="D36" s="503"/>
      <c r="E36" s="503"/>
      <c r="F36" s="232"/>
      <c r="G36" s="503"/>
      <c r="I36" s="503"/>
      <c r="J36" s="503"/>
      <c r="K36" s="680"/>
      <c r="L36"/>
      <c r="M36" s="237"/>
    </row>
    <row r="37" spans="1:13" ht="12.75">
      <c r="A37" s="241">
        <f>+A35+1</f>
        <v>10</v>
      </c>
      <c r="B37" s="154" t="s">
        <v>426</v>
      </c>
      <c r="C37" s="606" t="s">
        <v>427</v>
      </c>
      <c r="D37" s="306">
        <v>367942</v>
      </c>
      <c r="E37" s="326">
        <f>+D37-K37</f>
        <v>0</v>
      </c>
      <c r="F37" s="232"/>
      <c r="G37" s="422"/>
      <c r="I37" s="422">
        <f>+D37</f>
        <v>367942</v>
      </c>
      <c r="J37" s="422"/>
      <c r="K37" s="422">
        <f aca="true" t="shared" si="0" ref="K37:K45">+G37+I37+J37</f>
        <v>367942</v>
      </c>
      <c r="L37" t="s">
        <v>447</v>
      </c>
      <c r="M37" s="237"/>
    </row>
    <row r="38" spans="1:13" ht="12.75">
      <c r="A38" s="241">
        <f aca="true" t="shared" si="1" ref="A38:A44">+A37+1</f>
        <v>11</v>
      </c>
      <c r="B38" s="942" t="s">
        <v>631</v>
      </c>
      <c r="C38" s="606" t="s">
        <v>428</v>
      </c>
      <c r="D38" s="306">
        <v>374877</v>
      </c>
      <c r="E38" s="326">
        <f>+D38-K38</f>
        <v>0</v>
      </c>
      <c r="F38" s="232"/>
      <c r="G38" s="422"/>
      <c r="I38" s="422">
        <f>+D38</f>
        <v>374877</v>
      </c>
      <c r="J38" s="422"/>
      <c r="K38" s="422">
        <f t="shared" si="0"/>
        <v>374877</v>
      </c>
      <c r="L38" t="s">
        <v>446</v>
      </c>
      <c r="M38" s="237"/>
    </row>
    <row r="39" spans="1:13" ht="12.75">
      <c r="A39" s="241">
        <f t="shared" si="1"/>
        <v>12</v>
      </c>
      <c r="B39" s="154" t="s">
        <v>431</v>
      </c>
      <c r="C39" s="606" t="s">
        <v>432</v>
      </c>
      <c r="D39" s="306">
        <v>19411</v>
      </c>
      <c r="E39" s="422">
        <f>+D39-K39</f>
        <v>19411</v>
      </c>
      <c r="F39" s="232"/>
      <c r="G39" s="422"/>
      <c r="I39" s="422"/>
      <c r="J39" s="422"/>
      <c r="K39" s="495">
        <f t="shared" si="0"/>
        <v>0</v>
      </c>
      <c r="L39" s="146" t="s">
        <v>433</v>
      </c>
      <c r="M39" s="237"/>
    </row>
    <row r="40" spans="1:13" ht="12.75">
      <c r="A40" s="241">
        <f t="shared" si="1"/>
        <v>13</v>
      </c>
      <c r="B40" s="154" t="s">
        <v>434</v>
      </c>
      <c r="C40" s="606" t="s">
        <v>435</v>
      </c>
      <c r="D40" s="306">
        <v>14836181</v>
      </c>
      <c r="E40" s="422"/>
      <c r="F40" s="232"/>
      <c r="G40" s="422"/>
      <c r="I40" s="422"/>
      <c r="J40" s="422">
        <f>+D40</f>
        <v>14836181</v>
      </c>
      <c r="K40" s="495">
        <f t="shared" si="0"/>
        <v>14836181</v>
      </c>
      <c r="L40" s="99" t="s">
        <v>436</v>
      </c>
      <c r="M40" s="237"/>
    </row>
    <row r="41" spans="1:13" ht="12.75">
      <c r="A41" s="241">
        <f t="shared" si="1"/>
        <v>14</v>
      </c>
      <c r="B41" s="154" t="s">
        <v>437</v>
      </c>
      <c r="C41" s="606" t="s">
        <v>438</v>
      </c>
      <c r="D41" s="306">
        <v>-14836181</v>
      </c>
      <c r="E41" s="422">
        <f>+D41</f>
        <v>-14836181</v>
      </c>
      <c r="F41" s="232"/>
      <c r="G41" s="422"/>
      <c r="I41" s="422"/>
      <c r="J41" s="422"/>
      <c r="K41" s="495">
        <f t="shared" si="0"/>
        <v>0</v>
      </c>
      <c r="L41" s="146" t="s">
        <v>901</v>
      </c>
      <c r="M41" s="237"/>
    </row>
    <row r="42" spans="1:13" ht="12.75">
      <c r="A42" s="241">
        <f t="shared" si="1"/>
        <v>15</v>
      </c>
      <c r="B42" s="154" t="s">
        <v>443</v>
      </c>
      <c r="C42" s="606" t="s">
        <v>444</v>
      </c>
      <c r="D42" s="306">
        <v>0</v>
      </c>
      <c r="E42" s="422">
        <f>D42</f>
        <v>0</v>
      </c>
      <c r="F42" s="232"/>
      <c r="G42" s="422"/>
      <c r="I42" s="422"/>
      <c r="J42" s="636">
        <v>0</v>
      </c>
      <c r="K42" s="495">
        <f t="shared" si="0"/>
        <v>0</v>
      </c>
      <c r="L42" s="146" t="s">
        <v>448</v>
      </c>
      <c r="M42" s="237"/>
    </row>
    <row r="43" spans="1:13" ht="12.75">
      <c r="A43" s="241">
        <f t="shared" si="1"/>
        <v>16</v>
      </c>
      <c r="B43" s="1076">
        <v>165001209</v>
      </c>
      <c r="C43" s="1077" t="s">
        <v>632</v>
      </c>
      <c r="D43" s="1078">
        <v>340189</v>
      </c>
      <c r="E43" s="1079">
        <f>D43</f>
        <v>340189</v>
      </c>
      <c r="F43" s="1080"/>
      <c r="G43" s="1079"/>
      <c r="H43" s="1080"/>
      <c r="I43" s="1079"/>
      <c r="J43" s="1079">
        <v>0</v>
      </c>
      <c r="K43" s="1079">
        <f>+G43+I43+J43</f>
        <v>0</v>
      </c>
      <c r="L43" s="146"/>
      <c r="M43" s="237"/>
    </row>
    <row r="44" spans="1:13" ht="12.75">
      <c r="A44" s="241">
        <f t="shared" si="1"/>
        <v>17</v>
      </c>
      <c r="B44" s="1076">
        <v>1650021</v>
      </c>
      <c r="C44" s="1077" t="s">
        <v>633</v>
      </c>
      <c r="D44" s="1078">
        <v>179435</v>
      </c>
      <c r="E44" s="1079">
        <f>+D44-K44</f>
        <v>0</v>
      </c>
      <c r="F44" s="1080"/>
      <c r="G44" s="1079"/>
      <c r="H44" s="1080"/>
      <c r="I44" s="1079">
        <f>+D44</f>
        <v>179435</v>
      </c>
      <c r="J44" s="1079"/>
      <c r="K44" s="1079">
        <f>+G44+I44+J44</f>
        <v>179435</v>
      </c>
      <c r="L44" s="146"/>
      <c r="M44" s="237"/>
    </row>
    <row r="45" spans="1:13" ht="12.75">
      <c r="A45" s="241"/>
      <c r="B45" s="154"/>
      <c r="C45" s="154"/>
      <c r="D45" s="506"/>
      <c r="E45" s="422"/>
      <c r="F45" s="232"/>
      <c r="G45" s="422"/>
      <c r="I45" s="422"/>
      <c r="J45" s="422"/>
      <c r="K45" s="495">
        <f t="shared" si="0"/>
        <v>0</v>
      </c>
      <c r="L45" s="146"/>
      <c r="M45" s="237"/>
    </row>
    <row r="46" spans="1:13" ht="13.5" thickBot="1">
      <c r="A46" s="241"/>
      <c r="B46" s="154"/>
      <c r="C46" s="154"/>
      <c r="D46" s="495"/>
      <c r="E46" s="326"/>
      <c r="F46" s="232"/>
      <c r="G46" s="422"/>
      <c r="I46" s="422"/>
      <c r="J46" s="422"/>
      <c r="K46" s="422"/>
      <c r="L46"/>
      <c r="M46" s="237"/>
    </row>
    <row r="47" spans="1:13" ht="12.75">
      <c r="A47" s="241"/>
      <c r="B47" s="501"/>
      <c r="C47" s="167" t="s">
        <v>396</v>
      </c>
      <c r="D47" s="507">
        <f>SUM(D37:D46)+1</f>
        <v>1281855</v>
      </c>
      <c r="E47" s="734">
        <f>SUM(E37:E46)</f>
        <v>-14476581</v>
      </c>
      <c r="F47" s="232"/>
      <c r="G47" s="507">
        <f>SUM(G37:G46)</f>
        <v>0</v>
      </c>
      <c r="I47" s="507">
        <f>SUM(I37:I46)</f>
        <v>922254</v>
      </c>
      <c r="J47" s="507">
        <f>SUM(J37:J46)</f>
        <v>14836181</v>
      </c>
      <c r="K47" s="507">
        <f>SUM(K37:K46)</f>
        <v>15758435</v>
      </c>
      <c r="L47"/>
      <c r="M47" s="237"/>
    </row>
    <row r="48" spans="1:13" ht="12.75">
      <c r="A48" s="241"/>
      <c r="K48" s="508"/>
      <c r="L48"/>
      <c r="M48" s="237"/>
    </row>
    <row r="49" spans="1:13" ht="12.75">
      <c r="A49" s="241"/>
      <c r="B49"/>
      <c r="C49"/>
      <c r="D49"/>
      <c r="E49"/>
      <c r="F49"/>
      <c r="G49"/>
      <c r="H49"/>
      <c r="I49"/>
      <c r="J49"/>
      <c r="K49"/>
      <c r="L49"/>
      <c r="M49"/>
    </row>
    <row r="50" spans="1:13" ht="18">
      <c r="A50" s="241"/>
      <c r="B50" s="1151" t="str">
        <f>"Prepayments Account 165 - Balance @ 12/31/ "&amp;D52&amp;""</f>
        <v>Prepayments Account 165 - Balance @ 12/31/ 2008</v>
      </c>
      <c r="C50" s="1151"/>
      <c r="D50" s="1151"/>
      <c r="E50" s="1151"/>
      <c r="F50" s="1151"/>
      <c r="G50" s="1151"/>
      <c r="H50" s="1151"/>
      <c r="I50" s="1151"/>
      <c r="J50" s="1151"/>
      <c r="K50" s="247"/>
      <c r="L50" s="248"/>
      <c r="M50" s="237"/>
    </row>
    <row r="51" spans="1:13" ht="12.75">
      <c r="A51" s="241"/>
      <c r="B51" s="784"/>
      <c r="C51" s="785"/>
      <c r="D51" s="786"/>
      <c r="E51" s="110"/>
      <c r="F51" s="232"/>
      <c r="G51" s="110" t="s">
        <v>591</v>
      </c>
      <c r="I51" s="108" t="s">
        <v>723</v>
      </c>
      <c r="J51" s="108" t="s">
        <v>723</v>
      </c>
      <c r="K51" s="108" t="s">
        <v>787</v>
      </c>
      <c r="L51"/>
      <c r="M51" s="237"/>
    </row>
    <row r="52" spans="1:13" ht="12.75">
      <c r="A52" s="241"/>
      <c r="B52" s="784"/>
      <c r="C52" s="787"/>
      <c r="D52" s="108" t="str">
        <f>""&amp;'KPCo Historic TCOS'!O1-1</f>
        <v>2008</v>
      </c>
      <c r="E52" s="108" t="s">
        <v>445</v>
      </c>
      <c r="F52" s="232"/>
      <c r="G52" s="108" t="s">
        <v>723</v>
      </c>
      <c r="I52" s="108" t="s">
        <v>423</v>
      </c>
      <c r="J52" s="108" t="s">
        <v>769</v>
      </c>
      <c r="K52" s="108" t="s">
        <v>788</v>
      </c>
      <c r="L52"/>
      <c r="M52" s="237"/>
    </row>
    <row r="53" spans="1:13" ht="12.75">
      <c r="A53" s="241">
        <f>+A44+1</f>
        <v>18</v>
      </c>
      <c r="B53" s="113" t="s">
        <v>594</v>
      </c>
      <c r="C53" s="113" t="s">
        <v>775</v>
      </c>
      <c r="D53" s="113" t="s">
        <v>592</v>
      </c>
      <c r="E53" s="113" t="s">
        <v>395</v>
      </c>
      <c r="F53" s="232"/>
      <c r="G53" s="113" t="s">
        <v>424</v>
      </c>
      <c r="I53" s="113" t="s">
        <v>424</v>
      </c>
      <c r="J53" s="113" t="s">
        <v>424</v>
      </c>
      <c r="K53" s="113" t="s">
        <v>425</v>
      </c>
      <c r="L53" s="1067" t="s">
        <v>575</v>
      </c>
      <c r="M53" s="237"/>
    </row>
    <row r="54" spans="1:13" ht="12.75">
      <c r="A54" s="241"/>
      <c r="B54" s="501"/>
      <c r="C54" s="503"/>
      <c r="D54" s="503"/>
      <c r="E54" s="503"/>
      <c r="F54" s="232"/>
      <c r="G54" s="503"/>
      <c r="I54" s="503"/>
      <c r="J54" s="503"/>
      <c r="K54" s="503"/>
      <c r="L54"/>
      <c r="M54" s="237"/>
    </row>
    <row r="55" spans="1:13" ht="12.75">
      <c r="A55" s="241">
        <f>+A53+1</f>
        <v>19</v>
      </c>
      <c r="B55" t="s">
        <v>426</v>
      </c>
      <c r="C55" s="605" t="s">
        <v>427</v>
      </c>
      <c r="D55" s="306">
        <v>443712</v>
      </c>
      <c r="E55"/>
      <c r="F55"/>
      <c r="G55"/>
      <c r="H55"/>
      <c r="I55" s="678">
        <f>+D55</f>
        <v>443712</v>
      </c>
      <c r="J55"/>
      <c r="K55" s="422">
        <f aca="true" t="shared" si="2" ref="K55:K61">+G55+I55+J55</f>
        <v>443712</v>
      </c>
      <c r="L55" t="s">
        <v>447</v>
      </c>
      <c r="M55" s="237"/>
    </row>
    <row r="56" spans="1:13" ht="12.75">
      <c r="A56" s="241">
        <f aca="true" t="shared" si="3" ref="A56:A61">+A55+1</f>
        <v>20</v>
      </c>
      <c r="B56" t="s">
        <v>320</v>
      </c>
      <c r="C56" s="605" t="s">
        <v>428</v>
      </c>
      <c r="D56" s="306">
        <v>335183</v>
      </c>
      <c r="E56"/>
      <c r="F56"/>
      <c r="G56"/>
      <c r="H56"/>
      <c r="I56" s="678">
        <f>+D56</f>
        <v>335183</v>
      </c>
      <c r="J56"/>
      <c r="K56" s="422">
        <f t="shared" si="2"/>
        <v>335183</v>
      </c>
      <c r="M56" s="237"/>
    </row>
    <row r="57" spans="1:13" ht="12.75">
      <c r="A57" s="241">
        <f t="shared" si="3"/>
        <v>21</v>
      </c>
      <c r="B57" t="s">
        <v>429</v>
      </c>
      <c r="C57" s="605" t="s">
        <v>430</v>
      </c>
      <c r="D57" s="306">
        <v>2933</v>
      </c>
      <c r="E57" s="678">
        <f>+D57</f>
        <v>2933</v>
      </c>
      <c r="F57"/>
      <c r="G57"/>
      <c r="H57"/>
      <c r="I57"/>
      <c r="J57"/>
      <c r="K57" s="495">
        <f t="shared" si="2"/>
        <v>0</v>
      </c>
      <c r="L57" s="146"/>
      <c r="M57" s="237"/>
    </row>
    <row r="58" spans="1:13" ht="12.75">
      <c r="A58" s="241">
        <f t="shared" si="3"/>
        <v>22</v>
      </c>
      <c r="B58" t="s">
        <v>431</v>
      </c>
      <c r="C58" s="605" t="s">
        <v>432</v>
      </c>
      <c r="D58" s="306">
        <v>73044</v>
      </c>
      <c r="E58" s="678">
        <f>+D58</f>
        <v>73044</v>
      </c>
      <c r="F58"/>
      <c r="G58"/>
      <c r="H58"/>
      <c r="I58"/>
      <c r="J58"/>
      <c r="K58" s="495">
        <f t="shared" si="2"/>
        <v>0</v>
      </c>
      <c r="L58" s="146" t="s">
        <v>433</v>
      </c>
      <c r="M58" s="237"/>
    </row>
    <row r="59" spans="1:13" ht="12.75">
      <c r="A59" s="241">
        <f t="shared" si="3"/>
        <v>23</v>
      </c>
      <c r="B59" t="s">
        <v>434</v>
      </c>
      <c r="C59" s="605" t="s">
        <v>435</v>
      </c>
      <c r="D59" s="306">
        <v>17051597</v>
      </c>
      <c r="E59"/>
      <c r="F59"/>
      <c r="G59"/>
      <c r="H59"/>
      <c r="I59"/>
      <c r="J59" s="678">
        <f>+D59</f>
        <v>17051597</v>
      </c>
      <c r="K59" s="495">
        <f t="shared" si="2"/>
        <v>17051597</v>
      </c>
      <c r="L59" s="99" t="s">
        <v>436</v>
      </c>
      <c r="M59" s="237"/>
    </row>
    <row r="60" spans="1:13" ht="12.75">
      <c r="A60" s="241">
        <f t="shared" si="3"/>
        <v>24</v>
      </c>
      <c r="B60" t="s">
        <v>437</v>
      </c>
      <c r="C60" s="605" t="s">
        <v>438</v>
      </c>
      <c r="D60" s="306">
        <v>-17051597</v>
      </c>
      <c r="E60" s="678">
        <f>+D60</f>
        <v>-17051597</v>
      </c>
      <c r="F60"/>
      <c r="G60"/>
      <c r="H60"/>
      <c r="I60"/>
      <c r="J60"/>
      <c r="K60" s="495">
        <f t="shared" si="2"/>
        <v>0</v>
      </c>
      <c r="L60" s="146" t="s">
        <v>901</v>
      </c>
      <c r="M60" s="237"/>
    </row>
    <row r="61" spans="1:13" ht="12.75">
      <c r="A61" s="241">
        <f t="shared" si="3"/>
        <v>25</v>
      </c>
      <c r="B61" t="s">
        <v>443</v>
      </c>
      <c r="C61" s="605" t="s">
        <v>444</v>
      </c>
      <c r="D61" s="306">
        <v>415842</v>
      </c>
      <c r="E61" s="678">
        <f>+D61</f>
        <v>415842</v>
      </c>
      <c r="F61"/>
      <c r="G61"/>
      <c r="H61"/>
      <c r="I61"/>
      <c r="J61"/>
      <c r="K61" s="495">
        <f t="shared" si="2"/>
        <v>0</v>
      </c>
      <c r="L61" s="146" t="s">
        <v>448</v>
      </c>
      <c r="M61" s="237"/>
    </row>
    <row r="62" spans="1:13" ht="13.5" thickBot="1">
      <c r="A62" s="241"/>
      <c r="B62" s="154"/>
      <c r="C62" s="154"/>
      <c r="D62" s="495"/>
      <c r="E62" s="326"/>
      <c r="F62" s="232"/>
      <c r="G62" s="422"/>
      <c r="I62" s="422"/>
      <c r="J62" s="422"/>
      <c r="K62" s="422"/>
      <c r="L62"/>
      <c r="M62" s="237"/>
    </row>
    <row r="63" spans="1:13" ht="12.75">
      <c r="A63" s="241"/>
      <c r="B63" s="501"/>
      <c r="C63" s="167" t="s">
        <v>797</v>
      </c>
      <c r="D63" s="507">
        <f>IF(SUM(D55:D62)=0,"",SUM(D55:D62))</f>
        <v>1270714</v>
      </c>
      <c r="E63" s="734">
        <f>IF(SUM(E55:E62)=0,"",SUM(E55:E62))</f>
        <v>-16559778</v>
      </c>
      <c r="F63" s="232"/>
      <c r="G63" s="507">
        <f>IF(SUM(G55:G62)=0,"",SUM(G55:G62))</f>
      </c>
      <c r="I63" s="507">
        <f>IF(SUM(I55:I62)=0,"",SUM(I55:I62))</f>
        <v>778895</v>
      </c>
      <c r="J63" s="507">
        <f>IF(SUM(J55:J62)=0,"",SUM(J55:J62))</f>
        <v>17051597</v>
      </c>
      <c r="K63" s="507">
        <f>IF(SUM(K55:K62)=0,"",SUM(K55:K62))</f>
        <v>17830492</v>
      </c>
      <c r="L63"/>
      <c r="M63" s="237"/>
    </row>
    <row r="64" spans="1:13" ht="12.75">
      <c r="A64" s="241"/>
      <c r="B64" s="241"/>
      <c r="C64"/>
      <c r="D64"/>
      <c r="E64"/>
      <c r="F64"/>
      <c r="G64"/>
      <c r="H64"/>
      <c r="I64"/>
      <c r="J64"/>
      <c r="K64"/>
      <c r="L64"/>
      <c r="M64"/>
    </row>
    <row r="65" spans="1:15" ht="12.75">
      <c r="A65"/>
      <c r="B65"/>
      <c r="C65"/>
      <c r="D65"/>
      <c r="E65"/>
      <c r="F65"/>
      <c r="G65"/>
      <c r="H65"/>
      <c r="I65" s="604"/>
      <c r="J65"/>
      <c r="K65"/>
      <c r="L65"/>
      <c r="M65"/>
      <c r="N65"/>
      <c r="O65"/>
    </row>
    <row r="66" spans="1:15" ht="12.75">
      <c r="A66"/>
      <c r="B66"/>
      <c r="C66"/>
      <c r="D66"/>
      <c r="E66"/>
      <c r="F66"/>
      <c r="G66"/>
      <c r="H66"/>
      <c r="I66"/>
      <c r="J66"/>
      <c r="K66"/>
      <c r="L66"/>
      <c r="M66"/>
      <c r="N66"/>
      <c r="O66"/>
    </row>
    <row r="67" spans="1:15" ht="12.75">
      <c r="A67"/>
      <c r="B67"/>
      <c r="C67"/>
      <c r="D67"/>
      <c r="E67"/>
      <c r="F67"/>
      <c r="G67"/>
      <c r="H67"/>
      <c r="I67"/>
      <c r="J67"/>
      <c r="K67"/>
      <c r="L67"/>
      <c r="M67"/>
      <c r="N67"/>
      <c r="O67"/>
    </row>
    <row r="68" spans="1:15" ht="12.75">
      <c r="A68"/>
      <c r="B68"/>
      <c r="C68"/>
      <c r="D68"/>
      <c r="E68"/>
      <c r="F68"/>
      <c r="G68"/>
      <c r="H68"/>
      <c r="I68"/>
      <c r="J68"/>
      <c r="K68"/>
      <c r="L68"/>
      <c r="M68"/>
      <c r="N68"/>
      <c r="O68"/>
    </row>
    <row r="69" spans="1:15" ht="12.75">
      <c r="A69"/>
      <c r="B69"/>
      <c r="C69"/>
      <c r="D69"/>
      <c r="E69"/>
      <c r="F69"/>
      <c r="G69"/>
      <c r="H69"/>
      <c r="I69"/>
      <c r="J69"/>
      <c r="K69"/>
      <c r="L69"/>
      <c r="M69"/>
      <c r="N69"/>
      <c r="O69"/>
    </row>
    <row r="70" spans="1:15" ht="12.75">
      <c r="A70"/>
      <c r="B70"/>
      <c r="C70"/>
      <c r="D70"/>
      <c r="E70"/>
      <c r="F70"/>
      <c r="G70"/>
      <c r="H70"/>
      <c r="I70"/>
      <c r="J70"/>
      <c r="K70"/>
      <c r="L70"/>
      <c r="M70"/>
      <c r="N70"/>
      <c r="O70"/>
    </row>
    <row r="71" spans="1:15" ht="12.75">
      <c r="A71"/>
      <c r="B71"/>
      <c r="C71"/>
      <c r="D71"/>
      <c r="E71"/>
      <c r="F71"/>
      <c r="G71"/>
      <c r="H71"/>
      <c r="I71"/>
      <c r="J71"/>
      <c r="K71"/>
      <c r="L71"/>
      <c r="M71"/>
      <c r="N71"/>
      <c r="O71"/>
    </row>
    <row r="72" spans="1:15" ht="12.75">
      <c r="A72"/>
      <c r="B72"/>
      <c r="C72"/>
      <c r="D72"/>
      <c r="E72"/>
      <c r="F72"/>
      <c r="G72"/>
      <c r="H72"/>
      <c r="I72"/>
      <c r="J72"/>
      <c r="K72"/>
      <c r="L72"/>
      <c r="M72"/>
      <c r="N72"/>
      <c r="O72"/>
    </row>
    <row r="73" spans="1:15" ht="12.75">
      <c r="A73"/>
      <c r="B73"/>
      <c r="C73"/>
      <c r="D73"/>
      <c r="E73"/>
      <c r="F73"/>
      <c r="G73"/>
      <c r="H73"/>
      <c r="I73"/>
      <c r="J73"/>
      <c r="K73"/>
      <c r="L73"/>
      <c r="M73"/>
      <c r="N73"/>
      <c r="O73"/>
    </row>
    <row r="74" spans="1:15" ht="12.75">
      <c r="A74"/>
      <c r="B74"/>
      <c r="C74"/>
      <c r="D74"/>
      <c r="E74"/>
      <c r="F74"/>
      <c r="G74"/>
      <c r="H74"/>
      <c r="I74"/>
      <c r="J74"/>
      <c r="K74"/>
      <c r="L74"/>
      <c r="M74"/>
      <c r="N74"/>
      <c r="O74"/>
    </row>
    <row r="75" spans="1:15" ht="12.75">
      <c r="A75"/>
      <c r="B75"/>
      <c r="C75"/>
      <c r="D75"/>
      <c r="E75"/>
      <c r="F75"/>
      <c r="G75"/>
      <c r="H75"/>
      <c r="I75"/>
      <c r="J75"/>
      <c r="K75"/>
      <c r="L75"/>
      <c r="M75"/>
      <c r="N75"/>
      <c r="O75"/>
    </row>
    <row r="76" spans="1:15" ht="12.75">
      <c r="A76"/>
      <c r="B76"/>
      <c r="C76"/>
      <c r="D76"/>
      <c r="E76"/>
      <c r="F76"/>
      <c r="G76"/>
      <c r="H76"/>
      <c r="I76"/>
      <c r="J76"/>
      <c r="K76"/>
      <c r="L76"/>
      <c r="M76"/>
      <c r="N76"/>
      <c r="O76"/>
    </row>
    <row r="77" spans="1:15" ht="12.75">
      <c r="A77"/>
      <c r="B77"/>
      <c r="C77"/>
      <c r="D77"/>
      <c r="E77"/>
      <c r="F77"/>
      <c r="G77"/>
      <c r="H77"/>
      <c r="I77"/>
      <c r="J77"/>
      <c r="K77"/>
      <c r="L77"/>
      <c r="M77"/>
      <c r="N77"/>
      <c r="O77"/>
    </row>
    <row r="78" spans="1:15" ht="12.75">
      <c r="A78"/>
      <c r="B78"/>
      <c r="C78"/>
      <c r="D78"/>
      <c r="E78"/>
      <c r="F78"/>
      <c r="G78"/>
      <c r="H78"/>
      <c r="I78"/>
      <c r="J78"/>
      <c r="K78"/>
      <c r="L78"/>
      <c r="M78"/>
      <c r="N78"/>
      <c r="O78"/>
    </row>
    <row r="79" spans="1:15" ht="12.75">
      <c r="A79"/>
      <c r="B79"/>
      <c r="C79"/>
      <c r="D79"/>
      <c r="E79"/>
      <c r="F79"/>
      <c r="G79"/>
      <c r="H79"/>
      <c r="I79"/>
      <c r="J79"/>
      <c r="K79"/>
      <c r="L79"/>
      <c r="M79"/>
      <c r="N79"/>
      <c r="O79"/>
    </row>
    <row r="80" spans="1:15" ht="12.75">
      <c r="A80"/>
      <c r="B80"/>
      <c r="C80"/>
      <c r="D80"/>
      <c r="E80"/>
      <c r="F80"/>
      <c r="G80"/>
      <c r="H80"/>
      <c r="I80"/>
      <c r="J80"/>
      <c r="K80"/>
      <c r="L80"/>
      <c r="M80"/>
      <c r="N80"/>
      <c r="O80"/>
    </row>
    <row r="81" spans="1:15" ht="12.75">
      <c r="A81"/>
      <c r="B81"/>
      <c r="C81"/>
      <c r="D81"/>
      <c r="E81"/>
      <c r="F81"/>
      <c r="G81"/>
      <c r="H81"/>
      <c r="I81"/>
      <c r="J81"/>
      <c r="K81"/>
      <c r="L81"/>
      <c r="M81"/>
      <c r="N81"/>
      <c r="O81"/>
    </row>
    <row r="82" spans="1:15" ht="12.75">
      <c r="A82"/>
      <c r="B82"/>
      <c r="C82"/>
      <c r="D82"/>
      <c r="E82"/>
      <c r="F82"/>
      <c r="G82"/>
      <c r="H82"/>
      <c r="I82"/>
      <c r="J82"/>
      <c r="K82"/>
      <c r="L82"/>
      <c r="M82"/>
      <c r="N82"/>
      <c r="O82"/>
    </row>
    <row r="83" spans="1:15" ht="12.75">
      <c r="A83"/>
      <c r="B83"/>
      <c r="C83"/>
      <c r="D83"/>
      <c r="E83"/>
      <c r="F83"/>
      <c r="G83"/>
      <c r="H83"/>
      <c r="I83"/>
      <c r="J83"/>
      <c r="K83"/>
      <c r="L83"/>
      <c r="M83"/>
      <c r="N83"/>
      <c r="O83"/>
    </row>
    <row r="84" spans="1:15" ht="12.75">
      <c r="A84"/>
      <c r="B84"/>
      <c r="C84"/>
      <c r="D84"/>
      <c r="E84"/>
      <c r="F84"/>
      <c r="G84"/>
      <c r="H84"/>
      <c r="I84"/>
      <c r="J84"/>
      <c r="K84"/>
      <c r="L84"/>
      <c r="M84"/>
      <c r="N84"/>
      <c r="O84"/>
    </row>
    <row r="85" spans="1:15" ht="12.75">
      <c r="A85"/>
      <c r="B85"/>
      <c r="C85"/>
      <c r="D85"/>
      <c r="E85"/>
      <c r="F85"/>
      <c r="G85"/>
      <c r="H85"/>
      <c r="I85"/>
      <c r="J85"/>
      <c r="K85"/>
      <c r="L85"/>
      <c r="M85"/>
      <c r="N85"/>
      <c r="O85"/>
    </row>
    <row r="86" spans="1:15" ht="12.75">
      <c r="A86"/>
      <c r="B86"/>
      <c r="C86"/>
      <c r="D86"/>
      <c r="E86"/>
      <c r="F86"/>
      <c r="G86"/>
      <c r="H86"/>
      <c r="I86"/>
      <c r="J86"/>
      <c r="K86"/>
      <c r="L86"/>
      <c r="M86"/>
      <c r="N86"/>
      <c r="O86"/>
    </row>
    <row r="87" spans="1:15" ht="12.75">
      <c r="A87"/>
      <c r="B87"/>
      <c r="C87"/>
      <c r="D87"/>
      <c r="E87"/>
      <c r="F87"/>
      <c r="G87"/>
      <c r="H87"/>
      <c r="I87"/>
      <c r="J87"/>
      <c r="K87"/>
      <c r="L87"/>
      <c r="M87"/>
      <c r="N87"/>
      <c r="O87"/>
    </row>
    <row r="88" spans="1:15" ht="12.75">
      <c r="A88"/>
      <c r="B88"/>
      <c r="C88"/>
      <c r="D88"/>
      <c r="E88"/>
      <c r="F88"/>
      <c r="G88"/>
      <c r="H88"/>
      <c r="I88"/>
      <c r="J88"/>
      <c r="K88"/>
      <c r="L88"/>
      <c r="M88"/>
      <c r="N88"/>
      <c r="O88"/>
    </row>
    <row r="89" spans="1:15" ht="12.75">
      <c r="A89"/>
      <c r="B89"/>
      <c r="C89"/>
      <c r="D89"/>
      <c r="E89"/>
      <c r="F89"/>
      <c r="G89"/>
      <c r="H89"/>
      <c r="I89"/>
      <c r="J89"/>
      <c r="K89"/>
      <c r="L89"/>
      <c r="M89"/>
      <c r="N89"/>
      <c r="O89"/>
    </row>
    <row r="90" spans="1:15" ht="12.75">
      <c r="A90"/>
      <c r="B90"/>
      <c r="C90"/>
      <c r="D90"/>
      <c r="E90"/>
      <c r="F90"/>
      <c r="G90"/>
      <c r="H90"/>
      <c r="I90"/>
      <c r="J90"/>
      <c r="K90"/>
      <c r="L90"/>
      <c r="M90"/>
      <c r="N90"/>
      <c r="O90"/>
    </row>
    <row r="91" spans="1:15" ht="12.75">
      <c r="A91"/>
      <c r="B91"/>
      <c r="C91"/>
      <c r="D91"/>
      <c r="E91"/>
      <c r="F91"/>
      <c r="G91"/>
      <c r="H91"/>
      <c r="I91"/>
      <c r="J91"/>
      <c r="K91"/>
      <c r="L91"/>
      <c r="M91"/>
      <c r="N91"/>
      <c r="O91"/>
    </row>
    <row r="92" spans="1:15" ht="12.75">
      <c r="A92"/>
      <c r="B92"/>
      <c r="C92"/>
      <c r="D92"/>
      <c r="E92"/>
      <c r="F92"/>
      <c r="G92"/>
      <c r="H92"/>
      <c r="I92"/>
      <c r="J92"/>
      <c r="K92"/>
      <c r="L92"/>
      <c r="M92"/>
      <c r="N92"/>
      <c r="O92"/>
    </row>
    <row r="93" spans="1:15" ht="12.75">
      <c r="A93"/>
      <c r="B93"/>
      <c r="C93"/>
      <c r="D93"/>
      <c r="E93"/>
      <c r="F93"/>
      <c r="G93"/>
      <c r="H93"/>
      <c r="I93"/>
      <c r="J93"/>
      <c r="K93"/>
      <c r="L93"/>
      <c r="M93"/>
      <c r="N93"/>
      <c r="O93"/>
    </row>
    <row r="94" spans="1:15" ht="12.75">
      <c r="A94"/>
      <c r="B94"/>
      <c r="C94"/>
      <c r="D94"/>
      <c r="E94"/>
      <c r="F94"/>
      <c r="G94"/>
      <c r="H94"/>
      <c r="I94"/>
      <c r="J94"/>
      <c r="K94"/>
      <c r="L94"/>
      <c r="M94"/>
      <c r="N94"/>
      <c r="O94"/>
    </row>
    <row r="95" spans="1:15" ht="12.75">
      <c r="A95"/>
      <c r="B95"/>
      <c r="C95"/>
      <c r="D95"/>
      <c r="E95"/>
      <c r="F95"/>
      <c r="G95"/>
      <c r="H95"/>
      <c r="I95"/>
      <c r="J95"/>
      <c r="K95"/>
      <c r="L95"/>
      <c r="M95"/>
      <c r="N95"/>
      <c r="O95"/>
    </row>
    <row r="96" spans="1:15" ht="12.75">
      <c r="A96"/>
      <c r="B96"/>
      <c r="C96"/>
      <c r="D96"/>
      <c r="E96"/>
      <c r="F96"/>
      <c r="G96"/>
      <c r="H96"/>
      <c r="I96"/>
      <c r="J96"/>
      <c r="K96"/>
      <c r="L96"/>
      <c r="M96"/>
      <c r="N96"/>
      <c r="O96"/>
    </row>
    <row r="97" spans="1:15" ht="12.75">
      <c r="A97"/>
      <c r="B97"/>
      <c r="C97"/>
      <c r="D97"/>
      <c r="E97"/>
      <c r="F97"/>
      <c r="G97"/>
      <c r="H97"/>
      <c r="I97"/>
      <c r="J97"/>
      <c r="K97"/>
      <c r="L97"/>
      <c r="M97"/>
      <c r="N97"/>
      <c r="O97"/>
    </row>
    <row r="98" spans="1:15" ht="12.75">
      <c r="A98"/>
      <c r="B98"/>
      <c r="C98"/>
      <c r="D98"/>
      <c r="E98"/>
      <c r="F98"/>
      <c r="G98"/>
      <c r="H98"/>
      <c r="I98"/>
      <c r="J98"/>
      <c r="K98"/>
      <c r="L98"/>
      <c r="M98"/>
      <c r="N98"/>
      <c r="O98"/>
    </row>
    <row r="99" spans="1:15" ht="12.75">
      <c r="A99"/>
      <c r="B99"/>
      <c r="C99"/>
      <c r="D99"/>
      <c r="E99"/>
      <c r="F99"/>
      <c r="G99"/>
      <c r="H99"/>
      <c r="I99"/>
      <c r="J99"/>
      <c r="K99"/>
      <c r="L99"/>
      <c r="M99"/>
      <c r="N99"/>
      <c r="O99"/>
    </row>
    <row r="100" spans="1:15" ht="12.75">
      <c r="A100"/>
      <c r="B100"/>
      <c r="C100"/>
      <c r="D100"/>
      <c r="E100"/>
      <c r="F100"/>
      <c r="G100"/>
      <c r="H100"/>
      <c r="I100"/>
      <c r="J100"/>
      <c r="K100"/>
      <c r="L100"/>
      <c r="M100"/>
      <c r="N100"/>
      <c r="O100"/>
    </row>
    <row r="101" spans="1:15" ht="12.75">
      <c r="A101"/>
      <c r="B101"/>
      <c r="C101"/>
      <c r="D101"/>
      <c r="E101"/>
      <c r="F101"/>
      <c r="G101"/>
      <c r="H101"/>
      <c r="I101"/>
      <c r="J101"/>
      <c r="K101"/>
      <c r="L101"/>
      <c r="M101"/>
      <c r="N101"/>
      <c r="O101"/>
    </row>
    <row r="102" spans="1:15" ht="12.75">
      <c r="A102"/>
      <c r="B102"/>
      <c r="C102"/>
      <c r="D102"/>
      <c r="E102"/>
      <c r="F102"/>
      <c r="G102"/>
      <c r="H102"/>
      <c r="I102"/>
      <c r="J102"/>
      <c r="K102"/>
      <c r="L102"/>
      <c r="M102"/>
      <c r="N102"/>
      <c r="O102"/>
    </row>
    <row r="103" spans="1:15" ht="12.75">
      <c r="A103"/>
      <c r="B103"/>
      <c r="C103"/>
      <c r="D103"/>
      <c r="E103"/>
      <c r="F103"/>
      <c r="G103"/>
      <c r="H103"/>
      <c r="I103"/>
      <c r="J103"/>
      <c r="K103"/>
      <c r="L103"/>
      <c r="M103"/>
      <c r="N103"/>
      <c r="O103"/>
    </row>
    <row r="104" spans="1:15" ht="12.75">
      <c r="A104"/>
      <c r="B104"/>
      <c r="C104"/>
      <c r="D104"/>
      <c r="E104"/>
      <c r="F104"/>
      <c r="G104"/>
      <c r="H104"/>
      <c r="I104"/>
      <c r="J104"/>
      <c r="K104"/>
      <c r="L104"/>
      <c r="M104"/>
      <c r="N104"/>
      <c r="O104"/>
    </row>
    <row r="105" spans="1:15" ht="12.75">
      <c r="A105"/>
      <c r="B105"/>
      <c r="C105"/>
      <c r="D105"/>
      <c r="E105"/>
      <c r="F105"/>
      <c r="G105"/>
      <c r="H105"/>
      <c r="I105"/>
      <c r="J105"/>
      <c r="K105"/>
      <c r="L105"/>
      <c r="M105"/>
      <c r="N105"/>
      <c r="O105"/>
    </row>
    <row r="106" spans="1:15" ht="12.75">
      <c r="A106"/>
      <c r="B106"/>
      <c r="C106"/>
      <c r="D106"/>
      <c r="E106"/>
      <c r="F106"/>
      <c r="G106"/>
      <c r="H106"/>
      <c r="I106"/>
      <c r="J106"/>
      <c r="K106"/>
      <c r="L106"/>
      <c r="M106"/>
      <c r="N106"/>
      <c r="O106"/>
    </row>
    <row r="107" spans="1:15" ht="12.75">
      <c r="A107"/>
      <c r="B107"/>
      <c r="C107"/>
      <c r="D107"/>
      <c r="E107"/>
      <c r="F107"/>
      <c r="G107"/>
      <c r="H107"/>
      <c r="I107"/>
      <c r="J107"/>
      <c r="K107"/>
      <c r="L107"/>
      <c r="M107"/>
      <c r="N107"/>
      <c r="O107"/>
    </row>
    <row r="108" spans="1:15" ht="12.75">
      <c r="A108"/>
      <c r="B108"/>
      <c r="C108"/>
      <c r="D108"/>
      <c r="E108"/>
      <c r="F108"/>
      <c r="G108"/>
      <c r="H108"/>
      <c r="I108"/>
      <c r="J108"/>
      <c r="K108"/>
      <c r="L108"/>
      <c r="M108"/>
      <c r="N108"/>
      <c r="O108"/>
    </row>
    <row r="109" spans="1:15" ht="12.75">
      <c r="A109"/>
      <c r="B109"/>
      <c r="C109"/>
      <c r="D109"/>
      <c r="E109"/>
      <c r="F109"/>
      <c r="G109"/>
      <c r="H109"/>
      <c r="I109"/>
      <c r="J109"/>
      <c r="K109"/>
      <c r="L109"/>
      <c r="M109"/>
      <c r="N109"/>
      <c r="O109"/>
    </row>
    <row r="293" ht="6" customHeight="1"/>
    <row r="295" ht="6" customHeight="1"/>
    <row r="302" ht="6" customHeight="1"/>
    <row r="304" ht="6" customHeight="1"/>
    <row r="308" ht="6" customHeight="1"/>
    <row r="311" ht="6" customHeight="1"/>
    <row r="316" ht="6" customHeight="1"/>
    <row r="320" ht="6" customHeight="1"/>
    <row r="322" ht="6" customHeight="1"/>
    <row r="331" ht="6" customHeight="1"/>
    <row r="333" ht="6" customHeight="1"/>
    <row r="335" ht="6" customHeight="1"/>
    <row r="337" ht="6" customHeight="1"/>
    <row r="346" ht="6" customHeight="1"/>
    <row r="348" ht="6" customHeight="1"/>
  </sheetData>
  <sheetProtection/>
  <mergeCells count="11">
    <mergeCell ref="B50:J50"/>
    <mergeCell ref="B22:K22"/>
    <mergeCell ref="E10:E11"/>
    <mergeCell ref="I10:I11"/>
    <mergeCell ref="B32:J32"/>
    <mergeCell ref="G10:G11"/>
    <mergeCell ref="B8:K8"/>
    <mergeCell ref="A1:L1"/>
    <mergeCell ref="A2:L2"/>
    <mergeCell ref="A3:L3"/>
    <mergeCell ref="A4:L4"/>
  </mergeCells>
  <printOptions/>
  <pageMargins left="1.08" right="0.75" top="1" bottom="0.41" header="0.75" footer="0.27"/>
  <pageSetup fitToHeight="1" fitToWidth="1" horizontalDpi="600" verticalDpi="600" orientation="landscape" scale="54" r:id="rId1"/>
  <headerFooter alignWithMargins="0">
    <oddHeader>&amp;R&amp;"Arial,Bold"Formula Rate
&amp;A
Page &amp;P of &amp;N</oddHeader>
  </headerFooter>
</worksheet>
</file>

<file path=xl/worksheets/sheet7.xml><?xml version="1.0" encoding="utf-8"?>
<worksheet xmlns="http://schemas.openxmlformats.org/spreadsheetml/2006/main" xmlns:r="http://schemas.openxmlformats.org/officeDocument/2006/relationships">
  <sheetPr>
    <tabColor indexed="45"/>
    <pageSetUpPr fitToPage="1"/>
  </sheetPr>
  <dimension ref="A1:O36"/>
  <sheetViews>
    <sheetView zoomScaleSheetLayoutView="100" zoomScalePageLayoutView="0" workbookViewId="0" topLeftCell="A1">
      <selection activeCell="A1" sqref="A1:E1"/>
    </sheetView>
  </sheetViews>
  <sheetFormatPr defaultColWidth="9.140625" defaultRowHeight="12.75"/>
  <cols>
    <col min="1" max="1" width="9.140625" style="4" customWidth="1"/>
    <col min="2" max="2" width="65.140625" style="0" bestFit="1" customWidth="1"/>
    <col min="3" max="3" width="13.57421875" style="0" bestFit="1" customWidth="1"/>
    <col min="4" max="4" width="1.57421875" style="0" customWidth="1"/>
    <col min="5" max="5" width="15.00390625" style="0" bestFit="1" customWidth="1"/>
  </cols>
  <sheetData>
    <row r="1" spans="1:15" ht="15">
      <c r="A1" s="1091" t="str">
        <f>+'KPCo WS C  - Working Capital'!A1:L1</f>
        <v>AEP East Companies</v>
      </c>
      <c r="B1" s="1091"/>
      <c r="C1" s="1091"/>
      <c r="D1" s="1091"/>
      <c r="E1" s="1091"/>
      <c r="F1" s="172"/>
      <c r="G1" s="172"/>
      <c r="H1" s="172"/>
      <c r="I1" s="172"/>
      <c r="J1" s="172"/>
      <c r="K1" s="172"/>
      <c r="L1" s="172"/>
      <c r="M1" s="172"/>
      <c r="N1" s="172"/>
      <c r="O1" s="172"/>
    </row>
    <row r="2" spans="1:15" ht="15">
      <c r="A2" s="1090" t="str">
        <f>"Cost of Service Formula Rate Using "&amp;'KPCo Historic TCOS'!O1&amp;" FF1 Balances"</f>
        <v>Cost of Service Formula Rate Using 2009 FF1 Balances</v>
      </c>
      <c r="B2" s="1090"/>
      <c r="C2" s="1090"/>
      <c r="D2" s="1090"/>
      <c r="E2" s="1090"/>
      <c r="F2" s="275"/>
      <c r="G2" s="275"/>
      <c r="H2" s="275"/>
      <c r="I2" s="275"/>
      <c r="J2" s="275"/>
      <c r="K2" s="275"/>
      <c r="L2" s="275"/>
      <c r="M2" s="276"/>
      <c r="N2" s="276"/>
      <c r="O2" s="276"/>
    </row>
    <row r="3" spans="1:15" ht="15">
      <c r="A3" s="1090" t="s">
        <v>931</v>
      </c>
      <c r="B3" s="1090"/>
      <c r="C3" s="1090"/>
      <c r="D3" s="1090"/>
      <c r="E3" s="1090"/>
      <c r="F3" s="275"/>
      <c r="G3" s="275"/>
      <c r="H3" s="275"/>
      <c r="I3" s="275"/>
      <c r="J3" s="275"/>
      <c r="K3" s="275"/>
      <c r="L3" s="275"/>
      <c r="M3" s="275"/>
      <c r="N3" s="275"/>
      <c r="O3" s="275"/>
    </row>
    <row r="4" spans="1:15" ht="15">
      <c r="A4" s="1094" t="str">
        <f>+'KPCo WS C  - Working Capital'!A4:O4</f>
        <v>KENTUCKY POWER COMPANY</v>
      </c>
      <c r="B4" s="1094"/>
      <c r="C4" s="1094"/>
      <c r="D4" s="1094"/>
      <c r="E4" s="1094"/>
      <c r="F4" s="10"/>
      <c r="G4" s="10"/>
      <c r="H4" s="10"/>
      <c r="I4" s="10"/>
      <c r="J4" s="10"/>
      <c r="K4" s="10"/>
      <c r="L4" s="10"/>
      <c r="M4" s="10"/>
      <c r="N4" s="10"/>
      <c r="O4" s="10"/>
    </row>
    <row r="6" spans="1:6" ht="12.75">
      <c r="A6" s="614" t="s">
        <v>777</v>
      </c>
      <c r="B6" s="274" t="s">
        <v>770</v>
      </c>
      <c r="C6" s="274" t="s">
        <v>771</v>
      </c>
      <c r="F6" s="146"/>
    </row>
    <row r="7" spans="1:6" ht="12.75">
      <c r="A7" s="614" t="s">
        <v>713</v>
      </c>
      <c r="B7" s="614" t="s">
        <v>775</v>
      </c>
      <c r="C7" s="614">
        <f>+'KPCo Historic TCOS'!O1</f>
        <v>2009</v>
      </c>
      <c r="F7" s="146"/>
    </row>
    <row r="8" spans="1:6" ht="12.75">
      <c r="A8" s="226"/>
      <c r="B8" s="835"/>
      <c r="C8" s="274"/>
      <c r="F8" s="146"/>
    </row>
    <row r="9" spans="1:6" ht="12.75">
      <c r="A9" s="4">
        <v>1</v>
      </c>
      <c r="B9" s="836" t="str">
        <f>"Net Funds from IPP Customers 12/31/"&amp;'KPCo Historic TCOS'!O1-1&amp;" ("&amp;'KPCo Historic TCOS'!O1&amp;" FORM 1, P269, line 15.b)"</f>
        <v>Net Funds from IPP Customers 12/31/2008 (2009 FORM 1, P269, line 15.b)</v>
      </c>
      <c r="C9" s="309">
        <v>-228221</v>
      </c>
      <c r="D9" s="146"/>
      <c r="F9" s="1135"/>
    </row>
    <row r="10" spans="2:6" ht="12.75">
      <c r="B10" s="794"/>
      <c r="D10" s="146"/>
      <c r="F10" s="146"/>
    </row>
    <row r="11" spans="1:6" ht="12.75">
      <c r="A11" s="4">
        <v>2</v>
      </c>
      <c r="B11" s="992" t="s">
        <v>665</v>
      </c>
      <c r="C11" s="309">
        <v>-8298</v>
      </c>
      <c r="D11" s="146"/>
      <c r="F11" s="1135"/>
    </row>
    <row r="12" spans="2:6" ht="12.75">
      <c r="B12" s="993"/>
      <c r="D12" s="146"/>
      <c r="F12" s="146"/>
    </row>
    <row r="13" spans="1:6" ht="12.75">
      <c r="A13" s="4">
        <f>+A11+1</f>
        <v>3</v>
      </c>
      <c r="B13" s="992" t="s">
        <v>666</v>
      </c>
      <c r="C13" s="309">
        <v>0</v>
      </c>
      <c r="D13" s="146"/>
      <c r="F13" s="1135"/>
    </row>
    <row r="14" spans="2:6" ht="12.75">
      <c r="B14" s="837"/>
      <c r="D14" s="146"/>
      <c r="F14" s="146"/>
    </row>
    <row r="15" spans="1:6" ht="12.75">
      <c r="A15" s="4">
        <f>+A13+1</f>
        <v>4</v>
      </c>
      <c r="B15" s="838" t="s">
        <v>5</v>
      </c>
      <c r="D15" s="146"/>
      <c r="F15" s="146"/>
    </row>
    <row r="16" spans="1:6" ht="12.75">
      <c r="A16" s="4">
        <f>+A15+1</f>
        <v>5</v>
      </c>
      <c r="B16" s="992" t="s">
        <v>667</v>
      </c>
      <c r="C16" s="309">
        <v>326</v>
      </c>
      <c r="D16" s="146"/>
      <c r="F16" s="1135"/>
    </row>
    <row r="17" spans="1:6" ht="12.75">
      <c r="A17" s="4">
        <f>+A16+1</f>
        <v>6</v>
      </c>
      <c r="B17" s="839" t="s">
        <v>722</v>
      </c>
      <c r="C17" s="310">
        <v>0</v>
      </c>
      <c r="D17" s="146"/>
      <c r="F17" s="1135"/>
    </row>
    <row r="18" spans="2:6" ht="12.75">
      <c r="B18" s="693"/>
      <c r="C18" s="163"/>
      <c r="D18" s="146"/>
      <c r="F18" s="146"/>
    </row>
    <row r="19" spans="1:6" ht="12.75">
      <c r="A19" s="4">
        <f>+A17+1</f>
        <v>7</v>
      </c>
      <c r="B19" s="840" t="str">
        <f>"Net Funds from IPP Customers 12/31/"&amp;'KPCo Historic TCOS'!O1&amp;" ("&amp;'KPCo Historic TCOS'!O1&amp;" FORM 1, P269, line 24.f)"</f>
        <v>Net Funds from IPP Customers 12/31/2009 (2009 FORM 1, P269, line 24.f)</v>
      </c>
      <c r="C19" s="202">
        <f>+C9+C11+C13+C16+C17</f>
        <v>-236193</v>
      </c>
      <c r="D19" s="277"/>
      <c r="F19" s="146"/>
    </row>
    <row r="20" spans="4:6" ht="12.75">
      <c r="D20" s="146"/>
      <c r="F20" s="146"/>
    </row>
    <row r="21" spans="1:6" ht="12.75">
      <c r="A21" s="4">
        <f>+A19+1</f>
        <v>8</v>
      </c>
      <c r="B21" s="546" t="str">
        <f>"Average Balance for Year as Indicated in Column ((ln "&amp;A9&amp;" + ln "&amp;A19&amp;")/2)"</f>
        <v>Average Balance for Year as Indicated in Column ((ln 1 + ln 7)/2)</v>
      </c>
      <c r="C21" s="308">
        <f>AVERAGE(C19,C9)</f>
        <v>-232207</v>
      </c>
      <c r="D21" s="146"/>
      <c r="F21" s="146"/>
    </row>
    <row r="22" spans="4:6" ht="12.75">
      <c r="D22" s="146"/>
      <c r="F22" s="146"/>
    </row>
    <row r="23" spans="3:6" ht="12.75">
      <c r="C23" s="202"/>
      <c r="D23" s="146"/>
      <c r="F23" s="146"/>
    </row>
    <row r="24" spans="1:4" ht="15">
      <c r="A24" s="781" t="s">
        <v>389</v>
      </c>
      <c r="B24" s="1099" t="str">
        <f>"On this worksheet Company Records refers to  "&amp;A4&amp;"'s general ledger."</f>
        <v>On this worksheet Company Records refers to  KENTUCKY POWER COMPANY's general ledger.</v>
      </c>
      <c r="D24" s="146"/>
    </row>
    <row r="25" spans="2:4" ht="12.75">
      <c r="B25" s="1143"/>
      <c r="D25" s="146"/>
    </row>
    <row r="26" ht="12.75">
      <c r="D26" s="146"/>
    </row>
    <row r="27" ht="12.75">
      <c r="D27" s="146"/>
    </row>
    <row r="28" ht="12.75">
      <c r="D28" s="146"/>
    </row>
    <row r="29" ht="12.75">
      <c r="D29" s="146"/>
    </row>
    <row r="30" ht="12.75">
      <c r="D30" s="278"/>
    </row>
    <row r="31" ht="12.75">
      <c r="D31" s="146"/>
    </row>
    <row r="32" ht="12.75">
      <c r="D32" s="146"/>
    </row>
    <row r="33" ht="12.75">
      <c r="D33" s="146"/>
    </row>
    <row r="34" spans="1:4" ht="12.75">
      <c r="A34" s="226"/>
      <c r="B34" s="146"/>
      <c r="C34" s="146"/>
      <c r="D34" s="146"/>
    </row>
    <row r="35" spans="1:3" ht="12.75">
      <c r="A35" s="226"/>
      <c r="B35" s="146"/>
      <c r="C35" s="146"/>
    </row>
    <row r="36" ht="12.75">
      <c r="C36" s="194"/>
    </row>
    <row r="299" ht="6" customHeight="1"/>
    <row r="301" ht="6" customHeight="1"/>
    <row r="308" ht="6" customHeight="1"/>
    <row r="310" ht="6" customHeight="1"/>
    <row r="314" ht="6" customHeight="1"/>
    <row r="317" ht="6" customHeight="1"/>
    <row r="322" ht="6" customHeight="1"/>
    <row r="326" ht="6" customHeight="1"/>
    <row r="328" ht="6" customHeight="1"/>
    <row r="337" ht="6" customHeight="1"/>
    <row r="339" ht="6" customHeight="1"/>
    <row r="341" ht="6" customHeight="1"/>
    <row r="343" ht="6" customHeight="1"/>
    <row r="352" ht="6" customHeight="1"/>
    <row r="354" ht="6" customHeight="1"/>
  </sheetData>
  <sheetProtection/>
  <mergeCells count="5">
    <mergeCell ref="B24:B25"/>
    <mergeCell ref="A1:E1"/>
    <mergeCell ref="A2:E2"/>
    <mergeCell ref="A3:E3"/>
    <mergeCell ref="A4:E4"/>
  </mergeCells>
  <printOptions/>
  <pageMargins left="0.82" right="0.7" top="1" bottom="1" header="0.75" footer="0.5"/>
  <pageSetup fitToHeight="1" fitToWidth="1" horizontalDpi="600" verticalDpi="600" orientation="portrait" scale="87" r:id="rId1"/>
  <headerFooter alignWithMargins="0">
    <oddHeader>&amp;R&amp;"Arial,Bold"Formula Rate 
&amp;A
Page &amp;P of &amp;N</oddHeader>
  </headerFooter>
</worksheet>
</file>

<file path=xl/worksheets/sheet8.xml><?xml version="1.0" encoding="utf-8"?>
<worksheet xmlns="http://schemas.openxmlformats.org/spreadsheetml/2006/main" xmlns:r="http://schemas.openxmlformats.org/officeDocument/2006/relationships">
  <sheetPr>
    <tabColor indexed="45"/>
    <pageSetUpPr fitToPage="1"/>
  </sheetPr>
  <dimension ref="A1:AO142"/>
  <sheetViews>
    <sheetView zoomScaleSheetLayoutView="100" zoomScalePageLayoutView="0" workbookViewId="0" topLeftCell="A1">
      <selection activeCell="A1" sqref="A1:K1"/>
    </sheetView>
  </sheetViews>
  <sheetFormatPr defaultColWidth="9.140625" defaultRowHeight="12.75"/>
  <cols>
    <col min="1" max="1" width="9.421875" style="93" customWidth="1"/>
    <col min="2" max="2" width="6.7109375" style="93" customWidth="1"/>
    <col min="3" max="7" width="12.7109375" style="93" customWidth="1"/>
    <col min="8" max="8" width="30.00390625" style="93" customWidth="1"/>
    <col min="9" max="9" width="14.8515625" style="93" bestFit="1" customWidth="1"/>
    <col min="10" max="11" width="16.57421875" style="93" bestFit="1" customWidth="1"/>
    <col min="12" max="13" width="22.140625" style="93" bestFit="1" customWidth="1"/>
    <col min="14" max="14" width="8.421875" style="93" customWidth="1"/>
    <col min="15" max="38" width="12.7109375" style="93" customWidth="1"/>
    <col min="39" max="16384" width="9.140625" style="93" customWidth="1"/>
  </cols>
  <sheetData>
    <row r="1" spans="1:15" ht="15">
      <c r="A1" s="1091" t="str">
        <f>+'KPCo WS C  - Working Capital'!A1:L1</f>
        <v>AEP East Companies</v>
      </c>
      <c r="B1" s="1091"/>
      <c r="C1" s="1091"/>
      <c r="D1" s="1091"/>
      <c r="E1" s="1091"/>
      <c r="F1" s="1091"/>
      <c r="G1" s="1091"/>
      <c r="H1" s="1091"/>
      <c r="I1" s="1091"/>
      <c r="J1" s="1091"/>
      <c r="K1" s="1091"/>
      <c r="L1" s="172"/>
      <c r="M1" s="172"/>
      <c r="N1" s="172"/>
      <c r="O1" s="172"/>
    </row>
    <row r="2" spans="1:15" ht="15">
      <c r="A2" s="1090" t="str">
        <f>"Cost of Service Formula Rate Using "&amp;'KPCo Historic TCOS'!O1&amp;" FF1 Balances"</f>
        <v>Cost of Service Formula Rate Using 2009 FF1 Balances</v>
      </c>
      <c r="B2" s="1090"/>
      <c r="C2" s="1090"/>
      <c r="D2" s="1090"/>
      <c r="E2" s="1090"/>
      <c r="F2" s="1090"/>
      <c r="G2" s="1090"/>
      <c r="H2" s="1090"/>
      <c r="I2" s="1090"/>
      <c r="J2" s="1090"/>
      <c r="K2" s="1090"/>
      <c r="L2" s="276"/>
      <c r="M2" s="276"/>
      <c r="N2" s="276"/>
      <c r="O2" s="276"/>
    </row>
    <row r="3" spans="1:15" ht="15">
      <c r="A3" s="1090" t="s">
        <v>18</v>
      </c>
      <c r="B3" s="1090"/>
      <c r="C3" s="1090"/>
      <c r="D3" s="1090"/>
      <c r="E3" s="1090"/>
      <c r="F3" s="1090"/>
      <c r="G3" s="1090"/>
      <c r="H3" s="1090"/>
      <c r="I3" s="1090"/>
      <c r="J3" s="1090"/>
      <c r="K3" s="1090"/>
      <c r="L3" s="275"/>
      <c r="M3" s="275"/>
      <c r="N3" s="275"/>
      <c r="O3" s="275"/>
    </row>
    <row r="4" spans="1:15" ht="15">
      <c r="A4" s="1094" t="str">
        <f>+'KPCo WS D IPP Credits'!A4:C4</f>
        <v>KENTUCKY POWER COMPANY</v>
      </c>
      <c r="B4" s="1094"/>
      <c r="C4" s="1094"/>
      <c r="D4" s="1094"/>
      <c r="E4" s="1094"/>
      <c r="F4" s="1094"/>
      <c r="G4" s="1094"/>
      <c r="H4" s="1094"/>
      <c r="I4" s="1094"/>
      <c r="J4" s="1094"/>
      <c r="K4" s="1094"/>
      <c r="L4" s="10"/>
      <c r="M4" s="10"/>
      <c r="N4" s="10"/>
      <c r="O4" s="10"/>
    </row>
    <row r="5" spans="1:15" ht="15">
      <c r="A5" s="287"/>
      <c r="B5" s="287"/>
      <c r="C5" s="287"/>
      <c r="D5" s="287"/>
      <c r="E5" s="287"/>
      <c r="F5" s="287"/>
      <c r="G5" s="287"/>
      <c r="H5" s="287"/>
      <c r="I5" s="287"/>
      <c r="J5" s="287"/>
      <c r="K5" s="287"/>
      <c r="L5" s="287"/>
      <c r="M5" s="287"/>
      <c r="N5" s="287"/>
      <c r="O5" s="287"/>
    </row>
    <row r="6" spans="1:13" ht="18">
      <c r="A6" s="1158"/>
      <c r="B6" s="1158"/>
      <c r="C6" s="1158"/>
      <c r="D6" s="1158"/>
      <c r="E6" s="1158"/>
      <c r="F6" s="1158"/>
      <c r="G6" s="1158"/>
      <c r="H6" s="1158"/>
      <c r="I6" s="1158"/>
      <c r="J6" s="1158"/>
      <c r="K6" s="1158"/>
      <c r="L6" s="214"/>
      <c r="M6" s="583"/>
    </row>
    <row r="7" spans="1:13" ht="18">
      <c r="A7" s="532"/>
      <c r="B7" s="532"/>
      <c r="C7" s="532"/>
      <c r="D7" s="532"/>
      <c r="E7" s="532"/>
      <c r="F7" s="532"/>
      <c r="G7" s="532"/>
      <c r="H7" s="532"/>
      <c r="I7" s="532"/>
      <c r="J7" s="532"/>
      <c r="K7" s="532"/>
      <c r="L7" s="214"/>
      <c r="M7" s="583"/>
    </row>
    <row r="8" spans="1:22" ht="15.75">
      <c r="A8" s="616" t="s">
        <v>777</v>
      </c>
      <c r="B8" s="214"/>
      <c r="C8" s="582"/>
      <c r="D8" s="582"/>
      <c r="E8" s="582"/>
      <c r="F8" s="582"/>
      <c r="G8" s="216"/>
      <c r="H8" s="216"/>
      <c r="I8" s="616" t="s">
        <v>810</v>
      </c>
      <c r="J8" s="616" t="s">
        <v>561</v>
      </c>
      <c r="K8" s="617"/>
      <c r="N8" s="584"/>
      <c r="P8" s="584"/>
      <c r="R8" s="584"/>
      <c r="S8" s="584"/>
      <c r="T8" s="584"/>
      <c r="U8" s="5"/>
      <c r="V8" s="5"/>
    </row>
    <row r="9" spans="1:19" ht="15.75">
      <c r="A9" s="616" t="s">
        <v>713</v>
      </c>
      <c r="B9" s="1159" t="s">
        <v>775</v>
      </c>
      <c r="C9" s="1159"/>
      <c r="D9" s="1159"/>
      <c r="E9" s="1159"/>
      <c r="F9" s="1159"/>
      <c r="G9" s="1159"/>
      <c r="H9" s="1159"/>
      <c r="I9" s="615" t="s">
        <v>811</v>
      </c>
      <c r="J9" s="615" t="s">
        <v>723</v>
      </c>
      <c r="K9" s="615" t="s">
        <v>723</v>
      </c>
      <c r="M9" s="584"/>
      <c r="N9" s="584"/>
      <c r="O9" s="584"/>
      <c r="P9" s="584"/>
      <c r="Q9" s="585"/>
      <c r="R9" s="5"/>
      <c r="S9" s="5"/>
    </row>
    <row r="10" spans="1:19" ht="15.75">
      <c r="A10" s="216"/>
      <c r="B10" s="581"/>
      <c r="C10" s="214"/>
      <c r="D10" s="216"/>
      <c r="E10" s="216"/>
      <c r="F10" s="216"/>
      <c r="G10" s="216"/>
      <c r="H10" s="216"/>
      <c r="I10" s="216"/>
      <c r="J10" s="216"/>
      <c r="K10" s="215"/>
      <c r="M10" s="584"/>
      <c r="N10" s="584"/>
      <c r="O10" s="584"/>
      <c r="P10" s="584"/>
      <c r="Q10" s="585"/>
      <c r="R10" s="5"/>
      <c r="S10" s="5"/>
    </row>
    <row r="11" spans="1:19" s="1029" customFormat="1" ht="12.75">
      <c r="A11" s="996">
        <v>1</v>
      </c>
      <c r="B11" s="994" t="s">
        <v>668</v>
      </c>
      <c r="D11" s="1030"/>
      <c r="E11" s="1030"/>
      <c r="F11" s="997"/>
      <c r="G11" s="1030"/>
      <c r="H11" s="1030"/>
      <c r="I11" s="1031">
        <v>1780498</v>
      </c>
      <c r="J11" s="1032">
        <f>+I11-K11</f>
        <v>1780498</v>
      </c>
      <c r="K11" s="1033">
        <v>0</v>
      </c>
      <c r="M11" s="100"/>
      <c r="N11" s="100"/>
      <c r="O11" s="100"/>
      <c r="P11" s="100"/>
      <c r="Q11" s="364"/>
      <c r="R11" s="100"/>
      <c r="S11" s="100"/>
    </row>
    <row r="12" spans="1:19" s="1029" customFormat="1" ht="12.75">
      <c r="A12" s="996"/>
      <c r="B12" s="994"/>
      <c r="D12" s="1030"/>
      <c r="E12" s="1030"/>
      <c r="F12" s="997"/>
      <c r="G12" s="1030"/>
      <c r="H12" s="1030"/>
      <c r="I12" s="1034"/>
      <c r="J12" s="1035"/>
      <c r="K12" s="1035"/>
      <c r="M12" s="100"/>
      <c r="N12" s="100"/>
      <c r="O12" s="100"/>
      <c r="P12" s="100"/>
      <c r="Q12" s="364"/>
      <c r="R12" s="100"/>
      <c r="S12" s="100"/>
    </row>
    <row r="13" spans="1:19" s="1029" customFormat="1" ht="12.75">
      <c r="A13" s="996">
        <f>+A11+1</f>
        <v>2</v>
      </c>
      <c r="B13" s="995" t="s">
        <v>669</v>
      </c>
      <c r="D13" s="1030"/>
      <c r="E13" s="1030"/>
      <c r="F13" s="997"/>
      <c r="G13" s="1030"/>
      <c r="H13" s="997" t="s">
        <v>722</v>
      </c>
      <c r="I13" s="1031">
        <v>398913</v>
      </c>
      <c r="J13" s="1032">
        <f>+I13-K13</f>
        <v>385357</v>
      </c>
      <c r="K13" s="1033">
        <v>13556</v>
      </c>
      <c r="M13" s="100"/>
      <c r="N13" s="100"/>
      <c r="O13" s="100"/>
      <c r="P13" s="100"/>
      <c r="Q13" s="100"/>
      <c r="R13" s="100"/>
      <c r="S13" s="100"/>
    </row>
    <row r="14" spans="1:19" s="1029" customFormat="1" ht="12.75">
      <c r="A14" s="996"/>
      <c r="B14" s="995"/>
      <c r="D14" s="1030"/>
      <c r="E14" s="1030"/>
      <c r="F14" s="997"/>
      <c r="G14" s="1030"/>
      <c r="H14" s="997"/>
      <c r="I14" s="1035"/>
      <c r="J14" s="1035"/>
      <c r="K14" s="1036"/>
      <c r="M14" s="100"/>
      <c r="N14" s="100"/>
      <c r="O14" s="100"/>
      <c r="P14" s="100"/>
      <c r="Q14" s="100"/>
      <c r="R14" s="100"/>
      <c r="S14" s="100"/>
    </row>
    <row r="15" spans="1:19" s="1029" customFormat="1" ht="12.75">
      <c r="A15" s="996">
        <f>+A13+1</f>
        <v>3</v>
      </c>
      <c r="B15" s="995" t="s">
        <v>670</v>
      </c>
      <c r="D15" s="1030"/>
      <c r="E15" s="1030"/>
      <c r="F15" s="997"/>
      <c r="G15" s="1030"/>
      <c r="H15" s="1030"/>
      <c r="I15" s="1031">
        <v>4600609</v>
      </c>
      <c r="J15" s="1032">
        <f>+I15-K15</f>
        <v>4588984</v>
      </c>
      <c r="K15" s="1033">
        <v>11625</v>
      </c>
      <c r="M15" s="100"/>
      <c r="N15" s="100"/>
      <c r="O15" s="100"/>
      <c r="P15" s="100"/>
      <c r="Q15" s="100"/>
      <c r="R15" s="100"/>
      <c r="S15" s="100"/>
    </row>
    <row r="16" spans="1:19" s="1029" customFormat="1" ht="12.75">
      <c r="A16" s="996"/>
      <c r="B16" s="997"/>
      <c r="D16" s="1030"/>
      <c r="E16" s="1030"/>
      <c r="F16" s="997"/>
      <c r="G16" s="1036"/>
      <c r="H16" s="997"/>
      <c r="I16" s="1035"/>
      <c r="J16" s="1035"/>
      <c r="K16" s="1035"/>
      <c r="M16" s="100"/>
      <c r="N16" s="100"/>
      <c r="O16" s="100"/>
      <c r="P16" s="100"/>
      <c r="Q16" s="100"/>
      <c r="R16" s="100"/>
      <c r="S16" s="100"/>
    </row>
    <row r="17" spans="1:19" s="1029" customFormat="1" ht="12.75">
      <c r="A17" s="996">
        <f>+A15+1</f>
        <v>4</v>
      </c>
      <c r="B17" s="995" t="s">
        <v>671</v>
      </c>
      <c r="D17" s="1030"/>
      <c r="E17" s="1030"/>
      <c r="F17" s="997"/>
      <c r="G17" s="1036"/>
      <c r="H17" s="997"/>
      <c r="I17" s="1031">
        <v>2055114</v>
      </c>
      <c r="J17" s="1032">
        <f>+I17-K17</f>
        <v>424409</v>
      </c>
      <c r="K17" s="1033">
        <v>1630705</v>
      </c>
      <c r="M17" s="100"/>
      <c r="N17" s="100"/>
      <c r="O17" s="100"/>
      <c r="P17" s="100"/>
      <c r="Q17" s="100"/>
      <c r="R17" s="100"/>
      <c r="S17" s="100"/>
    </row>
    <row r="18" spans="1:19" s="1029" customFormat="1" ht="12.75">
      <c r="A18" s="996"/>
      <c r="B18" s="995"/>
      <c r="D18" s="1030"/>
      <c r="E18" s="1030"/>
      <c r="F18" s="997"/>
      <c r="G18" s="1036"/>
      <c r="H18" s="997"/>
      <c r="I18" s="100"/>
      <c r="J18" s="100"/>
      <c r="K18" s="100"/>
      <c r="L18" s="100"/>
      <c r="M18" s="100"/>
      <c r="N18" s="100"/>
      <c r="O18" s="100"/>
      <c r="P18" s="100"/>
      <c r="Q18" s="100"/>
      <c r="R18" s="100"/>
      <c r="S18" s="100"/>
    </row>
    <row r="19" spans="1:19" s="1029" customFormat="1" ht="12.75">
      <c r="A19" s="996">
        <f>+A17+1</f>
        <v>5</v>
      </c>
      <c r="B19" s="995" t="s">
        <v>672</v>
      </c>
      <c r="D19" s="1030"/>
      <c r="E19" s="1030"/>
      <c r="F19" s="997"/>
      <c r="G19" s="1036"/>
      <c r="H19" s="997"/>
      <c r="I19" s="1031">
        <v>6915484</v>
      </c>
      <c r="J19" s="1032">
        <f>+I19-K19</f>
        <v>6915484</v>
      </c>
      <c r="K19" s="1033"/>
      <c r="M19" s="100"/>
      <c r="N19" s="100"/>
      <c r="O19" s="100"/>
      <c r="P19" s="100"/>
      <c r="Q19" s="100"/>
      <c r="R19" s="100"/>
      <c r="S19" s="100"/>
    </row>
    <row r="20" spans="1:19" s="1029" customFormat="1" ht="12.75">
      <c r="A20" s="996"/>
      <c r="B20" s="995"/>
      <c r="D20" s="1030"/>
      <c r="E20" s="1030"/>
      <c r="F20" s="997"/>
      <c r="G20" s="1036"/>
      <c r="H20" s="997"/>
      <c r="I20" s="100"/>
      <c r="J20" s="100"/>
      <c r="K20" s="100"/>
      <c r="M20" s="100"/>
      <c r="N20" s="100"/>
      <c r="O20" s="100"/>
      <c r="P20" s="100"/>
      <c r="Q20" s="100"/>
      <c r="R20" s="100"/>
      <c r="S20" s="100"/>
    </row>
    <row r="21" spans="1:19" s="1029" customFormat="1" ht="12.75">
      <c r="A21" s="998">
        <f>+A19+1</f>
        <v>6</v>
      </c>
      <c r="B21" s="999" t="s">
        <v>673</v>
      </c>
      <c r="D21" s="1030"/>
      <c r="E21" s="1030"/>
      <c r="F21" s="997"/>
      <c r="G21" s="1036"/>
      <c r="H21" s="997"/>
      <c r="I21" s="1037">
        <f>+I19+I17+I15+I13+I11</f>
        <v>15750618</v>
      </c>
      <c r="J21" s="1037">
        <f>+J19+J17+J15+J13+J11</f>
        <v>14094732</v>
      </c>
      <c r="K21" s="1037">
        <f>+K19+K17+K15+K13+K11</f>
        <v>1655886</v>
      </c>
      <c r="M21" s="100"/>
      <c r="N21" s="100"/>
      <c r="O21" s="100"/>
      <c r="P21" s="100"/>
      <c r="Q21" s="100"/>
      <c r="R21" s="100"/>
      <c r="S21" s="100"/>
    </row>
    <row r="22" spans="1:19" s="1029" customFormat="1" ht="12.75">
      <c r="A22" s="996"/>
      <c r="B22" s="995"/>
      <c r="D22" s="1030"/>
      <c r="E22" s="1030"/>
      <c r="F22" s="997"/>
      <c r="G22" s="1036"/>
      <c r="H22" s="997"/>
      <c r="I22" s="100"/>
      <c r="J22" s="100"/>
      <c r="K22" s="100"/>
      <c r="M22" s="100"/>
      <c r="N22" s="100"/>
      <c r="O22" s="100"/>
      <c r="P22" s="100"/>
      <c r="Q22" s="100"/>
      <c r="R22" s="100"/>
      <c r="S22" s="100"/>
    </row>
    <row r="23" spans="1:19" s="1029" customFormat="1" ht="12.75">
      <c r="A23" s="998">
        <f>+A21+1</f>
        <v>7</v>
      </c>
      <c r="B23" s="1155" t="s">
        <v>674</v>
      </c>
      <c r="C23" s="1155"/>
      <c r="D23" s="1155"/>
      <c r="E23" s="1155"/>
      <c r="F23" s="1155"/>
      <c r="G23" s="1155"/>
      <c r="H23" s="1035"/>
      <c r="I23" s="1031">
        <v>855938</v>
      </c>
      <c r="J23" s="1032">
        <f>+I23-K23</f>
        <v>77517</v>
      </c>
      <c r="K23" s="1033">
        <v>778421</v>
      </c>
      <c r="M23" s="100"/>
      <c r="N23" s="100"/>
      <c r="O23" s="100"/>
      <c r="P23" s="100"/>
      <c r="Q23" s="100"/>
      <c r="R23" s="100"/>
      <c r="S23" s="100"/>
    </row>
    <row r="24" spans="1:19" s="1029" customFormat="1" ht="12.75">
      <c r="A24" s="996"/>
      <c r="B24" s="1155"/>
      <c r="C24" s="1155"/>
      <c r="D24" s="1155"/>
      <c r="E24" s="1155"/>
      <c r="F24" s="1155"/>
      <c r="G24" s="1155"/>
      <c r="H24" s="997"/>
      <c r="I24" s="1038"/>
      <c r="J24" s="997"/>
      <c r="K24" s="1039"/>
      <c r="M24" s="100"/>
      <c r="N24" s="100"/>
      <c r="O24" s="100"/>
      <c r="P24" s="100"/>
      <c r="Q24" s="100"/>
      <c r="R24" s="100"/>
      <c r="S24" s="100"/>
    </row>
    <row r="25" spans="1:19" s="1029" customFormat="1" ht="12.75">
      <c r="A25" s="1000">
        <f>+A23+1</f>
        <v>8</v>
      </c>
      <c r="B25" s="994" t="s">
        <v>913</v>
      </c>
      <c r="D25" s="1030"/>
      <c r="E25" s="1030"/>
      <c r="F25" s="997"/>
      <c r="G25" s="1036"/>
      <c r="H25" s="997"/>
      <c r="I25" s="1040">
        <f>SUM(I21:I23)</f>
        <v>16606556</v>
      </c>
      <c r="J25" s="1040">
        <f>SUM(J21:J23)</f>
        <v>14172249</v>
      </c>
      <c r="K25" s="1040">
        <f>SUM(K21:K23)</f>
        <v>2434307</v>
      </c>
      <c r="M25" s="100"/>
      <c r="N25" s="100"/>
      <c r="O25" s="100"/>
      <c r="P25" s="100"/>
      <c r="Q25" s="100"/>
      <c r="R25" s="100"/>
      <c r="S25" s="100"/>
    </row>
    <row r="26" spans="1:19" ht="15.75">
      <c r="A26" s="216"/>
      <c r="C26" s="581"/>
      <c r="D26" s="214"/>
      <c r="E26" s="214"/>
      <c r="F26" s="216"/>
      <c r="G26" s="217"/>
      <c r="H26" s="216"/>
      <c r="I26" s="216"/>
      <c r="J26" s="216"/>
      <c r="K26" s="216"/>
      <c r="L26" s="216"/>
      <c r="M26" s="582"/>
      <c r="N26" s="582"/>
      <c r="O26" s="582"/>
      <c r="P26" s="5"/>
      <c r="Q26" s="5"/>
      <c r="R26" s="5"/>
      <c r="S26" s="5"/>
    </row>
    <row r="27" spans="1:19" ht="15">
      <c r="A27" s="439" t="s">
        <v>389</v>
      </c>
      <c r="B27" s="1156" t="str">
        <f>"The total company data on this worksheet comes from the indicated FF1 source, or "&amp;A4&amp;"'s general ledger. The functional amounts identified as transmission revenue also come from the general ledger. "</f>
        <v>The total company data on this worksheet comes from the indicated FF1 source, or KENTUCKY POWER COMPANY's general ledger. The functional amounts identified as transmission revenue also come from the general ledger. </v>
      </c>
      <c r="C27" s="1157"/>
      <c r="D27" s="1157"/>
      <c r="E27" s="1157"/>
      <c r="F27" s="1157"/>
      <c r="G27" s="1157"/>
      <c r="H27" s="1157"/>
      <c r="I27" s="1157"/>
      <c r="J27" s="1157"/>
      <c r="K27" s="582"/>
      <c r="L27" s="582"/>
      <c r="M27" s="582"/>
      <c r="N27" s="582"/>
      <c r="O27" s="582"/>
      <c r="P27" s="5"/>
      <c r="Q27" s="584"/>
      <c r="R27" s="5"/>
      <c r="S27" s="5"/>
    </row>
    <row r="28" spans="1:38" ht="15.75">
      <c r="A28" s="5"/>
      <c r="B28" s="1157"/>
      <c r="C28" s="1157"/>
      <c r="D28" s="1157"/>
      <c r="E28" s="1157"/>
      <c r="F28" s="1157"/>
      <c r="G28" s="1157"/>
      <c r="H28" s="1157"/>
      <c r="I28" s="1157"/>
      <c r="J28" s="1157"/>
      <c r="K28" s="582"/>
      <c r="L28" s="139"/>
      <c r="M28" s="164"/>
      <c r="N28" s="164"/>
      <c r="O28" s="139"/>
      <c r="P28" s="139"/>
      <c r="Q28" s="139"/>
      <c r="R28" s="139"/>
      <c r="S28" s="139"/>
      <c r="T28" s="586"/>
      <c r="U28" s="586"/>
      <c r="V28" s="586"/>
      <c r="W28" s="586"/>
      <c r="X28" s="586"/>
      <c r="Y28" s="586"/>
      <c r="Z28" s="586"/>
      <c r="AA28" s="586"/>
      <c r="AB28" s="586"/>
      <c r="AC28" s="586"/>
      <c r="AD28" s="586"/>
      <c r="AE28" s="586"/>
      <c r="AF28" s="586"/>
      <c r="AG28" s="586"/>
      <c r="AH28" s="586"/>
      <c r="AI28" s="586"/>
      <c r="AJ28" s="586"/>
      <c r="AK28" s="586"/>
      <c r="AL28" s="586"/>
    </row>
    <row r="29" spans="1:41" ht="15.75">
      <c r="A29" s="5"/>
      <c r="B29" s="1157"/>
      <c r="C29" s="1157"/>
      <c r="D29" s="1157"/>
      <c r="E29" s="1157"/>
      <c r="F29" s="1157"/>
      <c r="G29" s="1157"/>
      <c r="H29" s="1157"/>
      <c r="I29" s="1157"/>
      <c r="J29" s="1157"/>
      <c r="K29" s="164"/>
      <c r="L29" s="139"/>
      <c r="M29" s="164"/>
      <c r="N29" s="164"/>
      <c r="O29" s="164"/>
      <c r="P29" s="164"/>
      <c r="Q29" s="164"/>
      <c r="R29" s="139"/>
      <c r="S29" s="139"/>
      <c r="T29" s="139"/>
      <c r="U29" s="139"/>
      <c r="V29" s="139"/>
      <c r="W29" s="586"/>
      <c r="X29" s="586"/>
      <c r="Y29" s="586"/>
      <c r="Z29" s="586"/>
      <c r="AA29" s="586"/>
      <c r="AB29" s="586"/>
      <c r="AC29" s="586"/>
      <c r="AD29" s="586"/>
      <c r="AE29" s="586"/>
      <c r="AF29" s="586"/>
      <c r="AG29" s="586"/>
      <c r="AH29" s="586"/>
      <c r="AI29" s="586"/>
      <c r="AJ29" s="586"/>
      <c r="AK29" s="586"/>
      <c r="AL29" s="586"/>
      <c r="AM29" s="586"/>
      <c r="AN29" s="586"/>
      <c r="AO29" s="586"/>
    </row>
    <row r="30" spans="1:41" ht="15.75">
      <c r="A30" s="5"/>
      <c r="B30" s="139"/>
      <c r="E30" s="164"/>
      <c r="F30" s="164"/>
      <c r="G30" s="164"/>
      <c r="H30" s="164"/>
      <c r="I30" s="164"/>
      <c r="J30" s="164"/>
      <c r="K30" s="164"/>
      <c r="L30" s="139"/>
      <c r="M30" s="164"/>
      <c r="N30" s="164"/>
      <c r="O30" s="164"/>
      <c r="P30" s="164"/>
      <c r="Q30" s="164"/>
      <c r="R30" s="139"/>
      <c r="S30" s="139"/>
      <c r="T30" s="139"/>
      <c r="U30" s="139"/>
      <c r="V30" s="139"/>
      <c r="W30" s="586"/>
      <c r="X30" s="586"/>
      <c r="Y30" s="586"/>
      <c r="Z30" s="586"/>
      <c r="AA30" s="586"/>
      <c r="AB30" s="586"/>
      <c r="AC30" s="586"/>
      <c r="AD30" s="586"/>
      <c r="AE30" s="586"/>
      <c r="AF30" s="586"/>
      <c r="AG30" s="586"/>
      <c r="AH30" s="586"/>
      <c r="AI30" s="586"/>
      <c r="AJ30" s="586"/>
      <c r="AK30" s="586"/>
      <c r="AL30" s="586"/>
      <c r="AM30" s="586"/>
      <c r="AN30" s="586"/>
      <c r="AO30" s="586"/>
    </row>
    <row r="31" spans="1:41" ht="15.75">
      <c r="A31" s="5"/>
      <c r="B31" s="139"/>
      <c r="E31" s="164"/>
      <c r="F31" s="164"/>
      <c r="G31" s="164"/>
      <c r="H31" s="164"/>
      <c r="I31" s="164"/>
      <c r="J31" s="164"/>
      <c r="K31" s="164"/>
      <c r="L31" s="139"/>
      <c r="M31" s="164"/>
      <c r="N31" s="164"/>
      <c r="O31" s="164"/>
      <c r="P31" s="164"/>
      <c r="Q31" s="164"/>
      <c r="R31" s="139"/>
      <c r="S31" s="139"/>
      <c r="T31" s="139"/>
      <c r="U31" s="139"/>
      <c r="V31" s="139"/>
      <c r="W31" s="586"/>
      <c r="X31" s="586"/>
      <c r="Y31" s="586"/>
      <c r="Z31" s="586"/>
      <c r="AA31" s="586"/>
      <c r="AB31" s="586"/>
      <c r="AC31" s="586"/>
      <c r="AD31" s="586"/>
      <c r="AE31" s="586"/>
      <c r="AF31" s="586"/>
      <c r="AG31" s="586"/>
      <c r="AH31" s="586"/>
      <c r="AI31" s="586"/>
      <c r="AJ31" s="586"/>
      <c r="AK31" s="586"/>
      <c r="AL31" s="586"/>
      <c r="AM31" s="586"/>
      <c r="AN31" s="586"/>
      <c r="AO31" s="586"/>
    </row>
    <row r="32" spans="1:41" ht="15.75">
      <c r="A32" s="5"/>
      <c r="B32" s="139"/>
      <c r="E32" s="164"/>
      <c r="F32" s="164"/>
      <c r="G32" s="164"/>
      <c r="H32" s="164"/>
      <c r="I32" s="164"/>
      <c r="J32" s="164"/>
      <c r="K32" s="164"/>
      <c r="L32" s="139"/>
      <c r="M32" s="164"/>
      <c r="N32" s="164"/>
      <c r="O32" s="164"/>
      <c r="P32" s="164"/>
      <c r="Q32" s="164"/>
      <c r="R32" s="139"/>
      <c r="S32" s="139"/>
      <c r="T32" s="139"/>
      <c r="U32" s="139"/>
      <c r="V32" s="139"/>
      <c r="W32" s="586"/>
      <c r="X32" s="586"/>
      <c r="Y32" s="586"/>
      <c r="Z32" s="586"/>
      <c r="AA32" s="586"/>
      <c r="AB32" s="586"/>
      <c r="AC32" s="586"/>
      <c r="AD32" s="586"/>
      <c r="AE32" s="586"/>
      <c r="AF32" s="586"/>
      <c r="AG32" s="586"/>
      <c r="AH32" s="586"/>
      <c r="AI32" s="586"/>
      <c r="AJ32" s="586"/>
      <c r="AK32" s="586"/>
      <c r="AL32" s="586"/>
      <c r="AM32" s="586"/>
      <c r="AN32" s="586"/>
      <c r="AO32" s="586"/>
    </row>
    <row r="33" spans="1:41" ht="15.75">
      <c r="A33" s="5"/>
      <c r="B33" s="139"/>
      <c r="E33" s="164"/>
      <c r="F33" s="164"/>
      <c r="G33" s="164"/>
      <c r="H33" s="164"/>
      <c r="I33" s="164"/>
      <c r="J33" s="164"/>
      <c r="K33" s="164"/>
      <c r="L33" s="139"/>
      <c r="M33" s="164"/>
      <c r="N33" s="164"/>
      <c r="O33" s="164"/>
      <c r="P33" s="164"/>
      <c r="Q33" s="164"/>
      <c r="R33" s="139"/>
      <c r="S33" s="139"/>
      <c r="T33" s="139"/>
      <c r="U33" s="139"/>
      <c r="V33" s="139"/>
      <c r="W33" s="586"/>
      <c r="X33" s="586"/>
      <c r="Y33" s="586"/>
      <c r="Z33" s="586"/>
      <c r="AA33" s="586"/>
      <c r="AB33" s="586"/>
      <c r="AC33" s="586"/>
      <c r="AD33" s="586"/>
      <c r="AE33" s="586"/>
      <c r="AF33" s="586"/>
      <c r="AG33" s="586"/>
      <c r="AH33" s="586"/>
      <c r="AI33" s="586"/>
      <c r="AJ33" s="586"/>
      <c r="AK33" s="586"/>
      <c r="AL33" s="586"/>
      <c r="AM33" s="586"/>
      <c r="AN33" s="586"/>
      <c r="AO33" s="586"/>
    </row>
    <row r="34" spans="1:41" ht="15.75">
      <c r="A34" s="5"/>
      <c r="B34" s="139"/>
      <c r="E34" s="164"/>
      <c r="F34" s="164"/>
      <c r="G34" s="164"/>
      <c r="H34" s="164"/>
      <c r="I34" s="164"/>
      <c r="J34" s="164"/>
      <c r="K34" s="164"/>
      <c r="L34" s="139"/>
      <c r="M34" s="164"/>
      <c r="N34" s="164"/>
      <c r="O34" s="164"/>
      <c r="P34" s="164"/>
      <c r="Q34" s="164"/>
      <c r="R34" s="139"/>
      <c r="S34" s="139"/>
      <c r="T34" s="139"/>
      <c r="U34" s="139"/>
      <c r="V34" s="139"/>
      <c r="W34" s="586"/>
      <c r="X34" s="586"/>
      <c r="Y34" s="586"/>
      <c r="Z34" s="586"/>
      <c r="AA34" s="586"/>
      <c r="AB34" s="586"/>
      <c r="AC34" s="586"/>
      <c r="AD34" s="586"/>
      <c r="AE34" s="586"/>
      <c r="AF34" s="586"/>
      <c r="AG34" s="586"/>
      <c r="AH34" s="586"/>
      <c r="AI34" s="586"/>
      <c r="AJ34" s="586"/>
      <c r="AK34" s="586"/>
      <c r="AL34" s="586"/>
      <c r="AM34" s="586"/>
      <c r="AN34" s="586"/>
      <c r="AO34" s="586"/>
    </row>
    <row r="35" spans="1:41" ht="15.75">
      <c r="A35" s="5"/>
      <c r="B35" s="139"/>
      <c r="E35" s="164"/>
      <c r="F35" s="164"/>
      <c r="G35" s="164"/>
      <c r="H35" s="164"/>
      <c r="I35" s="164"/>
      <c r="J35" s="164"/>
      <c r="K35" s="164"/>
      <c r="L35" s="139"/>
      <c r="M35" s="164"/>
      <c r="N35" s="164"/>
      <c r="O35" s="164"/>
      <c r="P35" s="164"/>
      <c r="Q35" s="164"/>
      <c r="R35" s="139"/>
      <c r="S35" s="139"/>
      <c r="T35" s="139"/>
      <c r="U35" s="139"/>
      <c r="V35" s="139"/>
      <c r="W35" s="586"/>
      <c r="X35" s="586"/>
      <c r="Y35" s="586"/>
      <c r="Z35" s="586"/>
      <c r="AA35" s="586"/>
      <c r="AB35" s="586"/>
      <c r="AC35" s="586"/>
      <c r="AD35" s="586"/>
      <c r="AE35" s="586"/>
      <c r="AF35" s="586"/>
      <c r="AG35" s="586"/>
      <c r="AH35" s="586"/>
      <c r="AI35" s="586"/>
      <c r="AJ35" s="586"/>
      <c r="AK35" s="586"/>
      <c r="AL35" s="586"/>
      <c r="AM35" s="586"/>
      <c r="AN35" s="586"/>
      <c r="AO35" s="586"/>
    </row>
    <row r="36" spans="1:41" ht="15.75">
      <c r="A36" s="5"/>
      <c r="B36" s="139"/>
      <c r="E36" s="164"/>
      <c r="F36" s="164"/>
      <c r="G36" s="164"/>
      <c r="H36" s="164"/>
      <c r="I36" s="164"/>
      <c r="J36" s="164"/>
      <c r="K36" s="164"/>
      <c r="L36" s="139"/>
      <c r="M36" s="164"/>
      <c r="N36" s="164"/>
      <c r="O36" s="164"/>
      <c r="P36" s="164"/>
      <c r="Q36" s="164"/>
      <c r="R36" s="139"/>
      <c r="S36" s="139"/>
      <c r="T36" s="139"/>
      <c r="U36" s="139"/>
      <c r="V36" s="139"/>
      <c r="W36" s="586"/>
      <c r="X36" s="586"/>
      <c r="Y36" s="586"/>
      <c r="Z36" s="586"/>
      <c r="AA36" s="586"/>
      <c r="AB36" s="586"/>
      <c r="AC36" s="586"/>
      <c r="AD36" s="586"/>
      <c r="AE36" s="586"/>
      <c r="AF36" s="586"/>
      <c r="AG36" s="586"/>
      <c r="AH36" s="586"/>
      <c r="AI36" s="586"/>
      <c r="AJ36" s="586"/>
      <c r="AK36" s="586"/>
      <c r="AL36" s="586"/>
      <c r="AM36" s="586"/>
      <c r="AN36" s="586"/>
      <c r="AO36" s="586"/>
    </row>
    <row r="37" spans="1:41" ht="15.75">
      <c r="A37" s="5"/>
      <c r="B37" s="139"/>
      <c r="E37" s="164"/>
      <c r="F37" s="164"/>
      <c r="G37" s="164"/>
      <c r="H37" s="164"/>
      <c r="I37" s="164"/>
      <c r="J37" s="164"/>
      <c r="K37" s="164"/>
      <c r="L37" s="139"/>
      <c r="M37" s="164"/>
      <c r="N37" s="164"/>
      <c r="O37" s="164"/>
      <c r="P37" s="164"/>
      <c r="Q37" s="164"/>
      <c r="R37" s="139"/>
      <c r="S37" s="139"/>
      <c r="T37" s="139"/>
      <c r="U37" s="139"/>
      <c r="V37" s="139"/>
      <c r="W37" s="586"/>
      <c r="X37" s="586"/>
      <c r="Y37" s="586"/>
      <c r="Z37" s="586"/>
      <c r="AA37" s="586"/>
      <c r="AB37" s="586"/>
      <c r="AC37" s="586"/>
      <c r="AD37" s="586"/>
      <c r="AE37" s="586"/>
      <c r="AF37" s="586"/>
      <c r="AG37" s="586"/>
      <c r="AH37" s="586"/>
      <c r="AI37" s="586"/>
      <c r="AJ37" s="586"/>
      <c r="AK37" s="586"/>
      <c r="AL37" s="586"/>
      <c r="AM37" s="586"/>
      <c r="AN37" s="586"/>
      <c r="AO37" s="586"/>
    </row>
    <row r="38" spans="1:41" ht="15.75">
      <c r="A38" s="5"/>
      <c r="B38" s="139"/>
      <c r="E38" s="164"/>
      <c r="F38" s="164"/>
      <c r="G38" s="164"/>
      <c r="H38" s="164"/>
      <c r="I38" s="164"/>
      <c r="J38" s="164"/>
      <c r="K38" s="164"/>
      <c r="L38" s="139"/>
      <c r="M38" s="164"/>
      <c r="N38" s="164"/>
      <c r="O38" s="164"/>
      <c r="P38" s="164"/>
      <c r="Q38" s="164"/>
      <c r="R38" s="139"/>
      <c r="S38" s="139"/>
      <c r="T38" s="139"/>
      <c r="U38" s="139"/>
      <c r="V38" s="139"/>
      <c r="W38" s="586"/>
      <c r="X38" s="586"/>
      <c r="Y38" s="586"/>
      <c r="Z38" s="586"/>
      <c r="AA38" s="586"/>
      <c r="AB38" s="586"/>
      <c r="AC38" s="586"/>
      <c r="AD38" s="586"/>
      <c r="AE38" s="586"/>
      <c r="AF38" s="586"/>
      <c r="AG38" s="586"/>
      <c r="AH38" s="586"/>
      <c r="AI38" s="586"/>
      <c r="AJ38" s="586"/>
      <c r="AK38" s="586"/>
      <c r="AL38" s="586"/>
      <c r="AM38" s="586"/>
      <c r="AN38" s="586"/>
      <c r="AO38" s="586"/>
    </row>
    <row r="39" spans="1:41" ht="15.75">
      <c r="A39" s="5"/>
      <c r="B39" s="139"/>
      <c r="E39" s="164"/>
      <c r="F39" s="164"/>
      <c r="G39" s="164"/>
      <c r="H39" s="164"/>
      <c r="I39" s="164"/>
      <c r="J39" s="164"/>
      <c r="K39" s="164"/>
      <c r="L39" s="139"/>
      <c r="M39" s="164"/>
      <c r="N39" s="164"/>
      <c r="O39" s="164"/>
      <c r="P39" s="164"/>
      <c r="Q39" s="164"/>
      <c r="R39" s="139"/>
      <c r="S39" s="139"/>
      <c r="T39" s="139"/>
      <c r="U39" s="139"/>
      <c r="V39" s="139"/>
      <c r="W39" s="586"/>
      <c r="X39" s="586"/>
      <c r="Y39" s="586"/>
      <c r="Z39" s="586"/>
      <c r="AA39" s="586"/>
      <c r="AB39" s="586"/>
      <c r="AC39" s="586"/>
      <c r="AD39" s="586"/>
      <c r="AE39" s="586"/>
      <c r="AF39" s="586"/>
      <c r="AG39" s="586"/>
      <c r="AH39" s="586"/>
      <c r="AI39" s="586"/>
      <c r="AJ39" s="586"/>
      <c r="AK39" s="586"/>
      <c r="AL39" s="586"/>
      <c r="AM39" s="586"/>
      <c r="AN39" s="586"/>
      <c r="AO39" s="586"/>
    </row>
    <row r="40" spans="9:41" ht="15.75">
      <c r="I40" s="164"/>
      <c r="J40" s="164"/>
      <c r="K40" s="164"/>
      <c r="L40" s="139"/>
      <c r="M40" s="164"/>
      <c r="N40" s="164"/>
      <c r="O40" s="164"/>
      <c r="P40" s="164"/>
      <c r="Q40" s="164"/>
      <c r="R40" s="139"/>
      <c r="S40" s="139"/>
      <c r="T40" s="139"/>
      <c r="U40" s="139"/>
      <c r="V40" s="139"/>
      <c r="W40" s="586"/>
      <c r="X40" s="586"/>
      <c r="Y40" s="586"/>
      <c r="Z40" s="586"/>
      <c r="AA40" s="586"/>
      <c r="AB40" s="586"/>
      <c r="AC40" s="586"/>
      <c r="AD40" s="586"/>
      <c r="AE40" s="586"/>
      <c r="AF40" s="586"/>
      <c r="AG40" s="586"/>
      <c r="AH40" s="586"/>
      <c r="AI40" s="586"/>
      <c r="AJ40" s="586"/>
      <c r="AK40" s="586"/>
      <c r="AL40" s="586"/>
      <c r="AM40" s="586"/>
      <c r="AN40" s="586"/>
      <c r="AO40" s="586"/>
    </row>
    <row r="41" spans="1:41" ht="15.75">
      <c r="A41" s="5"/>
      <c r="B41" s="139"/>
      <c r="E41" s="164"/>
      <c r="F41" s="164"/>
      <c r="G41" s="164"/>
      <c r="H41" s="164"/>
      <c r="I41" s="164"/>
      <c r="J41" s="164"/>
      <c r="K41" s="164"/>
      <c r="L41" s="139"/>
      <c r="M41" s="164"/>
      <c r="N41" s="164"/>
      <c r="O41" s="164"/>
      <c r="P41" s="164"/>
      <c r="Q41" s="164"/>
      <c r="R41" s="139"/>
      <c r="S41" s="139"/>
      <c r="T41" s="139"/>
      <c r="U41" s="139"/>
      <c r="V41" s="139"/>
      <c r="W41" s="586"/>
      <c r="X41" s="586"/>
      <c r="Y41" s="586"/>
      <c r="Z41" s="586"/>
      <c r="AA41" s="586"/>
      <c r="AB41" s="586"/>
      <c r="AC41" s="586"/>
      <c r="AD41" s="586"/>
      <c r="AE41" s="586"/>
      <c r="AF41" s="586"/>
      <c r="AG41" s="586"/>
      <c r="AH41" s="586"/>
      <c r="AI41" s="586"/>
      <c r="AJ41" s="586"/>
      <c r="AK41" s="586"/>
      <c r="AL41" s="586"/>
      <c r="AM41" s="586"/>
      <c r="AN41" s="586"/>
      <c r="AO41" s="586"/>
    </row>
    <row r="42" spans="1:41" ht="15.75">
      <c r="A42" s="5"/>
      <c r="B42" s="139"/>
      <c r="E42" s="164"/>
      <c r="F42" s="164"/>
      <c r="G42" s="164"/>
      <c r="H42" s="164"/>
      <c r="I42" s="164"/>
      <c r="J42" s="164"/>
      <c r="K42" s="164"/>
      <c r="L42" s="139"/>
      <c r="M42" s="164"/>
      <c r="N42" s="164"/>
      <c r="O42" s="164"/>
      <c r="P42" s="164"/>
      <c r="Q42" s="164"/>
      <c r="R42" s="139"/>
      <c r="S42" s="139"/>
      <c r="T42" s="139"/>
      <c r="U42" s="139"/>
      <c r="V42" s="139"/>
      <c r="W42" s="586"/>
      <c r="X42" s="586"/>
      <c r="Y42" s="586"/>
      <c r="Z42" s="586"/>
      <c r="AA42" s="586"/>
      <c r="AB42" s="586"/>
      <c r="AC42" s="586"/>
      <c r="AD42" s="586"/>
      <c r="AE42" s="586"/>
      <c r="AF42" s="586"/>
      <c r="AG42" s="586"/>
      <c r="AH42" s="586"/>
      <c r="AI42" s="586"/>
      <c r="AJ42" s="586"/>
      <c r="AK42" s="586"/>
      <c r="AL42" s="586"/>
      <c r="AM42" s="586"/>
      <c r="AN42" s="586"/>
      <c r="AO42" s="586"/>
    </row>
    <row r="43" spans="1:41" ht="15.75">
      <c r="A43" s="5"/>
      <c r="B43" s="139"/>
      <c r="E43" s="164"/>
      <c r="F43" s="164"/>
      <c r="G43" s="164"/>
      <c r="H43" s="164"/>
      <c r="I43" s="164"/>
      <c r="J43" s="164"/>
      <c r="K43" s="164"/>
      <c r="L43" s="139"/>
      <c r="M43" s="164"/>
      <c r="N43" s="164"/>
      <c r="O43" s="164"/>
      <c r="P43" s="164"/>
      <c r="Q43" s="164"/>
      <c r="R43" s="139"/>
      <c r="S43" s="139"/>
      <c r="T43" s="139"/>
      <c r="U43" s="139"/>
      <c r="V43" s="139"/>
      <c r="W43" s="586"/>
      <c r="X43" s="586"/>
      <c r="Y43" s="586"/>
      <c r="Z43" s="586"/>
      <c r="AA43" s="586"/>
      <c r="AB43" s="586"/>
      <c r="AC43" s="586"/>
      <c r="AD43" s="586"/>
      <c r="AE43" s="586"/>
      <c r="AF43" s="586"/>
      <c r="AG43" s="586"/>
      <c r="AH43" s="586"/>
      <c r="AI43" s="586"/>
      <c r="AJ43" s="586"/>
      <c r="AK43" s="586"/>
      <c r="AL43" s="586"/>
      <c r="AM43" s="586"/>
      <c r="AN43" s="586"/>
      <c r="AO43" s="586"/>
    </row>
    <row r="44" spans="1:41" ht="15.75">
      <c r="A44" s="5"/>
      <c r="B44" s="139"/>
      <c r="E44" s="164"/>
      <c r="F44" s="164"/>
      <c r="G44" s="164"/>
      <c r="H44" s="164"/>
      <c r="I44" s="164"/>
      <c r="J44" s="164"/>
      <c r="K44" s="164"/>
      <c r="L44" s="139"/>
      <c r="M44" s="164"/>
      <c r="N44" s="164"/>
      <c r="O44" s="164"/>
      <c r="P44" s="164"/>
      <c r="Q44" s="164"/>
      <c r="R44" s="139"/>
      <c r="S44" s="139"/>
      <c r="T44" s="139"/>
      <c r="U44" s="139"/>
      <c r="V44" s="139"/>
      <c r="W44" s="586"/>
      <c r="X44" s="586"/>
      <c r="Y44" s="586"/>
      <c r="Z44" s="586"/>
      <c r="AA44" s="586"/>
      <c r="AB44" s="586"/>
      <c r="AC44" s="586"/>
      <c r="AD44" s="586"/>
      <c r="AE44" s="586"/>
      <c r="AF44" s="586"/>
      <c r="AG44" s="586"/>
      <c r="AH44" s="586"/>
      <c r="AI44" s="586"/>
      <c r="AJ44" s="586"/>
      <c r="AK44" s="586"/>
      <c r="AL44" s="586"/>
      <c r="AM44" s="586"/>
      <c r="AN44" s="586"/>
      <c r="AO44" s="586"/>
    </row>
    <row r="45" spans="1:41" ht="15.75">
      <c r="A45" s="5"/>
      <c r="B45" s="139"/>
      <c r="E45" s="164"/>
      <c r="F45" s="164"/>
      <c r="G45" s="164"/>
      <c r="H45" s="164"/>
      <c r="I45" s="164"/>
      <c r="J45" s="164"/>
      <c r="K45" s="164"/>
      <c r="L45" s="139"/>
      <c r="M45" s="164"/>
      <c r="N45" s="164"/>
      <c r="O45" s="164"/>
      <c r="P45" s="164"/>
      <c r="Q45" s="164"/>
      <c r="R45" s="139"/>
      <c r="S45" s="139"/>
      <c r="T45" s="139"/>
      <c r="U45" s="139"/>
      <c r="V45" s="139"/>
      <c r="W45" s="586"/>
      <c r="X45" s="586"/>
      <c r="Y45" s="586"/>
      <c r="Z45" s="586"/>
      <c r="AA45" s="586"/>
      <c r="AB45" s="586"/>
      <c r="AC45" s="586"/>
      <c r="AD45" s="586"/>
      <c r="AE45" s="586"/>
      <c r="AF45" s="586"/>
      <c r="AG45" s="586"/>
      <c r="AH45" s="586"/>
      <c r="AI45" s="586"/>
      <c r="AJ45" s="586"/>
      <c r="AK45" s="586"/>
      <c r="AL45" s="586"/>
      <c r="AM45" s="586"/>
      <c r="AN45" s="586"/>
      <c r="AO45" s="586"/>
    </row>
    <row r="46" spans="1:41" ht="15.75">
      <c r="A46" s="5"/>
      <c r="B46" s="139"/>
      <c r="E46" s="164"/>
      <c r="F46" s="164"/>
      <c r="G46" s="164"/>
      <c r="H46" s="164"/>
      <c r="I46" s="164"/>
      <c r="J46" s="164"/>
      <c r="K46" s="164"/>
      <c r="L46" s="139"/>
      <c r="M46" s="164"/>
      <c r="N46" s="164"/>
      <c r="O46" s="164"/>
      <c r="P46" s="164"/>
      <c r="Q46" s="164"/>
      <c r="R46" s="139"/>
      <c r="S46" s="139"/>
      <c r="T46" s="139"/>
      <c r="U46" s="139"/>
      <c r="V46" s="139"/>
      <c r="W46" s="586"/>
      <c r="X46" s="586"/>
      <c r="Y46" s="586"/>
      <c r="Z46" s="586"/>
      <c r="AA46" s="586"/>
      <c r="AB46" s="586"/>
      <c r="AC46" s="586"/>
      <c r="AD46" s="586"/>
      <c r="AE46" s="586"/>
      <c r="AF46" s="586"/>
      <c r="AG46" s="586"/>
      <c r="AH46" s="586"/>
      <c r="AI46" s="586"/>
      <c r="AJ46" s="586"/>
      <c r="AK46" s="586"/>
      <c r="AL46" s="586"/>
      <c r="AM46" s="586"/>
      <c r="AN46" s="586"/>
      <c r="AO46" s="586"/>
    </row>
    <row r="47" spans="1:41" ht="15.75">
      <c r="A47" s="5"/>
      <c r="B47" s="139"/>
      <c r="E47" s="164"/>
      <c r="F47" s="164"/>
      <c r="G47" s="164"/>
      <c r="H47" s="164"/>
      <c r="I47" s="164"/>
      <c r="J47" s="164"/>
      <c r="K47" s="164"/>
      <c r="L47" s="139"/>
      <c r="M47" s="164"/>
      <c r="N47" s="164"/>
      <c r="O47" s="164"/>
      <c r="P47" s="164"/>
      <c r="Q47" s="164"/>
      <c r="R47" s="139"/>
      <c r="S47" s="139"/>
      <c r="T47" s="139"/>
      <c r="U47" s="139"/>
      <c r="V47" s="139"/>
      <c r="W47" s="586"/>
      <c r="X47" s="586"/>
      <c r="Y47" s="586"/>
      <c r="Z47" s="586"/>
      <c r="AA47" s="586"/>
      <c r="AB47" s="586"/>
      <c r="AC47" s="586"/>
      <c r="AD47" s="586"/>
      <c r="AE47" s="586"/>
      <c r="AF47" s="586"/>
      <c r="AG47" s="586"/>
      <c r="AH47" s="586"/>
      <c r="AI47" s="586"/>
      <c r="AJ47" s="586"/>
      <c r="AK47" s="586"/>
      <c r="AL47" s="586"/>
      <c r="AM47" s="586"/>
      <c r="AN47" s="586"/>
      <c r="AO47" s="586"/>
    </row>
    <row r="48" spans="1:41" ht="15.75">
      <c r="A48" s="5"/>
      <c r="B48" s="139"/>
      <c r="E48" s="164"/>
      <c r="F48" s="164"/>
      <c r="G48" s="164"/>
      <c r="H48" s="164"/>
      <c r="I48" s="164"/>
      <c r="J48" s="164"/>
      <c r="K48" s="164"/>
      <c r="L48" s="139"/>
      <c r="M48" s="164"/>
      <c r="N48" s="164"/>
      <c r="O48" s="164"/>
      <c r="P48" s="164"/>
      <c r="Q48" s="164"/>
      <c r="R48" s="139"/>
      <c r="S48" s="139"/>
      <c r="T48" s="139"/>
      <c r="U48" s="139"/>
      <c r="V48" s="139"/>
      <c r="W48" s="586"/>
      <c r="X48" s="586"/>
      <c r="Y48" s="586"/>
      <c r="Z48" s="586"/>
      <c r="AA48" s="586"/>
      <c r="AB48" s="586"/>
      <c r="AC48" s="586"/>
      <c r="AD48" s="586"/>
      <c r="AE48" s="586"/>
      <c r="AF48" s="586"/>
      <c r="AG48" s="586"/>
      <c r="AH48" s="586"/>
      <c r="AI48" s="586"/>
      <c r="AJ48" s="586"/>
      <c r="AK48" s="586"/>
      <c r="AL48" s="586"/>
      <c r="AM48" s="586"/>
      <c r="AN48" s="586"/>
      <c r="AO48" s="586"/>
    </row>
    <row r="49" spans="1:41" ht="15.75">
      <c r="A49" s="5"/>
      <c r="B49" s="139"/>
      <c r="E49" s="164"/>
      <c r="F49" s="164"/>
      <c r="G49" s="164"/>
      <c r="H49" s="164"/>
      <c r="I49" s="164"/>
      <c r="J49" s="164"/>
      <c r="K49" s="164"/>
      <c r="L49" s="139"/>
      <c r="M49" s="164"/>
      <c r="N49" s="164"/>
      <c r="O49" s="164"/>
      <c r="P49" s="164"/>
      <c r="Q49" s="164"/>
      <c r="R49" s="139"/>
      <c r="S49" s="139"/>
      <c r="T49" s="139"/>
      <c r="U49" s="139"/>
      <c r="V49" s="139"/>
      <c r="W49" s="586"/>
      <c r="X49" s="586"/>
      <c r="Y49" s="586"/>
      <c r="Z49" s="586"/>
      <c r="AA49" s="586"/>
      <c r="AB49" s="586"/>
      <c r="AC49" s="586"/>
      <c r="AD49" s="586"/>
      <c r="AE49" s="586"/>
      <c r="AF49" s="586"/>
      <c r="AG49" s="586"/>
      <c r="AH49" s="586"/>
      <c r="AI49" s="586"/>
      <c r="AJ49" s="586"/>
      <c r="AK49" s="586"/>
      <c r="AL49" s="586"/>
      <c r="AM49" s="586"/>
      <c r="AN49" s="586"/>
      <c r="AO49" s="586"/>
    </row>
    <row r="50" spans="1:41" ht="15.75">
      <c r="A50" s="5"/>
      <c r="B50" s="139"/>
      <c r="E50" s="164"/>
      <c r="F50" s="164"/>
      <c r="G50" s="164"/>
      <c r="H50" s="164"/>
      <c r="I50" s="164"/>
      <c r="J50" s="164"/>
      <c r="K50" s="164"/>
      <c r="L50" s="139"/>
      <c r="M50" s="164"/>
      <c r="N50" s="164"/>
      <c r="O50" s="164"/>
      <c r="P50" s="164"/>
      <c r="Q50" s="164"/>
      <c r="R50" s="139"/>
      <c r="S50" s="139"/>
      <c r="T50" s="139"/>
      <c r="U50" s="139"/>
      <c r="V50" s="139"/>
      <c r="W50" s="586"/>
      <c r="X50" s="586"/>
      <c r="Y50" s="586"/>
      <c r="Z50" s="586"/>
      <c r="AA50" s="586"/>
      <c r="AB50" s="586"/>
      <c r="AC50" s="586"/>
      <c r="AD50" s="586"/>
      <c r="AE50" s="586"/>
      <c r="AF50" s="586"/>
      <c r="AG50" s="586"/>
      <c r="AH50" s="586"/>
      <c r="AI50" s="586"/>
      <c r="AJ50" s="586"/>
      <c r="AK50" s="586"/>
      <c r="AL50" s="586"/>
      <c r="AM50" s="586"/>
      <c r="AN50" s="586"/>
      <c r="AO50" s="586"/>
    </row>
    <row r="51" spans="1:41" ht="15.75">
      <c r="A51" s="5"/>
      <c r="B51" s="139"/>
      <c r="E51" s="164"/>
      <c r="F51" s="164"/>
      <c r="G51" s="164"/>
      <c r="H51" s="164"/>
      <c r="I51" s="164"/>
      <c r="J51" s="164"/>
      <c r="K51" s="164"/>
      <c r="L51" s="139"/>
      <c r="M51" s="164"/>
      <c r="N51" s="164"/>
      <c r="O51" s="164"/>
      <c r="P51" s="164"/>
      <c r="Q51" s="164"/>
      <c r="R51" s="139"/>
      <c r="S51" s="139"/>
      <c r="T51" s="139"/>
      <c r="U51" s="139"/>
      <c r="V51" s="139"/>
      <c r="W51" s="586"/>
      <c r="X51" s="586"/>
      <c r="Y51" s="586"/>
      <c r="Z51" s="586"/>
      <c r="AA51" s="586"/>
      <c r="AB51" s="586"/>
      <c r="AC51" s="586"/>
      <c r="AD51" s="586"/>
      <c r="AE51" s="586"/>
      <c r="AF51" s="586"/>
      <c r="AG51" s="586"/>
      <c r="AH51" s="586"/>
      <c r="AI51" s="586"/>
      <c r="AJ51" s="586"/>
      <c r="AK51" s="586"/>
      <c r="AL51" s="586"/>
      <c r="AM51" s="586"/>
      <c r="AN51" s="586"/>
      <c r="AO51" s="586"/>
    </row>
    <row r="52" spans="1:41" ht="15.75">
      <c r="A52" s="5"/>
      <c r="B52" s="139"/>
      <c r="E52" s="164"/>
      <c r="F52" s="164"/>
      <c r="G52" s="164"/>
      <c r="H52" s="164"/>
      <c r="I52" s="164"/>
      <c r="J52" s="164"/>
      <c r="K52" s="164"/>
      <c r="L52" s="139"/>
      <c r="M52" s="164"/>
      <c r="N52" s="164"/>
      <c r="O52" s="164"/>
      <c r="P52" s="164"/>
      <c r="Q52" s="164"/>
      <c r="R52" s="139"/>
      <c r="S52" s="139"/>
      <c r="T52" s="139"/>
      <c r="U52" s="139"/>
      <c r="V52" s="139"/>
      <c r="W52" s="586"/>
      <c r="X52" s="586"/>
      <c r="Y52" s="586"/>
      <c r="Z52" s="586"/>
      <c r="AA52" s="586"/>
      <c r="AB52" s="586"/>
      <c r="AC52" s="586"/>
      <c r="AD52" s="586"/>
      <c r="AE52" s="586"/>
      <c r="AF52" s="586"/>
      <c r="AG52" s="586"/>
      <c r="AH52" s="586"/>
      <c r="AI52" s="586"/>
      <c r="AJ52" s="586"/>
      <c r="AK52" s="586"/>
      <c r="AL52" s="586"/>
      <c r="AM52" s="586"/>
      <c r="AN52" s="586"/>
      <c r="AO52" s="586"/>
    </row>
    <row r="53" spans="1:41" ht="15.75">
      <c r="A53" s="5"/>
      <c r="B53" s="139"/>
      <c r="E53" s="164"/>
      <c r="F53" s="164"/>
      <c r="G53" s="164"/>
      <c r="H53" s="164"/>
      <c r="I53" s="164"/>
      <c r="J53" s="164"/>
      <c r="K53" s="164"/>
      <c r="L53" s="139"/>
      <c r="M53" s="164"/>
      <c r="N53" s="164"/>
      <c r="O53" s="164"/>
      <c r="P53" s="164"/>
      <c r="Q53" s="164"/>
      <c r="R53" s="139"/>
      <c r="S53" s="139"/>
      <c r="T53" s="139"/>
      <c r="U53" s="139"/>
      <c r="V53" s="139"/>
      <c r="W53" s="586"/>
      <c r="X53" s="586"/>
      <c r="Y53" s="586"/>
      <c r="Z53" s="586"/>
      <c r="AA53" s="586"/>
      <c r="AB53" s="586"/>
      <c r="AC53" s="586"/>
      <c r="AD53" s="586"/>
      <c r="AE53" s="586"/>
      <c r="AF53" s="586"/>
      <c r="AG53" s="586"/>
      <c r="AH53" s="586"/>
      <c r="AI53" s="586"/>
      <c r="AJ53" s="586"/>
      <c r="AK53" s="586"/>
      <c r="AL53" s="586"/>
      <c r="AM53" s="586"/>
      <c r="AN53" s="586"/>
      <c r="AO53" s="586"/>
    </row>
    <row r="54" spans="1:41" ht="15.75">
      <c r="A54" s="5"/>
      <c r="B54" s="139"/>
      <c r="E54" s="164"/>
      <c r="F54" s="164"/>
      <c r="G54" s="164"/>
      <c r="H54" s="164"/>
      <c r="I54" s="164"/>
      <c r="J54" s="164"/>
      <c r="K54" s="164"/>
      <c r="L54" s="139"/>
      <c r="M54" s="164"/>
      <c r="N54" s="164"/>
      <c r="O54" s="164"/>
      <c r="P54" s="164"/>
      <c r="Q54" s="164"/>
      <c r="R54" s="139"/>
      <c r="S54" s="139"/>
      <c r="T54" s="139"/>
      <c r="U54" s="139"/>
      <c r="V54" s="139"/>
      <c r="W54" s="586"/>
      <c r="X54" s="586"/>
      <c r="Y54" s="586"/>
      <c r="Z54" s="586"/>
      <c r="AA54" s="586"/>
      <c r="AB54" s="586"/>
      <c r="AC54" s="586"/>
      <c r="AD54" s="586"/>
      <c r="AE54" s="586"/>
      <c r="AF54" s="586"/>
      <c r="AG54" s="586"/>
      <c r="AH54" s="586"/>
      <c r="AI54" s="586"/>
      <c r="AJ54" s="586"/>
      <c r="AK54" s="586"/>
      <c r="AL54" s="586"/>
      <c r="AM54" s="586"/>
      <c r="AN54" s="586"/>
      <c r="AO54" s="586"/>
    </row>
    <row r="55" spans="1:41" ht="15.75">
      <c r="A55" s="5"/>
      <c r="B55" s="139"/>
      <c r="E55" s="164"/>
      <c r="F55" s="164"/>
      <c r="G55" s="164"/>
      <c r="H55" s="164"/>
      <c r="I55" s="164"/>
      <c r="J55" s="164"/>
      <c r="K55" s="164"/>
      <c r="L55" s="139"/>
      <c r="M55" s="164"/>
      <c r="N55" s="164"/>
      <c r="O55" s="164"/>
      <c r="P55" s="164"/>
      <c r="Q55" s="164"/>
      <c r="R55" s="139"/>
      <c r="S55" s="139"/>
      <c r="T55" s="139"/>
      <c r="U55" s="139"/>
      <c r="V55" s="139"/>
      <c r="W55" s="586"/>
      <c r="X55" s="586"/>
      <c r="Y55" s="586"/>
      <c r="Z55" s="586"/>
      <c r="AA55" s="586"/>
      <c r="AB55" s="586"/>
      <c r="AC55" s="586"/>
      <c r="AD55" s="586"/>
      <c r="AE55" s="586"/>
      <c r="AF55" s="586"/>
      <c r="AG55" s="586"/>
      <c r="AH55" s="586"/>
      <c r="AI55" s="586"/>
      <c r="AJ55" s="586"/>
      <c r="AK55" s="586"/>
      <c r="AL55" s="586"/>
      <c r="AM55" s="586"/>
      <c r="AN55" s="586"/>
      <c r="AO55" s="586"/>
    </row>
    <row r="56" spans="1:41" ht="15.75">
      <c r="A56" s="5"/>
      <c r="B56" s="139"/>
      <c r="E56" s="164"/>
      <c r="F56" s="164"/>
      <c r="G56" s="164"/>
      <c r="H56" s="164"/>
      <c r="I56" s="164"/>
      <c r="J56" s="164"/>
      <c r="K56" s="164"/>
      <c r="L56" s="139"/>
      <c r="M56" s="164"/>
      <c r="N56" s="164"/>
      <c r="O56" s="164"/>
      <c r="P56" s="164"/>
      <c r="Q56" s="164"/>
      <c r="R56" s="139"/>
      <c r="S56" s="139"/>
      <c r="T56" s="139"/>
      <c r="U56" s="139"/>
      <c r="V56" s="139"/>
      <c r="W56" s="586"/>
      <c r="X56" s="586"/>
      <c r="Y56" s="586"/>
      <c r="Z56" s="586"/>
      <c r="AA56" s="586"/>
      <c r="AB56" s="586"/>
      <c r="AC56" s="586"/>
      <c r="AD56" s="586"/>
      <c r="AE56" s="586"/>
      <c r="AF56" s="586"/>
      <c r="AG56" s="586"/>
      <c r="AH56" s="586"/>
      <c r="AI56" s="586"/>
      <c r="AJ56" s="586"/>
      <c r="AK56" s="586"/>
      <c r="AL56" s="586"/>
      <c r="AM56" s="586"/>
      <c r="AN56" s="586"/>
      <c r="AO56" s="586"/>
    </row>
    <row r="57" spans="1:41" ht="15.75">
      <c r="A57" s="5"/>
      <c r="B57" s="139"/>
      <c r="E57" s="164"/>
      <c r="F57" s="164"/>
      <c r="G57" s="164"/>
      <c r="H57" s="164"/>
      <c r="I57" s="164"/>
      <c r="J57" s="164"/>
      <c r="K57" s="164"/>
      <c r="L57" s="139"/>
      <c r="M57" s="164"/>
      <c r="N57" s="164"/>
      <c r="O57" s="164"/>
      <c r="P57" s="164"/>
      <c r="Q57" s="164"/>
      <c r="R57" s="139"/>
      <c r="S57" s="139"/>
      <c r="T57" s="139"/>
      <c r="U57" s="139"/>
      <c r="V57" s="139"/>
      <c r="W57" s="586"/>
      <c r="X57" s="586"/>
      <c r="Y57" s="586"/>
      <c r="Z57" s="586"/>
      <c r="AA57" s="586"/>
      <c r="AB57" s="586"/>
      <c r="AC57" s="586"/>
      <c r="AD57" s="586"/>
      <c r="AE57" s="586"/>
      <c r="AF57" s="586"/>
      <c r="AG57" s="586"/>
      <c r="AH57" s="586"/>
      <c r="AI57" s="586"/>
      <c r="AJ57" s="586"/>
      <c r="AK57" s="586"/>
      <c r="AL57" s="586"/>
      <c r="AM57" s="586"/>
      <c r="AN57" s="586"/>
      <c r="AO57" s="586"/>
    </row>
    <row r="58" spans="1:41" ht="15.75">
      <c r="A58" s="5"/>
      <c r="B58" s="139"/>
      <c r="E58" s="164"/>
      <c r="F58" s="164"/>
      <c r="G58" s="164"/>
      <c r="H58" s="164"/>
      <c r="I58" s="164"/>
      <c r="J58" s="164"/>
      <c r="K58" s="164"/>
      <c r="L58" s="139"/>
      <c r="M58" s="164"/>
      <c r="N58" s="164"/>
      <c r="O58" s="164"/>
      <c r="P58" s="164"/>
      <c r="Q58" s="164"/>
      <c r="R58" s="139"/>
      <c r="S58" s="139"/>
      <c r="T58" s="139"/>
      <c r="U58" s="139"/>
      <c r="V58" s="139"/>
      <c r="W58" s="586"/>
      <c r="X58" s="586"/>
      <c r="Y58" s="586"/>
      <c r="Z58" s="586"/>
      <c r="AA58" s="586"/>
      <c r="AB58" s="586"/>
      <c r="AC58" s="586"/>
      <c r="AD58" s="586"/>
      <c r="AE58" s="586"/>
      <c r="AF58" s="586"/>
      <c r="AG58" s="586"/>
      <c r="AH58" s="586"/>
      <c r="AI58" s="586"/>
      <c r="AJ58" s="586"/>
      <c r="AK58" s="586"/>
      <c r="AL58" s="586"/>
      <c r="AM58" s="586"/>
      <c r="AN58" s="586"/>
      <c r="AO58" s="586"/>
    </row>
    <row r="59" spans="1:41" ht="15.75">
      <c r="A59" s="5"/>
      <c r="B59" s="139"/>
      <c r="E59" s="164"/>
      <c r="F59" s="164"/>
      <c r="G59" s="164"/>
      <c r="H59" s="164"/>
      <c r="I59" s="164"/>
      <c r="J59" s="164"/>
      <c r="K59" s="164"/>
      <c r="L59" s="139"/>
      <c r="M59" s="164"/>
      <c r="N59" s="164"/>
      <c r="O59" s="164"/>
      <c r="P59" s="164"/>
      <c r="Q59" s="164"/>
      <c r="R59" s="139"/>
      <c r="S59" s="139"/>
      <c r="T59" s="139"/>
      <c r="U59" s="139"/>
      <c r="V59" s="139"/>
      <c r="W59" s="586"/>
      <c r="X59" s="586"/>
      <c r="Y59" s="586"/>
      <c r="Z59" s="586"/>
      <c r="AA59" s="586"/>
      <c r="AB59" s="586"/>
      <c r="AC59" s="586"/>
      <c r="AD59" s="586"/>
      <c r="AE59" s="586"/>
      <c r="AF59" s="586"/>
      <c r="AG59" s="586"/>
      <c r="AH59" s="586"/>
      <c r="AI59" s="586"/>
      <c r="AJ59" s="586"/>
      <c r="AK59" s="586"/>
      <c r="AL59" s="586"/>
      <c r="AM59" s="586"/>
      <c r="AN59" s="586"/>
      <c r="AO59" s="586"/>
    </row>
    <row r="60" spans="1:41" ht="15.75">
      <c r="A60" s="5"/>
      <c r="B60" s="139"/>
      <c r="E60" s="164"/>
      <c r="F60" s="164"/>
      <c r="G60" s="164"/>
      <c r="H60" s="164"/>
      <c r="I60" s="164"/>
      <c r="J60" s="164"/>
      <c r="K60" s="164"/>
      <c r="L60" s="139"/>
      <c r="M60" s="164"/>
      <c r="N60" s="164"/>
      <c r="O60" s="164"/>
      <c r="P60" s="164"/>
      <c r="Q60" s="164"/>
      <c r="R60" s="139"/>
      <c r="S60" s="139"/>
      <c r="T60" s="139"/>
      <c r="U60" s="139"/>
      <c r="V60" s="139"/>
      <c r="W60" s="586"/>
      <c r="X60" s="586"/>
      <c r="Y60" s="586"/>
      <c r="Z60" s="586"/>
      <c r="AA60" s="586"/>
      <c r="AB60" s="586"/>
      <c r="AC60" s="586"/>
      <c r="AD60" s="586"/>
      <c r="AE60" s="586"/>
      <c r="AF60" s="586"/>
      <c r="AG60" s="586"/>
      <c r="AH60" s="586"/>
      <c r="AI60" s="586"/>
      <c r="AJ60" s="586"/>
      <c r="AK60" s="586"/>
      <c r="AL60" s="586"/>
      <c r="AM60" s="586"/>
      <c r="AN60" s="586"/>
      <c r="AO60" s="586"/>
    </row>
    <row r="61" spans="1:41" ht="15.75">
      <c r="A61" s="5"/>
      <c r="B61" s="139"/>
      <c r="E61" s="164"/>
      <c r="F61" s="164"/>
      <c r="G61" s="164"/>
      <c r="H61" s="164"/>
      <c r="I61" s="164"/>
      <c r="J61" s="164"/>
      <c r="K61" s="164"/>
      <c r="L61" s="139"/>
      <c r="M61" s="164"/>
      <c r="N61" s="164"/>
      <c r="O61" s="164"/>
      <c r="P61" s="164"/>
      <c r="Q61" s="164"/>
      <c r="R61" s="139"/>
      <c r="S61" s="139"/>
      <c r="T61" s="139"/>
      <c r="U61" s="139"/>
      <c r="V61" s="139"/>
      <c r="W61" s="586"/>
      <c r="X61" s="586"/>
      <c r="Y61" s="586"/>
      <c r="Z61" s="586"/>
      <c r="AA61" s="586"/>
      <c r="AB61" s="586"/>
      <c r="AC61" s="586"/>
      <c r="AD61" s="586"/>
      <c r="AE61" s="586"/>
      <c r="AF61" s="586"/>
      <c r="AG61" s="586"/>
      <c r="AH61" s="586"/>
      <c r="AI61" s="586"/>
      <c r="AJ61" s="586"/>
      <c r="AK61" s="586"/>
      <c r="AL61" s="586"/>
      <c r="AM61" s="586"/>
      <c r="AN61" s="586"/>
      <c r="AO61" s="586"/>
    </row>
    <row r="62" spans="1:41" ht="15.75">
      <c r="A62" s="5"/>
      <c r="B62" s="139"/>
      <c r="E62" s="164"/>
      <c r="F62" s="164"/>
      <c r="G62" s="164"/>
      <c r="H62" s="164"/>
      <c r="I62" s="164"/>
      <c r="J62" s="164"/>
      <c r="K62" s="164"/>
      <c r="L62" s="139"/>
      <c r="M62" s="164"/>
      <c r="N62" s="164"/>
      <c r="O62" s="164"/>
      <c r="P62" s="164"/>
      <c r="Q62" s="164"/>
      <c r="R62" s="139"/>
      <c r="S62" s="139"/>
      <c r="T62" s="139"/>
      <c r="U62" s="139"/>
      <c r="V62" s="139"/>
      <c r="W62" s="586"/>
      <c r="X62" s="586"/>
      <c r="Y62" s="586"/>
      <c r="Z62" s="586"/>
      <c r="AA62" s="586"/>
      <c r="AB62" s="586"/>
      <c r="AC62" s="586"/>
      <c r="AD62" s="586"/>
      <c r="AE62" s="586"/>
      <c r="AF62" s="586"/>
      <c r="AG62" s="586"/>
      <c r="AH62" s="586"/>
      <c r="AI62" s="586"/>
      <c r="AJ62" s="586"/>
      <c r="AK62" s="586"/>
      <c r="AL62" s="586"/>
      <c r="AM62" s="586"/>
      <c r="AN62" s="586"/>
      <c r="AO62" s="586"/>
    </row>
    <row r="63" spans="1:41" ht="15.75">
      <c r="A63" s="5"/>
      <c r="B63" s="139"/>
      <c r="E63" s="164"/>
      <c r="F63" s="164"/>
      <c r="G63" s="164"/>
      <c r="H63" s="164"/>
      <c r="I63" s="164"/>
      <c r="J63" s="164"/>
      <c r="K63" s="164"/>
      <c r="L63" s="139"/>
      <c r="M63" s="164"/>
      <c r="N63" s="164"/>
      <c r="O63" s="164"/>
      <c r="P63" s="164"/>
      <c r="Q63" s="164"/>
      <c r="R63" s="139"/>
      <c r="S63" s="139"/>
      <c r="T63" s="139"/>
      <c r="U63" s="139"/>
      <c r="V63" s="139"/>
      <c r="W63" s="586"/>
      <c r="X63" s="586"/>
      <c r="Y63" s="586"/>
      <c r="Z63" s="586"/>
      <c r="AA63" s="586"/>
      <c r="AB63" s="586"/>
      <c r="AC63" s="586"/>
      <c r="AD63" s="586"/>
      <c r="AE63" s="586"/>
      <c r="AF63" s="586"/>
      <c r="AG63" s="586"/>
      <c r="AH63" s="586"/>
      <c r="AI63" s="586"/>
      <c r="AJ63" s="586"/>
      <c r="AK63" s="586"/>
      <c r="AL63" s="586"/>
      <c r="AM63" s="586"/>
      <c r="AN63" s="586"/>
      <c r="AO63" s="586"/>
    </row>
    <row r="64" spans="1:41" ht="15.75">
      <c r="A64" s="5"/>
      <c r="B64" s="139"/>
      <c r="E64" s="164"/>
      <c r="F64" s="164"/>
      <c r="G64" s="164"/>
      <c r="H64" s="164"/>
      <c r="I64" s="164"/>
      <c r="J64" s="164"/>
      <c r="K64" s="164"/>
      <c r="L64" s="139"/>
      <c r="M64" s="164"/>
      <c r="N64" s="164"/>
      <c r="O64" s="164"/>
      <c r="P64" s="164"/>
      <c r="Q64" s="164"/>
      <c r="R64" s="139"/>
      <c r="S64" s="139"/>
      <c r="T64" s="139"/>
      <c r="U64" s="139"/>
      <c r="V64" s="139"/>
      <c r="W64" s="586"/>
      <c r="X64" s="586"/>
      <c r="Y64" s="586"/>
      <c r="Z64" s="586"/>
      <c r="AA64" s="586"/>
      <c r="AB64" s="586"/>
      <c r="AC64" s="586"/>
      <c r="AD64" s="586"/>
      <c r="AE64" s="586"/>
      <c r="AF64" s="586"/>
      <c r="AG64" s="586"/>
      <c r="AH64" s="586"/>
      <c r="AI64" s="586"/>
      <c r="AJ64" s="586"/>
      <c r="AK64" s="586"/>
      <c r="AL64" s="586"/>
      <c r="AM64" s="586"/>
      <c r="AN64" s="586"/>
      <c r="AO64" s="586"/>
    </row>
    <row r="65" spans="1:41" ht="15.75">
      <c r="A65" s="5"/>
      <c r="B65" s="139"/>
      <c r="E65" s="164"/>
      <c r="F65" s="164"/>
      <c r="G65" s="164"/>
      <c r="H65" s="164"/>
      <c r="I65" s="164"/>
      <c r="J65" s="164"/>
      <c r="K65" s="164"/>
      <c r="L65" s="139"/>
      <c r="M65" s="164"/>
      <c r="N65" s="164"/>
      <c r="O65" s="164"/>
      <c r="P65" s="164"/>
      <c r="Q65" s="164"/>
      <c r="R65" s="139"/>
      <c r="S65" s="139"/>
      <c r="T65" s="139"/>
      <c r="U65" s="139"/>
      <c r="V65" s="139"/>
      <c r="W65" s="586"/>
      <c r="X65" s="586"/>
      <c r="Y65" s="586"/>
      <c r="Z65" s="586"/>
      <c r="AA65" s="586"/>
      <c r="AB65" s="586"/>
      <c r="AC65" s="586"/>
      <c r="AD65" s="586"/>
      <c r="AE65" s="586"/>
      <c r="AF65" s="586"/>
      <c r="AG65" s="586"/>
      <c r="AH65" s="586"/>
      <c r="AI65" s="586"/>
      <c r="AJ65" s="586"/>
      <c r="AK65" s="586"/>
      <c r="AL65" s="586"/>
      <c r="AM65" s="586"/>
      <c r="AN65" s="586"/>
      <c r="AO65" s="586"/>
    </row>
    <row r="66" spans="1:41" ht="15.75">
      <c r="A66" s="5"/>
      <c r="B66" s="139"/>
      <c r="E66" s="164"/>
      <c r="F66" s="164"/>
      <c r="G66" s="164"/>
      <c r="H66" s="164"/>
      <c r="I66" s="164"/>
      <c r="J66" s="164"/>
      <c r="K66" s="164"/>
      <c r="L66" s="139"/>
      <c r="M66" s="164"/>
      <c r="N66" s="164"/>
      <c r="O66" s="164"/>
      <c r="P66" s="164"/>
      <c r="Q66" s="164"/>
      <c r="R66" s="139"/>
      <c r="S66" s="139"/>
      <c r="T66" s="139"/>
      <c r="U66" s="139"/>
      <c r="V66" s="139"/>
      <c r="W66" s="586"/>
      <c r="X66" s="586"/>
      <c r="Y66" s="586"/>
      <c r="Z66" s="586"/>
      <c r="AA66" s="586"/>
      <c r="AB66" s="586"/>
      <c r="AC66" s="586"/>
      <c r="AD66" s="586"/>
      <c r="AE66" s="586"/>
      <c r="AF66" s="586"/>
      <c r="AG66" s="586"/>
      <c r="AH66" s="586"/>
      <c r="AI66" s="586"/>
      <c r="AJ66" s="586"/>
      <c r="AK66" s="586"/>
      <c r="AL66" s="586"/>
      <c r="AM66" s="586"/>
      <c r="AN66" s="586"/>
      <c r="AO66" s="586"/>
    </row>
    <row r="67" spans="1:41" ht="15.75">
      <c r="A67" s="5"/>
      <c r="B67" s="139"/>
      <c r="E67" s="164"/>
      <c r="F67" s="164"/>
      <c r="G67" s="164"/>
      <c r="H67" s="164"/>
      <c r="I67" s="164"/>
      <c r="J67" s="164"/>
      <c r="K67" s="164"/>
      <c r="L67" s="139"/>
      <c r="M67" s="164"/>
      <c r="N67" s="164"/>
      <c r="O67" s="164"/>
      <c r="P67" s="164"/>
      <c r="Q67" s="164"/>
      <c r="R67" s="139"/>
      <c r="S67" s="139"/>
      <c r="T67" s="139"/>
      <c r="U67" s="139"/>
      <c r="V67" s="139"/>
      <c r="W67" s="586"/>
      <c r="X67" s="586"/>
      <c r="Y67" s="586"/>
      <c r="Z67" s="586"/>
      <c r="AA67" s="586"/>
      <c r="AB67" s="586"/>
      <c r="AC67" s="586"/>
      <c r="AD67" s="586"/>
      <c r="AE67" s="586"/>
      <c r="AF67" s="586"/>
      <c r="AG67" s="586"/>
      <c r="AH67" s="586"/>
      <c r="AI67" s="586"/>
      <c r="AJ67" s="586"/>
      <c r="AK67" s="586"/>
      <c r="AL67" s="586"/>
      <c r="AM67" s="586"/>
      <c r="AN67" s="586"/>
      <c r="AO67" s="586"/>
    </row>
    <row r="68" spans="1:41" ht="15.75">
      <c r="A68" s="5"/>
      <c r="B68" s="139"/>
      <c r="E68" s="164"/>
      <c r="F68" s="164"/>
      <c r="G68" s="164"/>
      <c r="H68" s="164"/>
      <c r="I68" s="164"/>
      <c r="J68" s="164"/>
      <c r="K68" s="164"/>
      <c r="L68" s="139"/>
      <c r="M68" s="164"/>
      <c r="N68" s="164"/>
      <c r="O68" s="164"/>
      <c r="P68" s="164"/>
      <c r="Q68" s="164"/>
      <c r="R68" s="139"/>
      <c r="S68" s="139"/>
      <c r="T68" s="139"/>
      <c r="U68" s="139"/>
      <c r="V68" s="139"/>
      <c r="W68" s="586"/>
      <c r="X68" s="586"/>
      <c r="Y68" s="586"/>
      <c r="Z68" s="586"/>
      <c r="AA68" s="586"/>
      <c r="AB68" s="586"/>
      <c r="AC68" s="586"/>
      <c r="AD68" s="586"/>
      <c r="AE68" s="586"/>
      <c r="AF68" s="586"/>
      <c r="AG68" s="586"/>
      <c r="AH68" s="586"/>
      <c r="AI68" s="586"/>
      <c r="AJ68" s="586"/>
      <c r="AK68" s="586"/>
      <c r="AL68" s="586"/>
      <c r="AM68" s="586"/>
      <c r="AN68" s="586"/>
      <c r="AO68" s="586"/>
    </row>
    <row r="69" spans="1:41" ht="15.75">
      <c r="A69" s="5"/>
      <c r="B69" s="139"/>
      <c r="E69" s="164"/>
      <c r="F69" s="164"/>
      <c r="G69" s="164"/>
      <c r="H69" s="164"/>
      <c r="I69" s="164"/>
      <c r="J69" s="164"/>
      <c r="K69" s="164"/>
      <c r="L69" s="139"/>
      <c r="M69" s="164"/>
      <c r="N69" s="164"/>
      <c r="O69" s="164"/>
      <c r="P69" s="164"/>
      <c r="Q69" s="164"/>
      <c r="R69" s="139"/>
      <c r="S69" s="139"/>
      <c r="T69" s="139"/>
      <c r="U69" s="139"/>
      <c r="V69" s="139"/>
      <c r="W69" s="586"/>
      <c r="X69" s="586"/>
      <c r="Y69" s="586"/>
      <c r="Z69" s="586"/>
      <c r="AA69" s="586"/>
      <c r="AB69" s="586"/>
      <c r="AC69" s="586"/>
      <c r="AD69" s="586"/>
      <c r="AE69" s="586"/>
      <c r="AF69" s="586"/>
      <c r="AG69" s="586"/>
      <c r="AH69" s="586"/>
      <c r="AI69" s="586"/>
      <c r="AJ69" s="586"/>
      <c r="AK69" s="586"/>
      <c r="AL69" s="586"/>
      <c r="AM69" s="586"/>
      <c r="AN69" s="586"/>
      <c r="AO69" s="586"/>
    </row>
    <row r="70" spans="1:41" ht="15.75">
      <c r="A70" s="5"/>
      <c r="B70" s="139"/>
      <c r="E70" s="164"/>
      <c r="F70" s="164"/>
      <c r="G70" s="164"/>
      <c r="H70" s="164"/>
      <c r="I70" s="164"/>
      <c r="J70" s="164"/>
      <c r="K70" s="164"/>
      <c r="L70" s="139"/>
      <c r="M70" s="164"/>
      <c r="N70" s="164"/>
      <c r="O70" s="164"/>
      <c r="P70" s="164"/>
      <c r="Q70" s="164"/>
      <c r="R70" s="139"/>
      <c r="S70" s="139"/>
      <c r="T70" s="139"/>
      <c r="U70" s="139"/>
      <c r="V70" s="139"/>
      <c r="W70" s="586"/>
      <c r="X70" s="586"/>
      <c r="Y70" s="586"/>
      <c r="Z70" s="586"/>
      <c r="AA70" s="586"/>
      <c r="AB70" s="586"/>
      <c r="AC70" s="586"/>
      <c r="AD70" s="586"/>
      <c r="AE70" s="586"/>
      <c r="AF70" s="586"/>
      <c r="AG70" s="586"/>
      <c r="AH70" s="586"/>
      <c r="AI70" s="586"/>
      <c r="AJ70" s="586"/>
      <c r="AK70" s="586"/>
      <c r="AL70" s="586"/>
      <c r="AM70" s="586"/>
      <c r="AN70" s="586"/>
      <c r="AO70" s="586"/>
    </row>
    <row r="71" spans="1:41" ht="15.75">
      <c r="A71" s="5"/>
      <c r="B71" s="139"/>
      <c r="E71" s="164"/>
      <c r="F71" s="164"/>
      <c r="G71" s="164"/>
      <c r="H71" s="164"/>
      <c r="I71" s="164"/>
      <c r="J71" s="164"/>
      <c r="K71" s="164"/>
      <c r="L71" s="139"/>
      <c r="M71" s="164"/>
      <c r="N71" s="164"/>
      <c r="O71" s="164"/>
      <c r="P71" s="164"/>
      <c r="Q71" s="164"/>
      <c r="R71" s="139"/>
      <c r="S71" s="139"/>
      <c r="T71" s="139"/>
      <c r="U71" s="139"/>
      <c r="V71" s="139"/>
      <c r="W71" s="586"/>
      <c r="X71" s="586"/>
      <c r="Y71" s="586"/>
      <c r="Z71" s="586"/>
      <c r="AA71" s="586"/>
      <c r="AB71" s="586"/>
      <c r="AC71" s="586"/>
      <c r="AD71" s="586"/>
      <c r="AE71" s="586"/>
      <c r="AF71" s="586"/>
      <c r="AG71" s="586"/>
      <c r="AH71" s="586"/>
      <c r="AI71" s="586"/>
      <c r="AJ71" s="586"/>
      <c r="AK71" s="586"/>
      <c r="AL71" s="586"/>
      <c r="AM71" s="586"/>
      <c r="AN71" s="586"/>
      <c r="AO71" s="586"/>
    </row>
    <row r="72" spans="1:41" ht="15.75">
      <c r="A72" s="5"/>
      <c r="B72" s="139"/>
      <c r="E72" s="164"/>
      <c r="F72" s="164"/>
      <c r="G72" s="164"/>
      <c r="H72" s="164"/>
      <c r="I72" s="164"/>
      <c r="J72" s="164"/>
      <c r="K72" s="164"/>
      <c r="L72" s="139"/>
      <c r="M72" s="164"/>
      <c r="N72" s="164"/>
      <c r="O72" s="164"/>
      <c r="P72" s="164"/>
      <c r="Q72" s="164"/>
      <c r="R72" s="139"/>
      <c r="S72" s="139"/>
      <c r="T72" s="139"/>
      <c r="U72" s="139"/>
      <c r="V72" s="139"/>
      <c r="W72" s="586"/>
      <c r="X72" s="586"/>
      <c r="Y72" s="586"/>
      <c r="Z72" s="586"/>
      <c r="AA72" s="586"/>
      <c r="AB72" s="586"/>
      <c r="AC72" s="586"/>
      <c r="AD72" s="586"/>
      <c r="AE72" s="586"/>
      <c r="AF72" s="586"/>
      <c r="AG72" s="586"/>
      <c r="AH72" s="586"/>
      <c r="AI72" s="586"/>
      <c r="AJ72" s="586"/>
      <c r="AK72" s="586"/>
      <c r="AL72" s="586"/>
      <c r="AM72" s="586"/>
      <c r="AN72" s="586"/>
      <c r="AO72" s="586"/>
    </row>
    <row r="73" spans="1:41" ht="15.75">
      <c r="A73" s="5"/>
      <c r="B73" s="139"/>
      <c r="E73" s="164"/>
      <c r="F73" s="164"/>
      <c r="G73" s="164"/>
      <c r="H73" s="164"/>
      <c r="I73" s="164"/>
      <c r="J73" s="164"/>
      <c r="K73" s="164"/>
      <c r="L73" s="139"/>
      <c r="M73" s="164"/>
      <c r="N73" s="164"/>
      <c r="O73" s="164"/>
      <c r="P73" s="164"/>
      <c r="Q73" s="164"/>
      <c r="R73" s="139"/>
      <c r="S73" s="139"/>
      <c r="T73" s="139"/>
      <c r="U73" s="139"/>
      <c r="V73" s="139"/>
      <c r="W73" s="586"/>
      <c r="X73" s="586"/>
      <c r="Y73" s="586"/>
      <c r="Z73" s="586"/>
      <c r="AA73" s="586"/>
      <c r="AB73" s="586"/>
      <c r="AC73" s="586"/>
      <c r="AD73" s="586"/>
      <c r="AE73" s="586"/>
      <c r="AF73" s="586"/>
      <c r="AG73" s="586"/>
      <c r="AH73" s="586"/>
      <c r="AI73" s="586"/>
      <c r="AJ73" s="586"/>
      <c r="AK73" s="586"/>
      <c r="AL73" s="586"/>
      <c r="AM73" s="586"/>
      <c r="AN73" s="586"/>
      <c r="AO73" s="586"/>
    </row>
    <row r="74" spans="1:41" ht="15.75">
      <c r="A74" s="5"/>
      <c r="B74" s="139"/>
      <c r="E74" s="164"/>
      <c r="F74" s="164"/>
      <c r="G74" s="164"/>
      <c r="H74" s="164"/>
      <c r="I74" s="164"/>
      <c r="J74" s="164"/>
      <c r="K74" s="164"/>
      <c r="L74" s="139"/>
      <c r="M74" s="164"/>
      <c r="N74" s="164"/>
      <c r="O74" s="164"/>
      <c r="P74" s="164"/>
      <c r="Q74" s="164"/>
      <c r="R74" s="139"/>
      <c r="S74" s="139"/>
      <c r="T74" s="139"/>
      <c r="U74" s="139"/>
      <c r="V74" s="139"/>
      <c r="W74" s="586"/>
      <c r="X74" s="586"/>
      <c r="Y74" s="586"/>
      <c r="Z74" s="586"/>
      <c r="AA74" s="586"/>
      <c r="AB74" s="586"/>
      <c r="AC74" s="586"/>
      <c r="AD74" s="586"/>
      <c r="AE74" s="586"/>
      <c r="AF74" s="586"/>
      <c r="AG74" s="586"/>
      <c r="AH74" s="586"/>
      <c r="AI74" s="586"/>
      <c r="AJ74" s="586"/>
      <c r="AK74" s="586"/>
      <c r="AL74" s="586"/>
      <c r="AM74" s="586"/>
      <c r="AN74" s="586"/>
      <c r="AO74" s="586"/>
    </row>
    <row r="75" spans="1:41" ht="15.75">
      <c r="A75" s="5"/>
      <c r="B75" s="139"/>
      <c r="E75" s="164"/>
      <c r="F75" s="164"/>
      <c r="G75" s="164"/>
      <c r="H75" s="164"/>
      <c r="I75" s="164"/>
      <c r="J75" s="164"/>
      <c r="K75" s="164"/>
      <c r="L75" s="139"/>
      <c r="M75" s="164"/>
      <c r="N75" s="164"/>
      <c r="O75" s="164"/>
      <c r="P75" s="164"/>
      <c r="Q75" s="164"/>
      <c r="R75" s="139"/>
      <c r="S75" s="139"/>
      <c r="T75" s="139"/>
      <c r="U75" s="139"/>
      <c r="V75" s="139"/>
      <c r="W75" s="586"/>
      <c r="X75" s="586"/>
      <c r="Y75" s="586"/>
      <c r="Z75" s="586"/>
      <c r="AA75" s="586"/>
      <c r="AB75" s="586"/>
      <c r="AC75" s="586"/>
      <c r="AD75" s="586"/>
      <c r="AE75" s="586"/>
      <c r="AF75" s="586"/>
      <c r="AG75" s="586"/>
      <c r="AH75" s="586"/>
      <c r="AI75" s="586"/>
      <c r="AJ75" s="586"/>
      <c r="AK75" s="586"/>
      <c r="AL75" s="586"/>
      <c r="AM75" s="586"/>
      <c r="AN75" s="586"/>
      <c r="AO75" s="586"/>
    </row>
    <row r="76" spans="1:41" ht="15.75">
      <c r="A76" s="5"/>
      <c r="B76" s="139"/>
      <c r="E76" s="164"/>
      <c r="F76" s="164"/>
      <c r="G76" s="164"/>
      <c r="H76" s="164"/>
      <c r="I76" s="164"/>
      <c r="J76" s="164"/>
      <c r="K76" s="164"/>
      <c r="L76" s="139"/>
      <c r="M76" s="164"/>
      <c r="N76" s="164"/>
      <c r="O76" s="164"/>
      <c r="P76" s="164"/>
      <c r="Q76" s="164"/>
      <c r="R76" s="139"/>
      <c r="S76" s="139"/>
      <c r="T76" s="139"/>
      <c r="U76" s="139"/>
      <c r="V76" s="139"/>
      <c r="W76" s="586"/>
      <c r="X76" s="586"/>
      <c r="Y76" s="586"/>
      <c r="Z76" s="586"/>
      <c r="AA76" s="586"/>
      <c r="AB76" s="586"/>
      <c r="AC76" s="586"/>
      <c r="AD76" s="586"/>
      <c r="AE76" s="586"/>
      <c r="AF76" s="586"/>
      <c r="AG76" s="586"/>
      <c r="AH76" s="586"/>
      <c r="AI76" s="586"/>
      <c r="AJ76" s="586"/>
      <c r="AK76" s="586"/>
      <c r="AL76" s="586"/>
      <c r="AM76" s="586"/>
      <c r="AN76" s="586"/>
      <c r="AO76" s="586"/>
    </row>
    <row r="77" spans="1:41" ht="15.75">
      <c r="A77" s="5"/>
      <c r="B77" s="139"/>
      <c r="E77" s="164"/>
      <c r="F77" s="164"/>
      <c r="G77" s="164"/>
      <c r="H77" s="164"/>
      <c r="I77" s="164"/>
      <c r="J77" s="164"/>
      <c r="K77" s="164"/>
      <c r="L77" s="139"/>
      <c r="M77" s="164"/>
      <c r="N77" s="164"/>
      <c r="O77" s="164"/>
      <c r="P77" s="164"/>
      <c r="Q77" s="164"/>
      <c r="R77" s="139"/>
      <c r="S77" s="139"/>
      <c r="T77" s="139"/>
      <c r="U77" s="139"/>
      <c r="V77" s="139"/>
      <c r="W77" s="586"/>
      <c r="X77" s="586"/>
      <c r="Y77" s="586"/>
      <c r="Z77" s="586"/>
      <c r="AA77" s="586"/>
      <c r="AB77" s="586"/>
      <c r="AC77" s="586"/>
      <c r="AD77" s="586"/>
      <c r="AE77" s="586"/>
      <c r="AF77" s="586"/>
      <c r="AG77" s="586"/>
      <c r="AH77" s="586"/>
      <c r="AI77" s="586"/>
      <c r="AJ77" s="586"/>
      <c r="AK77" s="586"/>
      <c r="AL77" s="586"/>
      <c r="AM77" s="586"/>
      <c r="AN77" s="586"/>
      <c r="AO77" s="586"/>
    </row>
    <row r="78" spans="1:41" ht="15.75">
      <c r="A78" s="5"/>
      <c r="B78" s="139"/>
      <c r="E78" s="164"/>
      <c r="F78" s="164"/>
      <c r="G78" s="164"/>
      <c r="H78" s="164"/>
      <c r="I78" s="164"/>
      <c r="J78" s="164"/>
      <c r="K78" s="164"/>
      <c r="L78" s="139"/>
      <c r="M78" s="164"/>
      <c r="N78" s="164"/>
      <c r="O78" s="164"/>
      <c r="P78" s="164"/>
      <c r="Q78" s="164"/>
      <c r="R78" s="139"/>
      <c r="S78" s="139"/>
      <c r="T78" s="139"/>
      <c r="U78" s="139"/>
      <c r="V78" s="139"/>
      <c r="W78" s="586"/>
      <c r="X78" s="586"/>
      <c r="Y78" s="586"/>
      <c r="Z78" s="586"/>
      <c r="AA78" s="586"/>
      <c r="AB78" s="586"/>
      <c r="AC78" s="586"/>
      <c r="AD78" s="586"/>
      <c r="AE78" s="586"/>
      <c r="AF78" s="586"/>
      <c r="AG78" s="586"/>
      <c r="AH78" s="586"/>
      <c r="AI78" s="586"/>
      <c r="AJ78" s="586"/>
      <c r="AK78" s="586"/>
      <c r="AL78" s="586"/>
      <c r="AM78" s="586"/>
      <c r="AN78" s="586"/>
      <c r="AO78" s="586"/>
    </row>
    <row r="79" spans="1:41" ht="15.75">
      <c r="A79" s="5"/>
      <c r="B79" s="139"/>
      <c r="E79" s="164"/>
      <c r="F79" s="164"/>
      <c r="G79" s="164"/>
      <c r="H79" s="164"/>
      <c r="I79" s="164"/>
      <c r="J79" s="164"/>
      <c r="K79" s="164"/>
      <c r="L79" s="139"/>
      <c r="M79" s="164"/>
      <c r="N79" s="164"/>
      <c r="O79" s="164"/>
      <c r="P79" s="164"/>
      <c r="Q79" s="164"/>
      <c r="R79" s="139"/>
      <c r="S79" s="139"/>
      <c r="T79" s="139"/>
      <c r="U79" s="139"/>
      <c r="V79" s="139"/>
      <c r="W79" s="586"/>
      <c r="X79" s="586"/>
      <c r="Y79" s="586"/>
      <c r="Z79" s="586"/>
      <c r="AA79" s="586"/>
      <c r="AB79" s="586"/>
      <c r="AC79" s="586"/>
      <c r="AD79" s="586"/>
      <c r="AE79" s="586"/>
      <c r="AF79" s="586"/>
      <c r="AG79" s="586"/>
      <c r="AH79" s="586"/>
      <c r="AI79" s="586"/>
      <c r="AJ79" s="586"/>
      <c r="AK79" s="586"/>
      <c r="AL79" s="586"/>
      <c r="AM79" s="586"/>
      <c r="AN79" s="586"/>
      <c r="AO79" s="586"/>
    </row>
    <row r="80" spans="1:41" ht="15.75">
      <c r="A80" s="5"/>
      <c r="B80" s="139"/>
      <c r="E80" s="164"/>
      <c r="F80" s="164"/>
      <c r="G80" s="164"/>
      <c r="H80" s="164"/>
      <c r="I80" s="164"/>
      <c r="J80" s="164"/>
      <c r="K80" s="164"/>
      <c r="L80" s="139"/>
      <c r="M80" s="164"/>
      <c r="N80" s="164"/>
      <c r="O80" s="164"/>
      <c r="P80" s="164"/>
      <c r="Q80" s="164"/>
      <c r="R80" s="139"/>
      <c r="S80" s="139"/>
      <c r="T80" s="139"/>
      <c r="U80" s="139"/>
      <c r="V80" s="139"/>
      <c r="W80" s="586"/>
      <c r="X80" s="586"/>
      <c r="Y80" s="586"/>
      <c r="Z80" s="586"/>
      <c r="AA80" s="586"/>
      <c r="AB80" s="586"/>
      <c r="AC80" s="586"/>
      <c r="AD80" s="586"/>
      <c r="AE80" s="586"/>
      <c r="AF80" s="586"/>
      <c r="AG80" s="586"/>
      <c r="AH80" s="586"/>
      <c r="AI80" s="586"/>
      <c r="AJ80" s="586"/>
      <c r="AK80" s="586"/>
      <c r="AL80" s="586"/>
      <c r="AM80" s="586"/>
      <c r="AN80" s="586"/>
      <c r="AO80" s="586"/>
    </row>
    <row r="81" spans="1:41" ht="15.75">
      <c r="A81" s="5"/>
      <c r="B81" s="139"/>
      <c r="E81" s="164"/>
      <c r="F81" s="164"/>
      <c r="G81" s="164"/>
      <c r="H81" s="164"/>
      <c r="I81" s="164"/>
      <c r="J81" s="164"/>
      <c r="K81" s="164"/>
      <c r="L81" s="139"/>
      <c r="M81" s="164"/>
      <c r="N81" s="164"/>
      <c r="O81" s="164"/>
      <c r="P81" s="164"/>
      <c r="Q81" s="164"/>
      <c r="R81" s="139"/>
      <c r="S81" s="139"/>
      <c r="T81" s="139"/>
      <c r="U81" s="139"/>
      <c r="V81" s="139"/>
      <c r="W81" s="586"/>
      <c r="X81" s="586"/>
      <c r="Y81" s="586"/>
      <c r="Z81" s="586"/>
      <c r="AA81" s="586"/>
      <c r="AB81" s="586"/>
      <c r="AC81" s="586"/>
      <c r="AD81" s="586"/>
      <c r="AE81" s="586"/>
      <c r="AF81" s="586"/>
      <c r="AG81" s="586"/>
      <c r="AH81" s="586"/>
      <c r="AI81" s="586"/>
      <c r="AJ81" s="586"/>
      <c r="AK81" s="586"/>
      <c r="AL81" s="586"/>
      <c r="AM81" s="586"/>
      <c r="AN81" s="586"/>
      <c r="AO81" s="586"/>
    </row>
    <row r="82" spans="1:41" ht="15.75">
      <c r="A82" s="5"/>
      <c r="B82" s="139"/>
      <c r="E82" s="164"/>
      <c r="F82" s="164"/>
      <c r="G82" s="164"/>
      <c r="H82" s="164"/>
      <c r="I82" s="164"/>
      <c r="J82" s="164"/>
      <c r="K82" s="164"/>
      <c r="L82" s="139"/>
      <c r="M82" s="164"/>
      <c r="N82" s="164"/>
      <c r="O82" s="164"/>
      <c r="P82" s="164"/>
      <c r="Q82" s="164"/>
      <c r="R82" s="139"/>
      <c r="S82" s="139"/>
      <c r="T82" s="139"/>
      <c r="U82" s="139"/>
      <c r="V82" s="139"/>
      <c r="W82" s="586"/>
      <c r="X82" s="586"/>
      <c r="Y82" s="586"/>
      <c r="Z82" s="586"/>
      <c r="AA82" s="586"/>
      <c r="AB82" s="586"/>
      <c r="AC82" s="586"/>
      <c r="AD82" s="586"/>
      <c r="AE82" s="586"/>
      <c r="AF82" s="586"/>
      <c r="AG82" s="586"/>
      <c r="AH82" s="586"/>
      <c r="AI82" s="586"/>
      <c r="AJ82" s="586"/>
      <c r="AK82" s="586"/>
      <c r="AL82" s="586"/>
      <c r="AM82" s="586"/>
      <c r="AN82" s="586"/>
      <c r="AO82" s="586"/>
    </row>
    <row r="83" spans="1:41" ht="15.75">
      <c r="A83" s="5"/>
      <c r="B83" s="139"/>
      <c r="E83" s="164"/>
      <c r="F83" s="164"/>
      <c r="G83" s="164"/>
      <c r="H83" s="164"/>
      <c r="I83" s="164"/>
      <c r="J83" s="164"/>
      <c r="K83" s="164"/>
      <c r="L83" s="139"/>
      <c r="M83" s="164"/>
      <c r="N83" s="164"/>
      <c r="O83" s="164"/>
      <c r="P83" s="164"/>
      <c r="Q83" s="164"/>
      <c r="R83" s="139"/>
      <c r="S83" s="139"/>
      <c r="T83" s="139"/>
      <c r="U83" s="139"/>
      <c r="V83" s="139"/>
      <c r="W83" s="586"/>
      <c r="X83" s="586"/>
      <c r="Y83" s="586"/>
      <c r="Z83" s="586"/>
      <c r="AA83" s="586"/>
      <c r="AB83" s="586"/>
      <c r="AC83" s="586"/>
      <c r="AD83" s="586"/>
      <c r="AE83" s="586"/>
      <c r="AF83" s="586"/>
      <c r="AG83" s="586"/>
      <c r="AH83" s="586"/>
      <c r="AI83" s="586"/>
      <c r="AJ83" s="586"/>
      <c r="AK83" s="586"/>
      <c r="AL83" s="586"/>
      <c r="AM83" s="586"/>
      <c r="AN83" s="586"/>
      <c r="AO83" s="586"/>
    </row>
    <row r="84" spans="1:41" ht="15.75">
      <c r="A84" s="5"/>
      <c r="B84" s="139"/>
      <c r="E84" s="164"/>
      <c r="F84" s="164"/>
      <c r="G84" s="164"/>
      <c r="H84" s="164"/>
      <c r="I84" s="164"/>
      <c r="J84" s="164"/>
      <c r="K84" s="164"/>
      <c r="L84" s="139"/>
      <c r="M84" s="164"/>
      <c r="N84" s="164"/>
      <c r="O84" s="164"/>
      <c r="P84" s="164"/>
      <c r="Q84" s="164"/>
      <c r="R84" s="139"/>
      <c r="S84" s="139"/>
      <c r="T84" s="139"/>
      <c r="U84" s="139"/>
      <c r="V84" s="139"/>
      <c r="W84" s="586"/>
      <c r="X84" s="586"/>
      <c r="Y84" s="586"/>
      <c r="Z84" s="586"/>
      <c r="AA84" s="586"/>
      <c r="AB84" s="586"/>
      <c r="AC84" s="586"/>
      <c r="AD84" s="586"/>
      <c r="AE84" s="586"/>
      <c r="AF84" s="586"/>
      <c r="AG84" s="586"/>
      <c r="AH84" s="586"/>
      <c r="AI84" s="586"/>
      <c r="AJ84" s="586"/>
      <c r="AK84" s="586"/>
      <c r="AL84" s="586"/>
      <c r="AM84" s="586"/>
      <c r="AN84" s="586"/>
      <c r="AO84" s="586"/>
    </row>
    <row r="85" spans="1:41" ht="15.75">
      <c r="A85" s="5"/>
      <c r="B85" s="139"/>
      <c r="E85" s="164"/>
      <c r="F85" s="164"/>
      <c r="G85" s="164"/>
      <c r="H85" s="164"/>
      <c r="I85" s="164"/>
      <c r="J85" s="164"/>
      <c r="K85" s="164"/>
      <c r="L85" s="139"/>
      <c r="M85" s="164"/>
      <c r="N85" s="164"/>
      <c r="O85" s="164"/>
      <c r="P85" s="164"/>
      <c r="Q85" s="164"/>
      <c r="R85" s="139"/>
      <c r="S85" s="139"/>
      <c r="T85" s="139"/>
      <c r="U85" s="139"/>
      <c r="V85" s="139"/>
      <c r="W85" s="586"/>
      <c r="X85" s="586"/>
      <c r="Y85" s="586"/>
      <c r="Z85" s="586"/>
      <c r="AA85" s="586"/>
      <c r="AB85" s="586"/>
      <c r="AC85" s="586"/>
      <c r="AD85" s="586"/>
      <c r="AE85" s="586"/>
      <c r="AF85" s="586"/>
      <c r="AG85" s="586"/>
      <c r="AH85" s="586"/>
      <c r="AI85" s="586"/>
      <c r="AJ85" s="586"/>
      <c r="AK85" s="586"/>
      <c r="AL85" s="586"/>
      <c r="AM85" s="586"/>
      <c r="AN85" s="586"/>
      <c r="AO85" s="586"/>
    </row>
    <row r="86" spans="1:41" ht="15.75">
      <c r="A86" s="5"/>
      <c r="B86" s="139"/>
      <c r="E86" s="164"/>
      <c r="F86" s="164"/>
      <c r="G86" s="164"/>
      <c r="H86" s="164"/>
      <c r="I86" s="164"/>
      <c r="J86" s="164"/>
      <c r="K86" s="164"/>
      <c r="L86" s="139"/>
      <c r="M86" s="164"/>
      <c r="N86" s="164"/>
      <c r="O86" s="164"/>
      <c r="P86" s="164"/>
      <c r="Q86" s="164"/>
      <c r="R86" s="139"/>
      <c r="S86" s="139"/>
      <c r="T86" s="139"/>
      <c r="U86" s="139"/>
      <c r="V86" s="139"/>
      <c r="W86" s="586"/>
      <c r="X86" s="586"/>
      <c r="Y86" s="586"/>
      <c r="Z86" s="586"/>
      <c r="AA86" s="586"/>
      <c r="AB86" s="586"/>
      <c r="AC86" s="586"/>
      <c r="AD86" s="586"/>
      <c r="AE86" s="586"/>
      <c r="AF86" s="586"/>
      <c r="AG86" s="586"/>
      <c r="AH86" s="586"/>
      <c r="AI86" s="586"/>
      <c r="AJ86" s="586"/>
      <c r="AK86" s="586"/>
      <c r="AL86" s="586"/>
      <c r="AM86" s="586"/>
      <c r="AN86" s="586"/>
      <c r="AO86" s="586"/>
    </row>
    <row r="87" spans="1:41" ht="15.75">
      <c r="A87" s="5"/>
      <c r="B87" s="139"/>
      <c r="E87" s="164"/>
      <c r="F87" s="164"/>
      <c r="G87" s="164"/>
      <c r="H87" s="164"/>
      <c r="I87" s="164"/>
      <c r="J87" s="164"/>
      <c r="K87" s="164"/>
      <c r="L87" s="139"/>
      <c r="M87" s="164"/>
      <c r="N87" s="164"/>
      <c r="O87" s="164"/>
      <c r="P87" s="164"/>
      <c r="Q87" s="164"/>
      <c r="R87" s="139"/>
      <c r="S87" s="139"/>
      <c r="T87" s="139"/>
      <c r="U87" s="139"/>
      <c r="V87" s="139"/>
      <c r="W87" s="586"/>
      <c r="X87" s="586"/>
      <c r="Y87" s="586"/>
      <c r="Z87" s="586"/>
      <c r="AA87" s="586"/>
      <c r="AB87" s="586"/>
      <c r="AC87" s="586"/>
      <c r="AD87" s="586"/>
      <c r="AE87" s="586"/>
      <c r="AF87" s="586"/>
      <c r="AG87" s="586"/>
      <c r="AH87" s="586"/>
      <c r="AI87" s="586"/>
      <c r="AJ87" s="586"/>
      <c r="AK87" s="586"/>
      <c r="AL87" s="586"/>
      <c r="AM87" s="586"/>
      <c r="AN87" s="586"/>
      <c r="AO87" s="586"/>
    </row>
    <row r="88" spans="1:41" ht="15.75">
      <c r="A88" s="5"/>
      <c r="B88" s="139"/>
      <c r="E88" s="164"/>
      <c r="F88" s="164"/>
      <c r="G88" s="164"/>
      <c r="H88" s="164"/>
      <c r="I88" s="164"/>
      <c r="J88" s="164"/>
      <c r="K88" s="164"/>
      <c r="L88" s="139"/>
      <c r="M88" s="164"/>
      <c r="N88" s="164"/>
      <c r="O88" s="164"/>
      <c r="P88" s="164"/>
      <c r="Q88" s="164"/>
      <c r="R88" s="139"/>
      <c r="S88" s="139"/>
      <c r="T88" s="139"/>
      <c r="U88" s="139"/>
      <c r="V88" s="139"/>
      <c r="W88" s="586"/>
      <c r="X88" s="586"/>
      <c r="Y88" s="586"/>
      <c r="Z88" s="586"/>
      <c r="AA88" s="586"/>
      <c r="AB88" s="586"/>
      <c r="AC88" s="586"/>
      <c r="AD88" s="586"/>
      <c r="AE88" s="586"/>
      <c r="AF88" s="586"/>
      <c r="AG88" s="586"/>
      <c r="AH88" s="586"/>
      <c r="AI88" s="586"/>
      <c r="AJ88" s="586"/>
      <c r="AK88" s="586"/>
      <c r="AL88" s="586"/>
      <c r="AM88" s="586"/>
      <c r="AN88" s="586"/>
      <c r="AO88" s="586"/>
    </row>
    <row r="89" spans="1:41" ht="15.75">
      <c r="A89" s="5"/>
      <c r="B89" s="139"/>
      <c r="E89" s="164"/>
      <c r="F89" s="164"/>
      <c r="G89" s="164"/>
      <c r="H89" s="164"/>
      <c r="I89" s="164"/>
      <c r="J89" s="164"/>
      <c r="K89" s="164"/>
      <c r="L89" s="139"/>
      <c r="M89" s="164"/>
      <c r="N89" s="164"/>
      <c r="O89" s="164"/>
      <c r="P89" s="164"/>
      <c r="Q89" s="164"/>
      <c r="R89" s="139"/>
      <c r="S89" s="139"/>
      <c r="T89" s="139"/>
      <c r="U89" s="139"/>
      <c r="V89" s="139"/>
      <c r="W89" s="586"/>
      <c r="X89" s="586"/>
      <c r="Y89" s="586"/>
      <c r="Z89" s="586"/>
      <c r="AA89" s="586"/>
      <c r="AB89" s="586"/>
      <c r="AC89" s="586"/>
      <c r="AD89" s="586"/>
      <c r="AE89" s="586"/>
      <c r="AF89" s="586"/>
      <c r="AG89" s="586"/>
      <c r="AH89" s="586"/>
      <c r="AI89" s="586"/>
      <c r="AJ89" s="586"/>
      <c r="AK89" s="586"/>
      <c r="AL89" s="586"/>
      <c r="AM89" s="586"/>
      <c r="AN89" s="586"/>
      <c r="AO89" s="586"/>
    </row>
    <row r="90" spans="1:41" ht="15.75">
      <c r="A90" s="5"/>
      <c r="B90" s="139"/>
      <c r="E90" s="164"/>
      <c r="F90" s="164"/>
      <c r="G90" s="164"/>
      <c r="H90" s="164"/>
      <c r="I90" s="164"/>
      <c r="J90" s="164"/>
      <c r="K90" s="164"/>
      <c r="L90" s="139"/>
      <c r="M90" s="164"/>
      <c r="N90" s="164"/>
      <c r="O90" s="164"/>
      <c r="P90" s="164"/>
      <c r="Q90" s="164"/>
      <c r="R90" s="139"/>
      <c r="S90" s="139"/>
      <c r="T90" s="139"/>
      <c r="U90" s="139"/>
      <c r="V90" s="139"/>
      <c r="W90" s="586"/>
      <c r="X90" s="586"/>
      <c r="Y90" s="586"/>
      <c r="Z90" s="586"/>
      <c r="AA90" s="586"/>
      <c r="AB90" s="586"/>
      <c r="AC90" s="586"/>
      <c r="AD90" s="586"/>
      <c r="AE90" s="586"/>
      <c r="AF90" s="586"/>
      <c r="AG90" s="586"/>
      <c r="AH90" s="586"/>
      <c r="AI90" s="586"/>
      <c r="AJ90" s="586"/>
      <c r="AK90" s="586"/>
      <c r="AL90" s="586"/>
      <c r="AM90" s="586"/>
      <c r="AN90" s="586"/>
      <c r="AO90" s="586"/>
    </row>
    <row r="91" spans="1:41" ht="15">
      <c r="A91" s="582"/>
      <c r="B91" s="582"/>
      <c r="C91" s="582"/>
      <c r="D91" s="582"/>
      <c r="E91" s="582"/>
      <c r="F91" s="582"/>
      <c r="G91" s="582"/>
      <c r="H91" s="582"/>
      <c r="I91" s="582"/>
      <c r="J91" s="582"/>
      <c r="K91" s="582"/>
      <c r="L91" s="582"/>
      <c r="M91" s="582"/>
      <c r="N91" s="582"/>
      <c r="O91" s="582"/>
      <c r="P91" s="582"/>
      <c r="Q91" s="582"/>
      <c r="R91" s="582"/>
      <c r="S91" s="582"/>
      <c r="T91" s="582"/>
      <c r="U91" s="582"/>
      <c r="V91" s="582"/>
      <c r="W91" s="586"/>
      <c r="X91" s="586"/>
      <c r="Y91" s="586"/>
      <c r="Z91" s="586"/>
      <c r="AA91" s="586"/>
      <c r="AB91" s="586"/>
      <c r="AC91" s="586"/>
      <c r="AD91" s="586"/>
      <c r="AE91" s="586"/>
      <c r="AF91" s="586"/>
      <c r="AG91" s="586"/>
      <c r="AH91" s="586"/>
      <c r="AI91" s="586"/>
      <c r="AJ91" s="586"/>
      <c r="AK91" s="586"/>
      <c r="AL91" s="586"/>
      <c r="AM91" s="586"/>
      <c r="AN91" s="586"/>
      <c r="AO91" s="586"/>
    </row>
    <row r="92" spans="1:41" ht="15">
      <c r="A92" s="582"/>
      <c r="B92" s="582"/>
      <c r="C92" s="582"/>
      <c r="D92" s="582"/>
      <c r="E92" s="582"/>
      <c r="F92" s="582"/>
      <c r="G92" s="582"/>
      <c r="H92" s="582"/>
      <c r="I92" s="582"/>
      <c r="J92" s="582"/>
      <c r="K92" s="582"/>
      <c r="L92" s="582"/>
      <c r="M92" s="582"/>
      <c r="N92" s="582"/>
      <c r="O92" s="582"/>
      <c r="P92" s="582"/>
      <c r="Q92" s="582"/>
      <c r="R92" s="582"/>
      <c r="S92" s="582"/>
      <c r="T92" s="582"/>
      <c r="U92" s="582"/>
      <c r="V92" s="582"/>
      <c r="W92" s="586"/>
      <c r="X92" s="586"/>
      <c r="Y92" s="586"/>
      <c r="Z92" s="586"/>
      <c r="AA92" s="586"/>
      <c r="AB92" s="586"/>
      <c r="AC92" s="586"/>
      <c r="AD92" s="586"/>
      <c r="AE92" s="586"/>
      <c r="AF92" s="586"/>
      <c r="AG92" s="586"/>
      <c r="AH92" s="586"/>
      <c r="AI92" s="586"/>
      <c r="AJ92" s="586"/>
      <c r="AK92" s="586"/>
      <c r="AL92" s="586"/>
      <c r="AM92" s="586"/>
      <c r="AN92" s="586"/>
      <c r="AO92" s="586"/>
    </row>
    <row r="93" spans="1:41" ht="15">
      <c r="A93" s="582"/>
      <c r="B93" s="582"/>
      <c r="C93" s="582"/>
      <c r="D93" s="582"/>
      <c r="E93" s="582"/>
      <c r="F93" s="582"/>
      <c r="G93" s="582"/>
      <c r="H93" s="582"/>
      <c r="I93" s="582"/>
      <c r="J93" s="582"/>
      <c r="K93" s="582"/>
      <c r="L93" s="582"/>
      <c r="M93" s="582"/>
      <c r="N93" s="582"/>
      <c r="O93" s="582"/>
      <c r="P93" s="582"/>
      <c r="Q93" s="582"/>
      <c r="R93" s="582"/>
      <c r="S93" s="582"/>
      <c r="T93" s="582"/>
      <c r="U93" s="582"/>
      <c r="V93" s="582"/>
      <c r="W93" s="586"/>
      <c r="X93" s="586"/>
      <c r="Y93" s="586"/>
      <c r="Z93" s="586"/>
      <c r="AA93" s="586"/>
      <c r="AB93" s="586"/>
      <c r="AC93" s="586"/>
      <c r="AD93" s="586"/>
      <c r="AE93" s="586"/>
      <c r="AF93" s="586"/>
      <c r="AG93" s="586"/>
      <c r="AH93" s="586"/>
      <c r="AI93" s="586"/>
      <c r="AJ93" s="586"/>
      <c r="AK93" s="586"/>
      <c r="AL93" s="586"/>
      <c r="AM93" s="586"/>
      <c r="AN93" s="586"/>
      <c r="AO93" s="586"/>
    </row>
    <row r="94" spans="1:22" ht="15">
      <c r="A94" s="582"/>
      <c r="B94" s="582"/>
      <c r="C94" s="582"/>
      <c r="D94" s="582"/>
      <c r="E94" s="582"/>
      <c r="F94" s="582"/>
      <c r="G94" s="582"/>
      <c r="H94" s="582"/>
      <c r="I94" s="582"/>
      <c r="J94" s="582"/>
      <c r="K94" s="582"/>
      <c r="L94" s="582"/>
      <c r="M94" s="582"/>
      <c r="N94" s="582"/>
      <c r="O94" s="582"/>
      <c r="P94" s="582"/>
      <c r="Q94" s="582"/>
      <c r="R94" s="582"/>
      <c r="S94" s="582"/>
      <c r="T94" s="582"/>
      <c r="U94" s="582"/>
      <c r="V94" s="582"/>
    </row>
    <row r="95" spans="1:22" ht="15">
      <c r="A95" s="582"/>
      <c r="B95" s="582"/>
      <c r="C95" s="582"/>
      <c r="D95" s="582"/>
      <c r="E95" s="582"/>
      <c r="F95" s="582"/>
      <c r="G95" s="582"/>
      <c r="H95" s="582"/>
      <c r="I95" s="582"/>
      <c r="J95" s="582"/>
      <c r="K95" s="582"/>
      <c r="L95" s="582"/>
      <c r="M95" s="582"/>
      <c r="N95" s="582"/>
      <c r="O95" s="582"/>
      <c r="P95" s="582"/>
      <c r="Q95" s="582"/>
      <c r="R95" s="582"/>
      <c r="S95" s="582"/>
      <c r="T95" s="582"/>
      <c r="U95" s="582"/>
      <c r="V95" s="582"/>
    </row>
    <row r="96" spans="1:22" ht="15">
      <c r="A96" s="582"/>
      <c r="B96" s="582"/>
      <c r="C96" s="582"/>
      <c r="D96" s="582"/>
      <c r="E96" s="582"/>
      <c r="F96" s="582"/>
      <c r="G96" s="582"/>
      <c r="H96" s="582"/>
      <c r="I96" s="582"/>
      <c r="J96" s="582"/>
      <c r="K96" s="582"/>
      <c r="L96" s="582"/>
      <c r="M96" s="582"/>
      <c r="N96" s="582"/>
      <c r="O96" s="582"/>
      <c r="P96" s="582"/>
      <c r="Q96" s="582"/>
      <c r="R96" s="582"/>
      <c r="S96" s="582"/>
      <c r="T96" s="582"/>
      <c r="U96" s="582"/>
      <c r="V96" s="582"/>
    </row>
    <row r="97" spans="1:22" ht="15">
      <c r="A97" s="582"/>
      <c r="B97" s="582"/>
      <c r="C97" s="582"/>
      <c r="D97" s="582"/>
      <c r="E97" s="582"/>
      <c r="F97" s="582"/>
      <c r="G97" s="582"/>
      <c r="H97" s="582"/>
      <c r="I97" s="582"/>
      <c r="J97" s="582"/>
      <c r="K97" s="582"/>
      <c r="L97" s="582"/>
      <c r="M97" s="582"/>
      <c r="N97" s="582"/>
      <c r="O97" s="582"/>
      <c r="P97" s="582"/>
      <c r="Q97" s="582"/>
      <c r="R97" s="582"/>
      <c r="S97" s="582"/>
      <c r="T97" s="582"/>
      <c r="U97" s="582"/>
      <c r="V97" s="582"/>
    </row>
    <row r="98" spans="1:22" ht="12.75" customHeight="1">
      <c r="A98" s="582"/>
      <c r="B98" s="582"/>
      <c r="C98" s="582"/>
      <c r="D98" s="582"/>
      <c r="E98" s="582"/>
      <c r="F98" s="582"/>
      <c r="G98" s="582"/>
      <c r="H98" s="582"/>
      <c r="I98" s="582"/>
      <c r="J98" s="582"/>
      <c r="K98" s="582"/>
      <c r="L98" s="582"/>
      <c r="M98" s="582"/>
      <c r="N98" s="582"/>
      <c r="O98" s="582"/>
      <c r="P98" s="582"/>
      <c r="Q98" s="582"/>
      <c r="R98" s="582"/>
      <c r="S98" s="582"/>
      <c r="T98" s="582"/>
      <c r="U98" s="582"/>
      <c r="V98" s="582"/>
    </row>
    <row r="99" spans="1:22" ht="12.75" customHeight="1">
      <c r="A99" s="582"/>
      <c r="B99" s="582"/>
      <c r="C99" s="582"/>
      <c r="D99" s="582"/>
      <c r="E99" s="582"/>
      <c r="F99" s="582"/>
      <c r="G99" s="582"/>
      <c r="H99" s="582"/>
      <c r="I99" s="582"/>
      <c r="J99" s="582"/>
      <c r="K99" s="582"/>
      <c r="L99" s="582"/>
      <c r="M99" s="582"/>
      <c r="N99" s="582"/>
      <c r="O99" s="582"/>
      <c r="P99" s="582"/>
      <c r="Q99" s="582"/>
      <c r="R99" s="582"/>
      <c r="S99" s="582"/>
      <c r="T99" s="582"/>
      <c r="U99" s="582"/>
      <c r="V99" s="582"/>
    </row>
    <row r="100" spans="1:22" ht="12.75" customHeight="1">
      <c r="A100" s="582"/>
      <c r="B100" s="582"/>
      <c r="C100" s="582"/>
      <c r="D100" s="582"/>
      <c r="E100" s="582"/>
      <c r="F100" s="582"/>
      <c r="G100" s="582"/>
      <c r="H100" s="582"/>
      <c r="I100" s="582"/>
      <c r="J100" s="582"/>
      <c r="K100" s="582"/>
      <c r="L100" s="582"/>
      <c r="M100" s="582"/>
      <c r="N100" s="582"/>
      <c r="O100" s="582"/>
      <c r="P100" s="582"/>
      <c r="Q100" s="582"/>
      <c r="R100" s="582"/>
      <c r="S100" s="582"/>
      <c r="T100" s="582"/>
      <c r="U100" s="582"/>
      <c r="V100" s="582"/>
    </row>
    <row r="101" spans="1:22" ht="12.75" customHeight="1">
      <c r="A101" s="582"/>
      <c r="B101" s="582"/>
      <c r="C101" s="582"/>
      <c r="D101" s="582"/>
      <c r="E101" s="582"/>
      <c r="F101" s="582"/>
      <c r="G101" s="582"/>
      <c r="H101" s="582"/>
      <c r="I101" s="582"/>
      <c r="J101" s="582"/>
      <c r="K101" s="582"/>
      <c r="L101" s="582"/>
      <c r="M101" s="582"/>
      <c r="N101" s="582"/>
      <c r="O101" s="582"/>
      <c r="P101" s="582"/>
      <c r="Q101" s="582"/>
      <c r="R101" s="582"/>
      <c r="S101" s="582"/>
      <c r="T101" s="582"/>
      <c r="U101" s="582"/>
      <c r="V101" s="582"/>
    </row>
    <row r="102" spans="1:22" ht="12.75" customHeight="1">
      <c r="A102" s="582"/>
      <c r="B102" s="582"/>
      <c r="C102" s="582"/>
      <c r="D102" s="582"/>
      <c r="E102" s="582"/>
      <c r="F102" s="582"/>
      <c r="G102" s="582"/>
      <c r="H102" s="582"/>
      <c r="I102" s="582"/>
      <c r="J102" s="582"/>
      <c r="K102" s="582"/>
      <c r="L102" s="582"/>
      <c r="M102" s="582"/>
      <c r="N102" s="582"/>
      <c r="O102" s="582"/>
      <c r="P102" s="582"/>
      <c r="Q102" s="582"/>
      <c r="R102" s="582"/>
      <c r="S102" s="582"/>
      <c r="T102" s="582"/>
      <c r="U102" s="582"/>
      <c r="V102" s="582"/>
    </row>
    <row r="103" spans="1:22" ht="12.75" customHeight="1">
      <c r="A103" s="582"/>
      <c r="B103" s="582"/>
      <c r="C103" s="582"/>
      <c r="D103" s="582"/>
      <c r="E103" s="582"/>
      <c r="F103" s="582"/>
      <c r="G103" s="582"/>
      <c r="H103" s="582"/>
      <c r="I103" s="582"/>
      <c r="J103" s="582"/>
      <c r="K103" s="582"/>
      <c r="L103" s="582"/>
      <c r="M103" s="582"/>
      <c r="N103" s="582"/>
      <c r="O103" s="582"/>
      <c r="P103" s="582"/>
      <c r="Q103" s="582"/>
      <c r="R103" s="582"/>
      <c r="S103" s="582"/>
      <c r="T103" s="582"/>
      <c r="U103" s="582"/>
      <c r="V103" s="582"/>
    </row>
    <row r="104" spans="1:22" ht="12.75" customHeight="1">
      <c r="A104" s="582"/>
      <c r="B104" s="582"/>
      <c r="C104" s="582"/>
      <c r="D104" s="582"/>
      <c r="E104" s="582"/>
      <c r="F104" s="582"/>
      <c r="G104" s="582"/>
      <c r="H104" s="582"/>
      <c r="I104" s="582"/>
      <c r="J104" s="582"/>
      <c r="K104" s="582"/>
      <c r="L104" s="582"/>
      <c r="M104" s="582"/>
      <c r="N104" s="582"/>
      <c r="O104" s="582"/>
      <c r="P104" s="582"/>
      <c r="Q104" s="582"/>
      <c r="R104" s="582"/>
      <c r="S104" s="582"/>
      <c r="T104" s="582"/>
      <c r="U104" s="582"/>
      <c r="V104" s="582"/>
    </row>
    <row r="105" spans="1:22" ht="12.75" customHeight="1">
      <c r="A105" s="582"/>
      <c r="B105" s="582"/>
      <c r="C105" s="582"/>
      <c r="D105" s="582"/>
      <c r="E105" s="582"/>
      <c r="F105" s="582"/>
      <c r="G105" s="582"/>
      <c r="H105" s="582"/>
      <c r="I105" s="582"/>
      <c r="J105" s="582"/>
      <c r="K105" s="582"/>
      <c r="L105" s="582"/>
      <c r="M105" s="582"/>
      <c r="N105" s="582"/>
      <c r="O105" s="582"/>
      <c r="P105" s="582"/>
      <c r="Q105" s="582"/>
      <c r="R105" s="582"/>
      <c r="S105" s="582"/>
      <c r="T105" s="582"/>
      <c r="U105" s="582"/>
      <c r="V105" s="582"/>
    </row>
    <row r="106" spans="1:22" ht="12.75" customHeight="1">
      <c r="A106" s="582"/>
      <c r="B106" s="582"/>
      <c r="C106" s="582"/>
      <c r="D106" s="582"/>
      <c r="E106" s="582"/>
      <c r="F106" s="582"/>
      <c r="G106" s="582"/>
      <c r="H106" s="582"/>
      <c r="I106" s="582"/>
      <c r="J106" s="582"/>
      <c r="K106" s="582"/>
      <c r="L106" s="582"/>
      <c r="M106" s="582"/>
      <c r="N106" s="582"/>
      <c r="O106" s="582"/>
      <c r="P106" s="582"/>
      <c r="Q106" s="582"/>
      <c r="R106" s="582"/>
      <c r="S106" s="582"/>
      <c r="T106" s="582"/>
      <c r="U106" s="582"/>
      <c r="V106" s="582"/>
    </row>
    <row r="107" spans="1:22" ht="12.75" customHeight="1">
      <c r="A107" s="582"/>
      <c r="B107" s="582"/>
      <c r="C107" s="582"/>
      <c r="D107" s="582"/>
      <c r="E107" s="582"/>
      <c r="F107" s="582"/>
      <c r="G107" s="582"/>
      <c r="H107" s="582"/>
      <c r="I107" s="582"/>
      <c r="J107" s="582"/>
      <c r="K107" s="582"/>
      <c r="L107" s="582"/>
      <c r="M107" s="582"/>
      <c r="N107" s="582"/>
      <c r="O107" s="582"/>
      <c r="P107" s="582"/>
      <c r="Q107" s="582"/>
      <c r="R107" s="582"/>
      <c r="S107" s="582"/>
      <c r="T107" s="582"/>
      <c r="U107" s="582"/>
      <c r="V107" s="582"/>
    </row>
    <row r="108" spans="1:22" ht="12.75" customHeight="1">
      <c r="A108" s="582"/>
      <c r="B108" s="582"/>
      <c r="C108" s="582"/>
      <c r="D108" s="582"/>
      <c r="E108" s="582"/>
      <c r="F108" s="582"/>
      <c r="G108" s="582"/>
      <c r="H108" s="582"/>
      <c r="I108" s="582"/>
      <c r="J108" s="582"/>
      <c r="K108" s="582"/>
      <c r="L108" s="582"/>
      <c r="M108" s="582"/>
      <c r="N108" s="582"/>
      <c r="O108" s="582"/>
      <c r="P108" s="582"/>
      <c r="Q108" s="582"/>
      <c r="R108" s="582"/>
      <c r="S108" s="582"/>
      <c r="T108" s="582"/>
      <c r="U108" s="582"/>
      <c r="V108" s="582"/>
    </row>
    <row r="109" spans="1:22" ht="15">
      <c r="A109" s="582"/>
      <c r="B109" s="582"/>
      <c r="C109" s="582"/>
      <c r="D109" s="582"/>
      <c r="E109" s="582"/>
      <c r="F109" s="582"/>
      <c r="G109" s="582"/>
      <c r="H109" s="582"/>
      <c r="I109" s="582"/>
      <c r="J109" s="582"/>
      <c r="K109" s="582"/>
      <c r="L109" s="582"/>
      <c r="M109" s="582"/>
      <c r="N109" s="582"/>
      <c r="O109" s="582"/>
      <c r="P109" s="582"/>
      <c r="Q109" s="582"/>
      <c r="R109" s="582"/>
      <c r="S109" s="582"/>
      <c r="T109" s="582"/>
      <c r="U109" s="582"/>
      <c r="V109" s="582"/>
    </row>
    <row r="110" spans="1:22" ht="15">
      <c r="A110" s="582"/>
      <c r="B110" s="582"/>
      <c r="C110" s="582"/>
      <c r="D110" s="582"/>
      <c r="E110" s="582"/>
      <c r="F110" s="582"/>
      <c r="G110" s="582"/>
      <c r="H110" s="582"/>
      <c r="I110" s="582"/>
      <c r="J110" s="582"/>
      <c r="K110" s="582"/>
      <c r="L110" s="582"/>
      <c r="M110" s="582"/>
      <c r="N110" s="582"/>
      <c r="O110" s="582"/>
      <c r="P110" s="582"/>
      <c r="Q110" s="582"/>
      <c r="R110" s="582"/>
      <c r="S110" s="582"/>
      <c r="T110" s="582"/>
      <c r="U110" s="582"/>
      <c r="V110" s="582"/>
    </row>
    <row r="111" spans="1:22" ht="15">
      <c r="A111" s="582"/>
      <c r="B111" s="582"/>
      <c r="C111" s="582"/>
      <c r="D111" s="582"/>
      <c r="E111" s="582"/>
      <c r="F111" s="582"/>
      <c r="G111" s="582"/>
      <c r="H111" s="582"/>
      <c r="I111" s="582"/>
      <c r="J111" s="582"/>
      <c r="K111" s="582"/>
      <c r="L111" s="582"/>
      <c r="M111" s="582"/>
      <c r="N111" s="582"/>
      <c r="O111" s="582"/>
      <c r="P111" s="582"/>
      <c r="Q111" s="582"/>
      <c r="R111" s="582"/>
      <c r="S111" s="582"/>
      <c r="T111" s="582"/>
      <c r="U111" s="582"/>
      <c r="V111" s="582"/>
    </row>
    <row r="112" spans="1:22" ht="15">
      <c r="A112" s="582"/>
      <c r="B112" s="582"/>
      <c r="C112" s="582"/>
      <c r="D112" s="582"/>
      <c r="E112" s="582"/>
      <c r="F112" s="582"/>
      <c r="G112" s="582"/>
      <c r="H112" s="582"/>
      <c r="I112" s="582"/>
      <c r="J112" s="582"/>
      <c r="K112" s="582"/>
      <c r="L112" s="582"/>
      <c r="M112" s="582"/>
      <c r="N112" s="582"/>
      <c r="O112" s="582"/>
      <c r="P112" s="582"/>
      <c r="Q112" s="582"/>
      <c r="R112" s="582"/>
      <c r="S112" s="582"/>
      <c r="T112" s="582"/>
      <c r="U112" s="582"/>
      <c r="V112" s="582"/>
    </row>
    <row r="113" spans="1:22" ht="15">
      <c r="A113" s="582"/>
      <c r="B113" s="582"/>
      <c r="C113" s="582"/>
      <c r="D113" s="582"/>
      <c r="E113" s="582"/>
      <c r="F113" s="582"/>
      <c r="G113" s="582"/>
      <c r="H113" s="582"/>
      <c r="I113" s="582"/>
      <c r="J113" s="582"/>
      <c r="K113" s="582"/>
      <c r="L113" s="582"/>
      <c r="M113" s="582"/>
      <c r="N113" s="582"/>
      <c r="O113" s="582"/>
      <c r="P113" s="582"/>
      <c r="Q113" s="582"/>
      <c r="R113" s="582"/>
      <c r="S113" s="582"/>
      <c r="T113" s="582"/>
      <c r="U113" s="582"/>
      <c r="V113" s="582"/>
    </row>
    <row r="114" spans="1:22" ht="15">
      <c r="A114" s="582"/>
      <c r="B114" s="582"/>
      <c r="C114" s="582"/>
      <c r="D114" s="582"/>
      <c r="E114" s="582"/>
      <c r="F114" s="582"/>
      <c r="G114" s="582"/>
      <c r="H114" s="582"/>
      <c r="I114" s="582"/>
      <c r="J114" s="582"/>
      <c r="K114" s="582"/>
      <c r="L114" s="582"/>
      <c r="M114" s="582"/>
      <c r="N114" s="582"/>
      <c r="O114" s="582"/>
      <c r="P114" s="582"/>
      <c r="Q114" s="582"/>
      <c r="R114" s="582"/>
      <c r="S114" s="582"/>
      <c r="T114" s="582"/>
      <c r="U114" s="582"/>
      <c r="V114" s="582"/>
    </row>
    <row r="115" spans="1:22" ht="15">
      <c r="A115" s="582"/>
      <c r="B115" s="582"/>
      <c r="C115" s="582"/>
      <c r="D115" s="582"/>
      <c r="E115" s="582"/>
      <c r="F115" s="582"/>
      <c r="G115" s="582"/>
      <c r="H115" s="582"/>
      <c r="I115" s="582"/>
      <c r="J115" s="582"/>
      <c r="K115" s="582"/>
      <c r="L115" s="582"/>
      <c r="M115" s="582"/>
      <c r="N115" s="582"/>
      <c r="O115" s="582"/>
      <c r="P115" s="582"/>
      <c r="Q115" s="582"/>
      <c r="R115" s="582"/>
      <c r="S115" s="582"/>
      <c r="T115" s="582"/>
      <c r="U115" s="582"/>
      <c r="V115" s="582"/>
    </row>
    <row r="116" spans="1:22" ht="15">
      <c r="A116" s="582"/>
      <c r="B116" s="582"/>
      <c r="C116" s="582"/>
      <c r="D116" s="582"/>
      <c r="E116" s="582"/>
      <c r="F116" s="582"/>
      <c r="G116" s="582"/>
      <c r="H116" s="582"/>
      <c r="I116" s="582"/>
      <c r="J116" s="582"/>
      <c r="K116" s="582"/>
      <c r="L116" s="582"/>
      <c r="M116" s="582"/>
      <c r="N116" s="582"/>
      <c r="O116" s="582"/>
      <c r="P116" s="582"/>
      <c r="Q116" s="582"/>
      <c r="R116" s="582"/>
      <c r="S116" s="582"/>
      <c r="T116" s="582"/>
      <c r="U116" s="582"/>
      <c r="V116" s="582"/>
    </row>
    <row r="117" spans="1:22" ht="15">
      <c r="A117" s="582"/>
      <c r="B117" s="582"/>
      <c r="C117" s="582"/>
      <c r="D117" s="582"/>
      <c r="E117" s="582"/>
      <c r="F117" s="582"/>
      <c r="G117" s="582"/>
      <c r="H117" s="582"/>
      <c r="I117" s="582"/>
      <c r="J117" s="582"/>
      <c r="K117" s="582"/>
      <c r="L117" s="582"/>
      <c r="M117" s="582"/>
      <c r="N117" s="582"/>
      <c r="O117" s="582"/>
      <c r="P117" s="582"/>
      <c r="Q117" s="582"/>
      <c r="R117" s="582"/>
      <c r="S117" s="582"/>
      <c r="T117" s="582"/>
      <c r="U117" s="582"/>
      <c r="V117" s="582"/>
    </row>
    <row r="118" spans="1:22" ht="15">
      <c r="A118" s="582"/>
      <c r="B118" s="582"/>
      <c r="C118" s="582"/>
      <c r="D118" s="582"/>
      <c r="E118" s="582"/>
      <c r="F118" s="582"/>
      <c r="G118" s="582"/>
      <c r="H118" s="582"/>
      <c r="I118" s="582"/>
      <c r="J118" s="582"/>
      <c r="K118" s="582"/>
      <c r="L118" s="582"/>
      <c r="M118" s="582"/>
      <c r="N118" s="582"/>
      <c r="O118" s="582"/>
      <c r="P118" s="582"/>
      <c r="Q118" s="582"/>
      <c r="R118" s="582"/>
      <c r="S118" s="582"/>
      <c r="T118" s="582"/>
      <c r="U118" s="582"/>
      <c r="V118" s="582"/>
    </row>
    <row r="119" spans="1:22" ht="15">
      <c r="A119" s="582"/>
      <c r="B119" s="582"/>
      <c r="C119" s="582"/>
      <c r="D119" s="582"/>
      <c r="E119" s="582"/>
      <c r="F119" s="582"/>
      <c r="G119" s="582"/>
      <c r="H119" s="582"/>
      <c r="I119" s="582"/>
      <c r="J119" s="582"/>
      <c r="K119" s="582"/>
      <c r="L119" s="582"/>
      <c r="M119" s="582"/>
      <c r="N119" s="582"/>
      <c r="O119" s="582"/>
      <c r="P119" s="582"/>
      <c r="Q119" s="582"/>
      <c r="R119" s="582"/>
      <c r="S119" s="582"/>
      <c r="T119" s="582"/>
      <c r="U119" s="582"/>
      <c r="V119" s="582"/>
    </row>
    <row r="120" spans="1:22" ht="15">
      <c r="A120" s="582"/>
      <c r="B120" s="582"/>
      <c r="C120" s="582"/>
      <c r="D120" s="582"/>
      <c r="E120" s="582"/>
      <c r="F120" s="582"/>
      <c r="G120" s="582"/>
      <c r="H120" s="582"/>
      <c r="I120" s="582"/>
      <c r="J120" s="582"/>
      <c r="K120" s="582"/>
      <c r="L120" s="582"/>
      <c r="M120" s="582"/>
      <c r="N120" s="582"/>
      <c r="O120" s="582"/>
      <c r="P120" s="582"/>
      <c r="Q120" s="582"/>
      <c r="R120" s="582"/>
      <c r="S120" s="582"/>
      <c r="T120" s="582"/>
      <c r="U120" s="582"/>
      <c r="V120" s="582"/>
    </row>
    <row r="121" spans="1:22" ht="15">
      <c r="A121" s="582"/>
      <c r="B121" s="582"/>
      <c r="C121" s="582"/>
      <c r="D121" s="582"/>
      <c r="E121" s="582"/>
      <c r="F121" s="582"/>
      <c r="G121" s="582"/>
      <c r="H121" s="582"/>
      <c r="I121" s="582"/>
      <c r="J121" s="582"/>
      <c r="K121" s="582"/>
      <c r="L121" s="582"/>
      <c r="M121" s="582"/>
      <c r="N121" s="582"/>
      <c r="O121" s="582"/>
      <c r="P121" s="582"/>
      <c r="Q121" s="582"/>
      <c r="R121" s="582"/>
      <c r="S121" s="582"/>
      <c r="T121" s="582"/>
      <c r="U121" s="582"/>
      <c r="V121" s="582"/>
    </row>
    <row r="122" spans="1:22" ht="15">
      <c r="A122" s="582"/>
      <c r="B122" s="582"/>
      <c r="C122" s="582"/>
      <c r="D122" s="582"/>
      <c r="E122" s="582"/>
      <c r="F122" s="582"/>
      <c r="G122" s="582"/>
      <c r="H122" s="582"/>
      <c r="I122" s="582"/>
      <c r="J122" s="582"/>
      <c r="K122" s="582"/>
      <c r="L122" s="582"/>
      <c r="M122" s="582"/>
      <c r="N122" s="582"/>
      <c r="O122" s="582"/>
      <c r="P122" s="582"/>
      <c r="Q122" s="582"/>
      <c r="R122" s="582"/>
      <c r="S122" s="582"/>
      <c r="T122" s="582"/>
      <c r="U122" s="582"/>
      <c r="V122" s="582"/>
    </row>
    <row r="123" spans="1:22" ht="15">
      <c r="A123" s="582"/>
      <c r="B123" s="582"/>
      <c r="C123" s="582"/>
      <c r="D123" s="582"/>
      <c r="E123" s="582"/>
      <c r="F123" s="582"/>
      <c r="G123" s="582"/>
      <c r="H123" s="582"/>
      <c r="I123" s="582"/>
      <c r="J123" s="582"/>
      <c r="K123" s="582"/>
      <c r="L123" s="582"/>
      <c r="M123" s="582"/>
      <c r="N123" s="582"/>
      <c r="O123" s="582"/>
      <c r="P123" s="582"/>
      <c r="Q123" s="582"/>
      <c r="R123" s="582"/>
      <c r="S123" s="582"/>
      <c r="T123" s="582"/>
      <c r="U123" s="582"/>
      <c r="V123" s="582"/>
    </row>
    <row r="124" spans="1:22" ht="15">
      <c r="A124" s="582"/>
      <c r="B124" s="582"/>
      <c r="C124" s="582"/>
      <c r="D124" s="582"/>
      <c r="E124" s="582"/>
      <c r="F124" s="582"/>
      <c r="G124" s="582"/>
      <c r="H124" s="582"/>
      <c r="I124" s="582"/>
      <c r="J124" s="582"/>
      <c r="K124" s="582"/>
      <c r="L124" s="582"/>
      <c r="M124" s="582"/>
      <c r="N124" s="582"/>
      <c r="O124" s="582"/>
      <c r="P124" s="582"/>
      <c r="Q124" s="582"/>
      <c r="R124" s="582"/>
      <c r="S124" s="582"/>
      <c r="T124" s="582"/>
      <c r="U124" s="582"/>
      <c r="V124" s="582"/>
    </row>
    <row r="125" spans="1:22" ht="15">
      <c r="A125" s="582"/>
      <c r="B125" s="582"/>
      <c r="C125" s="582"/>
      <c r="D125" s="582"/>
      <c r="E125" s="582"/>
      <c r="F125" s="582"/>
      <c r="G125" s="582"/>
      <c r="H125" s="582"/>
      <c r="I125" s="582"/>
      <c r="J125" s="582"/>
      <c r="K125" s="582"/>
      <c r="L125" s="582"/>
      <c r="M125" s="582"/>
      <c r="N125" s="582"/>
      <c r="O125" s="582"/>
      <c r="P125" s="582"/>
      <c r="Q125" s="582"/>
      <c r="R125" s="582"/>
      <c r="S125" s="582"/>
      <c r="T125" s="582"/>
      <c r="U125" s="582"/>
      <c r="V125" s="582"/>
    </row>
    <row r="126" spans="1:22" ht="15">
      <c r="A126" s="582"/>
      <c r="B126" s="582"/>
      <c r="C126" s="582"/>
      <c r="D126" s="582"/>
      <c r="E126" s="582"/>
      <c r="F126" s="582"/>
      <c r="G126" s="582"/>
      <c r="H126" s="582"/>
      <c r="I126" s="582"/>
      <c r="J126" s="582"/>
      <c r="K126" s="582"/>
      <c r="L126" s="582"/>
      <c r="M126" s="582"/>
      <c r="N126" s="582"/>
      <c r="O126" s="582"/>
      <c r="P126" s="582"/>
      <c r="Q126" s="582"/>
      <c r="R126" s="582"/>
      <c r="S126" s="582"/>
      <c r="T126" s="582"/>
      <c r="U126" s="582"/>
      <c r="V126" s="582"/>
    </row>
    <row r="127" spans="1:22" ht="15">
      <c r="A127" s="582"/>
      <c r="B127" s="582"/>
      <c r="C127" s="582"/>
      <c r="D127" s="582"/>
      <c r="E127" s="582"/>
      <c r="F127" s="582"/>
      <c r="G127" s="582"/>
      <c r="H127" s="582"/>
      <c r="I127" s="582"/>
      <c r="J127" s="582"/>
      <c r="K127" s="582"/>
      <c r="L127" s="582"/>
      <c r="M127" s="582"/>
      <c r="N127" s="582"/>
      <c r="O127" s="582"/>
      <c r="P127" s="582"/>
      <c r="Q127" s="582"/>
      <c r="R127" s="582"/>
      <c r="S127" s="582"/>
      <c r="T127" s="582"/>
      <c r="U127" s="582"/>
      <c r="V127" s="582"/>
    </row>
    <row r="128" spans="1:22" ht="15">
      <c r="A128" s="582"/>
      <c r="B128" s="582"/>
      <c r="C128" s="582"/>
      <c r="D128" s="582"/>
      <c r="E128" s="582"/>
      <c r="F128" s="582"/>
      <c r="G128" s="582"/>
      <c r="H128" s="582"/>
      <c r="I128" s="582"/>
      <c r="J128" s="582"/>
      <c r="K128" s="582"/>
      <c r="L128" s="582"/>
      <c r="M128" s="582"/>
      <c r="N128" s="582"/>
      <c r="O128" s="582"/>
      <c r="P128" s="582"/>
      <c r="Q128" s="582"/>
      <c r="R128" s="582"/>
      <c r="S128" s="582"/>
      <c r="T128" s="582"/>
      <c r="U128" s="582"/>
      <c r="V128" s="582"/>
    </row>
    <row r="129" spans="1:22" ht="12.75" customHeight="1">
      <c r="A129" s="582"/>
      <c r="B129" s="582"/>
      <c r="C129" s="582"/>
      <c r="D129" s="582"/>
      <c r="E129" s="582"/>
      <c r="F129" s="582"/>
      <c r="G129" s="582"/>
      <c r="H129" s="582"/>
      <c r="I129" s="582"/>
      <c r="J129" s="582"/>
      <c r="K129" s="582"/>
      <c r="L129" s="582"/>
      <c r="M129" s="582"/>
      <c r="N129" s="582"/>
      <c r="O129" s="582"/>
      <c r="P129" s="582"/>
      <c r="Q129" s="582"/>
      <c r="R129" s="582"/>
      <c r="S129" s="582"/>
      <c r="T129" s="582"/>
      <c r="U129" s="582"/>
      <c r="V129" s="582"/>
    </row>
    <row r="130" spans="1:22" ht="12.75" customHeight="1">
      <c r="A130" s="582"/>
      <c r="B130" s="582"/>
      <c r="C130" s="582"/>
      <c r="D130" s="582"/>
      <c r="E130" s="582"/>
      <c r="F130" s="582"/>
      <c r="G130" s="582"/>
      <c r="H130" s="582"/>
      <c r="I130" s="582"/>
      <c r="J130" s="582"/>
      <c r="K130" s="582"/>
      <c r="L130" s="582"/>
      <c r="M130" s="582"/>
      <c r="N130" s="582"/>
      <c r="O130" s="582"/>
      <c r="P130" s="582"/>
      <c r="Q130" s="582"/>
      <c r="R130" s="582"/>
      <c r="S130" s="582"/>
      <c r="T130" s="582"/>
      <c r="U130" s="582"/>
      <c r="V130" s="582"/>
    </row>
    <row r="131" spans="1:22" ht="12.75" customHeight="1">
      <c r="A131" s="582"/>
      <c r="B131" s="582"/>
      <c r="C131" s="582"/>
      <c r="D131" s="582"/>
      <c r="E131" s="582"/>
      <c r="F131" s="582"/>
      <c r="G131" s="582"/>
      <c r="H131" s="582"/>
      <c r="I131" s="582"/>
      <c r="J131" s="582"/>
      <c r="K131" s="582"/>
      <c r="L131" s="582"/>
      <c r="M131" s="582"/>
      <c r="N131" s="582"/>
      <c r="O131" s="582"/>
      <c r="P131" s="582"/>
      <c r="Q131" s="582"/>
      <c r="R131" s="582"/>
      <c r="S131" s="582"/>
      <c r="T131" s="582"/>
      <c r="U131" s="582"/>
      <c r="V131" s="582"/>
    </row>
    <row r="132" spans="1:22" ht="15">
      <c r="A132" s="582"/>
      <c r="B132" s="582"/>
      <c r="C132" s="582"/>
      <c r="D132" s="582"/>
      <c r="E132" s="582"/>
      <c r="F132" s="582"/>
      <c r="G132" s="582"/>
      <c r="H132" s="582"/>
      <c r="I132" s="582"/>
      <c r="J132" s="582"/>
      <c r="K132" s="582"/>
      <c r="L132" s="582"/>
      <c r="M132" s="582"/>
      <c r="N132" s="582"/>
      <c r="O132" s="582"/>
      <c r="P132" s="582"/>
      <c r="Q132" s="582"/>
      <c r="R132" s="582"/>
      <c r="S132" s="582"/>
      <c r="T132" s="582"/>
      <c r="U132" s="582"/>
      <c r="V132" s="582"/>
    </row>
    <row r="133" spans="1:22" ht="15">
      <c r="A133" s="582"/>
      <c r="B133" s="582"/>
      <c r="C133" s="582"/>
      <c r="D133" s="582"/>
      <c r="E133" s="582"/>
      <c r="F133" s="582"/>
      <c r="G133" s="582"/>
      <c r="H133" s="582"/>
      <c r="I133" s="582"/>
      <c r="J133" s="582"/>
      <c r="K133" s="582"/>
      <c r="L133" s="582"/>
      <c r="M133" s="582"/>
      <c r="N133" s="582"/>
      <c r="O133" s="582"/>
      <c r="P133" s="582"/>
      <c r="Q133" s="582"/>
      <c r="R133" s="582"/>
      <c r="S133" s="582"/>
      <c r="T133" s="582"/>
      <c r="U133" s="582"/>
      <c r="V133" s="582"/>
    </row>
    <row r="134" spans="1:22" ht="15">
      <c r="A134" s="582"/>
      <c r="B134" s="582"/>
      <c r="C134" s="582"/>
      <c r="D134" s="582"/>
      <c r="E134" s="582"/>
      <c r="F134" s="582"/>
      <c r="G134" s="582"/>
      <c r="H134" s="582"/>
      <c r="I134" s="582"/>
      <c r="J134" s="582"/>
      <c r="K134" s="582"/>
      <c r="L134" s="582"/>
      <c r="M134" s="582"/>
      <c r="N134" s="582"/>
      <c r="O134" s="582"/>
      <c r="P134" s="582"/>
      <c r="Q134" s="582"/>
      <c r="R134" s="582"/>
      <c r="S134" s="582"/>
      <c r="T134" s="582"/>
      <c r="U134" s="582"/>
      <c r="V134" s="582"/>
    </row>
    <row r="135" spans="1:22" ht="15">
      <c r="A135" s="582"/>
      <c r="B135" s="582"/>
      <c r="C135" s="582"/>
      <c r="D135" s="582"/>
      <c r="E135" s="582"/>
      <c r="F135" s="582"/>
      <c r="G135" s="582"/>
      <c r="H135" s="582"/>
      <c r="I135" s="582"/>
      <c r="J135" s="582"/>
      <c r="K135" s="582"/>
      <c r="L135" s="582"/>
      <c r="M135" s="582"/>
      <c r="N135" s="582"/>
      <c r="O135" s="582"/>
      <c r="P135" s="582"/>
      <c r="Q135" s="582"/>
      <c r="R135" s="582"/>
      <c r="S135" s="582"/>
      <c r="T135" s="582"/>
      <c r="U135" s="582"/>
      <c r="V135" s="582"/>
    </row>
    <row r="136" spans="1:22" ht="15">
      <c r="A136" s="582"/>
      <c r="B136" s="582"/>
      <c r="C136" s="582"/>
      <c r="D136" s="582"/>
      <c r="E136" s="582"/>
      <c r="F136" s="582"/>
      <c r="G136" s="582"/>
      <c r="H136" s="582"/>
      <c r="I136" s="582"/>
      <c r="J136" s="582"/>
      <c r="K136" s="582"/>
      <c r="L136" s="582"/>
      <c r="M136" s="582"/>
      <c r="N136" s="582"/>
      <c r="O136" s="582"/>
      <c r="P136" s="582"/>
      <c r="Q136" s="582"/>
      <c r="R136" s="582"/>
      <c r="S136" s="582"/>
      <c r="T136" s="582"/>
      <c r="U136" s="582"/>
      <c r="V136" s="582"/>
    </row>
    <row r="137" spans="1:22" ht="15">
      <c r="A137" s="582"/>
      <c r="B137" s="582"/>
      <c r="C137" s="582"/>
      <c r="D137" s="582"/>
      <c r="E137" s="582"/>
      <c r="F137" s="582"/>
      <c r="G137" s="582"/>
      <c r="H137" s="582"/>
      <c r="I137" s="582"/>
      <c r="J137" s="582"/>
      <c r="K137" s="582"/>
      <c r="L137" s="582"/>
      <c r="M137" s="582"/>
      <c r="N137" s="582"/>
      <c r="O137" s="582"/>
      <c r="P137" s="582"/>
      <c r="Q137" s="582"/>
      <c r="R137" s="582"/>
      <c r="S137" s="582"/>
      <c r="T137" s="582"/>
      <c r="U137" s="582"/>
      <c r="V137" s="582"/>
    </row>
    <row r="138" spans="1:22" ht="15">
      <c r="A138" s="582"/>
      <c r="B138" s="582"/>
      <c r="C138" s="582"/>
      <c r="D138" s="582"/>
      <c r="E138" s="582"/>
      <c r="F138" s="582"/>
      <c r="G138" s="582"/>
      <c r="H138" s="582"/>
      <c r="I138" s="582"/>
      <c r="J138" s="582"/>
      <c r="K138" s="582"/>
      <c r="L138" s="582"/>
      <c r="M138" s="582"/>
      <c r="N138" s="582"/>
      <c r="O138" s="582"/>
      <c r="P138" s="582"/>
      <c r="Q138" s="582"/>
      <c r="R138" s="582"/>
      <c r="S138" s="582"/>
      <c r="T138" s="582"/>
      <c r="U138" s="582"/>
      <c r="V138" s="582"/>
    </row>
    <row r="139" spans="1:22" ht="15">
      <c r="A139" s="582"/>
      <c r="B139" s="582"/>
      <c r="C139" s="582"/>
      <c r="D139" s="582"/>
      <c r="E139" s="582"/>
      <c r="F139" s="582"/>
      <c r="G139" s="582"/>
      <c r="H139" s="582"/>
      <c r="I139" s="582"/>
      <c r="J139" s="582"/>
      <c r="K139" s="582"/>
      <c r="L139" s="582"/>
      <c r="M139" s="582"/>
      <c r="N139" s="582"/>
      <c r="O139" s="582"/>
      <c r="P139" s="582"/>
      <c r="Q139" s="582"/>
      <c r="R139" s="582"/>
      <c r="S139" s="582"/>
      <c r="T139" s="582"/>
      <c r="U139" s="582"/>
      <c r="V139" s="582"/>
    </row>
    <row r="140" spans="1:22" ht="15">
      <c r="A140" s="582"/>
      <c r="B140" s="582"/>
      <c r="C140" s="582"/>
      <c r="D140" s="582"/>
      <c r="E140" s="582"/>
      <c r="F140" s="582"/>
      <c r="G140" s="582"/>
      <c r="H140" s="582"/>
      <c r="I140" s="582"/>
      <c r="J140" s="582"/>
      <c r="K140" s="582"/>
      <c r="L140" s="582"/>
      <c r="M140" s="582"/>
      <c r="N140" s="582"/>
      <c r="O140" s="582"/>
      <c r="P140" s="582"/>
      <c r="Q140" s="582"/>
      <c r="R140" s="582"/>
      <c r="S140" s="582"/>
      <c r="T140" s="582"/>
      <c r="U140" s="582"/>
      <c r="V140" s="582"/>
    </row>
    <row r="141" spans="1:22" ht="15">
      <c r="A141" s="582"/>
      <c r="B141" s="582"/>
      <c r="C141" s="582"/>
      <c r="D141" s="582"/>
      <c r="E141" s="582"/>
      <c r="F141" s="582"/>
      <c r="G141" s="582"/>
      <c r="H141" s="582"/>
      <c r="I141" s="582"/>
      <c r="J141" s="582"/>
      <c r="K141" s="582"/>
      <c r="L141" s="582"/>
      <c r="M141" s="582"/>
      <c r="N141" s="582"/>
      <c r="O141" s="582"/>
      <c r="P141" s="582"/>
      <c r="Q141" s="582"/>
      <c r="R141" s="582"/>
      <c r="S141" s="582"/>
      <c r="T141" s="582"/>
      <c r="U141" s="582"/>
      <c r="V141" s="582"/>
    </row>
    <row r="142" spans="1:22" ht="15">
      <c r="A142" s="582"/>
      <c r="B142" s="582"/>
      <c r="C142" s="582"/>
      <c r="D142" s="582"/>
      <c r="E142" s="582"/>
      <c r="F142" s="582"/>
      <c r="G142" s="582"/>
      <c r="H142" s="582"/>
      <c r="I142" s="582"/>
      <c r="J142" s="582"/>
      <c r="K142" s="582"/>
      <c r="L142" s="582"/>
      <c r="M142" s="582"/>
      <c r="N142" s="582"/>
      <c r="O142" s="582"/>
      <c r="P142" s="582"/>
      <c r="Q142" s="582"/>
      <c r="R142" s="582"/>
      <c r="S142" s="582"/>
      <c r="T142" s="582"/>
      <c r="U142" s="582"/>
      <c r="V142" s="582"/>
    </row>
    <row r="299" ht="6" customHeight="1"/>
    <row r="301" ht="6" customHeight="1"/>
    <row r="308" ht="6" customHeight="1"/>
    <row r="310" ht="6" customHeight="1"/>
    <row r="314" ht="6" customHeight="1"/>
    <row r="317" ht="6" customHeight="1"/>
    <row r="322" ht="6" customHeight="1"/>
    <row r="326" ht="6" customHeight="1"/>
    <row r="328" ht="6" customHeight="1"/>
    <row r="337" ht="6" customHeight="1"/>
    <row r="339" ht="6" customHeight="1"/>
    <row r="341" ht="6" customHeight="1"/>
    <row r="343" ht="6" customHeight="1"/>
    <row r="352" ht="6" customHeight="1"/>
    <row r="354" ht="6" customHeight="1"/>
  </sheetData>
  <sheetProtection/>
  <mergeCells count="8">
    <mergeCell ref="A1:K1"/>
    <mergeCell ref="A2:K2"/>
    <mergeCell ref="A3:K3"/>
    <mergeCell ref="A4:K4"/>
    <mergeCell ref="B23:G24"/>
    <mergeCell ref="B27:J29"/>
    <mergeCell ref="A6:K6"/>
    <mergeCell ref="B9:H9"/>
  </mergeCells>
  <printOptions/>
  <pageMargins left="0.26" right="0.48" top="1" bottom="1" header="0.75" footer="0.5"/>
  <pageSetup fitToHeight="1" fitToWidth="1" horizontalDpi="600" verticalDpi="600" orientation="landscape" scale="84" r:id="rId1"/>
  <headerFooter alignWithMargins="0">
    <oddHeader>&amp;R&amp;"Arial,Bold"Formula Rate 
&amp;A
Page &amp;P of &amp;N</oddHeader>
  </headerFooter>
  <rowBreaks count="1" manualBreakCount="1">
    <brk id="93" max="17" man="1"/>
  </rowBreaks>
</worksheet>
</file>

<file path=xl/worksheets/sheet9.xml><?xml version="1.0" encoding="utf-8"?>
<worksheet xmlns="http://schemas.openxmlformats.org/spreadsheetml/2006/main" xmlns:r="http://schemas.openxmlformats.org/officeDocument/2006/relationships">
  <sheetPr>
    <tabColor indexed="45"/>
    <pageSetUpPr fitToPage="1"/>
  </sheetPr>
  <dimension ref="A1:AK65"/>
  <sheetViews>
    <sheetView zoomScaleSheetLayoutView="85" zoomScalePageLayoutView="0" workbookViewId="0" topLeftCell="A1">
      <selection activeCell="A1" sqref="A1:G1"/>
    </sheetView>
  </sheetViews>
  <sheetFormatPr defaultColWidth="9.140625" defaultRowHeight="12.75"/>
  <cols>
    <col min="1" max="1" width="10.421875" style="192" customWidth="1"/>
    <col min="2" max="2" width="15.140625" style="153" customWidth="1"/>
    <col min="3" max="3" width="50.7109375" style="109" customWidth="1"/>
    <col min="4" max="4" width="15.7109375" style="109" customWidth="1"/>
    <col min="5" max="5" width="20.7109375" style="109" customWidth="1"/>
    <col min="6" max="6" width="17.28125" style="109" customWidth="1"/>
    <col min="7" max="7" width="15.8515625" style="109" customWidth="1"/>
    <col min="8" max="8" width="13.8515625" style="109" customWidth="1"/>
    <col min="9" max="9" width="9.140625" style="109" customWidth="1"/>
    <col min="10" max="10" width="12.421875" style="109" bestFit="1" customWidth="1"/>
    <col min="11" max="11" width="13.28125" style="109" customWidth="1"/>
    <col min="12" max="16384" width="9.140625" style="109" customWidth="1"/>
  </cols>
  <sheetData>
    <row r="1" spans="1:8" ht="15">
      <c r="A1" s="1091" t="s">
        <v>230</v>
      </c>
      <c r="B1" s="1091"/>
      <c r="C1" s="1091"/>
      <c r="D1" s="1091"/>
      <c r="E1" s="1091"/>
      <c r="F1" s="1091"/>
      <c r="G1" s="1091"/>
      <c r="H1" s="172"/>
    </row>
    <row r="2" spans="1:11" ht="12.75" customHeight="1">
      <c r="A2" s="1090" t="str">
        <f>"Cost of Service Formula Rate Using "&amp;'KPCo Historic TCOS'!O1&amp;" FF1 Balances"</f>
        <v>Cost of Service Formula Rate Using 2009 FF1 Balances</v>
      </c>
      <c r="B2" s="1090"/>
      <c r="C2" s="1090"/>
      <c r="D2" s="1090"/>
      <c r="E2" s="1090"/>
      <c r="F2" s="1090"/>
      <c r="G2" s="1090"/>
      <c r="H2" s="275"/>
      <c r="I2" s="275"/>
      <c r="J2" s="275"/>
      <c r="K2" s="275"/>
    </row>
    <row r="3" spans="1:7" ht="12.75" customHeight="1">
      <c r="A3" s="1090" t="s">
        <v>368</v>
      </c>
      <c r="B3" s="1090"/>
      <c r="C3" s="1090"/>
      <c r="D3" s="1090"/>
      <c r="E3" s="1090"/>
      <c r="F3" s="1090"/>
      <c r="G3" s="1090"/>
    </row>
    <row r="4" spans="1:7" ht="12.75" customHeight="1">
      <c r="A4" s="1094" t="str">
        <f>+'KPCo WS A  - RB Support '!A4:F4</f>
        <v>KENTUCKY POWER COMPANY</v>
      </c>
      <c r="B4" s="1094"/>
      <c r="C4" s="1094"/>
      <c r="D4" s="1094"/>
      <c r="E4" s="1094"/>
      <c r="F4" s="1094"/>
      <c r="G4" s="1094"/>
    </row>
    <row r="5" spans="1:7" ht="12.75" customHeight="1">
      <c r="A5" s="1091"/>
      <c r="B5" s="1091"/>
      <c r="C5" s="1091"/>
      <c r="D5" s="1091"/>
      <c r="E5" s="1091"/>
      <c r="F5" s="1091"/>
      <c r="G5" s="179"/>
    </row>
    <row r="6" spans="1:7" ht="18">
      <c r="A6" s="1158"/>
      <c r="B6" s="1158"/>
      <c r="C6" s="1158"/>
      <c r="D6" s="1158"/>
      <c r="E6" s="1158"/>
      <c r="F6" s="1158"/>
      <c r="G6" s="1158"/>
    </row>
    <row r="7" spans="1:7" ht="18">
      <c r="A7" s="532"/>
      <c r="B7" s="532"/>
      <c r="C7" s="532"/>
      <c r="D7" s="532"/>
      <c r="E7" s="532"/>
      <c r="F7" s="532"/>
      <c r="G7" s="532"/>
    </row>
    <row r="8" spans="2:7" ht="15.75">
      <c r="B8" s="169" t="s">
        <v>770</v>
      </c>
      <c r="C8" s="169" t="s">
        <v>771</v>
      </c>
      <c r="D8" s="169" t="s">
        <v>772</v>
      </c>
      <c r="E8" s="169" t="s">
        <v>773</v>
      </c>
      <c r="F8" s="169" t="s">
        <v>588</v>
      </c>
      <c r="G8" s="169" t="s">
        <v>589</v>
      </c>
    </row>
    <row r="9" spans="2:7" ht="15.75">
      <c r="B9" s="184"/>
      <c r="C9" s="179"/>
      <c r="D9" s="618"/>
      <c r="E9" s="619"/>
      <c r="F9" s="620" t="s">
        <v>591</v>
      </c>
      <c r="G9" s="169"/>
    </row>
    <row r="10" spans="1:7" ht="15.75">
      <c r="A10" s="187" t="s">
        <v>777</v>
      </c>
      <c r="B10" s="184"/>
      <c r="C10" s="193"/>
      <c r="D10" s="187">
        <f>+'KPCo Historic TCOS'!O1</f>
        <v>2009</v>
      </c>
      <c r="E10" s="620" t="s">
        <v>591</v>
      </c>
      <c r="F10" s="187" t="s">
        <v>723</v>
      </c>
      <c r="G10" s="169"/>
    </row>
    <row r="11" spans="1:7" ht="15.75">
      <c r="A11" s="187" t="s">
        <v>713</v>
      </c>
      <c r="B11" s="187" t="s">
        <v>572</v>
      </c>
      <c r="C11" s="187" t="s">
        <v>775</v>
      </c>
      <c r="D11" s="187" t="s">
        <v>573</v>
      </c>
      <c r="E11" s="187" t="s">
        <v>593</v>
      </c>
      <c r="F11" s="187" t="s">
        <v>574</v>
      </c>
      <c r="G11" s="187" t="s">
        <v>575</v>
      </c>
    </row>
    <row r="12" spans="2:7" ht="15.75">
      <c r="B12" s="187"/>
      <c r="C12" s="187"/>
      <c r="D12" s="187"/>
      <c r="E12" s="187"/>
      <c r="F12" s="187"/>
      <c r="G12" s="187"/>
    </row>
    <row r="13" spans="2:7" ht="15.75">
      <c r="B13" s="187"/>
      <c r="C13" s="187"/>
      <c r="D13" s="187"/>
      <c r="E13" s="187"/>
      <c r="F13" s="187"/>
      <c r="G13" s="187"/>
    </row>
    <row r="14" spans="2:7" ht="15.75">
      <c r="B14" s="187"/>
      <c r="D14" s="187"/>
      <c r="E14" s="187"/>
      <c r="F14" s="187"/>
      <c r="G14" s="187"/>
    </row>
    <row r="15" spans="2:7" ht="15.75">
      <c r="B15" s="187"/>
      <c r="C15" s="187" t="s">
        <v>384</v>
      </c>
      <c r="D15" s="177"/>
      <c r="E15" s="177"/>
      <c r="F15" s="177"/>
      <c r="G15" s="260"/>
    </row>
    <row r="16" spans="1:7" ht="15">
      <c r="A16" s="192">
        <v>1</v>
      </c>
      <c r="B16" s="192"/>
      <c r="C16" s="176" t="s">
        <v>847</v>
      </c>
      <c r="D16" s="1043">
        <v>0</v>
      </c>
      <c r="E16" s="225"/>
      <c r="F16" s="225"/>
      <c r="G16" s="176"/>
    </row>
    <row r="17" spans="1:7" ht="15">
      <c r="A17" s="192">
        <f>+A16+1</f>
        <v>2</v>
      </c>
      <c r="B17" s="791"/>
      <c r="C17" s="176"/>
      <c r="D17" s="1043">
        <v>0</v>
      </c>
      <c r="E17" s="225"/>
      <c r="F17" s="225"/>
      <c r="G17" s="176"/>
    </row>
    <row r="18" spans="1:7" ht="15.75">
      <c r="A18" s="192">
        <f>+A17+1</f>
        <v>3</v>
      </c>
      <c r="B18" s="187"/>
      <c r="C18" s="176"/>
      <c r="D18" s="1043"/>
      <c r="E18" s="225"/>
      <c r="F18" s="225"/>
      <c r="G18" s="176"/>
    </row>
    <row r="19" spans="1:7" ht="15.75">
      <c r="A19" s="192">
        <f>+A18+1</f>
        <v>4</v>
      </c>
      <c r="B19" s="187"/>
      <c r="C19" s="737" t="s">
        <v>726</v>
      </c>
      <c r="D19" s="473">
        <f>SUM(D16:D18)</f>
        <v>0</v>
      </c>
      <c r="E19" s="225"/>
      <c r="F19" s="225"/>
      <c r="G19" s="187"/>
    </row>
    <row r="20" spans="2:7" ht="15.75">
      <c r="B20" s="187"/>
      <c r="C20" s="737"/>
      <c r="D20" s="790"/>
      <c r="E20" s="177"/>
      <c r="F20" s="177"/>
      <c r="G20" s="187"/>
    </row>
    <row r="21" spans="1:7" ht="15.75">
      <c r="A21" s="1044"/>
      <c r="B21" s="980"/>
      <c r="C21" s="980" t="s">
        <v>637</v>
      </c>
      <c r="D21" s="981"/>
      <c r="E21" s="177"/>
      <c r="F21" s="177"/>
      <c r="G21" s="187"/>
    </row>
    <row r="22" spans="1:7" ht="15.75">
      <c r="A22" s="729">
        <f>+A19+1</f>
        <v>5</v>
      </c>
      <c r="B22" s="1045" t="s">
        <v>638</v>
      </c>
      <c r="C22" s="1045" t="s">
        <v>639</v>
      </c>
      <c r="D22" s="982">
        <v>0</v>
      </c>
      <c r="E22" s="177"/>
      <c r="F22" s="177"/>
      <c r="G22" s="187"/>
    </row>
    <row r="23" spans="1:7" ht="15.75">
      <c r="A23" s="729">
        <f>+A22+1</f>
        <v>6</v>
      </c>
      <c r="B23" s="1045" t="s">
        <v>640</v>
      </c>
      <c r="C23" s="1045" t="s">
        <v>641</v>
      </c>
      <c r="D23" s="982">
        <v>10064</v>
      </c>
      <c r="E23" s="177"/>
      <c r="F23" s="177"/>
      <c r="G23" s="187"/>
    </row>
    <row r="24" spans="1:7" ht="15.75">
      <c r="A24" s="729">
        <f>+A23+1</f>
        <v>7</v>
      </c>
      <c r="B24" s="1045" t="s">
        <v>642</v>
      </c>
      <c r="C24" s="1045" t="s">
        <v>643</v>
      </c>
      <c r="D24" s="982">
        <v>752594</v>
      </c>
      <c r="E24" s="177"/>
      <c r="F24" s="177"/>
      <c r="G24" s="187"/>
    </row>
    <row r="25" spans="1:7" ht="15.75">
      <c r="A25" s="729">
        <f aca="true" t="shared" si="0" ref="A25:A30">+A24+1</f>
        <v>8</v>
      </c>
      <c r="B25" s="1045" t="s">
        <v>644</v>
      </c>
      <c r="C25" s="1045" t="s">
        <v>645</v>
      </c>
      <c r="D25" s="982">
        <v>1666</v>
      </c>
      <c r="E25" s="177"/>
      <c r="F25" s="177"/>
      <c r="G25" s="187"/>
    </row>
    <row r="26" spans="1:7" ht="15.75">
      <c r="A26" s="729">
        <f t="shared" si="0"/>
        <v>9</v>
      </c>
      <c r="B26" s="1045" t="s">
        <v>646</v>
      </c>
      <c r="C26" s="1045" t="s">
        <v>647</v>
      </c>
      <c r="D26" s="982">
        <v>1089485</v>
      </c>
      <c r="E26" s="177"/>
      <c r="F26" s="177"/>
      <c r="G26" s="187"/>
    </row>
    <row r="27" spans="1:7" ht="15.75">
      <c r="A27" s="729">
        <f t="shared" si="0"/>
        <v>10</v>
      </c>
      <c r="B27" s="1045" t="s">
        <v>648</v>
      </c>
      <c r="C27" s="1045" t="s">
        <v>649</v>
      </c>
      <c r="D27" s="982">
        <v>42905</v>
      </c>
      <c r="E27" s="177"/>
      <c r="F27" s="177"/>
      <c r="G27" s="187"/>
    </row>
    <row r="28" spans="1:7" ht="15.75">
      <c r="A28" s="729">
        <f t="shared" si="0"/>
        <v>11</v>
      </c>
      <c r="B28" s="1045" t="s">
        <v>650</v>
      </c>
      <c r="C28" s="1045" t="s">
        <v>651</v>
      </c>
      <c r="D28" s="982">
        <v>0</v>
      </c>
      <c r="E28" s="177"/>
      <c r="F28" s="177"/>
      <c r="G28" s="187"/>
    </row>
    <row r="29" spans="1:7" ht="15.75">
      <c r="A29" s="729">
        <f t="shared" si="0"/>
        <v>12</v>
      </c>
      <c r="B29" s="1045" t="s">
        <v>652</v>
      </c>
      <c r="C29" s="1045" t="s">
        <v>653</v>
      </c>
      <c r="D29" s="982">
        <v>0</v>
      </c>
      <c r="E29" s="177"/>
      <c r="F29" s="177"/>
      <c r="G29" s="187"/>
    </row>
    <row r="30" spans="1:7" ht="15.75">
      <c r="A30" s="729">
        <f t="shared" si="0"/>
        <v>13</v>
      </c>
      <c r="B30" s="1045" t="s">
        <v>654</v>
      </c>
      <c r="C30" s="1045" t="s">
        <v>655</v>
      </c>
      <c r="D30" s="982">
        <v>205436</v>
      </c>
      <c r="E30" s="177"/>
      <c r="F30" s="177"/>
      <c r="G30" s="187"/>
    </row>
    <row r="31" spans="1:7" ht="15.75">
      <c r="A31" s="729">
        <f>+A30+1</f>
        <v>14</v>
      </c>
      <c r="B31" s="1045"/>
      <c r="C31" s="169" t="s">
        <v>656</v>
      </c>
      <c r="D31" s="983">
        <f>SUM(D22:D30)</f>
        <v>2102150</v>
      </c>
      <c r="E31" s="177"/>
      <c r="F31" s="177"/>
      <c r="G31" s="187"/>
    </row>
    <row r="32" spans="2:7" ht="15.75">
      <c r="B32" s="187"/>
      <c r="C32" s="737"/>
      <c r="D32" s="790"/>
      <c r="E32" s="177"/>
      <c r="F32" s="177"/>
      <c r="G32" s="187"/>
    </row>
    <row r="33" spans="1:7" ht="15.75">
      <c r="A33" s="729"/>
      <c r="B33" s="186"/>
      <c r="C33" s="314" t="s">
        <v>910</v>
      </c>
      <c r="D33" s="179"/>
      <c r="E33" s="179"/>
      <c r="F33" s="179"/>
      <c r="G33" s="179"/>
    </row>
    <row r="34" spans="1:7" ht="15">
      <c r="A34" s="192">
        <f>+A31+1</f>
        <v>15</v>
      </c>
      <c r="B34" s="311" t="s">
        <v>804</v>
      </c>
      <c r="C34" s="632" t="s">
        <v>0</v>
      </c>
      <c r="D34" s="313">
        <v>4</v>
      </c>
      <c r="E34" s="177">
        <f>+D34</f>
        <v>4</v>
      </c>
      <c r="F34" s="177">
        <v>0</v>
      </c>
      <c r="G34" s="176" t="s">
        <v>203</v>
      </c>
    </row>
    <row r="35" spans="1:7" ht="15">
      <c r="A35" s="192">
        <f>+A34+1</f>
        <v>16</v>
      </c>
      <c r="B35" s="312" t="s">
        <v>835</v>
      </c>
      <c r="C35" s="632" t="s">
        <v>1</v>
      </c>
      <c r="D35" s="313">
        <v>57</v>
      </c>
      <c r="E35" s="177">
        <f>+D35</f>
        <v>57</v>
      </c>
      <c r="F35" s="177">
        <v>0</v>
      </c>
      <c r="G35" s="176" t="s">
        <v>203</v>
      </c>
    </row>
    <row r="36" spans="1:7" ht="15">
      <c r="A36" s="192">
        <f>+A35+1</f>
        <v>17</v>
      </c>
      <c r="B36" s="312" t="s">
        <v>805</v>
      </c>
      <c r="C36" s="632" t="s">
        <v>2</v>
      </c>
      <c r="D36" s="313">
        <v>-558</v>
      </c>
      <c r="E36" s="177">
        <f>+D36</f>
        <v>-558</v>
      </c>
      <c r="F36" s="177">
        <v>0</v>
      </c>
      <c r="G36" s="176"/>
    </row>
    <row r="37" spans="1:7" ht="15">
      <c r="A37" s="109"/>
      <c r="B37" s="311"/>
      <c r="C37" s="632"/>
      <c r="D37" s="313"/>
      <c r="E37" s="177"/>
      <c r="F37" s="177"/>
      <c r="G37" s="176"/>
    </row>
    <row r="38" spans="2:7" ht="12.75" customHeight="1">
      <c r="B38" s="178" t="s">
        <v>722</v>
      </c>
      <c r="C38" s="218"/>
      <c r="D38" s="180"/>
      <c r="E38" s="181"/>
      <c r="F38" s="182"/>
      <c r="G38" s="179"/>
    </row>
    <row r="39" spans="1:7" ht="15.75" customHeight="1">
      <c r="A39" s="192">
        <f>+A36+1</f>
        <v>18</v>
      </c>
      <c r="B39" s="184"/>
      <c r="C39" s="737" t="s">
        <v>726</v>
      </c>
      <c r="D39" s="196">
        <f>SUM(D34:D37)</f>
        <v>-497</v>
      </c>
      <c r="E39" s="196">
        <f>SUM(E34:E37)</f>
        <v>-497</v>
      </c>
      <c r="F39" s="196">
        <f>SUM(F34:F37)</f>
        <v>0</v>
      </c>
      <c r="G39" s="155"/>
    </row>
    <row r="40" spans="2:7" ht="12.75" customHeight="1">
      <c r="B40" s="184"/>
      <c r="C40" s="185"/>
      <c r="D40" s="223"/>
      <c r="E40" s="165"/>
      <c r="F40" s="165"/>
      <c r="G40" s="179"/>
    </row>
    <row r="41" spans="2:7" ht="15.75">
      <c r="B41" s="186"/>
      <c r="C41" s="314" t="s">
        <v>909</v>
      </c>
      <c r="D41" s="165"/>
      <c r="E41" s="165"/>
      <c r="F41" s="165"/>
      <c r="G41" s="179"/>
    </row>
    <row r="42" spans="1:37" ht="15">
      <c r="A42" s="192">
        <f>+A39+1</f>
        <v>19</v>
      </c>
      <c r="B42" s="311" t="s">
        <v>791</v>
      </c>
      <c r="C42" s="632" t="s">
        <v>792</v>
      </c>
      <c r="D42" s="1081">
        <v>272547</v>
      </c>
      <c r="E42" s="177">
        <f aca="true" t="shared" si="1" ref="E42:E51">+D42</f>
        <v>272547</v>
      </c>
      <c r="F42" s="177">
        <v>0</v>
      </c>
      <c r="G42"/>
      <c r="J42" s="154"/>
      <c r="K42" s="219"/>
      <c r="L42" s="220"/>
      <c r="M42" s="220"/>
      <c r="N42" s="220"/>
      <c r="O42" s="220"/>
      <c r="P42" s="156"/>
      <c r="Q42" s="156">
        <f>+M42-O42</f>
        <v>0</v>
      </c>
      <c r="R42" s="156"/>
      <c r="S42" s="221">
        <f>IF(O42&lt;0,IF(Q42=0,0,IF(OR(O42=0,M42=0),"N.M.",IF(ABS(Q42/O42)&gt;=10,"N.M.",Q42/(-O42)))),IF(Q42=0,0,IF(OR(O42=0,M42=0),"N.M.",IF(ABS(Q42/O42)&gt;=10,"N.M.",Q42/O42))))</f>
        <v>0</v>
      </c>
      <c r="T42" s="222"/>
      <c r="U42" s="156">
        <v>1.52</v>
      </c>
      <c r="V42" s="222"/>
      <c r="W42" s="156">
        <v>0</v>
      </c>
      <c r="X42" s="222"/>
      <c r="Y42" s="156">
        <f>(+U42-W42)</f>
        <v>1.52</v>
      </c>
      <c r="Z42" s="156"/>
      <c r="AA42" s="221" t="str">
        <f>IF(W42&lt;0,IF(Y42=0,0,IF(OR(W42=0,U42=0),"N.M.",IF(ABS(Y42/W42)&gt;=10,"N.M.",Y42/(-W42)))),IF(Y42=0,0,IF(OR(W42=0,U42=0),"N.M.",IF(ABS(Y42/W42)&gt;=10,"N.M.",Y42/W42))))</f>
        <v>N.M.</v>
      </c>
      <c r="AB42" s="156"/>
      <c r="AC42" s="156">
        <v>34.89</v>
      </c>
      <c r="AD42" s="156"/>
      <c r="AE42" s="156">
        <v>5.66</v>
      </c>
      <c r="AF42" s="156"/>
      <c r="AG42" s="156">
        <f>(+AC42-AE42)</f>
        <v>29.23</v>
      </c>
      <c r="AH42" s="156"/>
      <c r="AI42" s="221">
        <f>IF(AE42&lt;0,IF(AG42=0,0,IF(OR(AE42=0,AC42=0),"N.M.",IF(ABS(AG42/AE42)&gt;=10,"N.M.",AG42/(-AE42)))),IF(AG42=0,0,IF(OR(AE42=0,AC42=0),"N.M.",IF(ABS(AG42/AE42)&gt;=10,"N.M.",AG42/AE42))))</f>
        <v>5.1643109540636045</v>
      </c>
      <c r="AJ42" s="156"/>
      <c r="AK42" s="156">
        <v>34.89</v>
      </c>
    </row>
    <row r="43" spans="1:37" ht="15">
      <c r="A43" s="192">
        <f aca="true" t="shared" si="2" ref="A43:A51">+A42+1</f>
        <v>20</v>
      </c>
      <c r="B43" s="311" t="s">
        <v>3</v>
      </c>
      <c r="C43" s="632" t="s">
        <v>4</v>
      </c>
      <c r="D43" s="1081">
        <v>1500</v>
      </c>
      <c r="E43" s="177">
        <f t="shared" si="1"/>
        <v>1500</v>
      </c>
      <c r="F43" s="177">
        <v>0</v>
      </c>
      <c r="G43"/>
      <c r="J43" s="154"/>
      <c r="K43" s="219"/>
      <c r="L43" s="220"/>
      <c r="M43" s="220"/>
      <c r="N43" s="220"/>
      <c r="O43" s="220"/>
      <c r="P43" s="156"/>
      <c r="Q43" s="156">
        <f>+M43-O43</f>
        <v>0</v>
      </c>
      <c r="R43" s="156"/>
      <c r="S43" s="221">
        <f>IF(O43&lt;0,IF(Q43=0,0,IF(OR(O43=0,M43=0),"N.M.",IF(ABS(Q43/O43)&gt;=10,"N.M.",Q43/(-O43)))),IF(Q43=0,0,IF(OR(O43=0,M43=0),"N.M.",IF(ABS(Q43/O43)&gt;=10,"N.M.",Q43/O43))))</f>
        <v>0</v>
      </c>
      <c r="T43" s="222"/>
      <c r="U43" s="156">
        <v>0</v>
      </c>
      <c r="V43" s="222"/>
      <c r="W43" s="156">
        <v>28.51</v>
      </c>
      <c r="X43" s="222"/>
      <c r="Y43" s="156">
        <f>(+U43-W43)</f>
        <v>-28.51</v>
      </c>
      <c r="Z43" s="156"/>
      <c r="AA43" s="221" t="str">
        <f>IF(W43&lt;0,IF(Y43=0,0,IF(OR(W43=0,U43=0),"N.M.",IF(ABS(Y43/W43)&gt;=10,"N.M.",Y43/(-W43)))),IF(Y43=0,0,IF(OR(W43=0,U43=0),"N.M.",IF(ABS(Y43/W43)&gt;=10,"N.M.",Y43/W43))))</f>
        <v>N.M.</v>
      </c>
      <c r="AB43" s="156"/>
      <c r="AC43" s="156">
        <v>341.19</v>
      </c>
      <c r="AD43" s="156"/>
      <c r="AE43" s="156">
        <v>314.56</v>
      </c>
      <c r="AF43" s="156"/>
      <c r="AG43" s="156">
        <f>(+AC43-AE43)</f>
        <v>26.629999999999995</v>
      </c>
      <c r="AH43" s="156"/>
      <c r="AI43" s="221">
        <f>IF(AE43&lt;0,IF(AG43=0,0,IF(OR(AE43=0,AC43=0),"N.M.",IF(ABS(AG43/AE43)&gt;=10,"N.M.",AG43/(-AE43)))),IF(AG43=0,0,IF(OR(AE43=0,AC43=0),"N.M.",IF(ABS(AG43/AE43)&gt;=10,"N.M.",AG43/AE43))))</f>
        <v>0.08465793489318411</v>
      </c>
      <c r="AJ43" s="156"/>
      <c r="AK43" s="156">
        <v>341.19</v>
      </c>
    </row>
    <row r="44" spans="1:37" ht="15">
      <c r="A44" s="192">
        <f t="shared" si="2"/>
        <v>21</v>
      </c>
      <c r="B44" s="311" t="s">
        <v>793</v>
      </c>
      <c r="C44" s="632" t="s">
        <v>794</v>
      </c>
      <c r="D44" s="1081">
        <v>562</v>
      </c>
      <c r="E44" s="177">
        <f t="shared" si="1"/>
        <v>562</v>
      </c>
      <c r="F44" s="177">
        <v>0</v>
      </c>
      <c r="G44"/>
      <c r="J44" s="154"/>
      <c r="K44" s="219"/>
      <c r="L44" s="220"/>
      <c r="M44" s="220"/>
      <c r="N44" s="220"/>
      <c r="O44" s="220"/>
      <c r="P44" s="156"/>
      <c r="Q44" s="156">
        <f>+M44-O44</f>
        <v>0</v>
      </c>
      <c r="R44" s="156"/>
      <c r="S44" s="221">
        <f>IF(O44&lt;0,IF(Q44=0,0,IF(OR(O44=0,M44=0),"N.M.",IF(ABS(Q44/O44)&gt;=10,"N.M.",Q44/(-O44)))),IF(Q44=0,0,IF(OR(O44=0,M44=0),"N.M.",IF(ABS(Q44/O44)&gt;=10,"N.M.",Q44/O44))))</f>
        <v>0</v>
      </c>
      <c r="T44" s="222"/>
      <c r="U44" s="156">
        <v>9024.171</v>
      </c>
      <c r="V44" s="222"/>
      <c r="W44" s="156">
        <v>0</v>
      </c>
      <c r="X44" s="222"/>
      <c r="Y44" s="156">
        <f>(+U44-W44)</f>
        <v>9024.171</v>
      </c>
      <c r="Z44" s="156"/>
      <c r="AA44" s="221" t="str">
        <f>IF(W44&lt;0,IF(Y44=0,0,IF(OR(W44=0,U44=0),"N.M.",IF(ABS(Y44/W44)&gt;=10,"N.M.",Y44/(-W44)))),IF(Y44=0,0,IF(OR(W44=0,U44=0),"N.M.",IF(ABS(Y44/W44)&gt;=10,"N.M.",Y44/W44))))</f>
        <v>N.M.</v>
      </c>
      <c r="AB44" s="156"/>
      <c r="AC44" s="156">
        <v>78069.979</v>
      </c>
      <c r="AD44" s="156"/>
      <c r="AE44" s="156">
        <v>72939.027</v>
      </c>
      <c r="AF44" s="156"/>
      <c r="AG44" s="156">
        <f>(+AC44-AE44)</f>
        <v>5130.952000000005</v>
      </c>
      <c r="AH44" s="156"/>
      <c r="AI44" s="221">
        <f>IF(AE44&lt;0,IF(AG44=0,0,IF(OR(AE44=0,AC44=0),"N.M.",IF(ABS(AG44/AE44)&gt;=10,"N.M.",AG44/(-AE44)))),IF(AG44=0,0,IF(OR(AE44=0,AC44=0),"N.M.",IF(ABS(AG44/AE44)&gt;=10,"N.M.",AG44/AE44))))</f>
        <v>0.07034576976191367</v>
      </c>
      <c r="AJ44" s="156"/>
      <c r="AK44" s="156">
        <v>78069.979</v>
      </c>
    </row>
    <row r="45" spans="1:37" ht="15">
      <c r="A45" s="192">
        <f t="shared" si="2"/>
        <v>22</v>
      </c>
      <c r="B45" s="311" t="s">
        <v>795</v>
      </c>
      <c r="C45" s="632" t="s">
        <v>796</v>
      </c>
      <c r="D45" s="1081">
        <v>522</v>
      </c>
      <c r="E45" s="177">
        <f t="shared" si="1"/>
        <v>522</v>
      </c>
      <c r="F45" s="177">
        <v>0</v>
      </c>
      <c r="G45"/>
      <c r="J45" s="154"/>
      <c r="K45" s="219"/>
      <c r="L45" s="220"/>
      <c r="M45" s="220"/>
      <c r="N45" s="220"/>
      <c r="O45" s="220"/>
      <c r="P45" s="156"/>
      <c r="Q45" s="156">
        <f>+M45-O45</f>
        <v>0</v>
      </c>
      <c r="R45" s="156"/>
      <c r="S45" s="221">
        <f>IF(O45&lt;0,IF(Q45=0,0,IF(OR(O45=0,M45=0),"N.M.",IF(ABS(Q45/O45)&gt;=10,"N.M.",Q45/(-O45)))),IF(Q45=0,0,IF(OR(O45=0,M45=0),"N.M.",IF(ABS(Q45/O45)&gt;=10,"N.M.",Q45/O45))))</f>
        <v>0</v>
      </c>
      <c r="T45" s="222"/>
      <c r="U45" s="156">
        <v>224.86</v>
      </c>
      <c r="V45" s="222"/>
      <c r="W45" s="156">
        <v>147.94</v>
      </c>
      <c r="X45" s="222"/>
      <c r="Y45" s="156">
        <f>(+U45-W45)</f>
        <v>76.92000000000002</v>
      </c>
      <c r="Z45" s="156"/>
      <c r="AA45" s="221">
        <f>IF(W45&lt;0,IF(Y45=0,0,IF(OR(W45=0,U45=0),"N.M.",IF(ABS(Y45/W45)&gt;=10,"N.M.",Y45/(-W45)))),IF(Y45=0,0,IF(OR(W45=0,U45=0),"N.M.",IF(ABS(Y45/W45)&gt;=10,"N.M.",Y45/W45))))</f>
        <v>0.519940516425578</v>
      </c>
      <c r="AB45" s="156"/>
      <c r="AC45" s="156">
        <v>681.06</v>
      </c>
      <c r="AD45" s="156"/>
      <c r="AE45" s="156">
        <v>616.3</v>
      </c>
      <c r="AF45" s="156"/>
      <c r="AG45" s="156">
        <f>(+AC45-AE45)</f>
        <v>64.75999999999999</v>
      </c>
      <c r="AH45" s="156"/>
      <c r="AI45" s="221">
        <f>IF(AE45&lt;0,IF(AG45=0,0,IF(OR(AE45=0,AC45=0),"N.M.",IF(ABS(AG45/AE45)&gt;=10,"N.M.",AG45/(-AE45)))),IF(AG45=0,0,IF(OR(AE45=0,AC45=0),"N.M.",IF(ABS(AG45/AE45)&gt;=10,"N.M.",AG45/AE45))))</f>
        <v>0.10507869544053221</v>
      </c>
      <c r="AJ45" s="156"/>
      <c r="AK45" s="156">
        <v>681.06</v>
      </c>
    </row>
    <row r="46" spans="1:37" ht="15">
      <c r="A46" s="192">
        <f t="shared" si="2"/>
        <v>23</v>
      </c>
      <c r="B46" s="311" t="s">
        <v>798</v>
      </c>
      <c r="C46" s="632" t="s">
        <v>799</v>
      </c>
      <c r="D46" s="1081">
        <v>1126</v>
      </c>
      <c r="E46" s="177">
        <f t="shared" si="1"/>
        <v>1126</v>
      </c>
      <c r="F46" s="183">
        <v>0</v>
      </c>
      <c r="G46"/>
      <c r="J46" s="154"/>
      <c r="K46" s="219"/>
      <c r="L46" s="220"/>
      <c r="M46" s="220"/>
      <c r="N46" s="220"/>
      <c r="O46" s="220"/>
      <c r="P46" s="156"/>
      <c r="Q46" s="156">
        <f>+M46-O46</f>
        <v>0</v>
      </c>
      <c r="R46" s="156"/>
      <c r="S46" s="221">
        <f>IF(O46&lt;0,IF(Q46=0,0,IF(OR(O46=0,M46=0),"N.M.",IF(ABS(Q46/O46)&gt;=10,"N.M.",Q46/(-O46)))),IF(Q46=0,0,IF(OR(O46=0,M46=0),"N.M.",IF(ABS(Q46/O46)&gt;=10,"N.M.",Q46/O46))))</f>
        <v>0</v>
      </c>
      <c r="T46" s="222"/>
      <c r="U46" s="156">
        <v>133376.414</v>
      </c>
      <c r="V46" s="222"/>
      <c r="W46" s="156">
        <v>181697.83</v>
      </c>
      <c r="X46" s="222"/>
      <c r="Y46" s="156">
        <f>(+U46-W46)</f>
        <v>-48321.416</v>
      </c>
      <c r="Z46" s="156"/>
      <c r="AA46" s="221">
        <f>IF(W46&lt;0,IF(Y46=0,0,IF(OR(W46=0,U46=0),"N.M.",IF(ABS(Y46/W46)&gt;=10,"N.M.",Y46/(-W46)))),IF(Y46=0,0,IF(OR(W46=0,U46=0),"N.M.",IF(ABS(Y46/W46)&gt;=10,"N.M.",Y46/W46))))</f>
        <v>-0.26594382552614965</v>
      </c>
      <c r="AB46" s="156"/>
      <c r="AC46" s="156">
        <v>322928.284</v>
      </c>
      <c r="AD46" s="156"/>
      <c r="AE46" s="156">
        <v>370390.32</v>
      </c>
      <c r="AF46" s="156"/>
      <c r="AG46" s="156">
        <f>(+AC46-AE46)</f>
        <v>-47462.03600000002</v>
      </c>
      <c r="AH46" s="156"/>
      <c r="AI46" s="221">
        <f>IF(AE46&lt;0,IF(AG46=0,0,IF(OR(AE46=0,AC46=0),"N.M.",IF(ABS(AG46/AE46)&gt;=10,"N.M.",AG46/(-AE46)))),IF(AG46=0,0,IF(OR(AE46=0,AC46=0),"N.M.",IF(ABS(AG46/AE46)&gt;=10,"N.M.",AG46/AE46))))</f>
        <v>-0.1281405950349891</v>
      </c>
      <c r="AJ46" s="156"/>
      <c r="AK46" s="156">
        <v>322928.284</v>
      </c>
    </row>
    <row r="47" spans="1:7" ht="15">
      <c r="A47" s="192">
        <f t="shared" si="2"/>
        <v>24</v>
      </c>
      <c r="B47" s="311" t="s">
        <v>806</v>
      </c>
      <c r="C47" s="632" t="s">
        <v>807</v>
      </c>
      <c r="D47" s="1081">
        <v>11</v>
      </c>
      <c r="E47" s="177">
        <f t="shared" si="1"/>
        <v>11</v>
      </c>
      <c r="F47" s="183">
        <v>0</v>
      </c>
      <c r="G47"/>
    </row>
    <row r="48" spans="1:7" ht="15">
      <c r="A48" s="192">
        <f t="shared" si="2"/>
        <v>25</v>
      </c>
      <c r="B48" s="311" t="s">
        <v>836</v>
      </c>
      <c r="C48" s="632" t="s">
        <v>837</v>
      </c>
      <c r="D48" s="1081">
        <v>32805</v>
      </c>
      <c r="E48" s="177">
        <f t="shared" si="1"/>
        <v>32805</v>
      </c>
      <c r="F48" s="183">
        <v>0</v>
      </c>
      <c r="G48" s="179"/>
    </row>
    <row r="49" spans="1:7" ht="15">
      <c r="A49" s="192">
        <f t="shared" si="2"/>
        <v>26</v>
      </c>
      <c r="B49" s="311" t="s">
        <v>808</v>
      </c>
      <c r="C49" s="632" t="s">
        <v>809</v>
      </c>
      <c r="D49" s="1081">
        <v>23151</v>
      </c>
      <c r="E49" s="177">
        <f t="shared" si="1"/>
        <v>23151</v>
      </c>
      <c r="F49" s="183">
        <v>0</v>
      </c>
      <c r="G49" s="179"/>
    </row>
    <row r="50" spans="1:7" ht="15">
      <c r="A50" s="192">
        <f t="shared" si="2"/>
        <v>27</v>
      </c>
      <c r="B50" s="311" t="s">
        <v>800</v>
      </c>
      <c r="C50" s="632" t="s">
        <v>801</v>
      </c>
      <c r="D50" s="1081">
        <v>50</v>
      </c>
      <c r="E50" s="177">
        <f t="shared" si="1"/>
        <v>50</v>
      </c>
      <c r="F50" s="183">
        <v>0</v>
      </c>
      <c r="G50" s="179"/>
    </row>
    <row r="51" spans="1:7" ht="15">
      <c r="A51" s="192">
        <f t="shared" si="2"/>
        <v>28</v>
      </c>
      <c r="B51" s="311" t="s">
        <v>802</v>
      </c>
      <c r="C51" s="632" t="s">
        <v>803</v>
      </c>
      <c r="D51" s="1081">
        <v>66630</v>
      </c>
      <c r="E51" s="177">
        <f t="shared" si="1"/>
        <v>66630</v>
      </c>
      <c r="F51" s="183">
        <v>0</v>
      </c>
      <c r="G51" s="179"/>
    </row>
    <row r="52" spans="2:7" ht="15">
      <c r="B52" s="178"/>
      <c r="C52" s="179"/>
      <c r="D52" s="188"/>
      <c r="E52" s="189"/>
      <c r="F52" s="188"/>
      <c r="G52" s="179"/>
    </row>
    <row r="53" spans="1:7" ht="15.75">
      <c r="A53" s="192">
        <f>+A51+1</f>
        <v>29</v>
      </c>
      <c r="B53" s="184"/>
      <c r="C53" s="738" t="str">
        <f>C39</f>
        <v>Total</v>
      </c>
      <c r="D53" s="190">
        <f>SUM(D42:D52)</f>
        <v>398904</v>
      </c>
      <c r="E53" s="190">
        <f>SUM(E42:E52)</f>
        <v>398904</v>
      </c>
      <c r="F53" s="190">
        <f>SUM(F42:F47)</f>
        <v>0</v>
      </c>
      <c r="G53" s="155"/>
    </row>
    <row r="54" spans="2:7" ht="12.75" customHeight="1">
      <c r="B54" s="171"/>
      <c r="C54" s="171"/>
      <c r="D54" s="171"/>
      <c r="E54" s="171"/>
      <c r="F54" s="171"/>
      <c r="G54" s="171"/>
    </row>
    <row r="55" spans="2:7" ht="15.75">
      <c r="B55" s="169"/>
      <c r="C55" s="314" t="s">
        <v>908</v>
      </c>
      <c r="D55" s="191"/>
      <c r="E55" s="191"/>
      <c r="F55" s="191"/>
      <c r="G55" s="169"/>
    </row>
    <row r="56" spans="1:8" ht="15">
      <c r="A56" s="192">
        <f>+A53+1</f>
        <v>30</v>
      </c>
      <c r="B56" s="224" t="s">
        <v>841</v>
      </c>
      <c r="C56" s="632" t="s">
        <v>842</v>
      </c>
      <c r="D56" s="632">
        <v>161479</v>
      </c>
      <c r="E56" s="176">
        <f>D56</f>
        <v>161479</v>
      </c>
      <c r="F56" s="176"/>
      <c r="G56" s="154"/>
      <c r="H56" s="156"/>
    </row>
    <row r="57" spans="1:8" ht="15">
      <c r="A57" s="192">
        <f>+A56+1</f>
        <v>31</v>
      </c>
      <c r="B57" s="224" t="s">
        <v>843</v>
      </c>
      <c r="C57" s="632" t="s">
        <v>844</v>
      </c>
      <c r="D57" s="632">
        <v>28091</v>
      </c>
      <c r="E57" s="176">
        <f>D57</f>
        <v>28091</v>
      </c>
      <c r="F57" s="176"/>
      <c r="G57" s="154"/>
      <c r="H57" s="156"/>
    </row>
    <row r="58" spans="1:8" ht="15">
      <c r="A58" s="192">
        <f>+A57+1</f>
        <v>32</v>
      </c>
      <c r="B58" s="224" t="s">
        <v>845</v>
      </c>
      <c r="C58" s="632" t="s">
        <v>889</v>
      </c>
      <c r="D58" s="632">
        <v>4946</v>
      </c>
      <c r="E58" s="176">
        <f>D58</f>
        <v>4946</v>
      </c>
      <c r="F58" s="176"/>
      <c r="G58" s="154"/>
      <c r="H58" s="156"/>
    </row>
    <row r="59" spans="1:8" ht="15">
      <c r="A59" s="192">
        <f>+A58+1</f>
        <v>33</v>
      </c>
      <c r="B59" s="224" t="s">
        <v>450</v>
      </c>
      <c r="C59" s="632" t="s">
        <v>451</v>
      </c>
      <c r="D59" s="632">
        <v>0</v>
      </c>
      <c r="E59" s="176">
        <f>D59</f>
        <v>0</v>
      </c>
      <c r="F59" s="176"/>
      <c r="G59" s="154"/>
      <c r="H59" s="156"/>
    </row>
    <row r="60" spans="1:7" ht="15">
      <c r="A60" s="192">
        <f>+A59+1</f>
        <v>34</v>
      </c>
      <c r="B60" s="224" t="s">
        <v>890</v>
      </c>
      <c r="C60" s="632" t="s">
        <v>452</v>
      </c>
      <c r="D60" s="632">
        <v>313102</v>
      </c>
      <c r="E60" s="176">
        <f>D60-F60</f>
        <v>229807</v>
      </c>
      <c r="F60" s="176">
        <v>83295</v>
      </c>
      <c r="G60" s="171"/>
    </row>
    <row r="61" spans="2:7" ht="15">
      <c r="B61" s="171"/>
      <c r="C61" s="171"/>
      <c r="D61" s="171"/>
      <c r="E61" s="171"/>
      <c r="F61" s="171"/>
      <c r="G61" s="171"/>
    </row>
    <row r="62" spans="1:7" ht="15.75">
      <c r="A62" s="192">
        <f>+A60+1</f>
        <v>35</v>
      </c>
      <c r="B62" s="171"/>
      <c r="C62" s="738" t="s">
        <v>726</v>
      </c>
      <c r="D62" s="190">
        <f>SUM(D56:D61)</f>
        <v>507618</v>
      </c>
      <c r="E62" s="190">
        <f>SUM(E56:E61)</f>
        <v>424323</v>
      </c>
      <c r="F62" s="190">
        <f>SUM(F56:F61)</f>
        <v>83295</v>
      </c>
      <c r="G62" s="155"/>
    </row>
    <row r="63" spans="2:7" ht="15">
      <c r="B63" s="255"/>
      <c r="C63" s="146"/>
      <c r="D63" s="146"/>
      <c r="E63" s="146"/>
      <c r="F63" s="146"/>
      <c r="G63" s="146"/>
    </row>
    <row r="64" spans="1:6" ht="12.75">
      <c r="A64"/>
      <c r="B64"/>
      <c r="C64"/>
      <c r="D64"/>
      <c r="E64"/>
      <c r="F64"/>
    </row>
    <row r="65" spans="1:6" ht="12.75">
      <c r="A65"/>
      <c r="B65"/>
      <c r="C65"/>
      <c r="D65"/>
      <c r="E65"/>
      <c r="F65"/>
    </row>
    <row r="291" ht="6" customHeight="1"/>
    <row r="293" ht="6" customHeight="1"/>
    <row r="300" ht="6" customHeight="1"/>
    <row r="302" ht="6" customHeight="1"/>
    <row r="306" ht="6" customHeight="1"/>
    <row r="309" ht="6" customHeight="1"/>
    <row r="314" ht="6" customHeight="1"/>
    <row r="318" ht="6" customHeight="1"/>
    <row r="320" ht="6" customHeight="1"/>
    <row r="329" ht="6" customHeight="1"/>
    <row r="331" ht="6" customHeight="1"/>
    <row r="333" ht="6" customHeight="1"/>
    <row r="335" ht="6" customHeight="1"/>
    <row r="344" ht="6" customHeight="1"/>
    <row r="346" ht="6" customHeight="1"/>
  </sheetData>
  <sheetProtection/>
  <mergeCells count="6">
    <mergeCell ref="A1:G1"/>
    <mergeCell ref="A6:G6"/>
    <mergeCell ref="A5:F5"/>
    <mergeCell ref="A2:G2"/>
    <mergeCell ref="A3:G3"/>
    <mergeCell ref="A4:G4"/>
  </mergeCells>
  <printOptions/>
  <pageMargins left="0.63" right="0.45" top="1" bottom="0.67" header="0.75" footer="0.4"/>
  <pageSetup fitToHeight="1" fitToWidth="1" horizontalDpi="600" verticalDpi="600" orientation="portrait" scale="66" r:id="rId1"/>
  <headerFooter alignWithMargins="0">
    <oddHeader>&amp;R&amp;"Arial,Bold"Formula Rate 
&amp;A
Page &amp;P of &amp;N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Heintz - Weiss - Munsey</dc:creator>
  <cp:keywords/>
  <dc:description/>
  <cp:lastModifiedBy>s211278</cp:lastModifiedBy>
  <cp:lastPrinted>2010-05-10T11:44:40Z</cp:lastPrinted>
  <dcterms:created xsi:type="dcterms:W3CDTF">2005-06-15T14:56:19Z</dcterms:created>
  <dcterms:modified xsi:type="dcterms:W3CDTF">2010-05-25T16:48:51Z</dcterms:modified>
  <cp:category/>
  <cp:version/>
  <cp:contentType/>
  <cp:contentStatus/>
</cp:coreProperties>
</file>