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4400" windowHeight="11310"/>
  </bookViews>
  <sheets>
    <sheet name="Sheet1" sheetId="1" r:id="rId1"/>
  </sheets>
  <calcPr calcId="145621"/>
</workbook>
</file>

<file path=xl/calcChain.xml><?xml version="1.0" encoding="utf-8"?>
<calcChain xmlns="http://schemas.openxmlformats.org/spreadsheetml/2006/main">
  <c r="G27" i="1" l="1"/>
  <c r="P32" i="1"/>
  <c r="G33" i="1"/>
  <c r="I46" i="1"/>
  <c r="Q46" i="1" s="1"/>
  <c r="K44" i="1"/>
  <c r="M43" i="1"/>
  <c r="D43" i="1"/>
  <c r="E43" i="1" s="1"/>
  <c r="M42" i="1"/>
  <c r="D42" i="1"/>
  <c r="C42" i="1"/>
  <c r="M41" i="1"/>
  <c r="D41" i="1"/>
  <c r="C41" i="1"/>
  <c r="L40" i="1"/>
  <c r="M40" i="1" s="1"/>
  <c r="D40" i="1"/>
  <c r="C40" i="1"/>
  <c r="L39" i="1"/>
  <c r="M39" i="1" s="1"/>
  <c r="D39" i="1"/>
  <c r="E39" i="1" s="1"/>
  <c r="L38" i="1"/>
  <c r="M38" i="1" s="1"/>
  <c r="D38" i="1"/>
  <c r="E38" i="1" s="1"/>
  <c r="L37" i="1"/>
  <c r="D37" i="1"/>
  <c r="L36" i="1"/>
  <c r="M36" i="1" s="1"/>
  <c r="D36" i="1"/>
  <c r="E36" i="1" s="1"/>
  <c r="L35" i="1"/>
  <c r="M35" i="1" s="1"/>
  <c r="D35" i="1"/>
  <c r="C35" i="1"/>
  <c r="L34" i="1"/>
  <c r="M34" i="1" s="1"/>
  <c r="D34" i="1"/>
  <c r="C34" i="1"/>
  <c r="L33" i="1"/>
  <c r="M33" i="1" s="1"/>
  <c r="D33" i="1"/>
  <c r="C33" i="1"/>
  <c r="L32" i="1"/>
  <c r="M32" i="1" s="1"/>
  <c r="D32" i="1"/>
  <c r="E32" i="1" s="1"/>
  <c r="A33" i="1"/>
  <c r="A34" i="1" s="1"/>
  <c r="A35" i="1" s="1"/>
  <c r="A36" i="1" s="1"/>
  <c r="A37" i="1" s="1"/>
  <c r="A38" i="1" s="1"/>
  <c r="A39" i="1" s="1"/>
  <c r="A40" i="1" s="1"/>
  <c r="A41" i="1" s="1"/>
  <c r="A42" i="1" s="1"/>
  <c r="A43" i="1" s="1"/>
  <c r="Q31" i="1"/>
  <c r="M31" i="1"/>
  <c r="I31" i="1"/>
  <c r="E31" i="1"/>
  <c r="E41" i="1" l="1"/>
  <c r="E33" i="1"/>
  <c r="E34" i="1"/>
  <c r="E35" i="1"/>
  <c r="E40" i="1"/>
  <c r="E42" i="1"/>
  <c r="C44" i="1"/>
  <c r="M37" i="1"/>
  <c r="M44" i="1" s="1"/>
  <c r="D44" i="1"/>
  <c r="E37" i="1"/>
  <c r="L44" i="1"/>
  <c r="E44" i="1" l="1"/>
  <c r="H37" i="1"/>
  <c r="P37" i="1" s="1"/>
  <c r="G42" i="1"/>
  <c r="G35" i="1"/>
  <c r="H42" i="1"/>
  <c r="P42" i="1" s="1"/>
  <c r="M45" i="1"/>
  <c r="O33" i="1"/>
  <c r="E45" i="1"/>
  <c r="O42" i="1"/>
  <c r="Q42" i="1" s="1"/>
  <c r="I42" i="1"/>
  <c r="G36" i="1"/>
  <c r="H43" i="1"/>
  <c r="P43" i="1" s="1"/>
  <c r="H38" i="1"/>
  <c r="P38" i="1" s="1"/>
  <c r="G37" i="1"/>
  <c r="G41" i="1"/>
  <c r="G40" i="1"/>
  <c r="G39" i="1"/>
  <c r="H35" i="1"/>
  <c r="P35" i="1" s="1"/>
  <c r="H34" i="1"/>
  <c r="P34" i="1" s="1"/>
  <c r="H33" i="1"/>
  <c r="P33" i="1" s="1"/>
  <c r="H32" i="1"/>
  <c r="G43" i="1"/>
  <c r="G38" i="1"/>
  <c r="G32" i="1"/>
  <c r="H36" i="1"/>
  <c r="P36" i="1" s="1"/>
  <c r="H41" i="1"/>
  <c r="P41" i="1" s="1"/>
  <c r="H39" i="1"/>
  <c r="P39" i="1" s="1"/>
  <c r="H40" i="1"/>
  <c r="P40" i="1" s="1"/>
  <c r="G34" i="1"/>
  <c r="I35" i="1" l="1"/>
  <c r="O35" i="1"/>
  <c r="Q35" i="1" s="1"/>
  <c r="I33" i="1"/>
  <c r="I34" i="1"/>
  <c r="O34" i="1"/>
  <c r="Q34" i="1" s="1"/>
  <c r="I32" i="1"/>
  <c r="H44" i="1"/>
  <c r="I39" i="1"/>
  <c r="O39" i="1"/>
  <c r="Q39" i="1" s="1"/>
  <c r="G44" i="1"/>
  <c r="O32" i="1"/>
  <c r="I40" i="1"/>
  <c r="O40" i="1"/>
  <c r="Q40" i="1" s="1"/>
  <c r="I38" i="1"/>
  <c r="O38" i="1"/>
  <c r="Q38" i="1" s="1"/>
  <c r="I41" i="1"/>
  <c r="O41" i="1"/>
  <c r="Q41" i="1" s="1"/>
  <c r="O36" i="1"/>
  <c r="Q36" i="1" s="1"/>
  <c r="I36" i="1"/>
  <c r="I43" i="1"/>
  <c r="O43" i="1"/>
  <c r="Q43" i="1" s="1"/>
  <c r="O37" i="1"/>
  <c r="Q37" i="1" s="1"/>
  <c r="I37" i="1"/>
  <c r="Q33" i="1"/>
  <c r="O44" i="1" l="1"/>
  <c r="I44" i="1"/>
  <c r="Q32" i="1"/>
  <c r="Q44" i="1" s="1"/>
  <c r="P44" i="1"/>
  <c r="Q45" i="1" l="1"/>
  <c r="I45" i="1"/>
</calcChain>
</file>

<file path=xl/comments1.xml><?xml version="1.0" encoding="utf-8"?>
<comments xmlns="http://schemas.openxmlformats.org/spreadsheetml/2006/main">
  <authors>
    <author>Hugh McCoy</author>
  </authors>
  <commentList>
    <comment ref="C28" authorId="0">
      <text>
        <r>
          <rPr>
            <b/>
            <sz val="10"/>
            <color indexed="81"/>
            <rFont val="Tahoma"/>
            <family val="2"/>
          </rPr>
          <t>Hugh McCoy:
Includes Cardinal Operating Co. and Columbus Southern Power Generation</t>
        </r>
      </text>
    </comment>
  </commentList>
</comments>
</file>

<file path=xl/sharedStrings.xml><?xml version="1.0" encoding="utf-8"?>
<sst xmlns="http://schemas.openxmlformats.org/spreadsheetml/2006/main" count="41" uniqueCount="22">
  <si>
    <t>Rate of</t>
  </si>
  <si>
    <t>Plan</t>
  </si>
  <si>
    <t>Qualified</t>
  </si>
  <si>
    <t>Additional</t>
  </si>
  <si>
    <t>Year</t>
  </si>
  <si>
    <t>Return</t>
  </si>
  <si>
    <t>Contribution</t>
  </si>
  <si>
    <t>Cost</t>
  </si>
  <si>
    <t>Cumulative Prior Years</t>
  </si>
  <si>
    <t>Prepaid Pension Asset Balance at December 2013</t>
  </si>
  <si>
    <t>Ohio Power Company Generation</t>
  </si>
  <si>
    <t>AG_1_294_Attachment9</t>
  </si>
  <si>
    <t>Reconciliation of Kentucky Power Company's Prepaid Pension Asset Amounts as Shown in Exhibit HEM-3 to Actuarial Reports</t>
  </si>
  <si>
    <t xml:space="preserve">Exhibit HEM-3 consists of three pages.  Page 2 of 3 covers the effects of qualified plan contributions and FAS 87 cost for the years 2002 through 2013 for Kentucky Power Company without the effects of the Mitchell Plant, while Page 3 of 3 covers the same period for the Mitchell Plant.  Page 1 of 3 for the years 2002 through 2013 is the combined total of the other two pages plus the amounts for 2014.  Accordingly, the FAS 87 qualified pension cost for 2014 can be traced directly to the 2014 actuarial report from Page 1 of 3, while the amounts for 2002 through 2013 can be traced to the actuarial reports from the reconciling schedule below.  </t>
  </si>
  <si>
    <t>Actual FAS 87 pension cost amounts for the year of the actuarial report are shown in schedules labeled "[year] Net Periodic Pension Cost" near the end of each year's AEP System Retirement Plan actuarial report.  (Additional following pages labeled "Estimated" show projections for several future years but do not show actual pension cost amounts.)  The actual cost schedule shows in the final column labeled "Net Periodic Pension Cost" the amount of pension cost for each participating AEP System company.  The investment rate of return can be found earlier in each actuarial report under "actuarial assumptions and methods."</t>
  </si>
  <si>
    <t>Mitchell Plant Portion of OP Generation</t>
  </si>
  <si>
    <t>Kentucky Power Company Without Mitchell</t>
  </si>
  <si>
    <t>Kentucky Power Company With Mitchell Plant</t>
  </si>
  <si>
    <t xml:space="preserve"> of Prepaid (Per Actuaries) *</t>
  </si>
  <si>
    <t>*  This percentage, which equals the December 31, 2013 amount of Mitchell Plant prepaid pension asset as determined by our actuaries divided by the total Ohio Power Company Generation prepaid pension asset, is applied to each subsequent year's components.</t>
  </si>
  <si>
    <t>In the reconciling schedule below, the pension cost amounts in the column labeled "Qualified Cost" of the third set of columns labeled "Kentucky Power Company Without Mitchell," and in the first set of columns labeled "Ohio Power Company Generation," come directly from each year's actuarial reports.  The second set of columns labeled "Mitchell Plant Portion of OP Generation" is equal to the percentage shown multiplied by each amount in the first set of columns, while the amounts in the final set of columns labeled "Kentucky Power Company With Mitchell Plant" are equal to the Second set of columns plus the third set of columns.</t>
  </si>
  <si>
    <t>Selecting each cell below in the "Qualified Cost" columns of "Ohio Power Company Generation" and "Kentucky Power Company Without Mitchell" reveals the individual amounts from the actuarial reports that were added to yield the total displayed in the cell.  For Kentucky Power Company, the amounts added from the actuarial reports are for KPCo Distribution, KPCo Generation, and KPCo Transmission.  For 2005 and 2006, Kentucky Power Company has an additional amount from a second actuarial report.  For Ohio Power Company Generation, the amounts added from the actuarial reports are for Ohio Power Company Generation, Cardinal Operating Company, and Columbus Southern Power Generation (which was merged into Ohio Power Generation after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</si>
</sst>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000%"/>
    <numFmt numFmtId="166" formatCode="0.000000%"/>
  </numFmts>
  <fonts count="9" x14ac:knownFonts="1">
    <font>
      <sz val="11"/>
      <color theme="1"/>
      <name val="Times New Roman"/>
      <family val="2"/>
    </font>
    <font>
      <sz val="11"/>
      <color theme="1"/>
      <name val="Times New Roman"/>
      <family val="2"/>
    </font>
    <font>
      <u/>
      <sz val="11"/>
      <color theme="1"/>
      <name val="Times New Roman"/>
      <family val="2"/>
    </font>
    <font>
      <b/>
      <sz val="10"/>
      <color indexed="81"/>
      <name val="Tahoma"/>
      <family val="2"/>
    </font>
    <font>
      <sz val="10"/>
      <name val="MS Sans Serif"/>
    </font>
    <font>
      <sz val="10"/>
      <name val="Arial"/>
      <family val="2"/>
    </font>
    <font>
      <b/>
      <sz val="10"/>
      <name val="MS Sans Serif"/>
    </font>
    <font>
      <sz val="12"/>
      <color theme="1"/>
      <name val="Times New Roman"/>
      <family val="2"/>
    </font>
    <font>
      <b/>
      <sz val="12"/>
      <color theme="1"/>
      <name val="Times New Roman"/>
      <family val="2"/>
    </font>
  </fonts>
  <fills count="3">
    <fill>
      <patternFill patternType="none"/>
    </fill>
    <fill>
      <patternFill patternType="gray125"/>
    </fill>
    <fill>
      <patternFill patternType="mediumGray">
        <fgColor indexed="22"/>
      </patternFill>
    </fill>
  </fills>
  <borders count="3">
    <border>
      <left/>
      <right/>
      <top/>
      <bottom/>
      <diagonal/>
    </border>
    <border>
      <left/>
      <right/>
      <top style="thin">
        <color indexed="64"/>
      </top>
      <bottom style="double">
        <color indexed="64"/>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0" fontId="4" fillId="0" borderId="0" applyFont="0" applyFill="0" applyBorder="0" applyAlignment="0" applyProtection="0"/>
    <xf numFmtId="0" fontId="4" fillId="0" borderId="0"/>
    <xf numFmtId="0" fontId="5" fillId="0" borderId="0"/>
    <xf numFmtId="0" fontId="4" fillId="0" borderId="0" applyNumberFormat="0" applyFont="0" applyFill="0" applyBorder="0" applyAlignment="0" applyProtection="0">
      <alignment horizontal="left"/>
    </xf>
    <xf numFmtId="15" fontId="4" fillId="0" borderId="0" applyFont="0" applyFill="0" applyBorder="0" applyAlignment="0" applyProtection="0"/>
    <xf numFmtId="4" fontId="4" fillId="0" borderId="0" applyFont="0" applyFill="0" applyBorder="0" applyAlignment="0" applyProtection="0"/>
    <xf numFmtId="0" fontId="6" fillId="0" borderId="2">
      <alignment horizontal="center"/>
    </xf>
    <xf numFmtId="3" fontId="4" fillId="0" borderId="0" applyFont="0" applyFill="0" applyBorder="0" applyAlignment="0" applyProtection="0"/>
    <xf numFmtId="0" fontId="4" fillId="2" borderId="0" applyNumberFormat="0" applyFont="0" applyBorder="0" applyAlignment="0" applyProtection="0"/>
  </cellStyleXfs>
  <cellXfs count="24">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center"/>
    </xf>
    <xf numFmtId="164" fontId="2" fillId="0" borderId="0" xfId="1" applyNumberFormat="1" applyFont="1" applyAlignment="1">
      <alignment horizontal="center"/>
    </xf>
    <xf numFmtId="164" fontId="0" fillId="0" borderId="0" xfId="1" applyNumberFormat="1" applyFont="1" applyAlignment="1">
      <alignment horizontal="center"/>
    </xf>
    <xf numFmtId="164" fontId="2" fillId="0" borderId="0" xfId="1" applyNumberFormat="1" applyFont="1" applyAlignment="1">
      <alignment horizontal="center"/>
    </xf>
    <xf numFmtId="10" fontId="0" fillId="0" borderId="0" xfId="2" applyNumberFormat="1" applyFont="1" applyAlignment="1">
      <alignment horizontal="center"/>
    </xf>
    <xf numFmtId="164" fontId="0" fillId="0" borderId="0" xfId="1" applyNumberFormat="1" applyFont="1"/>
    <xf numFmtId="164" fontId="0" fillId="0" borderId="0" xfId="1" applyNumberFormat="1" applyFont="1" applyBorder="1"/>
    <xf numFmtId="164" fontId="0" fillId="0" borderId="1" xfId="1" applyNumberFormat="1" applyFont="1" applyBorder="1"/>
    <xf numFmtId="0" fontId="0" fillId="0" borderId="0" xfId="0" applyAlignment="1">
      <alignment horizontal="left"/>
    </xf>
    <xf numFmtId="164" fontId="0" fillId="0" borderId="0" xfId="1" applyNumberFormat="1" applyFont="1" applyBorder="1" applyAlignment="1">
      <alignment horizontal="center"/>
    </xf>
    <xf numFmtId="165" fontId="0" fillId="0" borderId="0" xfId="2" applyNumberFormat="1" applyFont="1"/>
    <xf numFmtId="0" fontId="0" fillId="0" borderId="0" xfId="0" quotePrefix="1"/>
    <xf numFmtId="166" fontId="0" fillId="0" borderId="0" xfId="2" applyNumberFormat="1" applyFont="1"/>
    <xf numFmtId="0" fontId="0" fillId="0" borderId="0" xfId="0" applyAlignment="1">
      <alignment vertical="top" wrapText="1"/>
    </xf>
    <xf numFmtId="0" fontId="7" fillId="0" borderId="0" xfId="0" applyFont="1"/>
    <xf numFmtId="0" fontId="8"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cellXfs>
  <cellStyles count="12">
    <cellStyle name="Comma" xfId="1" builtinId="3"/>
    <cellStyle name="Comma 2" xfId="3"/>
    <cellStyle name="Normal" xfId="0" builtinId="0"/>
    <cellStyle name="Normal 2" xfId="4"/>
    <cellStyle name="Normal 2 2" xfId="5"/>
    <cellStyle name="Percent" xfId="2" builtinId="5"/>
    <cellStyle name="PSChar" xfId="6"/>
    <cellStyle name="PSDate" xfId="7"/>
    <cellStyle name="PSDec" xfId="8"/>
    <cellStyle name="PSHeading" xfId="9"/>
    <cellStyle name="PSInt" xfId="10"/>
    <cellStyle name="PSSpacer"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9"/>
  <sheetViews>
    <sheetView tabSelected="1" zoomScale="90" zoomScaleNormal="90" workbookViewId="0">
      <selection activeCell="A2" sqref="A2:Q2"/>
    </sheetView>
  </sheetViews>
  <sheetFormatPr defaultColWidth="11.85546875" defaultRowHeight="15.75" customHeight="1" x14ac:dyDescent="0.25"/>
  <cols>
    <col min="1" max="2" width="9.28515625" customWidth="1"/>
    <col min="3" max="5" width="13.85546875" customWidth="1"/>
    <col min="6" max="6" width="2.5703125" customWidth="1"/>
    <col min="7" max="9" width="13.85546875" customWidth="1"/>
    <col min="10" max="10" width="2.5703125" customWidth="1"/>
    <col min="11" max="13" width="13.85546875" customWidth="1"/>
    <col min="14" max="14" width="2.5703125" customWidth="1"/>
    <col min="15" max="17" width="13.85546875" customWidth="1"/>
  </cols>
  <sheetData>
    <row r="1" spans="1:17" s="18" customFormat="1" ht="15.75" customHeight="1" x14ac:dyDescent="0.25">
      <c r="Q1" s="19" t="s">
        <v>11</v>
      </c>
    </row>
    <row r="2" spans="1:17" s="18" customFormat="1" ht="15.75" customHeight="1" x14ac:dyDescent="0.25">
      <c r="A2" s="20" t="s">
        <v>12</v>
      </c>
      <c r="B2" s="20"/>
      <c r="C2" s="20"/>
      <c r="D2" s="20"/>
      <c r="E2" s="20"/>
      <c r="F2" s="20"/>
      <c r="G2" s="20"/>
      <c r="H2" s="20"/>
      <c r="I2" s="20"/>
      <c r="J2" s="20"/>
      <c r="K2" s="20"/>
      <c r="L2" s="20"/>
      <c r="M2" s="20"/>
      <c r="N2" s="20"/>
      <c r="O2" s="20"/>
      <c r="P2" s="20"/>
      <c r="Q2" s="20"/>
    </row>
    <row r="3" spans="1:17" s="18" customFormat="1" ht="15.75" customHeight="1" x14ac:dyDescent="0.25">
      <c r="A3" s="21"/>
      <c r="B3" s="21"/>
      <c r="C3" s="21"/>
      <c r="D3" s="21"/>
      <c r="E3" s="21"/>
      <c r="F3" s="21"/>
      <c r="G3" s="21"/>
      <c r="H3" s="21"/>
      <c r="I3" s="21"/>
      <c r="J3" s="21"/>
      <c r="K3" s="21"/>
      <c r="L3" s="21"/>
      <c r="M3" s="21"/>
      <c r="N3" s="21"/>
      <c r="O3" s="21"/>
      <c r="P3" s="21"/>
      <c r="Q3" s="21"/>
    </row>
    <row r="4" spans="1:17" s="18" customFormat="1" ht="15.75" customHeight="1" x14ac:dyDescent="0.25">
      <c r="A4" s="21"/>
      <c r="B4" s="21"/>
      <c r="C4" s="21"/>
      <c r="D4" s="21"/>
      <c r="E4" s="21"/>
      <c r="F4" s="21"/>
      <c r="G4" s="21"/>
      <c r="H4" s="21"/>
      <c r="I4" s="21"/>
      <c r="J4" s="21"/>
      <c r="K4" s="21"/>
      <c r="L4" s="21"/>
      <c r="M4" s="21"/>
      <c r="N4" s="21"/>
      <c r="O4" s="21"/>
      <c r="P4" s="21"/>
      <c r="Q4" s="21"/>
    </row>
    <row r="5" spans="1:17" s="18" customFormat="1" ht="15.75" customHeight="1" x14ac:dyDescent="0.25">
      <c r="A5" s="22" t="s">
        <v>13</v>
      </c>
      <c r="B5" s="23"/>
      <c r="C5" s="23"/>
      <c r="D5" s="23"/>
      <c r="E5" s="23"/>
      <c r="F5" s="23"/>
      <c r="G5" s="23"/>
      <c r="H5" s="23"/>
      <c r="I5" s="23"/>
      <c r="J5" s="23"/>
      <c r="K5" s="23"/>
      <c r="L5" s="23"/>
      <c r="M5" s="23"/>
      <c r="N5" s="23"/>
      <c r="O5" s="23"/>
      <c r="P5" s="23"/>
      <c r="Q5" s="21"/>
    </row>
    <row r="6" spans="1:17" s="18" customFormat="1" ht="15.75" customHeight="1" x14ac:dyDescent="0.25">
      <c r="A6" s="23"/>
      <c r="B6" s="23"/>
      <c r="C6" s="23"/>
      <c r="D6" s="23"/>
      <c r="E6" s="23"/>
      <c r="F6" s="23"/>
      <c r="G6" s="23"/>
      <c r="H6" s="23"/>
      <c r="I6" s="23"/>
      <c r="J6" s="23"/>
      <c r="K6" s="23"/>
      <c r="L6" s="23"/>
      <c r="M6" s="23"/>
      <c r="N6" s="23"/>
      <c r="O6" s="23"/>
      <c r="P6" s="23"/>
      <c r="Q6" s="21"/>
    </row>
    <row r="7" spans="1:17" s="18" customFormat="1" ht="15.75" customHeight="1" x14ac:dyDescent="0.25">
      <c r="A7" s="23"/>
      <c r="B7" s="23"/>
      <c r="C7" s="23"/>
      <c r="D7" s="23"/>
      <c r="E7" s="23"/>
      <c r="F7" s="23"/>
      <c r="G7" s="23"/>
      <c r="H7" s="23"/>
      <c r="I7" s="23"/>
      <c r="J7" s="23"/>
      <c r="K7" s="23"/>
      <c r="L7" s="23"/>
      <c r="M7" s="23"/>
      <c r="N7" s="23"/>
      <c r="O7" s="23"/>
      <c r="P7" s="23"/>
      <c r="Q7" s="21"/>
    </row>
    <row r="8" spans="1:17" s="18" customFormat="1" ht="15.75" customHeight="1" x14ac:dyDescent="0.25">
      <c r="A8" s="23"/>
      <c r="B8" s="23"/>
      <c r="C8" s="23"/>
      <c r="D8" s="23"/>
      <c r="E8" s="23"/>
      <c r="F8" s="23"/>
      <c r="G8" s="23"/>
      <c r="H8" s="23"/>
      <c r="I8" s="23"/>
      <c r="J8" s="23"/>
      <c r="K8" s="23"/>
      <c r="L8" s="23"/>
      <c r="M8" s="23"/>
      <c r="N8" s="23"/>
      <c r="O8" s="23"/>
      <c r="P8" s="23"/>
      <c r="Q8" s="21"/>
    </row>
    <row r="9" spans="1:17" s="18" customFormat="1" ht="15.75" customHeight="1" x14ac:dyDescent="0.25">
      <c r="A9" s="23"/>
      <c r="B9" s="23"/>
      <c r="C9" s="23"/>
      <c r="D9" s="23"/>
      <c r="E9" s="23"/>
      <c r="F9" s="23"/>
      <c r="G9" s="23"/>
      <c r="H9" s="23"/>
      <c r="I9" s="23"/>
      <c r="J9" s="23"/>
      <c r="K9" s="23"/>
      <c r="L9" s="23"/>
      <c r="M9" s="23"/>
      <c r="N9" s="23"/>
      <c r="O9" s="23"/>
      <c r="P9" s="23"/>
      <c r="Q9" s="21"/>
    </row>
    <row r="10" spans="1:17" s="18" customFormat="1" ht="15.75" customHeight="1" x14ac:dyDescent="0.25">
      <c r="A10" s="22" t="s">
        <v>14</v>
      </c>
      <c r="B10" s="23"/>
      <c r="C10" s="23"/>
      <c r="D10" s="23"/>
      <c r="E10" s="23"/>
      <c r="F10" s="23"/>
      <c r="G10" s="23"/>
      <c r="H10" s="23"/>
      <c r="I10" s="23"/>
      <c r="J10" s="23"/>
      <c r="K10" s="23"/>
      <c r="L10" s="23"/>
      <c r="M10" s="23"/>
      <c r="N10" s="23"/>
      <c r="O10" s="23"/>
      <c r="P10" s="23"/>
      <c r="Q10" s="21"/>
    </row>
    <row r="11" spans="1:17" s="18" customFormat="1" ht="15.75" customHeight="1" x14ac:dyDescent="0.25">
      <c r="A11" s="23"/>
      <c r="B11" s="23"/>
      <c r="C11" s="23"/>
      <c r="D11" s="23"/>
      <c r="E11" s="23"/>
      <c r="F11" s="23"/>
      <c r="G11" s="23"/>
      <c r="H11" s="23"/>
      <c r="I11" s="23"/>
      <c r="J11" s="23"/>
      <c r="K11" s="23"/>
      <c r="L11" s="23"/>
      <c r="M11" s="23"/>
      <c r="N11" s="23"/>
      <c r="O11" s="23"/>
      <c r="P11" s="23"/>
      <c r="Q11" s="21"/>
    </row>
    <row r="12" spans="1:17" s="18" customFormat="1" ht="15.75" customHeight="1" x14ac:dyDescent="0.25">
      <c r="A12" s="23"/>
      <c r="B12" s="23"/>
      <c r="C12" s="23"/>
      <c r="D12" s="23"/>
      <c r="E12" s="23"/>
      <c r="F12" s="23"/>
      <c r="G12" s="23"/>
      <c r="H12" s="23"/>
      <c r="I12" s="23"/>
      <c r="J12" s="23"/>
      <c r="K12" s="23"/>
      <c r="L12" s="23"/>
      <c r="M12" s="23"/>
      <c r="N12" s="23"/>
      <c r="O12" s="23"/>
      <c r="P12" s="23"/>
      <c r="Q12" s="21"/>
    </row>
    <row r="13" spans="1:17" ht="15.75" customHeight="1" x14ac:dyDescent="0.25">
      <c r="A13" s="23"/>
      <c r="B13" s="23"/>
      <c r="C13" s="23"/>
      <c r="D13" s="23"/>
      <c r="E13" s="23"/>
      <c r="F13" s="23"/>
      <c r="G13" s="23"/>
      <c r="H13" s="23"/>
      <c r="I13" s="23"/>
      <c r="J13" s="23"/>
      <c r="K13" s="23"/>
      <c r="L13" s="23"/>
      <c r="M13" s="23"/>
      <c r="N13" s="23"/>
      <c r="O13" s="23"/>
      <c r="P13" s="23"/>
      <c r="Q13" s="1"/>
    </row>
    <row r="14" spans="1:17" ht="15.75" customHeight="1" x14ac:dyDescent="0.25">
      <c r="A14" s="23"/>
      <c r="B14" s="23"/>
      <c r="C14" s="23"/>
      <c r="D14" s="23"/>
      <c r="E14" s="23"/>
      <c r="F14" s="23"/>
      <c r="G14" s="23"/>
      <c r="H14" s="23"/>
      <c r="I14" s="23"/>
      <c r="J14" s="23"/>
      <c r="K14" s="23"/>
      <c r="L14" s="23"/>
      <c r="M14" s="23"/>
      <c r="N14" s="23"/>
      <c r="O14" s="23"/>
      <c r="P14" s="23"/>
      <c r="Q14" s="1"/>
    </row>
    <row r="15" spans="1:17" ht="15.75" customHeight="1" x14ac:dyDescent="0.25">
      <c r="A15" s="22" t="s">
        <v>20</v>
      </c>
      <c r="B15" s="23"/>
      <c r="C15" s="23"/>
      <c r="D15" s="23"/>
      <c r="E15" s="23"/>
      <c r="F15" s="23"/>
      <c r="G15" s="23"/>
      <c r="H15" s="23"/>
      <c r="I15" s="23"/>
      <c r="J15" s="23"/>
      <c r="K15" s="23"/>
      <c r="L15" s="23"/>
      <c r="M15" s="23"/>
      <c r="N15" s="23"/>
      <c r="O15" s="23"/>
      <c r="P15" s="23"/>
      <c r="Q15" s="1"/>
    </row>
    <row r="16" spans="1:17" ht="15.75" customHeight="1" x14ac:dyDescent="0.25">
      <c r="A16" s="23"/>
      <c r="B16" s="23"/>
      <c r="C16" s="23"/>
      <c r="D16" s="23"/>
      <c r="E16" s="23"/>
      <c r="F16" s="23"/>
      <c r="G16" s="23"/>
      <c r="H16" s="23"/>
      <c r="I16" s="23"/>
      <c r="J16" s="23"/>
      <c r="K16" s="23"/>
      <c r="L16" s="23"/>
      <c r="M16" s="23"/>
      <c r="N16" s="23"/>
      <c r="O16" s="23"/>
      <c r="P16" s="23"/>
      <c r="Q16" s="1"/>
    </row>
    <row r="17" spans="1:17" ht="15.75" customHeight="1" x14ac:dyDescent="0.25">
      <c r="A17" s="23"/>
      <c r="B17" s="23"/>
      <c r="C17" s="23"/>
      <c r="D17" s="23"/>
      <c r="E17" s="23"/>
      <c r="F17" s="23"/>
      <c r="G17" s="23"/>
      <c r="H17" s="23"/>
      <c r="I17" s="23"/>
      <c r="J17" s="23"/>
      <c r="K17" s="23"/>
      <c r="L17" s="23"/>
      <c r="M17" s="23"/>
      <c r="N17" s="23"/>
      <c r="O17" s="23"/>
      <c r="P17" s="23"/>
      <c r="Q17" s="1"/>
    </row>
    <row r="18" spans="1:17" ht="15.75" customHeight="1" x14ac:dyDescent="0.25">
      <c r="A18" s="23"/>
      <c r="B18" s="23"/>
      <c r="C18" s="23"/>
      <c r="D18" s="23"/>
      <c r="E18" s="23"/>
      <c r="F18" s="23"/>
      <c r="G18" s="23"/>
      <c r="H18" s="23"/>
      <c r="I18" s="23"/>
      <c r="J18" s="23"/>
      <c r="K18" s="23"/>
      <c r="L18" s="23"/>
      <c r="M18" s="23"/>
      <c r="N18" s="23"/>
      <c r="O18" s="23"/>
      <c r="P18" s="23"/>
      <c r="Q18" s="1"/>
    </row>
    <row r="19" spans="1:17" ht="15.75" customHeight="1" x14ac:dyDescent="0.25">
      <c r="A19" s="23"/>
      <c r="B19" s="23"/>
      <c r="C19" s="23"/>
      <c r="D19" s="23"/>
      <c r="E19" s="23"/>
      <c r="F19" s="23"/>
      <c r="G19" s="23"/>
      <c r="H19" s="23"/>
      <c r="I19" s="23"/>
      <c r="J19" s="23"/>
      <c r="K19" s="23"/>
      <c r="L19" s="23"/>
      <c r="M19" s="23"/>
      <c r="N19" s="23"/>
      <c r="O19" s="23"/>
      <c r="P19" s="23"/>
      <c r="Q19" s="1"/>
    </row>
    <row r="20" spans="1:17" ht="15.75" customHeight="1" x14ac:dyDescent="0.25">
      <c r="A20" s="22" t="s">
        <v>21</v>
      </c>
      <c r="B20" s="23"/>
      <c r="C20" s="23"/>
      <c r="D20" s="23"/>
      <c r="E20" s="23"/>
      <c r="F20" s="23"/>
      <c r="G20" s="23"/>
      <c r="H20" s="23"/>
      <c r="I20" s="23"/>
      <c r="J20" s="23"/>
      <c r="K20" s="23"/>
      <c r="L20" s="23"/>
      <c r="M20" s="23"/>
      <c r="N20" s="23"/>
      <c r="O20" s="23"/>
      <c r="P20" s="23"/>
      <c r="Q20" s="1"/>
    </row>
    <row r="21" spans="1:17" ht="15.75" customHeight="1" x14ac:dyDescent="0.25">
      <c r="A21" s="23"/>
      <c r="B21" s="23"/>
      <c r="C21" s="23"/>
      <c r="D21" s="23"/>
      <c r="E21" s="23"/>
      <c r="F21" s="23"/>
      <c r="G21" s="23"/>
      <c r="H21" s="23"/>
      <c r="I21" s="23"/>
      <c r="J21" s="23"/>
      <c r="K21" s="23"/>
      <c r="L21" s="23"/>
      <c r="M21" s="23"/>
      <c r="N21" s="23"/>
      <c r="O21" s="23"/>
      <c r="P21" s="23"/>
      <c r="Q21" s="1"/>
    </row>
    <row r="22" spans="1:17" ht="15.75" customHeight="1" x14ac:dyDescent="0.25">
      <c r="A22" s="23"/>
      <c r="B22" s="23"/>
      <c r="C22" s="23"/>
      <c r="D22" s="23"/>
      <c r="E22" s="23"/>
      <c r="F22" s="23"/>
      <c r="G22" s="23"/>
      <c r="H22" s="23"/>
      <c r="I22" s="23"/>
      <c r="J22" s="23"/>
      <c r="K22" s="23"/>
      <c r="L22" s="23"/>
      <c r="M22" s="23"/>
      <c r="N22" s="23"/>
      <c r="O22" s="23"/>
      <c r="P22" s="23"/>
      <c r="Q22" s="1"/>
    </row>
    <row r="23" spans="1:17" ht="15.75" customHeight="1" x14ac:dyDescent="0.25">
      <c r="A23" s="23"/>
      <c r="B23" s="23"/>
      <c r="C23" s="23"/>
      <c r="D23" s="23"/>
      <c r="E23" s="23"/>
      <c r="F23" s="23"/>
      <c r="G23" s="23"/>
      <c r="H23" s="23"/>
      <c r="I23" s="23"/>
      <c r="J23" s="23"/>
      <c r="K23" s="23"/>
      <c r="L23" s="23"/>
      <c r="M23" s="23"/>
      <c r="N23" s="23"/>
      <c r="O23" s="23"/>
      <c r="P23" s="23"/>
      <c r="Q23" s="1"/>
    </row>
    <row r="24" spans="1:17" ht="15.75" customHeight="1" x14ac:dyDescent="0.25">
      <c r="A24" s="23"/>
      <c r="B24" s="23"/>
      <c r="C24" s="23"/>
      <c r="D24" s="23"/>
      <c r="E24" s="23"/>
      <c r="F24" s="23"/>
      <c r="G24" s="23"/>
      <c r="H24" s="23"/>
      <c r="I24" s="23"/>
      <c r="J24" s="23"/>
      <c r="K24" s="23"/>
      <c r="L24" s="23"/>
      <c r="M24" s="23"/>
      <c r="N24" s="23"/>
      <c r="O24" s="23"/>
      <c r="P24" s="23"/>
      <c r="Q24" s="1"/>
    </row>
    <row r="25" spans="1:17" ht="15.75" customHeight="1" x14ac:dyDescent="0.25">
      <c r="A25" s="12"/>
      <c r="C25" s="9"/>
      <c r="D25" s="9"/>
      <c r="E25" s="13"/>
      <c r="F25" s="10"/>
      <c r="G25" s="9"/>
      <c r="H25" s="9"/>
      <c r="I25" s="10"/>
      <c r="J25" s="10"/>
      <c r="K25" s="9"/>
      <c r="L25" s="9"/>
      <c r="M25" s="13"/>
      <c r="N25" s="10"/>
      <c r="O25" s="9"/>
      <c r="P25" s="9"/>
      <c r="Q25" s="13"/>
    </row>
    <row r="26" spans="1:17" ht="15.75" customHeight="1" x14ac:dyDescent="0.25">
      <c r="A26" s="12"/>
      <c r="C26" s="9"/>
      <c r="D26" s="9"/>
      <c r="E26" s="10"/>
      <c r="F26" s="10"/>
      <c r="G26" s="9"/>
      <c r="H26" s="9"/>
      <c r="I26" s="10"/>
      <c r="J26" s="10"/>
      <c r="K26" s="9"/>
      <c r="L26" s="9"/>
      <c r="M26" s="10"/>
      <c r="N26" s="10"/>
      <c r="O26" s="9"/>
      <c r="P26" s="9"/>
      <c r="Q26" s="10"/>
    </row>
    <row r="27" spans="1:17" ht="15.75" customHeight="1" x14ac:dyDescent="0.25">
      <c r="A27" s="1"/>
      <c r="C27" s="9"/>
      <c r="D27" s="9"/>
      <c r="E27" s="9"/>
      <c r="F27" s="9"/>
      <c r="G27" s="14">
        <f>+I46/E46</f>
        <v>0.15235083546689732</v>
      </c>
      <c r="H27" s="15" t="s">
        <v>18</v>
      </c>
      <c r="I27" s="9"/>
      <c r="J27" s="9"/>
      <c r="K27" s="9"/>
      <c r="L27" s="9"/>
      <c r="M27" s="9"/>
      <c r="N27" s="9"/>
      <c r="O27" s="9"/>
      <c r="P27" s="9"/>
      <c r="Q27" s="9"/>
    </row>
    <row r="28" spans="1:17" ht="15.75" customHeight="1" x14ac:dyDescent="0.25">
      <c r="A28" s="2"/>
      <c r="B28" s="2"/>
      <c r="C28" s="5" t="s">
        <v>10</v>
      </c>
      <c r="D28" s="5"/>
      <c r="E28" s="5"/>
      <c r="F28" s="7"/>
      <c r="G28" s="5" t="s">
        <v>15</v>
      </c>
      <c r="H28" s="5"/>
      <c r="I28" s="5"/>
      <c r="J28" s="7"/>
      <c r="K28" s="3" t="s">
        <v>16</v>
      </c>
      <c r="L28" s="3"/>
      <c r="M28" s="3"/>
      <c r="N28" s="7"/>
      <c r="O28" s="3" t="s">
        <v>17</v>
      </c>
      <c r="P28" s="3"/>
      <c r="Q28" s="3"/>
    </row>
    <row r="29" spans="1:17" ht="15.75" customHeight="1" x14ac:dyDescent="0.25">
      <c r="A29" s="1"/>
      <c r="B29" s="1" t="s">
        <v>0</v>
      </c>
      <c r="C29" s="6" t="s">
        <v>1</v>
      </c>
      <c r="D29" s="6" t="s">
        <v>2</v>
      </c>
      <c r="E29" s="6" t="s">
        <v>3</v>
      </c>
      <c r="F29" s="6"/>
      <c r="G29" s="6" t="s">
        <v>1</v>
      </c>
      <c r="H29" s="6" t="s">
        <v>2</v>
      </c>
      <c r="I29" s="6" t="s">
        <v>3</v>
      </c>
      <c r="J29" s="6"/>
      <c r="K29" s="1" t="s">
        <v>1</v>
      </c>
      <c r="L29" s="1" t="s">
        <v>2</v>
      </c>
      <c r="M29" s="1" t="s">
        <v>3</v>
      </c>
      <c r="N29" s="6"/>
      <c r="O29" s="6" t="s">
        <v>1</v>
      </c>
      <c r="P29" s="6" t="s">
        <v>2</v>
      </c>
      <c r="Q29" s="6" t="s">
        <v>3</v>
      </c>
    </row>
    <row r="30" spans="1:17" ht="15.75" customHeight="1" x14ac:dyDescent="0.25">
      <c r="A30" s="4" t="s">
        <v>4</v>
      </c>
      <c r="B30" s="4" t="s">
        <v>5</v>
      </c>
      <c r="C30" s="7" t="s">
        <v>6</v>
      </c>
      <c r="D30" s="7" t="s">
        <v>7</v>
      </c>
      <c r="E30" s="7" t="s">
        <v>6</v>
      </c>
      <c r="F30" s="7"/>
      <c r="G30" s="7" t="s">
        <v>6</v>
      </c>
      <c r="H30" s="7" t="s">
        <v>7</v>
      </c>
      <c r="I30" s="7" t="s">
        <v>6</v>
      </c>
      <c r="J30" s="7"/>
      <c r="K30" s="4" t="s">
        <v>6</v>
      </c>
      <c r="L30" s="4" t="s">
        <v>7</v>
      </c>
      <c r="M30" s="4" t="s">
        <v>6</v>
      </c>
      <c r="N30" s="7"/>
      <c r="O30" s="7" t="s">
        <v>6</v>
      </c>
      <c r="P30" s="7" t="s">
        <v>7</v>
      </c>
      <c r="Q30" s="7" t="s">
        <v>6</v>
      </c>
    </row>
    <row r="31" spans="1:17" ht="15.75" customHeight="1" x14ac:dyDescent="0.25">
      <c r="A31" s="1"/>
      <c r="B31" s="8"/>
      <c r="C31" s="9"/>
      <c r="D31" s="9"/>
      <c r="E31" s="9" t="str">
        <f>IF(D31,+C31-D31,"")</f>
        <v/>
      </c>
      <c r="F31" s="9"/>
      <c r="G31" s="9"/>
      <c r="H31" s="9"/>
      <c r="I31" s="9" t="str">
        <f>IF(H31,+G31-H31,"")</f>
        <v/>
      </c>
      <c r="J31" s="9"/>
      <c r="K31" s="9"/>
      <c r="L31" s="9"/>
      <c r="M31" s="9" t="str">
        <f>IF(L31,+K31-L31,"")</f>
        <v/>
      </c>
      <c r="N31" s="9"/>
      <c r="O31" s="9"/>
      <c r="P31" s="9"/>
      <c r="Q31" s="9" t="str">
        <f>IF(P31,+O31-P31,"")</f>
        <v/>
      </c>
    </row>
    <row r="32" spans="1:17" ht="15.75" customHeight="1" x14ac:dyDescent="0.25">
      <c r="A32" s="1">
        <v>2002</v>
      </c>
      <c r="B32" s="8"/>
      <c r="C32" s="9">
        <v>0</v>
      </c>
      <c r="D32" s="9">
        <f>-4409056-782181-1805238</f>
        <v>-6996475</v>
      </c>
      <c r="E32" s="9">
        <f>IF(D32,+C32-D32,"")</f>
        <v>6996475</v>
      </c>
      <c r="F32" s="9"/>
      <c r="G32" s="9">
        <f>+C32*$G$27</f>
        <v>0</v>
      </c>
      <c r="H32" s="9">
        <f>+D32*$G$27</f>
        <v>-1065918.8115732605</v>
      </c>
      <c r="I32" s="9">
        <f>IF(H32,+G32-H32,"")</f>
        <v>1065918.8115732605</v>
      </c>
      <c r="J32" s="9"/>
      <c r="K32" s="9">
        <v>0</v>
      </c>
      <c r="L32" s="9">
        <f>-1032896-393410+20447</f>
        <v>-1405859</v>
      </c>
      <c r="M32" s="9">
        <f>IF(L32,+K32-L32,"")</f>
        <v>1405859</v>
      </c>
      <c r="N32" s="9"/>
      <c r="O32" s="9">
        <f>+K32+G32</f>
        <v>0</v>
      </c>
      <c r="P32" s="9">
        <f>+L32+H32</f>
        <v>-2471777.8115732605</v>
      </c>
      <c r="Q32" s="9">
        <f>IF(P32,+O32-P32,"")</f>
        <v>2471777.8115732605</v>
      </c>
    </row>
    <row r="33" spans="1:17" ht="15.75" customHeight="1" x14ac:dyDescent="0.25">
      <c r="A33" s="1">
        <f t="shared" ref="A33:A43" si="0">1+A32</f>
        <v>2003</v>
      </c>
      <c r="B33" s="8"/>
      <c r="C33" s="9">
        <f>4777476+1022206</f>
        <v>5799682</v>
      </c>
      <c r="D33" s="9">
        <f>-1669867-370205-1087913</f>
        <v>-3127985</v>
      </c>
      <c r="E33" s="9">
        <f t="shared" ref="E33:E43" si="1">+C33-D33</f>
        <v>8927667</v>
      </c>
      <c r="F33" s="9"/>
      <c r="G33" s="9">
        <f>+C33*$G$27</f>
        <v>883586.39814232592</v>
      </c>
      <c r="H33" s="9">
        <f t="shared" ref="H33:H43" si="2">+D33*$G$27</f>
        <v>-476551.1280779228</v>
      </c>
      <c r="I33" s="9">
        <f t="shared" ref="I33:I43" si="3">+G33-H33</f>
        <v>1360137.5262202488</v>
      </c>
      <c r="J33" s="9"/>
      <c r="K33" s="9">
        <v>1613800</v>
      </c>
      <c r="L33" s="9">
        <f>-537902-114780+70364</f>
        <v>-582318</v>
      </c>
      <c r="M33" s="9">
        <f t="shared" ref="M33:M43" si="4">+K33-L33</f>
        <v>2196118</v>
      </c>
      <c r="N33" s="9"/>
      <c r="O33" s="9">
        <f t="shared" ref="O33:P43" si="5">+K33+G33</f>
        <v>2497386.3981423257</v>
      </c>
      <c r="P33" s="9">
        <f t="shared" si="5"/>
        <v>-1058869.1280779229</v>
      </c>
      <c r="Q33" s="9">
        <f t="shared" ref="Q33:Q43" si="6">+O33-P33</f>
        <v>3556255.5262202485</v>
      </c>
    </row>
    <row r="34" spans="1:17" ht="15.75" customHeight="1" x14ac:dyDescent="0.25">
      <c r="A34" s="1">
        <f t="shared" si="0"/>
        <v>2004</v>
      </c>
      <c r="B34" s="8"/>
      <c r="C34" s="9">
        <f>420886+234084</f>
        <v>654970</v>
      </c>
      <c r="D34" s="9">
        <f>517070+287578-37272</f>
        <v>767376</v>
      </c>
      <c r="E34" s="9">
        <f t="shared" si="1"/>
        <v>-112406</v>
      </c>
      <c r="F34" s="9"/>
      <c r="G34" s="9">
        <f t="shared" ref="G34:G43" si="7">+C34*$G$27</f>
        <v>99785.226705753739</v>
      </c>
      <c r="H34" s="9">
        <f t="shared" si="2"/>
        <v>116910.3747172458</v>
      </c>
      <c r="I34" s="9">
        <f t="shared" si="3"/>
        <v>-17125.148011492056</v>
      </c>
      <c r="J34" s="9"/>
      <c r="K34" s="9">
        <v>451453</v>
      </c>
      <c r="L34" s="9">
        <f>172466+235405+146751</f>
        <v>554622</v>
      </c>
      <c r="M34" s="9">
        <f t="shared" si="4"/>
        <v>-103169</v>
      </c>
      <c r="N34" s="9"/>
      <c r="O34" s="9">
        <f t="shared" si="5"/>
        <v>551238.22670575371</v>
      </c>
      <c r="P34" s="9">
        <f t="shared" si="5"/>
        <v>671532.37471724581</v>
      </c>
      <c r="Q34" s="9">
        <f t="shared" si="6"/>
        <v>-120294.1480114921</v>
      </c>
    </row>
    <row r="35" spans="1:17" ht="15.75" customHeight="1" x14ac:dyDescent="0.25">
      <c r="A35" s="1">
        <f t="shared" si="0"/>
        <v>2005</v>
      </c>
      <c r="B35" s="8">
        <v>8.7499999999999994E-2</v>
      </c>
      <c r="C35" s="9">
        <f>77152922+12478482</f>
        <v>89631404</v>
      </c>
      <c r="D35" s="9">
        <f>2423913+834961+996539</f>
        <v>4255413</v>
      </c>
      <c r="E35" s="9">
        <f t="shared" si="1"/>
        <v>85375991</v>
      </c>
      <c r="F35" s="9"/>
      <c r="G35" s="9">
        <f t="shared" si="7"/>
        <v>13655419.283471001</v>
      </c>
      <c r="H35" s="9">
        <f t="shared" si="2"/>
        <v>648315.72580669587</v>
      </c>
      <c r="I35" s="9">
        <f t="shared" si="3"/>
        <v>13007103.557664305</v>
      </c>
      <c r="J35" s="9"/>
      <c r="K35" s="9">
        <v>15775528</v>
      </c>
      <c r="L35" s="9">
        <f>762877+509587+211176+3300</f>
        <v>1486940</v>
      </c>
      <c r="M35" s="9">
        <f t="shared" si="4"/>
        <v>14288588</v>
      </c>
      <c r="N35" s="9"/>
      <c r="O35" s="9">
        <f t="shared" si="5"/>
        <v>29430947.283471003</v>
      </c>
      <c r="P35" s="9">
        <f t="shared" si="5"/>
        <v>2135255.7258066959</v>
      </c>
      <c r="Q35" s="9">
        <f t="shared" si="6"/>
        <v>27295691.557664309</v>
      </c>
    </row>
    <row r="36" spans="1:17" ht="15.75" customHeight="1" x14ac:dyDescent="0.25">
      <c r="A36" s="1">
        <f t="shared" si="0"/>
        <v>2006</v>
      </c>
      <c r="B36" s="8">
        <v>8.5000000000000006E-2</v>
      </c>
      <c r="C36" s="9">
        <v>0</v>
      </c>
      <c r="D36" s="9">
        <f>1943679+692840+652767</f>
        <v>3289286</v>
      </c>
      <c r="E36" s="9">
        <f t="shared" si="1"/>
        <v>-3289286</v>
      </c>
      <c r="F36" s="9"/>
      <c r="G36" s="9">
        <f t="shared" si="7"/>
        <v>0</v>
      </c>
      <c r="H36" s="9">
        <f t="shared" si="2"/>
        <v>501125.47018956882</v>
      </c>
      <c r="I36" s="9">
        <f t="shared" si="3"/>
        <v>-501125.47018956882</v>
      </c>
      <c r="J36" s="9"/>
      <c r="K36" s="9">
        <v>0</v>
      </c>
      <c r="L36" s="9">
        <f>728351+456443+236410+6209</f>
        <v>1427413</v>
      </c>
      <c r="M36" s="9">
        <f t="shared" si="4"/>
        <v>-1427413</v>
      </c>
      <c r="N36" s="9"/>
      <c r="O36" s="9">
        <f t="shared" si="5"/>
        <v>0</v>
      </c>
      <c r="P36" s="9">
        <f t="shared" si="5"/>
        <v>1928538.4701895688</v>
      </c>
      <c r="Q36" s="9">
        <f t="shared" si="6"/>
        <v>-1928538.4701895688</v>
      </c>
    </row>
    <row r="37" spans="1:17" ht="15.75" customHeight="1" x14ac:dyDescent="0.25">
      <c r="A37" s="1">
        <f t="shared" si="0"/>
        <v>2007</v>
      </c>
      <c r="B37" s="8">
        <v>8.5000000000000006E-2</v>
      </c>
      <c r="C37" s="9">
        <v>0</v>
      </c>
      <c r="D37" s="9">
        <f>1120869+471895+75689</f>
        <v>1668453</v>
      </c>
      <c r="E37" s="9">
        <f t="shared" si="1"/>
        <v>-1668453</v>
      </c>
      <c r="F37" s="9"/>
      <c r="G37" s="9">
        <f t="shared" si="7"/>
        <v>0</v>
      </c>
      <c r="H37" s="9">
        <f t="shared" si="2"/>
        <v>254190.20848725122</v>
      </c>
      <c r="I37" s="9">
        <f t="shared" si="3"/>
        <v>-254190.20848725122</v>
      </c>
      <c r="J37" s="9"/>
      <c r="K37" s="9">
        <v>0</v>
      </c>
      <c r="L37" s="9">
        <f>471623+331218+211211</f>
        <v>1014052</v>
      </c>
      <c r="M37" s="9">
        <f t="shared" si="4"/>
        <v>-1014052</v>
      </c>
      <c r="N37" s="9"/>
      <c r="O37" s="9">
        <f t="shared" si="5"/>
        <v>0</v>
      </c>
      <c r="P37" s="9">
        <f t="shared" si="5"/>
        <v>1268242.2084872513</v>
      </c>
      <c r="Q37" s="9">
        <f t="shared" si="6"/>
        <v>-1268242.2084872513</v>
      </c>
    </row>
    <row r="38" spans="1:17" ht="15.75" customHeight="1" x14ac:dyDescent="0.25">
      <c r="A38" s="1">
        <f t="shared" si="0"/>
        <v>2008</v>
      </c>
      <c r="B38" s="8">
        <v>0.08</v>
      </c>
      <c r="C38" s="9">
        <v>0</v>
      </c>
      <c r="D38" s="9">
        <f>1148791+497286+16427</f>
        <v>1662504</v>
      </c>
      <c r="E38" s="9">
        <f t="shared" si="1"/>
        <v>-1662504</v>
      </c>
      <c r="F38" s="9"/>
      <c r="G38" s="9">
        <f t="shared" si="7"/>
        <v>0</v>
      </c>
      <c r="H38" s="9">
        <f>+D38*$G$27</f>
        <v>253283.87336705867</v>
      </c>
      <c r="I38" s="9">
        <f t="shared" si="3"/>
        <v>-253283.87336705867</v>
      </c>
      <c r="J38" s="9"/>
      <c r="K38" s="9">
        <v>0</v>
      </c>
      <c r="L38" s="9">
        <f>450027+322452+217765</f>
        <v>990244</v>
      </c>
      <c r="M38" s="9">
        <f t="shared" si="4"/>
        <v>-990244</v>
      </c>
      <c r="N38" s="9"/>
      <c r="O38" s="9">
        <f t="shared" si="5"/>
        <v>0</v>
      </c>
      <c r="P38" s="9">
        <f t="shared" si="5"/>
        <v>1243527.8733670586</v>
      </c>
      <c r="Q38" s="9">
        <f t="shared" si="6"/>
        <v>-1243527.8733670586</v>
      </c>
    </row>
    <row r="39" spans="1:17" ht="15.75" customHeight="1" x14ac:dyDescent="0.25">
      <c r="A39" s="1">
        <f t="shared" si="0"/>
        <v>2009</v>
      </c>
      <c r="B39" s="8">
        <v>0.08</v>
      </c>
      <c r="C39" s="9">
        <v>0</v>
      </c>
      <c r="D39" s="9">
        <f>3681135+1350511+1249191</f>
        <v>6280837</v>
      </c>
      <c r="E39" s="9">
        <f t="shared" si="1"/>
        <v>-6280837</v>
      </c>
      <c r="F39" s="9"/>
      <c r="G39" s="9">
        <f t="shared" si="7"/>
        <v>0</v>
      </c>
      <c r="H39" s="9">
        <f t="shared" si="2"/>
        <v>956890.76438140089</v>
      </c>
      <c r="I39" s="9">
        <f t="shared" si="3"/>
        <v>-956890.76438140089</v>
      </c>
      <c r="J39" s="9"/>
      <c r="K39" s="9">
        <v>0</v>
      </c>
      <c r="L39" s="9">
        <f>1247970+654509+312937</f>
        <v>2215416</v>
      </c>
      <c r="M39" s="9">
        <f t="shared" si="4"/>
        <v>-2215416</v>
      </c>
      <c r="N39" s="9"/>
      <c r="O39" s="9">
        <f t="shared" si="5"/>
        <v>0</v>
      </c>
      <c r="P39" s="9">
        <f t="shared" si="5"/>
        <v>3172306.7643814008</v>
      </c>
      <c r="Q39" s="9">
        <f t="shared" si="6"/>
        <v>-3172306.7643814008</v>
      </c>
    </row>
    <row r="40" spans="1:17" ht="15.75" customHeight="1" x14ac:dyDescent="0.25">
      <c r="A40" s="1">
        <f t="shared" si="0"/>
        <v>2010</v>
      </c>
      <c r="B40" s="8">
        <v>0.08</v>
      </c>
      <c r="C40" s="9">
        <f>37025271+7796986</f>
        <v>44822257</v>
      </c>
      <c r="D40" s="9">
        <f>6830786+2173972+2209406</f>
        <v>11214164</v>
      </c>
      <c r="E40" s="9">
        <f t="shared" si="1"/>
        <v>33608093</v>
      </c>
      <c r="F40" s="9"/>
      <c r="G40" s="9">
        <f t="shared" si="7"/>
        <v>6828708.3014619863</v>
      </c>
      <c r="H40" s="9">
        <f t="shared" si="2"/>
        <v>1708487.254462803</v>
      </c>
      <c r="I40" s="9">
        <f t="shared" si="3"/>
        <v>5120221.0469991835</v>
      </c>
      <c r="J40" s="9"/>
      <c r="K40" s="9">
        <v>6183898</v>
      </c>
      <c r="L40" s="9">
        <f>1772526+859566+363511</f>
        <v>2995603</v>
      </c>
      <c r="M40" s="9">
        <f t="shared" si="4"/>
        <v>3188295</v>
      </c>
      <c r="N40" s="9"/>
      <c r="O40" s="9">
        <f t="shared" si="5"/>
        <v>13012606.301461987</v>
      </c>
      <c r="P40" s="9">
        <f t="shared" si="5"/>
        <v>4704090.2544628028</v>
      </c>
      <c r="Q40" s="9">
        <f t="shared" si="6"/>
        <v>8308516.0469991844</v>
      </c>
    </row>
    <row r="41" spans="1:17" ht="15.75" customHeight="1" x14ac:dyDescent="0.25">
      <c r="A41" s="1">
        <f t="shared" si="0"/>
        <v>2011</v>
      </c>
      <c r="B41" s="8">
        <v>7.7499999999999999E-2</v>
      </c>
      <c r="C41" s="9">
        <f>66881000+9333000</f>
        <v>76214000</v>
      </c>
      <c r="D41" s="9">
        <f>3301183+2430518+2201811</f>
        <v>7933512</v>
      </c>
      <c r="E41" s="9">
        <f t="shared" si="1"/>
        <v>68280488</v>
      </c>
      <c r="F41" s="9"/>
      <c r="G41" s="9">
        <f t="shared" si="7"/>
        <v>11611266.574274112</v>
      </c>
      <c r="H41" s="9">
        <f t="shared" si="2"/>
        <v>1208677.1813866554</v>
      </c>
      <c r="I41" s="9">
        <f t="shared" si="3"/>
        <v>10402589.392887456</v>
      </c>
      <c r="J41" s="9"/>
      <c r="K41" s="9">
        <v>10535000</v>
      </c>
      <c r="L41" s="9">
        <v>2894613</v>
      </c>
      <c r="M41" s="9">
        <f t="shared" si="4"/>
        <v>7640387</v>
      </c>
      <c r="N41" s="9"/>
      <c r="O41" s="9">
        <f t="shared" si="5"/>
        <v>22146266.574274112</v>
      </c>
      <c r="P41" s="9">
        <f t="shared" si="5"/>
        <v>4103290.1813866552</v>
      </c>
      <c r="Q41" s="9">
        <f t="shared" si="6"/>
        <v>18042976.392887458</v>
      </c>
    </row>
    <row r="42" spans="1:17" ht="15.75" customHeight="1" x14ac:dyDescent="0.25">
      <c r="A42" s="1">
        <f t="shared" si="0"/>
        <v>2012</v>
      </c>
      <c r="B42" s="8">
        <v>7.2499999999999995E-2</v>
      </c>
      <c r="C42" s="9">
        <f>4801000+18699000</f>
        <v>23500000</v>
      </c>
      <c r="D42" s="9">
        <f>3773710+2362034</f>
        <v>6135744</v>
      </c>
      <c r="E42" s="9">
        <f t="shared" si="1"/>
        <v>17364256</v>
      </c>
      <c r="F42" s="9"/>
      <c r="G42" s="9">
        <f t="shared" si="7"/>
        <v>3580244.6334720869</v>
      </c>
      <c r="H42" s="9">
        <f t="shared" si="2"/>
        <v>934785.72461100237</v>
      </c>
      <c r="I42" s="9">
        <f t="shared" si="3"/>
        <v>2645458.9088610844</v>
      </c>
      <c r="J42" s="9"/>
      <c r="K42" s="9">
        <v>4902000</v>
      </c>
      <c r="L42" s="9">
        <v>3244941</v>
      </c>
      <c r="M42" s="9">
        <f t="shared" si="4"/>
        <v>1657059</v>
      </c>
      <c r="N42" s="9"/>
      <c r="O42" s="9">
        <f t="shared" si="5"/>
        <v>8482244.6334720869</v>
      </c>
      <c r="P42" s="9">
        <f t="shared" si="5"/>
        <v>4179726.7246110025</v>
      </c>
      <c r="Q42" s="9">
        <f t="shared" si="6"/>
        <v>4302517.9088610839</v>
      </c>
    </row>
    <row r="43" spans="1:17" ht="15.75" customHeight="1" x14ac:dyDescent="0.25">
      <c r="A43" s="1">
        <f t="shared" si="0"/>
        <v>2013</v>
      </c>
      <c r="B43" s="8">
        <v>6.5000000000000002E-2</v>
      </c>
      <c r="C43" s="9">
        <v>0</v>
      </c>
      <c r="D43" s="9">
        <f>7970913+2198975</f>
        <v>10169888</v>
      </c>
      <c r="E43" s="9">
        <f t="shared" si="1"/>
        <v>-10169888</v>
      </c>
      <c r="F43" s="9"/>
      <c r="G43" s="9">
        <f t="shared" si="7"/>
        <v>0</v>
      </c>
      <c r="H43" s="9">
        <f t="shared" si="2"/>
        <v>1549390.9334047735</v>
      </c>
      <c r="I43" s="9">
        <f t="shared" si="3"/>
        <v>-1549390.9334047735</v>
      </c>
      <c r="J43" s="9"/>
      <c r="K43" s="9">
        <v>0</v>
      </c>
      <c r="L43" s="9">
        <v>4057917</v>
      </c>
      <c r="M43" s="9">
        <f t="shared" si="4"/>
        <v>-4057917</v>
      </c>
      <c r="N43" s="9"/>
      <c r="O43" s="9">
        <f t="shared" si="5"/>
        <v>0</v>
      </c>
      <c r="P43" s="9">
        <f t="shared" si="5"/>
        <v>5607307.9334047735</v>
      </c>
      <c r="Q43" s="9">
        <f t="shared" si="6"/>
        <v>-5607307.9334047735</v>
      </c>
    </row>
    <row r="44" spans="1:17" ht="15.75" customHeight="1" thickBot="1" x14ac:dyDescent="0.3">
      <c r="A44" s="1"/>
      <c r="C44" s="11">
        <f>SUM(C31:C43)</f>
        <v>240622313</v>
      </c>
      <c r="D44" s="11">
        <f>SUM(D31:D43)</f>
        <v>43252717</v>
      </c>
      <c r="E44" s="9">
        <f>SUM(E31:E43)</f>
        <v>197369596</v>
      </c>
      <c r="F44" s="9"/>
      <c r="G44" s="11">
        <f>SUM(G31:G43)</f>
        <v>36659010.417527266</v>
      </c>
      <c r="H44" s="11">
        <f>SUM(H31:H43)</f>
        <v>6589587.5711632716</v>
      </c>
      <c r="I44" s="9">
        <f>SUM(I31:I43)</f>
        <v>30069422.846363991</v>
      </c>
      <c r="J44" s="9"/>
      <c r="K44" s="11">
        <f>SUM(K31:K43)</f>
        <v>39461679</v>
      </c>
      <c r="L44" s="11">
        <f>SUM(L31:L43)</f>
        <v>18893584</v>
      </c>
      <c r="M44" s="9">
        <f>SUM(M31:M43)</f>
        <v>20568095</v>
      </c>
      <c r="N44" s="9"/>
      <c r="O44" s="11">
        <f>SUM(O31:O43)</f>
        <v>76120689.417527258</v>
      </c>
      <c r="P44" s="11">
        <f>SUM(P31:P43)</f>
        <v>25483171.571163271</v>
      </c>
      <c r="Q44" s="9">
        <f>SUM(Q31:Q43)</f>
        <v>50637517.846363999</v>
      </c>
    </row>
    <row r="45" spans="1:17" ht="15.75" customHeight="1" thickTop="1" x14ac:dyDescent="0.25">
      <c r="A45" s="12" t="s">
        <v>8</v>
      </c>
      <c r="C45" s="9"/>
      <c r="D45" s="9"/>
      <c r="E45" s="9">
        <f>+E46-E44</f>
        <v>15396464</v>
      </c>
      <c r="F45" s="9"/>
      <c r="G45" s="9"/>
      <c r="H45" s="9"/>
      <c r="I45" s="9">
        <f>+I46-I44</f>
        <v>2345664.1536360085</v>
      </c>
      <c r="J45" s="9"/>
      <c r="K45" s="9"/>
      <c r="L45" s="9"/>
      <c r="M45" s="9">
        <f>+M46-M44</f>
        <v>2696523</v>
      </c>
      <c r="N45" s="9"/>
      <c r="O45" s="9"/>
      <c r="P45" s="9"/>
      <c r="Q45" s="9">
        <f>+Q46-Q44</f>
        <v>5042187.1536360011</v>
      </c>
    </row>
    <row r="46" spans="1:17" ht="15.75" customHeight="1" thickBot="1" x14ac:dyDescent="0.3">
      <c r="A46" s="12" t="s">
        <v>9</v>
      </c>
      <c r="C46" s="9"/>
      <c r="D46" s="9"/>
      <c r="E46" s="11">
        <v>212766060</v>
      </c>
      <c r="F46" s="10"/>
      <c r="G46" s="9"/>
      <c r="H46" s="16"/>
      <c r="I46" s="11">
        <f>28806804+3608283</f>
        <v>32415087</v>
      </c>
      <c r="J46" s="10"/>
      <c r="K46" s="9"/>
      <c r="L46" s="9"/>
      <c r="M46" s="11">
        <v>23264618</v>
      </c>
      <c r="N46" s="10"/>
      <c r="O46" s="9"/>
      <c r="P46" s="9"/>
      <c r="Q46" s="11">
        <f>+M46+I46</f>
        <v>55679705</v>
      </c>
    </row>
    <row r="47" spans="1:17" ht="15.75" customHeight="1" thickTop="1" x14ac:dyDescent="0.25"/>
    <row r="48" spans="1:17" ht="15.75" customHeight="1" x14ac:dyDescent="0.25">
      <c r="A48" s="17" t="s">
        <v>19</v>
      </c>
      <c r="B48" s="17"/>
      <c r="C48" s="17"/>
      <c r="D48" s="17"/>
      <c r="E48" s="17"/>
      <c r="F48" s="17"/>
      <c r="G48" s="17"/>
      <c r="H48" s="17"/>
      <c r="I48" s="17"/>
      <c r="J48" s="17"/>
      <c r="K48" s="17"/>
      <c r="L48" s="17"/>
      <c r="M48" s="17"/>
      <c r="N48" s="17"/>
      <c r="O48" s="17"/>
      <c r="P48" s="17"/>
    </row>
    <row r="49" spans="1:16" ht="15.75" customHeight="1" x14ac:dyDescent="0.25">
      <c r="A49" s="17"/>
      <c r="B49" s="17"/>
      <c r="C49" s="17"/>
      <c r="D49" s="17"/>
      <c r="E49" s="17"/>
      <c r="F49" s="17"/>
      <c r="G49" s="17"/>
      <c r="H49" s="17"/>
      <c r="I49" s="17"/>
      <c r="J49" s="17"/>
      <c r="K49" s="17"/>
      <c r="L49" s="17"/>
      <c r="M49" s="17"/>
      <c r="N49" s="17"/>
      <c r="O49" s="17"/>
      <c r="P49" s="17"/>
    </row>
  </sheetData>
  <mergeCells count="10">
    <mergeCell ref="A15:P19"/>
    <mergeCell ref="A20:P24"/>
    <mergeCell ref="A48:P49"/>
    <mergeCell ref="A5:P9"/>
    <mergeCell ref="A10:P14"/>
    <mergeCell ref="C28:E28"/>
    <mergeCell ref="G28:I28"/>
    <mergeCell ref="K28:M28"/>
    <mergeCell ref="O28:Q28"/>
    <mergeCell ref="A2:Q2"/>
  </mergeCells>
  <pageMargins left="0.5" right="0.5" top="0.75" bottom="0.5" header="0.3" footer="0.3"/>
  <pageSetup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 McCoy</dc:creator>
  <cp:lastModifiedBy>Hugh McCoy</cp:lastModifiedBy>
  <cp:lastPrinted>2015-02-05T16:28:24Z</cp:lastPrinted>
  <dcterms:created xsi:type="dcterms:W3CDTF">2015-02-05T14:34:11Z</dcterms:created>
  <dcterms:modified xsi:type="dcterms:W3CDTF">2015-02-05T16:36:33Z</dcterms:modified>
</cp:coreProperties>
</file>