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01" windowWidth="19155" windowHeight="12045" activeTab="1"/>
  </bookViews>
  <sheets>
    <sheet name="INPUT" sheetId="1" r:id="rId1"/>
    <sheet name="Cover Page" sheetId="2" r:id="rId2"/>
    <sheet name="Statement" sheetId="3" r:id="rId3"/>
    <sheet name="Contents" sheetId="4" r:id="rId4"/>
    <sheet name="PAGE1" sheetId="5" r:id="rId5"/>
    <sheet name="PAGE2" sheetId="6" r:id="rId6"/>
    <sheet name="PAGE3" sheetId="7" r:id="rId7"/>
    <sheet name="PAGE4" sheetId="8" r:id="rId8"/>
    <sheet name="PAGE5" sheetId="9" r:id="rId9"/>
    <sheet name="PAGE6" sheetId="10" r:id="rId10"/>
    <sheet name="PAGE6B" sheetId="11" r:id="rId11"/>
    <sheet name="PAGE7" sheetId="12" r:id="rId12"/>
    <sheet name="PAGE8" sheetId="13" r:id="rId13"/>
    <sheet name="PRIMARY 151" sheetId="14" r:id="rId14"/>
    <sheet name="PAGE9" sheetId="15" r:id="rId15"/>
    <sheet name="ECONOMY 151" sheetId="16" r:id="rId16"/>
    <sheet name="PAGE10" sheetId="17" r:id="rId17"/>
    <sheet name="PAGE11" sheetId="18" r:id="rId18"/>
    <sheet name="APP Contents" sheetId="19" r:id="rId19"/>
    <sheet name="APPI" sheetId="20" r:id="rId20"/>
    <sheet name="APPII" sheetId="21" r:id="rId21"/>
    <sheet name="APPIII" sheetId="22" r:id="rId22"/>
    <sheet name="APPIV" sheetId="23" r:id="rId23"/>
    <sheet name="APPV" sheetId="24" r:id="rId24"/>
    <sheet name="APPVI PG1" sheetId="25" r:id="rId25"/>
    <sheet name="APPVI PG 2" sheetId="26" r:id="rId26"/>
    <sheet name="APPVI VLOOKUP NAMES" sheetId="27" state="hidden" r:id="rId27"/>
    <sheet name="APPVII PG1" sheetId="28" r:id="rId28"/>
    <sheet name="APPVII PG2" sheetId="29" r:id="rId29"/>
    <sheet name="APPVII PG3" sheetId="30" r:id="rId30"/>
    <sheet name="APPVII PG4" sheetId="31" r:id="rId31"/>
    <sheet name="APPVIII PG 1" sheetId="32" state="hidden" r:id="rId32"/>
    <sheet name="APPVIII PG 2" sheetId="33" state="hidden" r:id="rId33"/>
    <sheet name="APPVIII PG 3" sheetId="34" state="hidden" r:id="rId34"/>
    <sheet name="APPVIII PG 4" sheetId="35" state="hidden" r:id="rId35"/>
    <sheet name="APPVIII PG 5" sheetId="36" state="hidden" r:id="rId36"/>
    <sheet name="APPVIII PG 6" sheetId="37" state="hidden" r:id="rId37"/>
    <sheet name="APPVIII PG 7" sheetId="38" state="hidden" r:id="rId38"/>
    <sheet name="APP IX (PJM) " sheetId="39" r:id="rId39"/>
    <sheet name="APP X (PASS-THROUGH)" sheetId="40" state="hidden" r:id="rId40"/>
  </sheets>
  <definedNames>
    <definedName name="AdjAcct4470.082Swaps">'APPVII PG3'!$J$26:$J$30</definedName>
    <definedName name="AdjAcct4470.099Cost">'APPVII PG3'!$Q$55:$Q$59</definedName>
    <definedName name="AdjAcct4470.112MWH">'APPVII PG3'!$F$55:$F$59</definedName>
    <definedName name="AdjAcct4470.112Rev">'APPVII PG3'!$R$55:$R$59</definedName>
    <definedName name="AdjAcct4470.131Cost">'APPVII PG3'!$P$55:$P$59</definedName>
    <definedName name="AdjAcct4470.131MWH">'APPVII PG3'!$E$55:$E$59</definedName>
    <definedName name="AdjAcct4470.143Swaps">'APPVII PG3'!$I$26:$I$30</definedName>
    <definedName name="AdjAcct4470.167Rev">'APPVII PG3'!$T$55:$T$59</definedName>
    <definedName name="AdjAcct4470.169Rev">'APPVII PG3'!$U$55:$U$59</definedName>
    <definedName name="AdjAcct4470.170MWH">'APPVII PG3'!$G$55:$G$59</definedName>
    <definedName name="AdjAcct4470.170Rev">'APPVII PG3'!$S$55:$S$59</definedName>
    <definedName name="AdjAcct5550.001Cost">'APPVII PG3'!$E$26:$E$30</definedName>
    <definedName name="AdjAcct5550.001MWH">'APPVII PG3'!$D$26:$D$30</definedName>
    <definedName name="AdjAcct5550.023Cost">'APPVII PG3'!$L$55:$L$59</definedName>
    <definedName name="AdjAcct5550.035MWH">'APPVII PG3'!#REF!</definedName>
    <definedName name="AdjAcct5550.088Cost">'APPVII PG3'!$K$55:$K$59</definedName>
    <definedName name="AdjAcct5550.099Cost">'APPVII PG3'!$M$55:$M$59</definedName>
    <definedName name="AdjAcct5550.099MWH">'APPVII PG3'!$D$55:$D$59</definedName>
    <definedName name="AdjAcct5550.099Swaps">'APPVII PG3'!$H$26:$H$30</definedName>
    <definedName name="AdjAcct5550.100Cost">'APPVII PG3'!$N$55:$N$59</definedName>
    <definedName name="AdjAcct5550.107Cost">'APPVII PG3'!$J$55:$J$59</definedName>
    <definedName name="AdjAcct5570.007REC">'APPVII PG3'!$I$55:$I$59</definedName>
    <definedName name="AdjAcct5614.008Cost">'APPVII PG3'!$O$55:$O$59</definedName>
    <definedName name="EastDirectAllcTotal">'APPVIII PG 1'!#REF!</definedName>
    <definedName name="Input4470.112Rev">'INPUT'!$A$221</definedName>
    <definedName name="Input5550.001MWH">'INPUT'!$A$187</definedName>
    <definedName name="Input5550.088Cost">'INPUT'!$A$204</definedName>
    <definedName name="Input5550.099MWH">'INPUT'!$D$187</definedName>
    <definedName name="Input5570.007REC">'INPUT'!$H$187</definedName>
    <definedName name="_xlnm.Print_Area" localSheetId="18">'APP Contents'!$A$1:$B$41</definedName>
    <definedName name="_xlnm.Print_Area" localSheetId="38">'APP IX (PJM) '!$A$1:$M$220</definedName>
    <definedName name="_xlnm.Print_Area" localSheetId="39">'APP X (PASS-THROUGH)'!$A$1:$I$314</definedName>
    <definedName name="_xlnm.Print_Area" localSheetId="19">'APPI'!$A$1:$S$66</definedName>
    <definedName name="_xlnm.Print_Area" localSheetId="20">'APPII'!$A$1:$I$77</definedName>
    <definedName name="_xlnm.Print_Area" localSheetId="21">'APPIII'!$A$1:$J$79</definedName>
    <definedName name="_xlnm.Print_Area" localSheetId="22">'APPIV'!$A$1:$O$93</definedName>
    <definedName name="_xlnm.Print_Area" localSheetId="23">'APPV'!$A$1:$L$59</definedName>
    <definedName name="_xlnm.Print_Area" localSheetId="25">'APPVI PG 2'!$A$1:$X$112</definedName>
    <definedName name="_xlnm.Print_Area" localSheetId="24">'APPVI PG1'!$A$1:$O$58</definedName>
    <definedName name="_xlnm.Print_Area" localSheetId="27">'APPVII PG1'!$A$1:$J$56</definedName>
    <definedName name="_xlnm.Print_Area" localSheetId="28">'APPVII PG2'!$B$1:$P$61</definedName>
    <definedName name="_xlnm.Print_Area" localSheetId="29">'APPVII PG3'!$A$1:$W$60</definedName>
    <definedName name="_xlnm.Print_Area" localSheetId="30">'APPVII PG4'!$A$1:$M$71</definedName>
    <definedName name="_xlnm.Print_Area" localSheetId="31">'APPVIII PG 1'!$A$1:$G$92</definedName>
    <definedName name="_xlnm.Print_Area" localSheetId="33">'APPVIII PG 3'!$A$1:$I$53</definedName>
    <definedName name="_xlnm.Print_Area" localSheetId="35">'APPVIII PG 5'!$A$1:$K$29</definedName>
    <definedName name="_xlnm.Print_Area" localSheetId="37">'APPVIII PG 7'!$A$1:$J$61</definedName>
    <definedName name="_xlnm.Print_Area" localSheetId="1">'Cover Page'!$A$1:$C$50</definedName>
    <definedName name="_xlnm.Print_Area" localSheetId="15">'ECONOMY 151'!$A$1:$H$26</definedName>
    <definedName name="_xlnm.Print_Area" localSheetId="0">'INPUT'!$A$1:$V$196</definedName>
    <definedName name="_xlnm.Print_Area" localSheetId="4">'PAGE1'!$A$1:$J$128</definedName>
    <definedName name="_xlnm.Print_Area" localSheetId="16">'PAGE10'!$A$1:$L$114</definedName>
    <definedName name="_xlnm.Print_Area" localSheetId="17">'PAGE11'!$A$1:$J$60</definedName>
    <definedName name="_xlnm.Print_Area" localSheetId="5">'PAGE2'!$A$1:$O$73</definedName>
    <definedName name="_xlnm.Print_Area" localSheetId="6">'PAGE3'!$A$1:$I$42</definedName>
    <definedName name="_xlnm.Print_Area" localSheetId="7">'PAGE4'!$A$1:$J$59</definedName>
    <definedName name="_xlnm.Print_Area" localSheetId="8">'PAGE5'!$A$1:$K$50</definedName>
    <definedName name="_xlnm.Print_Area" localSheetId="9">'PAGE6'!$A$1:$I$50</definedName>
    <definedName name="_xlnm.Print_Area" localSheetId="10">'PAGE6B'!$A$1:$P$48</definedName>
    <definedName name="_xlnm.Print_Area" localSheetId="11">'PAGE7'!$A$1:$K$55</definedName>
    <definedName name="_xlnm.Print_Area" localSheetId="12">'PAGE8'!$A$1:$J$33</definedName>
    <definedName name="_xlnm.Print_Area" localSheetId="14">'PAGE9'!$A$1:$H$32</definedName>
    <definedName name="_xlnm.Print_Area" localSheetId="13">'PRIMARY 151'!$A$1:$H$26</definedName>
    <definedName name="_xlnm.Print_Titles" localSheetId="31">'APPVIII PG 1'!$1:$10</definedName>
    <definedName name="WestDirectAllcTotal">'APPVIII PG 1'!#REF!</definedName>
  </definedNames>
  <calcPr fullCalcOnLoad="1"/>
</workbook>
</file>

<file path=xl/comments1.xml><?xml version="1.0" encoding="utf-8"?>
<comments xmlns="http://schemas.openxmlformats.org/spreadsheetml/2006/main">
  <authors>
    <author>AEP</author>
  </authors>
  <commentList>
    <comment ref="W140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'=current mo posted from Allow. Mngmt System*(Allocated/Actual from ECR GENE)</t>
        </r>
      </text>
    </comment>
    <comment ref="W141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'=current mo posted from Allow. Mngmt System*(Allocated/Actual from ECR GENE)</t>
        </r>
      </text>
    </comment>
    <comment ref="O138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'=current mo posted from Allow. Mngmt System*(Allocated/Actual from ECR GENE)</t>
        </r>
      </text>
    </comment>
    <comment ref="L101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= Allocated Generation Total from GENE Report</t>
        </r>
      </text>
    </comment>
    <comment ref="L13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= Allocated Generation Total from GENE Report</t>
        </r>
      </text>
    </comment>
    <comment ref="M13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AEP:
=Net Generation for OPCO 
Unit Total - AM3 APCO Total.  
Should equal generation listed on Appendix IV
</t>
        </r>
      </text>
    </comment>
    <comment ref="U100" authorId="0">
      <text>
        <r>
          <rPr>
            <b/>
            <sz val="8"/>
            <rFont val="Tahoma"/>
            <family val="2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01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=Net Generation for OPCO 
Unit Total - AM3 APCO Total.  
Should equal generation listed on Appendix IV
 </t>
        </r>
      </text>
    </comment>
    <comment ref="M101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APCO AM3 Actual Generation = AM3 Generation from App IV - AM1 from Page 10 - AM2 from Page 10.  </t>
        </r>
      </text>
    </comment>
    <comment ref="M179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Portion not allocated
= Actual - Allocated 
or "Firm Load Generation"</t>
        </r>
      </text>
    </comment>
    <comment ref="M137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= Allocated Generation</t>
        </r>
      </text>
    </comment>
    <comment ref="M138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= Allocated Generation</t>
        </r>
      </text>
    </comment>
    <comment ref="O137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'=current mo posted from Allow. Mngmt System*(Allocated/Actual from ECR GENE)</t>
        </r>
      </text>
    </comment>
    <comment ref="M180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Portion not allocated
= Actual - Allocated 
or "Firm Load Generation"</t>
        </r>
      </text>
    </comment>
    <comment ref="O129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O130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(AEG) Line</t>
        </r>
      </text>
    </comment>
    <comment ref="M12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KP (AEG) Line</t>
        </r>
      </text>
    </comment>
    <comment ref="M126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M127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M128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M129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M130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(AEG) Line</t>
        </r>
      </text>
    </comment>
    <comment ref="L12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KP (AEG) Line</t>
        </r>
      </text>
    </comment>
    <comment ref="L126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L127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L128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L129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Line</t>
        </r>
      </text>
    </comment>
    <comment ref="L130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Rockport Generation Splits Report
- I&amp;M (AEG) Line</t>
        </r>
      </text>
    </comment>
  </commentList>
</comments>
</file>

<file path=xl/comments39.xml><?xml version="1.0" encoding="utf-8"?>
<comments xmlns="http://schemas.openxmlformats.org/spreadsheetml/2006/main">
  <authors>
    <author>AEP</author>
  </authors>
  <commentList>
    <comment ref="A3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See documentation of this entry in the IPS Support folder</t>
        </r>
      </text>
    </comment>
    <comment ref="A36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See documentation of this entry in the IPS Support folder</t>
        </r>
      </text>
    </comment>
  </commentList>
</comments>
</file>

<file path=xl/sharedStrings.xml><?xml version="1.0" encoding="utf-8"?>
<sst xmlns="http://schemas.openxmlformats.org/spreadsheetml/2006/main" count="5277" uniqueCount="2150">
  <si>
    <t>FPL Energy Power Marketing,Inc</t>
  </si>
  <si>
    <t>GCPD</t>
  </si>
  <si>
    <t>Grant County PUD No.</t>
  </si>
  <si>
    <t>GEM</t>
  </si>
  <si>
    <t>Griffin Energy Marketing, LLC</t>
  </si>
  <si>
    <t>29.</t>
  </si>
  <si>
    <t>30.</t>
  </si>
  <si>
    <t>31.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</si>
  <si>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</si>
  <si>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</si>
  <si>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</si>
  <si>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</si>
  <si>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</si>
  <si>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</si>
  <si>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</si>
  <si>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</si>
  <si>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SO2 &amp; NOX emission allowances used in dispatch versus operating companies inventory costs (see page 11).</t>
  </si>
  <si>
    <t>Split Rock Energy</t>
  </si>
  <si>
    <t>Transmission Enhancement Charges</t>
  </si>
  <si>
    <r>
      <t>PRIOR PERIOD ADJUSTMENTS</t>
    </r>
    <r>
      <rPr>
        <sz val="10"/>
        <rFont val="Comic Sans MS"/>
        <family val="4"/>
      </rPr>
      <t xml:space="preserve"> </t>
    </r>
  </si>
  <si>
    <t xml:space="preserve">PRIOR PERIOD ADJUSTMENTS </t>
  </si>
  <si>
    <t>Reconciliation for Transmission Losses Credits</t>
  </si>
  <si>
    <t>Union Power Partners</t>
  </si>
  <si>
    <t>Exelon Generation Company</t>
  </si>
  <si>
    <t xml:space="preserve">PJM/MISO </t>
  </si>
  <si>
    <t>RENEWABLE ENERGY</t>
  </si>
  <si>
    <t>CREDIT COMMISSIONS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</si>
  <si>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</si>
  <si>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</si>
  <si>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</si>
  <si>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</si>
  <si>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</si>
  <si>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</si>
  <si>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</si>
  <si>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</si>
  <si>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</si>
  <si>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</si>
  <si>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</si>
  <si>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</si>
  <si>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</si>
  <si>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</si>
  <si>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</si>
  <si>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</si>
  <si>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</si>
  <si>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</si>
  <si>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</si>
  <si>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</si>
  <si>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</si>
  <si>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</si>
  <si>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</si>
  <si>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</si>
  <si>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</si>
  <si>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</si>
  <si>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</si>
  <si>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</si>
  <si>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</si>
  <si>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</si>
  <si>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</si>
  <si>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</si>
  <si>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</si>
  <si>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</si>
  <si>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</si>
  <si>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</si>
  <si>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</si>
  <si>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</si>
  <si>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</si>
  <si>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</si>
  <si>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</si>
  <si>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</si>
  <si>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</si>
  <si>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</si>
  <si>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</si>
  <si>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</si>
  <si>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</si>
  <si>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</si>
  <si>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</si>
  <si>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</si>
  <si>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</si>
  <si>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</si>
  <si>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</si>
  <si>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</si>
  <si>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</si>
  <si>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</si>
  <si>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</si>
  <si>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</si>
  <si>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11</t>
  </si>
  <si>
    <t>Adj. for Auction Revenue Rights Credit</t>
  </si>
  <si>
    <t xml:space="preserve">Adj. for Balancing Operating Reserve </t>
  </si>
  <si>
    <t>Adj. for Balancing Operating Reserve</t>
  </si>
  <si>
    <t>Adj. for Expansion Cost Recovery Charge</t>
  </si>
  <si>
    <t>Adj. for FERC Annual Charge Recovery Charge</t>
  </si>
  <si>
    <t>Adj. for Inadvertent Interchange Charge</t>
  </si>
  <si>
    <t>Adj. for Market Monitoring Unit (MMU) Funding Charge</t>
  </si>
  <si>
    <t>Adj. for Organization of PJM States, Inc. (OPSI) Funding Charge</t>
  </si>
  <si>
    <t>Adj. for RTO Start-up Cost Recovery Charge</t>
  </si>
  <si>
    <t>Southwest Power Pool</t>
  </si>
  <si>
    <t>Sycamore</t>
  </si>
  <si>
    <t xml:space="preserve">Fowler Ridge Wind Farm II </t>
  </si>
  <si>
    <t>Fowler Ridge Wind Farm II</t>
  </si>
  <si>
    <t xml:space="preserve">Grand Ridge Wind Farm 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</si>
  <si>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</si>
  <si>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</si>
  <si>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</si>
  <si>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</si>
  <si>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</si>
  <si>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</si>
  <si>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</si>
  <si>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</si>
  <si>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</si>
  <si>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</si>
  <si>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</si>
  <si>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</si>
  <si>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</si>
  <si>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</si>
  <si>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</si>
  <si>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</si>
  <si>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</si>
  <si>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</si>
  <si>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</si>
  <si>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</si>
  <si>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</si>
  <si>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</si>
  <si>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</si>
  <si>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</si>
  <si>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</si>
  <si>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</si>
  <si>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</si>
  <si>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</si>
  <si>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</si>
  <si>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</si>
  <si>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</si>
  <si>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</si>
  <si>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r>
      <t>ALLOWANCES</t>
    </r>
    <r>
      <rPr>
        <b/>
        <sz val="8"/>
        <rFont val="Book Antiqua"/>
        <family val="1"/>
      </rPr>
      <t>(Pg 11)</t>
    </r>
    <r>
      <rPr>
        <b/>
        <sz val="12"/>
        <rFont val="Book Antiqua"/>
        <family val="1"/>
      </rPr>
      <t>:</t>
    </r>
  </si>
  <si>
    <r>
      <t xml:space="preserve">1.  </t>
    </r>
    <r>
      <rPr>
        <b/>
        <sz val="10"/>
        <color indexed="10"/>
        <rFont val="Book Antiqua"/>
        <family val="1"/>
      </rPr>
      <t>II. Tax on Capacity Credit</t>
    </r>
    <r>
      <rPr>
        <sz val="10"/>
        <color indexed="10"/>
        <rFont val="Book Antiqua"/>
        <family val="1"/>
      </rPr>
      <t xml:space="preserve"> (gross up) must equal </t>
    </r>
    <r>
      <rPr>
        <b/>
        <sz val="10"/>
        <color indexed="10"/>
        <rFont val="Book Antiqua"/>
        <family val="1"/>
      </rPr>
      <t xml:space="preserve">II. Allocation of Tax </t>
    </r>
  </si>
  <si>
    <t>Pacificorp Power Marketing</t>
  </si>
  <si>
    <t>PAPL</t>
  </si>
  <si>
    <t>Pennsylvania Power &amp; Light</t>
  </si>
  <si>
    <t>PASM</t>
  </si>
  <si>
    <t>City of Pasadena</t>
  </si>
  <si>
    <t>PCES</t>
  </si>
  <si>
    <t>Pan Canadian Energy Services</t>
  </si>
  <si>
    <t>PECO</t>
  </si>
  <si>
    <t>PECO Energy</t>
  </si>
  <si>
    <t>PEGT</t>
  </si>
  <si>
    <t>Plains Electric Generation</t>
  </si>
  <si>
    <t>PEPS</t>
  </si>
  <si>
    <t>Commissions for Off System Physical Purchases</t>
  </si>
  <si>
    <t>West Commission File</t>
  </si>
  <si>
    <t>Commissions for Off System Physical Sales</t>
  </si>
  <si>
    <t>Sales Options</t>
  </si>
  <si>
    <t>Purchase Options</t>
  </si>
  <si>
    <t>Above the Line Swaps in "P" Books</t>
  </si>
  <si>
    <t>Above the Line Swaps in "H" Books</t>
  </si>
  <si>
    <t>Realized Sales Option Premiums</t>
  </si>
  <si>
    <t>Opt Prem Realized Spreadsheet</t>
  </si>
  <si>
    <t>Realized Purchase Option Premiums</t>
  </si>
  <si>
    <t>Below Line Off System Physical Purchases</t>
  </si>
  <si>
    <t>ST2</t>
  </si>
  <si>
    <t>ST3</t>
  </si>
  <si>
    <t>Unit Total</t>
  </si>
  <si>
    <t>Ohio Power</t>
  </si>
  <si>
    <t>East. AEP (Co.122)</t>
  </si>
  <si>
    <t>ST4</t>
  </si>
  <si>
    <t>Mizuho Securities</t>
  </si>
  <si>
    <t>Adj. for Synchronized Reserve Charge Tier 1</t>
  </si>
  <si>
    <t>Spreadsheet from Foxworth</t>
  </si>
  <si>
    <t>Myers</t>
  </si>
  <si>
    <t>COLS2 / PJM Entry</t>
  </si>
  <si>
    <t>Duffy</t>
  </si>
  <si>
    <t>Bender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</si>
  <si>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</si>
  <si>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</si>
  <si>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</si>
  <si>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</si>
  <si>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</si>
  <si>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</si>
  <si>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</si>
  <si>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</si>
  <si>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</si>
  <si>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</si>
  <si>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</si>
  <si>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</si>
  <si>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</si>
  <si>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</si>
  <si>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</si>
  <si>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</si>
  <si>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</si>
  <si>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</si>
  <si>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</si>
  <si>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</si>
  <si>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</si>
  <si>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</si>
  <si>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</si>
  <si>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</si>
  <si>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</si>
  <si>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</si>
  <si>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</si>
  <si>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</si>
  <si>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APPENDIX VII-1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</si>
  <si>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</si>
  <si>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</si>
  <si>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</si>
  <si>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</si>
  <si>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</si>
  <si>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</si>
  <si>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</si>
  <si>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</si>
  <si>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 xml:space="preserve">                                              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</si>
  <si>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</si>
  <si>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</si>
  <si>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</si>
  <si>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</si>
  <si>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</si>
  <si>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</si>
  <si>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</si>
  <si>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</si>
  <si>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</si>
  <si>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</si>
  <si>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</si>
  <si>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</si>
  <si>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</si>
  <si>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</si>
  <si>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</si>
  <si>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</si>
  <si>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</si>
  <si>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</si>
  <si>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</si>
  <si>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</si>
  <si>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</si>
  <si>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</si>
  <si>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</si>
  <si>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 xml:space="preserve">Oct NOX </t>
  </si>
  <si>
    <t>FTR Auction Credits</t>
  </si>
  <si>
    <t>AEPOPD</t>
  </si>
  <si>
    <t>AEPCSD</t>
  </si>
  <si>
    <t>GENERATION STATIONS ALLOCATED TO SYSTEM PRIMARY CAPACITY</t>
  </si>
  <si>
    <t>PRODUCTION EXPENSES OF GENERATION (EXCLUDING HYDRO) PRIMARY CAPACITY (FROM APPENDIX IV):</t>
  </si>
  <si>
    <t>IIA.</t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</si>
  <si>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</si>
  <si>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</si>
  <si>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</si>
  <si>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</si>
  <si>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</si>
  <si>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(2)  See Note (1), page 6.</t>
  </si>
  <si>
    <t>PAGE (8)</t>
  </si>
  <si>
    <t xml:space="preserve">              PRIMARY ENERGY</t>
  </si>
  <si>
    <t>RECEIVED ENERGY</t>
  </si>
  <si>
    <t>RECEIVING</t>
  </si>
  <si>
    <t>$/MWh</t>
  </si>
  <si>
    <t>1.</t>
  </si>
  <si>
    <t>2.</t>
  </si>
  <si>
    <t>3.</t>
  </si>
  <si>
    <t>4.</t>
  </si>
  <si>
    <t>5.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</si>
  <si>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</si>
  <si>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</si>
  <si>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</si>
  <si>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</si>
  <si>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</si>
  <si>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</si>
  <si>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</si>
  <si>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</si>
  <si>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</si>
  <si>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</si>
  <si>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</si>
  <si>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ENERGY AND ENERGY</t>
  </si>
  <si>
    <t>COST RECOVERY</t>
  </si>
  <si>
    <t>ALLOCATED TO</t>
  </si>
  <si>
    <t>SPECIAL SERVICE</t>
  </si>
  <si>
    <t>CUSTOMERS</t>
  </si>
  <si>
    <t>TOTAL OFFSET OF PASS-THROUGH CHARGES (ACTUAL)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</si>
  <si>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</si>
  <si>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</si>
  <si>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</si>
  <si>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</si>
  <si>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</si>
  <si>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</si>
  <si>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</si>
  <si>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</si>
  <si>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</si>
  <si>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</si>
  <si>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</si>
  <si>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</si>
  <si>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</si>
  <si>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</si>
  <si>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</si>
  <si>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</si>
  <si>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</si>
  <si>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</si>
  <si>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</si>
  <si>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</si>
  <si>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</si>
  <si>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</si>
  <si>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</si>
  <si>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</si>
  <si>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</si>
  <si>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</si>
  <si>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</si>
  <si>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</si>
  <si>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</si>
  <si>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</si>
  <si>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</si>
  <si>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</si>
  <si>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</si>
  <si>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</si>
  <si>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</si>
  <si>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</si>
  <si>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</si>
  <si>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</si>
  <si>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</si>
  <si>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</si>
  <si>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</si>
  <si>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</si>
  <si>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</si>
  <si>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</si>
  <si>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</si>
  <si>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</si>
  <si>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Meter Correction Charges</t>
  </si>
  <si>
    <t>PJM Service Fee</t>
  </si>
  <si>
    <t>SIA Subtotal</t>
  </si>
  <si>
    <t>Adj. for Balancing Operating Reserve for Load Response  Charge</t>
  </si>
  <si>
    <t>Load Reconciliation for Balancing Operating Reserve Charge</t>
  </si>
  <si>
    <t>Balancing Spot Market Energy</t>
  </si>
  <si>
    <t>West Plains Energy - Colorado</t>
  </si>
  <si>
    <t>WPL</t>
  </si>
  <si>
    <t>Sales/Revenues 5550.099</t>
  </si>
  <si>
    <t xml:space="preserve"> Act. 5550.099</t>
  </si>
  <si>
    <t xml:space="preserve">TOTAL </t>
  </si>
  <si>
    <t>East Summary:</t>
  </si>
  <si>
    <t>West Summary:</t>
  </si>
  <si>
    <t>AMOS 1</t>
  </si>
  <si>
    <t>AMOS 2</t>
  </si>
  <si>
    <t>South Carolina Electric &amp; Gas</t>
  </si>
  <si>
    <t>SCEM</t>
  </si>
  <si>
    <t>Woodruff / Potters</t>
  </si>
  <si>
    <t>ERCOT  Non Ded Summary</t>
  </si>
  <si>
    <t>ERCOT Capacity Purchase</t>
  </si>
  <si>
    <t>ERCOT  Administrative Fee</t>
  </si>
  <si>
    <t>Potters</t>
  </si>
  <si>
    <t>AEPSC Non-Ded  SPP Reg.</t>
  </si>
  <si>
    <t>Gas Swaps - NYMEX, Basis, Gas Daily, Penult</t>
  </si>
  <si>
    <t>Gas Off System File</t>
  </si>
  <si>
    <t>Gas Broker Fees</t>
  </si>
  <si>
    <t>Entries Received from Christoff</t>
  </si>
  <si>
    <t>Foreman</t>
  </si>
  <si>
    <t>Entries Received from Foreman</t>
  </si>
  <si>
    <t>Off System Physical Purchases Related to Entergy Spreads</t>
  </si>
  <si>
    <t>Rankin</t>
  </si>
  <si>
    <t>AEPSCG</t>
  </si>
  <si>
    <t>(SEE APPENDIX  IX)</t>
  </si>
  <si>
    <t>Off System File - Summary Tab</t>
  </si>
  <si>
    <t>Purchase Commissions Related to Entergy Spreads</t>
  </si>
  <si>
    <t>East Commission File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</si>
  <si>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</si>
  <si>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</si>
  <si>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</si>
  <si>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</si>
  <si>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</si>
  <si>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</si>
  <si>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</si>
  <si>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</si>
  <si>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</si>
  <si>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</si>
  <si>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</si>
  <si>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</si>
  <si>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</si>
  <si>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</si>
  <si>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</si>
  <si>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</si>
  <si>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</si>
  <si>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Transitional Purchases (West Coast)</t>
  </si>
  <si>
    <t>Transitional Sales (West Coast)</t>
  </si>
  <si>
    <t>Above the Line Activity:</t>
  </si>
  <si>
    <t>(SEE APPENDIX VIII, pages 2, 3, &amp; 4)</t>
  </si>
  <si>
    <t>27.</t>
  </si>
  <si>
    <t xml:space="preserve">             </t>
  </si>
  <si>
    <t>CORRECTION</t>
  </si>
  <si>
    <t>28.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</si>
  <si>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</si>
  <si>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</si>
  <si>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</si>
  <si>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</si>
  <si>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</si>
  <si>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</si>
  <si>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</si>
  <si>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</si>
  <si>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</si>
  <si>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r>
      <t>EXERCISED OPTIONS</t>
    </r>
    <r>
      <rPr>
        <b/>
        <u val="single"/>
        <sz val="10"/>
        <rFont val="Book Antiqua"/>
        <family val="1"/>
      </rPr>
      <t xml:space="preserve"> ACTUAL</t>
    </r>
  </si>
  <si>
    <t>BROKER'S</t>
  </si>
  <si>
    <t>ACCT.4470.143</t>
  </si>
  <si>
    <t>ACCT.5550.099</t>
  </si>
  <si>
    <t xml:space="preserve">  I.  AEP EXTERNAL ENERGY  *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</si>
  <si>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</si>
  <si>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</si>
  <si>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</si>
  <si>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</si>
  <si>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</si>
  <si>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</si>
  <si>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</si>
  <si>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</si>
  <si>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>n/a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</si>
  <si>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</si>
  <si>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</si>
  <si>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</si>
  <si>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</si>
  <si>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</si>
  <si>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</si>
  <si>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</si>
  <si>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</si>
  <si>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</si>
  <si>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</si>
  <si>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</si>
  <si>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</si>
  <si>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</si>
  <si>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</si>
  <si>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-  Kilowatts of Primary Capacity, listed by station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</si>
  <si>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</si>
  <si>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</si>
  <si>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</si>
  <si>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</si>
  <si>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</si>
  <si>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</si>
  <si>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</si>
  <si>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</si>
  <si>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r>
      <t xml:space="preserve">                     </t>
    </r>
    <r>
      <rPr>
        <b/>
        <sz val="10"/>
        <rFont val="Comic Sans MS"/>
        <family val="4"/>
      </rPr>
      <t>Cost  31700, 32600, &amp; 34700</t>
    </r>
    <r>
      <rPr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>and above (FERC Form 1 Line 16)</t>
    </r>
  </si>
  <si>
    <t>(4),(6)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</si>
  <si>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</si>
  <si>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</si>
  <si>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</si>
  <si>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</si>
  <si>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</si>
  <si>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</si>
  <si>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</si>
  <si>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FOWLER RIDGE 1</t>
  </si>
  <si>
    <t>FOWLER RIDGE 3</t>
  </si>
  <si>
    <t>CAPABILITY OF</t>
  </si>
  <si>
    <t>TOTAL FIXED</t>
  </si>
  <si>
    <t>OPERATING</t>
  </si>
  <si>
    <t>CAPACITY, kW</t>
  </si>
  <si>
    <t>Transmission Enhancement Charge</t>
  </si>
  <si>
    <t>RTO Start-up Cost Recovery Charge</t>
  </si>
  <si>
    <t>Expansion Cost Recovery Charge</t>
  </si>
  <si>
    <t>Firm/Non-Firm Pt to Pt Transmission Service Credit</t>
  </si>
  <si>
    <t>Implicit Congestion - LSE</t>
  </si>
  <si>
    <t>Incremental Implicit Congestion  -OSS</t>
  </si>
  <si>
    <t>Misc Credits</t>
  </si>
  <si>
    <t>Allocation of Generation Activity on PJM Transmission Invoice</t>
  </si>
  <si>
    <t>PJM Admin Fees</t>
  </si>
  <si>
    <t>PJM Affiliate Entry</t>
  </si>
  <si>
    <t>PJM TEA Charge Reclass (MLR)</t>
  </si>
  <si>
    <t>PJM TEA Charge Reclass (12CP)</t>
  </si>
  <si>
    <t>PJM Invoice Adjustment</t>
  </si>
  <si>
    <t>Spot Energy Sales (ECR)</t>
  </si>
  <si>
    <t>PJM Allocations GL Submit Summary</t>
  </si>
  <si>
    <r>
      <t xml:space="preserve">TOTAL OFFSET OF PASS-THROUGH CHARGES </t>
    </r>
    <r>
      <rPr>
        <vertAlign val="superscript"/>
        <sz val="10"/>
        <color indexed="9"/>
        <rFont val="Comic Sans MS"/>
        <family val="4"/>
      </rPr>
      <t>(1)</t>
    </r>
  </si>
  <si>
    <t>Buckeye GL Entries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</si>
  <si>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</si>
  <si>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</si>
  <si>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</si>
  <si>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</si>
  <si>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</si>
  <si>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</si>
  <si>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</si>
  <si>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</si>
  <si>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</si>
  <si>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</si>
  <si>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</si>
  <si>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</si>
  <si>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</si>
  <si>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</si>
  <si>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</si>
  <si>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</si>
  <si>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</si>
  <si>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</si>
  <si>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</si>
  <si>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</si>
  <si>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</si>
  <si>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</si>
  <si>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</si>
  <si>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</si>
  <si>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</si>
  <si>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</si>
  <si>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</si>
  <si>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</si>
  <si>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</si>
  <si>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</si>
  <si>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</si>
  <si>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</si>
  <si>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</si>
  <si>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</si>
  <si>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</si>
  <si>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</si>
  <si>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</si>
  <si>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</si>
  <si>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</si>
  <si>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</si>
  <si>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</si>
  <si>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FOWLER RIDGE 2</t>
  </si>
  <si>
    <t>GRAND RIDGE 2</t>
  </si>
  <si>
    <t>GRAND RIDGE 3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</si>
  <si>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</si>
  <si>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</si>
  <si>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East Interchange Power Statement and Related Data</t>
  </si>
  <si>
    <t>To</t>
  </si>
  <si>
    <t xml:space="preserve">See Distribution List  </t>
  </si>
  <si>
    <t xml:space="preserve">   </t>
  </si>
  <si>
    <t>INTERCHANGE POWER STATEMENT</t>
  </si>
  <si>
    <t>FOR THE MONTH OF</t>
  </si>
  <si>
    <t xml:space="preserve">AEP SYSTEM MLR ALLOCATION OF EXPENSES FOR TRANSMISSION SERVICE </t>
  </si>
  <si>
    <t>MISO Trading</t>
  </si>
  <si>
    <t>MISO Auction</t>
  </si>
  <si>
    <t xml:space="preserve">AEP SYSTEM MLR ALLOCATION OF PASS-THROUGH RECEIPTS FOR TRANSMISSION SERVICE </t>
  </si>
  <si>
    <t>Act. 5550.023</t>
  </si>
  <si>
    <t>Act. 5550.107</t>
  </si>
  <si>
    <t>----------------------------------------------------------------------</t>
  </si>
  <si>
    <t>Approved</t>
  </si>
  <si>
    <t>Reviewer:</t>
  </si>
  <si>
    <t>STATEMENT OF SETTLEMENT TO BE MADE</t>
  </si>
  <si>
    <t>FOR ELECTRIC POWER AND ENERGY RECEIVED AND DELIVERED</t>
  </si>
  <si>
    <t>APPLICABLE TO SEPTEMBER 2006 BUSINESS</t>
  </si>
  <si>
    <t>PJM Entries</t>
  </si>
  <si>
    <t>SPREADS FOR DIRECT ALLOCATION TO WEST</t>
  </si>
  <si>
    <t>ADJUSTMENT FOR RECLASS OF ENTERGY</t>
  </si>
  <si>
    <t>OSS SPREADSHEET (end)</t>
  </si>
  <si>
    <t>MWH LSE</t>
  </si>
  <si>
    <t>$$$ LSE Purchases</t>
  </si>
  <si>
    <t xml:space="preserve">Received </t>
  </si>
  <si>
    <t>From</t>
  </si>
  <si>
    <t>Source File</t>
  </si>
  <si>
    <t>ECR Section 452</t>
  </si>
  <si>
    <t>Quaintance</t>
  </si>
  <si>
    <t>IPS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</si>
  <si>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</si>
  <si>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</si>
  <si>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</si>
  <si>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</si>
  <si>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</si>
  <si>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</si>
  <si>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</si>
  <si>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ACTUAL</t>
  </si>
  <si>
    <t>PURCHASES</t>
  </si>
  <si>
    <t>COSTS</t>
  </si>
  <si>
    <t>REVENUE</t>
  </si>
  <si>
    <t>TOTAL</t>
  </si>
  <si>
    <t>PREVIOUS ESTIMATE</t>
  </si>
  <si>
    <t>PAGE 10:</t>
  </si>
  <si>
    <t>BILLING</t>
  </si>
  <si>
    <t>TAXABLE</t>
  </si>
  <si>
    <t>Receiving Member</t>
  </si>
  <si>
    <t>PRIMARY 151 Delivering Member</t>
  </si>
  <si>
    <t>Economy 151 Delivering Member</t>
  </si>
  <si>
    <t>IMCO</t>
  </si>
  <si>
    <t xml:space="preserve">SOURCE:  Power Tracker calculates for each hour of the month the MWh of ECONOMY deliveries </t>
  </si>
  <si>
    <t xml:space="preserve">SOURCE:  Power Tracker calculates Primary energy deliveries and associated charges for each hour </t>
  </si>
  <si>
    <t>06/11</t>
  </si>
  <si>
    <t>Misc Credits (Corrected June 2011 Entry)</t>
  </si>
  <si>
    <t>Meter Correction - LSE (Corrected June 2011 Entry)</t>
  </si>
  <si>
    <t>Correcting Entry for March 2011</t>
  </si>
  <si>
    <t>MARCH 2011 CORRECTING ENTRY</t>
  </si>
  <si>
    <t>(3)  Excludes OVEC purchases allocated to System Sales (shown in II above).</t>
  </si>
  <si>
    <t xml:space="preserve">NOTE:  (*)  Source of data is "Summary - System Account Settlement for AEP System Deliveries" in the Power Tracker Pool </t>
  </si>
  <si>
    <t xml:space="preserve">                   Flow report.  The MWh and $ CREDIT AMOUNTS labeled "As Supplied" correspond to the MWh and COST </t>
  </si>
  <si>
    <t xml:space="preserve">                   "MLR SHARE" correspond to the MWh and COST columns associated with the "Off-System Obligation".  </t>
  </si>
  <si>
    <t>(7)  From Power Tracker report "Pool Flow Report - Off-System Allocation"</t>
  </si>
  <si>
    <t>SETTLEMENT OF PJM CHARGES NOT PROCESSED THROUGH POWER TRACKER</t>
  </si>
  <si>
    <t>Commercial Operations</t>
  </si>
  <si>
    <t>Pool Settlements Group</t>
  </si>
  <si>
    <t xml:space="preserve">                   columns associated with the "Off-System Allocation".  The MWh and $ CHARGE AMOUNTS labeled</t>
  </si>
  <si>
    <t>(2)    The total of the credits reported in the Power Tracker report for Sales Tariff Report with Sales Demand &amp; Adjustments.</t>
  </si>
  <si>
    <t xml:space="preserve"> II. OVEC PURCHASES SUPPLIED FOR SYSTEM SALES (1)</t>
  </si>
  <si>
    <t xml:space="preserve">      Purchase Power Report for purchases.</t>
  </si>
  <si>
    <t>(1)  The source of the MWh and COST data is the "Unit Cost" Report for Generation and</t>
  </si>
  <si>
    <t>(1)  Source is Power Tracker reports, Pool Flow and Purchase Power with Demand Charge and Adjustments.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</si>
  <si>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</si>
  <si>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</si>
  <si>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</si>
  <si>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</si>
  <si>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</si>
  <si>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</si>
  <si>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</si>
  <si>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</si>
  <si>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</si>
  <si>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SWAPS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</si>
  <si>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</si>
  <si>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</si>
  <si>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</si>
  <si>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</si>
  <si>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</si>
  <si>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</si>
  <si>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</si>
  <si>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</si>
  <si>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October 2010 Actual Cycle</t>
  </si>
  <si>
    <t>October 2010 Actual Cycle - Sales Reclassification</t>
  </si>
  <si>
    <t>Adjustment to West</t>
  </si>
  <si>
    <t>October 2010 Actual Cycle - Purchase Reclassification</t>
  </si>
  <si>
    <t>October 2010 Actual Cycle - Purchased Transmission Reclassification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</si>
  <si>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</si>
  <si>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</si>
  <si>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</si>
  <si>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</si>
  <si>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</si>
  <si>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</si>
  <si>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</si>
  <si>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</si>
  <si>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</si>
  <si>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</si>
  <si>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</si>
  <si>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</si>
  <si>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</si>
  <si>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</si>
  <si>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</si>
  <si>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NOX Repricing Worksheet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</si>
  <si>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</si>
  <si>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</si>
  <si>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</si>
  <si>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</si>
  <si>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</si>
  <si>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</si>
  <si>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</si>
  <si>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</si>
  <si>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</si>
  <si>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</si>
  <si>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</si>
  <si>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</si>
  <si>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</si>
  <si>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</si>
  <si>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</si>
  <si>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</si>
  <si>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</si>
  <si>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</si>
  <si>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</si>
  <si>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</si>
  <si>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</si>
  <si>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</si>
  <si>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</si>
  <si>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</si>
  <si>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</si>
  <si>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</si>
  <si>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</si>
  <si>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</si>
  <si>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</si>
  <si>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</si>
  <si>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</si>
  <si>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</si>
  <si>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</si>
  <si>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</si>
  <si>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</si>
  <si>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</si>
  <si>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</si>
  <si>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</si>
  <si>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</si>
  <si>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</si>
  <si>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</si>
  <si>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</si>
  <si>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</si>
  <si>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</si>
  <si>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</si>
  <si>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</si>
  <si>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</si>
  <si>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</si>
  <si>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</si>
  <si>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</si>
  <si>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</si>
  <si>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 xml:space="preserve"> II.  INTERNAL ENERGY AMONG POOL MEMBERS</t>
  </si>
  <si>
    <t>(PAGE 8)</t>
  </si>
  <si>
    <t>ECONOMY</t>
  </si>
  <si>
    <t>(PAGE 9)</t>
  </si>
  <si>
    <t>Detroit Edison Merch</t>
  </si>
  <si>
    <t>Deshler</t>
  </si>
  <si>
    <t>Deshler  (OMEG)</t>
  </si>
  <si>
    <t>SRE</t>
  </si>
  <si>
    <t>U.S. Generating Comp</t>
  </si>
  <si>
    <t>MR4</t>
  </si>
  <si>
    <t>MR5</t>
  </si>
  <si>
    <t>CV1</t>
  </si>
  <si>
    <t>CV2</t>
  </si>
  <si>
    <t>CV3</t>
  </si>
  <si>
    <t>CV4</t>
  </si>
  <si>
    <t>PC5</t>
  </si>
  <si>
    <t>ST1</t>
  </si>
  <si>
    <t>29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</si>
  <si>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</si>
  <si>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</si>
  <si>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</si>
  <si>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</si>
  <si>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</si>
  <si>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</si>
  <si>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</si>
  <si>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>Day-Ahead Transmission Implicit Loss Charge</t>
  </si>
  <si>
    <t>Expansion Cost Recovery Charges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</si>
  <si>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</si>
  <si>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</si>
  <si>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</si>
  <si>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</si>
  <si>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</si>
  <si>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</si>
  <si>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</si>
  <si>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</si>
  <si>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(1)  Market Price ($/Ton):</t>
  </si>
  <si>
    <t>EMISSIONS</t>
  </si>
  <si>
    <t>(In Tons)</t>
  </si>
  <si>
    <t>(2)  APCO $/Ton:</t>
  </si>
  <si>
    <t xml:space="preserve">       KPCO $/Ton:</t>
  </si>
  <si>
    <t xml:space="preserve">       I&amp;M $/Ton:</t>
  </si>
  <si>
    <t xml:space="preserve">       OPCO $/Ton:</t>
  </si>
  <si>
    <t xml:space="preserve">       CSP $/Ton:</t>
  </si>
  <si>
    <t>City of Auburn</t>
  </si>
  <si>
    <t>(MLR ALLOC.)</t>
  </si>
  <si>
    <t>(SOURCE ALLOC)</t>
  </si>
  <si>
    <t>10</t>
  </si>
  <si>
    <t>BUCKEYE TOTAL</t>
  </si>
  <si>
    <t>ROCKPORT 1 (OWNED SHARE)</t>
  </si>
  <si>
    <t>ComEd Wholesale Marketing</t>
  </si>
  <si>
    <t>UBS Securities / ABN Amro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</si>
  <si>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</si>
  <si>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</si>
  <si>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</si>
  <si>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</si>
  <si>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</si>
  <si>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</si>
  <si>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</si>
  <si>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Day-ahead Operating Reserve (LSE AUB)</t>
  </si>
  <si>
    <t>Day-ahead Operating Reserve (OSS AUB)</t>
  </si>
  <si>
    <t>Day-ahead Operating Reserve (OSS BCK)</t>
  </si>
  <si>
    <t>Day-ahead Operating Reserve (LSE SCG)</t>
  </si>
  <si>
    <t>Day-ahead Operating Reserve (OSS SCG)</t>
  </si>
  <si>
    <t>Duke Power Company</t>
  </si>
  <si>
    <t>PJM Interconnection</t>
  </si>
  <si>
    <t>CPP</t>
  </si>
  <si>
    <t>BELOW THE LINE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</si>
  <si>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</si>
  <si>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</si>
  <si>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</si>
  <si>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</si>
  <si>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</si>
  <si>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</si>
  <si>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</si>
  <si>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</si>
  <si>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</si>
  <si>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</si>
  <si>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</si>
  <si>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</si>
  <si>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</si>
  <si>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</si>
  <si>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</si>
  <si>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</si>
  <si>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</si>
  <si>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</si>
  <si>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</si>
  <si>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</si>
  <si>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</si>
  <si>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</si>
  <si>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</si>
  <si>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</si>
  <si>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</si>
  <si>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Adj. for Day-ahead Scheduling Reserve Charge</t>
  </si>
  <si>
    <t>Adj. for Transmission Enhancement Credit</t>
  </si>
  <si>
    <t>Capacity Credit Market Credits</t>
  </si>
  <si>
    <t>Network Integration Transmission Service Credits</t>
  </si>
  <si>
    <t xml:space="preserve">ADJUSTMENT </t>
  </si>
  <si>
    <t>PAGE (6)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</si>
  <si>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</si>
  <si>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</si>
  <si>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</si>
  <si>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</si>
  <si>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</si>
  <si>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</si>
  <si>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</si>
  <si>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</si>
  <si>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</si>
  <si>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TOTAL MEMBER PRIMARY CAPACITY (EXCLUDING HYDRO)</t>
  </si>
  <si>
    <r>
      <t xml:space="preserve">                    for the year ending 12/31/2009.  </t>
    </r>
    <r>
      <rPr>
        <b/>
        <sz val="10"/>
        <rFont val="Comic Sans MS"/>
        <family val="4"/>
      </rPr>
      <t>Effective November 2009 this number excludes Asset Recovery Obligation</t>
    </r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</si>
  <si>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</si>
  <si>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</si>
  <si>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</si>
  <si>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</si>
  <si>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</si>
  <si>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</si>
  <si>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</si>
  <si>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I - XI</t>
  </si>
  <si>
    <t>CAMP GROVE</t>
  </si>
  <si>
    <t xml:space="preserve">FOWLER RIDGE III </t>
  </si>
  <si>
    <t>GRAND RIDGE II</t>
  </si>
  <si>
    <t>GRAND RIDGE III</t>
  </si>
  <si>
    <t>FOWLER RIDGE  I</t>
  </si>
  <si>
    <t>FOWLER RIDGE  II</t>
  </si>
  <si>
    <t>FOWLER RIDGE II</t>
  </si>
  <si>
    <t>NON-ECR ENERGY</t>
  </si>
  <si>
    <t>SWAPS &amp; PJM</t>
  </si>
  <si>
    <t>Capacity Credit Market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</si>
  <si>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</si>
  <si>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</si>
  <si>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</si>
  <si>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</si>
  <si>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</si>
  <si>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</si>
  <si>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</si>
  <si>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</si>
  <si>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</si>
  <si>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</si>
  <si>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</si>
  <si>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</si>
  <si>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</si>
  <si>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 xml:space="preserve">     </t>
  </si>
  <si>
    <t xml:space="preserve">VIII </t>
  </si>
  <si>
    <t>SETTLEMENT WITH SYSTEM AGENT ASSOCIATED WITH MLR ALLOCATIONS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</si>
  <si>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</si>
  <si>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</si>
  <si>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</si>
  <si>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</si>
  <si>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</si>
  <si>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</si>
  <si>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</si>
  <si>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</si>
  <si>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</si>
  <si>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</si>
  <si>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</si>
  <si>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</si>
  <si>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</si>
  <si>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</si>
  <si>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</si>
  <si>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</si>
  <si>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</si>
  <si>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</si>
  <si>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</si>
  <si>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</si>
  <si>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</si>
  <si>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</si>
  <si>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</si>
  <si>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</si>
  <si>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</si>
  <si>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</si>
  <si>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</si>
  <si>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</si>
  <si>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</si>
  <si>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</si>
  <si>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</si>
  <si>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(Revenue - Cost)</t>
  </si>
  <si>
    <t>Total PJM/MISO</t>
  </si>
  <si>
    <t>Non-ECR Energy</t>
  </si>
  <si>
    <t>Adj. for Synchronized Reserve Charge</t>
  </si>
  <si>
    <t>CALCULATION OF MEMBER PRIMARY CAPACITY FIXED OPERATING RATES: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</si>
  <si>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</si>
  <si>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</si>
  <si>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</si>
  <si>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</si>
  <si>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</si>
  <si>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</si>
  <si>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</si>
  <si>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</si>
  <si>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</si>
  <si>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</si>
  <si>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Balancing Operating Reserve (LSE MON &amp; OCG)</t>
  </si>
  <si>
    <t>RPM Auction Credit (OSS SCG)</t>
  </si>
  <si>
    <t>Load Reconciliation for Synchronous Condensing Charge</t>
  </si>
  <si>
    <t>Adj. for Other Supporting Facilities Charge- power factor</t>
  </si>
  <si>
    <t>Adj. to Inadvertent Interchange Charges</t>
  </si>
  <si>
    <t>Adj. to Load Management test failure</t>
  </si>
  <si>
    <t xml:space="preserve"> Load Management test failure</t>
  </si>
  <si>
    <t>Load Reconciliation for PJM AC2 Charges</t>
  </si>
  <si>
    <t>12</t>
  </si>
  <si>
    <t>City of Riverside</t>
  </si>
  <si>
    <t>SCAN</t>
  </si>
  <si>
    <t>Scana Energy Marketing, Inc.</t>
  </si>
  <si>
    <t>SCEG</t>
  </si>
  <si>
    <t>Total of PJM Non -ECR MISC Charges</t>
  </si>
  <si>
    <t>CHARGE DESCRIPTION</t>
  </si>
  <si>
    <t>**Includes all particpants except SCG and BCK</t>
  </si>
  <si>
    <t>Buckeye (BCK)</t>
  </si>
  <si>
    <t>No</t>
  </si>
  <si>
    <t>Adj. to Transmission Losses Credits</t>
  </si>
  <si>
    <t>Load Reconciliation for Day-ahead Scheduling Reserve Charge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</si>
  <si>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</si>
  <si>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</si>
  <si>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</si>
  <si>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</si>
  <si>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</si>
  <si>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</si>
  <si>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</si>
  <si>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</si>
  <si>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</si>
  <si>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</si>
  <si>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</si>
  <si>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</si>
  <si>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</si>
  <si>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</si>
  <si>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</si>
  <si>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</si>
  <si>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</si>
  <si>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</si>
  <si>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</si>
  <si>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</si>
  <si>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</si>
  <si>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</si>
  <si>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</si>
  <si>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</si>
  <si>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</si>
  <si>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</si>
  <si>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</si>
  <si>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</si>
  <si>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</si>
  <si>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</si>
  <si>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</si>
  <si>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</si>
  <si>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</si>
  <si>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</si>
  <si>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East. AEP (Co. 28)</t>
  </si>
  <si>
    <t>XIII.</t>
  </si>
  <si>
    <t>XIV.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</si>
  <si>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</si>
  <si>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</si>
  <si>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</si>
  <si>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</si>
  <si>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</si>
  <si>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</si>
  <si>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</si>
  <si>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</si>
  <si>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</si>
  <si>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</si>
  <si>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</si>
  <si>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</si>
  <si>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</si>
  <si>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</si>
  <si>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</si>
  <si>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</si>
  <si>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</si>
  <si>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</si>
  <si>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</si>
  <si>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</si>
  <si>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OPCO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</si>
  <si>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</si>
  <si>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</si>
  <si>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</si>
  <si>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</si>
  <si>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</si>
  <si>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</si>
  <si>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</si>
  <si>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</si>
  <si>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>AMS Environmental</t>
  </si>
  <si>
    <t>Consumption</t>
  </si>
  <si>
    <t xml:space="preserve">                 of the month and aggregates such MWh and Charges for the month as reported above.  The $/mWh </t>
  </si>
  <si>
    <t>(MLR * COL. 2 TOT.)</t>
  </si>
  <si>
    <t>0 MW's</t>
  </si>
  <si>
    <t>Wyandot</t>
  </si>
  <si>
    <t>APPVI PG1</t>
  </si>
  <si>
    <t>Off System Physical Sales Related to Entergy Spreads</t>
  </si>
  <si>
    <t>Sales Commissions Related to Entergy Spreads</t>
  </si>
  <si>
    <t>Off System Physical Purchases</t>
  </si>
  <si>
    <t>East Off System Spreadsheets</t>
  </si>
  <si>
    <t>Off System Physical Purchases for Agent for Contracts</t>
  </si>
  <si>
    <t>Off System Purchases</t>
  </si>
  <si>
    <t>Off System Physical Purchases for BGE / PEPCo</t>
  </si>
  <si>
    <t>Off System Physical Purchases (Previously in ICR)</t>
  </si>
  <si>
    <t>Roberts</t>
  </si>
  <si>
    <t>West Off System Spreadsheets</t>
  </si>
  <si>
    <t>Off System Physical Sales</t>
  </si>
  <si>
    <t>Off System Physical Sales for Agent for Contracts</t>
  </si>
  <si>
    <t>Dowagiac Amortization Schedule</t>
  </si>
  <si>
    <t>Amortization Schedule</t>
  </si>
  <si>
    <t>Off System MISO FTR Revenue</t>
  </si>
  <si>
    <t>Off System Physical Sales (Previously in ICR)</t>
  </si>
  <si>
    <t>ACCOUNTS RECEIVABLE</t>
  </si>
  <si>
    <t>ACCOUNTS PAYABLE</t>
  </si>
  <si>
    <t>AMOS 3</t>
  </si>
  <si>
    <t>SPORN 1</t>
  </si>
  <si>
    <t>SPORN 2</t>
  </si>
  <si>
    <t>SPORN 3</t>
  </si>
  <si>
    <t>SPORN 4</t>
  </si>
  <si>
    <t>SPORN 5</t>
  </si>
  <si>
    <t>BIG SANDY 1</t>
  </si>
  <si>
    <t>ADJUSTMENT TO ACCOUNT FOR</t>
  </si>
  <si>
    <t>LESS EASTERN AEP REALIZATION SHARE:</t>
  </si>
  <si>
    <t>CE1</t>
  </si>
  <si>
    <t>CE2</t>
  </si>
  <si>
    <t>B.P. Energy Company</t>
  </si>
  <si>
    <t>BRPS</t>
  </si>
  <si>
    <t>MISO Retail</t>
  </si>
  <si>
    <t>Midwest Retail</t>
  </si>
  <si>
    <t>Midwest Trading</t>
  </si>
  <si>
    <t>Midwest Auction</t>
  </si>
  <si>
    <t>City of Columbus - Load</t>
  </si>
  <si>
    <t>City of Columbus - Generation</t>
  </si>
  <si>
    <t>PJM - Columbus Load</t>
  </si>
  <si>
    <t>PJM - Columbus Generation</t>
  </si>
  <si>
    <t>Monongahela Power Company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</si>
  <si>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</si>
  <si>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</si>
  <si>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</si>
  <si>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</si>
  <si>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26.</t>
  </si>
  <si>
    <t>TOTAL ALL MEMBERS RECEIVED</t>
  </si>
  <si>
    <t>DELIVERED ENERGY</t>
  </si>
  <si>
    <t>BY MEMBER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</si>
  <si>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</si>
  <si>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</si>
  <si>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</si>
  <si>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</si>
  <si>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</si>
  <si>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</si>
  <si>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</si>
  <si>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</si>
  <si>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</si>
  <si>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</si>
  <si>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</si>
  <si>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</si>
  <si>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</si>
  <si>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</si>
  <si>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</si>
  <si>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</si>
  <si>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XXXXXXXXXXXXXXXXX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</si>
  <si>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</si>
  <si>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</si>
  <si>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</si>
  <si>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</si>
  <si>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</si>
  <si>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</si>
  <si>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AEP Power Factor Charges</t>
  </si>
  <si>
    <t>Load Reconciliation for Market Monitoring Unit (MMU) Funding Charge</t>
  </si>
  <si>
    <t>Adj. for North American Electric Reliability Corporation (NERC) Charge</t>
  </si>
  <si>
    <t>Adj. for Reliability First Corporation (RFC) Charge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</si>
  <si>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</si>
  <si>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</si>
  <si>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</si>
  <si>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</si>
  <si>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</si>
  <si>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</si>
  <si>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</si>
  <si>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</si>
  <si>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</si>
  <si>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Adj. for Peak-Hour Period Availability Credits</t>
  </si>
  <si>
    <t>DUKE2</t>
  </si>
  <si>
    <t>(I - III)</t>
  </si>
  <si>
    <t>Adj. to Non-Firm Point-to-Point Transmission Service Credits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</si>
  <si>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</si>
  <si>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</si>
  <si>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</si>
  <si>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</si>
  <si>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</si>
  <si>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</si>
  <si>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</si>
  <si>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</si>
  <si>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</si>
  <si>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</si>
  <si>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</si>
  <si>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</si>
  <si>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</si>
  <si>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POOL MEMBERS TO THEMSELVES</t>
  </si>
  <si>
    <t xml:space="preserve">  I.  GENERATION SUPPLIED TO THE POOL FOR SYSTEM SALES (1)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</si>
  <si>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</si>
  <si>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</si>
  <si>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</si>
  <si>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</si>
  <si>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</si>
  <si>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</si>
  <si>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</si>
  <si>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</si>
  <si>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</si>
  <si>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</si>
  <si>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</si>
  <si>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</si>
  <si>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</si>
  <si>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</si>
  <si>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</si>
  <si>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Reactive Supply and Voltage Control from Generation Sources Service Credits</t>
  </si>
  <si>
    <t>Regulation Charge</t>
  </si>
  <si>
    <t>Regulation Credit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</si>
  <si>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</si>
  <si>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</si>
  <si>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</si>
  <si>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</si>
  <si>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Ameren Energy, Inc.</t>
  </si>
  <si>
    <t>NOTE:</t>
  </si>
  <si>
    <t>PUPP</t>
  </si>
  <si>
    <t>BEECH RIDGE</t>
  </si>
  <si>
    <t>Beech Ridge Wind Farm</t>
  </si>
  <si>
    <t xml:space="preserve">BEECH RIDGE </t>
  </si>
  <si>
    <t>PJM NON-ECR CHARGES FROM INVOICE - COUNTERPARTY BUCKEYE</t>
  </si>
  <si>
    <t>PJM - BUCKEYE</t>
  </si>
  <si>
    <t>Auction Revenue Rights Credits</t>
  </si>
  <si>
    <t>Balancing Operating Reserve Charge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</si>
  <si>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</si>
  <si>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</si>
  <si>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</si>
  <si>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</si>
  <si>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Generator Credit</t>
  </si>
  <si>
    <t>Day-Ahead Transmission Implicit Congestion Charge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</si>
  <si>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</si>
  <si>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</si>
  <si>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</si>
  <si>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</si>
  <si>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</si>
  <si>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</si>
  <si>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</si>
  <si>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</si>
  <si>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</si>
  <si>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</si>
  <si>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</si>
  <si>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</si>
  <si>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PAGE 9:  ECONOMY</t>
  </si>
  <si>
    <t>BY THE MEMBERS</t>
  </si>
  <si>
    <t>(MLR)</t>
  </si>
  <si>
    <t>PAID TO</t>
  </si>
  <si>
    <t>(I.E., EXCESS OF REVENUE</t>
  </si>
  <si>
    <t>THIRD PARTIES</t>
  </si>
  <si>
    <t>Camp Grove Wind Farm</t>
  </si>
  <si>
    <t>Conectiv Energy Supply, Inc.</t>
  </si>
  <si>
    <t>CNGP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</si>
  <si>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</si>
  <si>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</si>
  <si>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</si>
  <si>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</si>
  <si>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</si>
  <si>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</si>
  <si>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</si>
  <si>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</si>
  <si>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</si>
  <si>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</si>
  <si>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</si>
  <si>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</si>
  <si>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</si>
  <si>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</si>
  <si>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</si>
  <si>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</si>
  <si>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</si>
  <si>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</si>
  <si>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</si>
  <si>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</si>
  <si>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</si>
  <si>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</si>
  <si>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</si>
  <si>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</si>
  <si>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</si>
  <si>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</si>
  <si>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</si>
  <si>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</si>
  <si>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</si>
  <si>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</si>
  <si>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</si>
  <si>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</si>
  <si>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</si>
  <si>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</si>
  <si>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</si>
  <si>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</si>
  <si>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</si>
  <si>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</si>
  <si>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</si>
  <si>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</si>
  <si>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</si>
  <si>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</si>
  <si>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</si>
  <si>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</si>
  <si>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</si>
  <si>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</si>
  <si>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</si>
  <si>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Fowler Ridge Wind Farm</t>
  </si>
  <si>
    <t>BROKER'S COMMISSIONS</t>
  </si>
  <si>
    <t>REC COMMISSIONS 5570.007</t>
  </si>
  <si>
    <t>Difference between Interim Allowance Agreement and ECR</t>
  </si>
  <si>
    <t>East Purchase Demand Charges In ECR</t>
  </si>
  <si>
    <t>AEP Purchased Transmission</t>
  </si>
  <si>
    <t>Dougherty /</t>
  </si>
  <si>
    <t>Koprowski</t>
  </si>
  <si>
    <t>Transmission Associated With 250 MW Link</t>
  </si>
  <si>
    <t>Foxworth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</si>
  <si>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</si>
  <si>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</si>
  <si>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</si>
  <si>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</si>
  <si>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</si>
  <si>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</si>
  <si>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</si>
  <si>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</si>
  <si>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act gen</t>
  </si>
  <si>
    <t>allocated gen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</si>
  <si>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</si>
  <si>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</si>
  <si>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</si>
  <si>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</si>
  <si>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</si>
  <si>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</si>
  <si>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</si>
  <si>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</si>
  <si>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</si>
  <si>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</si>
  <si>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</si>
  <si>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</si>
  <si>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</si>
  <si>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</si>
  <si>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</si>
  <si>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>Illinois Electric Marketing</t>
  </si>
  <si>
    <t>Indiana Municipal Power Agency</t>
  </si>
  <si>
    <t>IPBP</t>
  </si>
  <si>
    <t>Illinois Power Co.</t>
  </si>
  <si>
    <t>Adj. to PJM Scheduling System Control and Dispatch Service Charges</t>
  </si>
  <si>
    <t>Day-ahead Scheduling Reserve Charge</t>
  </si>
  <si>
    <t>HAME2</t>
  </si>
  <si>
    <t>RPLY</t>
  </si>
  <si>
    <t>(1),(2)</t>
  </si>
  <si>
    <t>(4),(5)</t>
  </si>
  <si>
    <t>Market Monitoring Unit (MMU) Funding Charge</t>
  </si>
  <si>
    <t>FERC Annual Charge Recovery Charge</t>
  </si>
  <si>
    <t>Organization of PJM States, Inc. (OPSI) Funding Charge</t>
  </si>
  <si>
    <t xml:space="preserve">       </t>
  </si>
  <si>
    <t xml:space="preserve">         companies are recovered as credits.  Includes adjustment to account for the difference between market price of </t>
  </si>
  <si>
    <t>Cleveland Public Power</t>
  </si>
  <si>
    <t>CPS</t>
  </si>
  <si>
    <t>Constellation Power Source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</si>
  <si>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</si>
  <si>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</si>
  <si>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</si>
  <si>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</si>
  <si>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</si>
  <si>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</si>
  <si>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</si>
  <si>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</si>
  <si>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</si>
  <si>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</si>
  <si>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</si>
  <si>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</si>
  <si>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</si>
  <si>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</si>
  <si>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>Power Statement by Accounting.  Please contact Craig Adelman at 614-583-7756 or Audinet 8-220-7756 if further information is needed.</t>
  </si>
  <si>
    <t>INDIANA MICHIGAN POWER COMPANY</t>
  </si>
  <si>
    <t>Progress Energy</t>
  </si>
  <si>
    <t>PURCHASE                COST/4470.143</t>
  </si>
  <si>
    <t>ESTIMATED                         PURCHASES/4210.032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</si>
  <si>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</si>
  <si>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</si>
  <si>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</si>
  <si>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</si>
  <si>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</si>
  <si>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</si>
  <si>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</si>
  <si>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</si>
  <si>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</si>
  <si>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</si>
  <si>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</si>
  <si>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Seattle City Light</t>
  </si>
  <si>
    <t>SDGE</t>
  </si>
  <si>
    <t>San Diego Gas &amp; Electric Co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</si>
  <si>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</si>
  <si>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</si>
  <si>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</si>
  <si>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</si>
  <si>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</si>
  <si>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</si>
  <si>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</si>
  <si>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</si>
  <si>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</si>
  <si>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</si>
  <si>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</si>
  <si>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</si>
  <si>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LW1</t>
  </si>
  <si>
    <t>LW2</t>
  </si>
  <si>
    <t>LAWRENCEBURG 1</t>
  </si>
  <si>
    <t>LAWRENCEBURG 2</t>
  </si>
  <si>
    <t>South Texas Electric Coop, Inc.</t>
  </si>
  <si>
    <t>PHYSICAL BOOKOUT</t>
  </si>
  <si>
    <t>MEMBER PRIMARY</t>
  </si>
  <si>
    <t>Adj. to Transmission Congestion Credits for Jun 2006 - May 2007</t>
  </si>
  <si>
    <t>Day-Ahead Operating Reserve Charge</t>
  </si>
  <si>
    <t>SR Charge (Tier 1)</t>
  </si>
  <si>
    <t>Balancing Operating Reserve for Load Response  Charge</t>
  </si>
  <si>
    <t>SR Charge (Tier 2)</t>
  </si>
  <si>
    <t>SR Credit (Tier 1)</t>
  </si>
  <si>
    <t>01</t>
  </si>
  <si>
    <t>05/11</t>
  </si>
  <si>
    <t xml:space="preserve">                   System deliveries (such demand costs would have no net effect in the System Account because they are </t>
  </si>
  <si>
    <t>BUCKEYE PASS-THROUGH CHARGES</t>
  </si>
  <si>
    <t>Synchronous Condensing Charges</t>
  </si>
  <si>
    <t>Day-Ahead Economic Load Response Program</t>
  </si>
  <si>
    <t>Firm Point-to-Point Transmission Service Charges</t>
  </si>
  <si>
    <t>Network Integration Transmission Service Offset Charges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</si>
  <si>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</si>
  <si>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</si>
  <si>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</si>
  <si>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</si>
  <si>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</si>
  <si>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</si>
  <si>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</si>
  <si>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</si>
  <si>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</si>
  <si>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</si>
  <si>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</si>
  <si>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</si>
  <si>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</si>
  <si>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</si>
  <si>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</si>
  <si>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</si>
  <si>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</si>
  <si>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</si>
  <si>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Amended System Integration Agreement (SIA) Effective 4/1/06</t>
  </si>
  <si>
    <t>AS SUPPLIED</t>
  </si>
  <si>
    <t>UNADJUSTED</t>
  </si>
  <si>
    <t>ACTUAL:</t>
  </si>
  <si>
    <t>PAGE (1)</t>
  </si>
  <si>
    <t>($)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</si>
  <si>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</si>
  <si>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</si>
  <si>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</si>
  <si>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</si>
  <si>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</si>
  <si>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</si>
  <si>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</si>
  <si>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</si>
  <si>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</si>
  <si>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</si>
  <si>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</si>
  <si>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</si>
  <si>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</si>
  <si>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</si>
  <si>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EKPC</t>
  </si>
  <si>
    <t xml:space="preserve">East KY Power Co-Op </t>
  </si>
  <si>
    <t>TO BE BOOKED</t>
  </si>
  <si>
    <t>NEXT MONTH</t>
  </si>
  <si>
    <t>60-MINUTE INTEGRATED MEGAWATT DEMAND</t>
  </si>
  <si>
    <t>EXCLUDE AEP SYSTEM SALES</t>
  </si>
  <si>
    <t>DA</t>
  </si>
  <si>
    <t>HR</t>
  </si>
  <si>
    <t>PEAK</t>
  </si>
  <si>
    <t>09</t>
  </si>
  <si>
    <t>08</t>
  </si>
  <si>
    <t>nMARKET TO AEE (NON-ECR)</t>
  </si>
  <si>
    <t>(SEE APPENDIX IX)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</si>
  <si>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</si>
  <si>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</si>
  <si>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</si>
  <si>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</si>
  <si>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</si>
  <si>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</si>
  <si>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</si>
  <si>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</si>
  <si>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</si>
  <si>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</si>
  <si>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</si>
  <si>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</si>
  <si>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</si>
  <si>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</si>
  <si>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</si>
  <si>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</si>
  <si>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</si>
  <si>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</si>
  <si>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</si>
  <si>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</si>
  <si>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</si>
  <si>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</si>
  <si>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</si>
  <si>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</si>
  <si>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</si>
  <si>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</si>
  <si>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</si>
  <si>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</si>
  <si>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</si>
  <si>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</si>
  <si>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MITCHELL</t>
  </si>
  <si>
    <t>Ripley</t>
  </si>
  <si>
    <t>Non-Firm Point-to-Point Transmission Service OSS (BCK)</t>
  </si>
  <si>
    <t>Transmission Congestion Target Credit OSS (BCK)</t>
  </si>
  <si>
    <t>Adj. to Reactive Supply and Voltage Control from Generation Sources Service Charges</t>
  </si>
  <si>
    <t>Adj. to Balancing Transmission Implicit Loss Charge</t>
  </si>
  <si>
    <t>Reactive Services Charge</t>
  </si>
  <si>
    <t>Adj. for Synchronized Reserve Credit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</si>
  <si>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</si>
  <si>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</si>
  <si>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</si>
  <si>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</si>
  <si>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Adj. to Firm Point-to-Point Transmission Service Credits (service deferment)</t>
  </si>
  <si>
    <t>Adj. to Meter Correction Charges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</si>
  <si>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</si>
  <si>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</si>
  <si>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</si>
  <si>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</si>
  <si>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</si>
  <si>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</si>
  <si>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</si>
  <si>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</si>
  <si>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</si>
  <si>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</si>
  <si>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</si>
  <si>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</si>
  <si>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</si>
  <si>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</si>
  <si>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</si>
  <si>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</si>
  <si>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</si>
  <si>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COST (2)</t>
  </si>
  <si>
    <t>MLR</t>
  </si>
  <si>
    <t>COST ($)</t>
  </si>
  <si>
    <t xml:space="preserve">COST </t>
  </si>
  <si>
    <t>Below the Line Activity: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</si>
  <si>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</si>
  <si>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</si>
  <si>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</si>
  <si>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</si>
  <si>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</si>
  <si>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</si>
  <si>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</si>
  <si>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</si>
  <si>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</si>
  <si>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</si>
  <si>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</si>
  <si>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</si>
  <si>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</si>
  <si>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</si>
  <si>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</si>
  <si>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</si>
  <si>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</si>
  <si>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</si>
  <si>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</si>
  <si>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</si>
  <si>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</si>
  <si>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</si>
  <si>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</si>
  <si>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</si>
  <si>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</si>
  <si>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</si>
  <si>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Republic</t>
  </si>
  <si>
    <t>Republic  (OMEG)</t>
  </si>
  <si>
    <t>RES</t>
  </si>
  <si>
    <t>-  Member Load Ratio (MLR) for each month</t>
  </si>
  <si>
    <t>-  List of maximum MLR demands in each of past 12 months</t>
  </si>
  <si>
    <t>-  Maximum MLR demands experienced in the past 12 months</t>
  </si>
  <si>
    <t>SMT</t>
  </si>
  <si>
    <t>Check Totals</t>
  </si>
  <si>
    <t>Portion not allocated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</si>
  <si>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</si>
  <si>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</si>
  <si>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</si>
  <si>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r>
      <t xml:space="preserve">     </t>
    </r>
    <r>
      <rPr>
        <b/>
        <sz val="10"/>
        <color indexed="10"/>
        <rFont val="Book Antiqua"/>
        <family val="1"/>
      </rPr>
      <t>on Capacity Credit</t>
    </r>
    <r>
      <rPr>
        <sz val="10"/>
        <color indexed="10"/>
        <rFont val="Book Antiqua"/>
        <family val="1"/>
      </rPr>
      <t xml:space="preserve"> (charge/credit columns).</t>
    </r>
  </si>
  <si>
    <t>ROCKPORT 2 (LEASED SHARE)</t>
  </si>
  <si>
    <t>SPORN (OPCO)</t>
  </si>
  <si>
    <t>MUSKINGUM</t>
  </si>
  <si>
    <t>KAMMER</t>
  </si>
  <si>
    <t>PAGE (10-1)</t>
  </si>
  <si>
    <t>Net Amt due for System Transactions</t>
  </si>
  <si>
    <t>PAGE (10-2)</t>
  </si>
  <si>
    <t>(PAGE 4)</t>
  </si>
  <si>
    <t>(1)+(3)</t>
  </si>
  <si>
    <t>(2)+(4)</t>
  </si>
  <si>
    <t>CARDINAL (OPCO)</t>
  </si>
  <si>
    <t xml:space="preserve">    SALES                         4470.007</t>
  </si>
  <si>
    <t xml:space="preserve">    COSTS                     4470.011</t>
  </si>
  <si>
    <t xml:space="preserve">   REVENUE                    4470.007</t>
  </si>
  <si>
    <t xml:space="preserve">     PURCHASE            4470.011</t>
  </si>
  <si>
    <t>COLUMBUS SOUTHERN POWER COMPANY</t>
  </si>
  <si>
    <t>TOTAL SYSTEM PRIMARY CAPACITY</t>
  </si>
  <si>
    <t>APPENDIX III</t>
  </si>
  <si>
    <t>City of Westerville</t>
  </si>
  <si>
    <t>City of Columbus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</si>
  <si>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</si>
  <si>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</si>
  <si>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</si>
  <si>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</si>
  <si>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</si>
  <si>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</si>
  <si>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</si>
  <si>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</si>
  <si>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</si>
  <si>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</si>
  <si>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</si>
  <si>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</si>
  <si>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</si>
  <si>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</si>
  <si>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</si>
  <si>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</si>
  <si>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</si>
  <si>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</si>
  <si>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r>
      <t xml:space="preserve">2. </t>
    </r>
    <r>
      <rPr>
        <b/>
        <sz val="10"/>
        <color indexed="10"/>
        <rFont val="Book Antiqua"/>
        <family val="1"/>
      </rPr>
      <t xml:space="preserve"> I. Allocation of Tax on Sales for Resale</t>
    </r>
    <r>
      <rPr>
        <sz val="10"/>
        <color indexed="10"/>
        <rFont val="Book Antiqua"/>
        <family val="1"/>
      </rPr>
      <t xml:space="preserve"> (MLR Share of Tax $ </t>
    </r>
  </si>
  <si>
    <r>
      <t xml:space="preserve">3.  </t>
    </r>
    <r>
      <rPr>
        <b/>
        <sz val="10"/>
        <color indexed="10"/>
        <rFont val="Book Antiqua"/>
        <family val="1"/>
      </rPr>
      <t>II. Allocation of Tax on Capacity Credit</t>
    </r>
    <r>
      <rPr>
        <sz val="10"/>
        <color indexed="10"/>
        <rFont val="Book Antiqua"/>
        <family val="1"/>
      </rPr>
      <t xml:space="preserve"> (ratio) must equal 1.0000.</t>
    </r>
  </si>
  <si>
    <t>Act. 5650.002</t>
  </si>
  <si>
    <t>DTE</t>
  </si>
  <si>
    <t>CWEL2</t>
  </si>
  <si>
    <t>SEBE2</t>
  </si>
  <si>
    <t>TOHI2</t>
  </si>
  <si>
    <t>as of</t>
  </si>
  <si>
    <t xml:space="preserve">Cost </t>
  </si>
  <si>
    <t>Member Primary Capacity</t>
  </si>
  <si>
    <t>$/kW/Month</t>
  </si>
  <si>
    <t>Prev Est APPVI Pg 1</t>
  </si>
  <si>
    <t>Rockport 2 Purchased from AEG</t>
  </si>
  <si>
    <t>Cook</t>
  </si>
  <si>
    <t>MECS</t>
  </si>
  <si>
    <t>I &amp; M</t>
  </si>
  <si>
    <t>ACTUAL              COST/4470.010</t>
  </si>
  <si>
    <t>ACTUAL                   REVENUES/4470.006</t>
  </si>
  <si>
    <t>PURCHASES/4210.032</t>
  </si>
  <si>
    <t>REVENUES/4210.031</t>
  </si>
  <si>
    <t>NYSEG Solutions, Inc.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</si>
  <si>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</si>
  <si>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</si>
  <si>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</si>
  <si>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</si>
  <si>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</si>
  <si>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</si>
  <si>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</si>
  <si>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</si>
  <si>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</si>
  <si>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</si>
  <si>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</si>
  <si>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</si>
  <si>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</si>
  <si>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</si>
  <si>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</si>
  <si>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Southern Co Energy Marketing</t>
  </si>
  <si>
    <t>SCLM</t>
  </si>
  <si>
    <t xml:space="preserve">Calculation of Adjustment                                                                       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</si>
  <si>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</si>
  <si>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</si>
  <si>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</si>
  <si>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</si>
  <si>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</si>
  <si>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</si>
  <si>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</si>
  <si>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Split Dollars</t>
  </si>
  <si>
    <t>SWEPCo</t>
  </si>
  <si>
    <t>Applicable</t>
  </si>
  <si>
    <t>Gain /</t>
  </si>
  <si>
    <t>Adj. for Other Supporting Facilities Charge - Aggregate Allocation</t>
  </si>
  <si>
    <t>STUART 4</t>
  </si>
  <si>
    <t>(a)  As per Section 4.3 and Appendix E of the Interim Allowance Agreement.</t>
  </si>
  <si>
    <t>OHIO POWER COMPANY</t>
  </si>
  <si>
    <t>(4)=(3)*.0137</t>
  </si>
  <si>
    <t>TOTAL NET</t>
  </si>
  <si>
    <t>FUEL</t>
  </si>
  <si>
    <t>ONE-HALF</t>
  </si>
  <si>
    <t>A/C 501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</si>
  <si>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</si>
  <si>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</si>
  <si>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</si>
  <si>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</si>
  <si>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</si>
  <si>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</si>
  <si>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</si>
  <si>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</si>
  <si>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</si>
  <si>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</si>
  <si>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</si>
  <si>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</si>
  <si>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</si>
  <si>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</si>
  <si>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</si>
  <si>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</si>
  <si>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</si>
  <si>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</si>
  <si>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</si>
  <si>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</si>
  <si>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</si>
  <si>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</si>
  <si>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</si>
  <si>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</si>
  <si>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</si>
  <si>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</si>
  <si>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</si>
  <si>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</si>
  <si>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</si>
  <si>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</si>
  <si>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</si>
  <si>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</si>
  <si>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</si>
  <si>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</si>
  <si>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New Energy Ventures, LLC</t>
  </si>
  <si>
    <t>NIP</t>
  </si>
  <si>
    <t>NIPSCO Energy Management</t>
  </si>
  <si>
    <t>NMEM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</si>
  <si>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</si>
  <si>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</si>
  <si>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</si>
  <si>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</si>
  <si>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</si>
  <si>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</si>
  <si>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</si>
  <si>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</si>
  <si>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</si>
  <si>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Less Entergy Direct</t>
  </si>
  <si>
    <t>In Estimated Cycle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</si>
  <si>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</si>
  <si>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</si>
  <si>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</si>
  <si>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</si>
  <si>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</si>
  <si>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</si>
  <si>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</si>
  <si>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</si>
  <si>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</si>
  <si>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</si>
  <si>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</si>
  <si>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Meter Correction - LSE</t>
  </si>
  <si>
    <t>Texas-New Mexico Power Company</t>
  </si>
  <si>
    <t>TNSK</t>
  </si>
  <si>
    <t>Tenaska Power Services Company</t>
  </si>
  <si>
    <t>TPCO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</si>
  <si>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</si>
  <si>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</si>
  <si>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</si>
  <si>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</si>
  <si>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</si>
  <si>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</si>
  <si>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</si>
  <si>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</si>
  <si>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</si>
  <si>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</si>
  <si>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</si>
  <si>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</si>
  <si>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</si>
  <si>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</si>
  <si>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</si>
  <si>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</si>
  <si>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</si>
  <si>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</si>
  <si>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</si>
  <si>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</si>
  <si>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</si>
  <si>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</si>
  <si>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</si>
  <si>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</si>
  <si>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</si>
  <si>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</si>
  <si>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</si>
  <si>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</si>
  <si>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</si>
  <si>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</si>
  <si>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FOR INTERRUPTIBLES</t>
  </si>
  <si>
    <t>JUNE 2010**</t>
  </si>
  <si>
    <t xml:space="preserve">(1)     The variable energy costs, which are incurred by the members in supplying energy for AEP System deliveries to non-affiliated </t>
  </si>
  <si>
    <t>Firm Load Gen.</t>
  </si>
  <si>
    <t>California Power Exchange</t>
  </si>
  <si>
    <t>CRC</t>
  </si>
  <si>
    <t>Colorado River Commission</t>
  </si>
  <si>
    <t>CRGL</t>
  </si>
  <si>
    <t>Cargill - Alliant</t>
  </si>
  <si>
    <t>CTM</t>
  </si>
  <si>
    <t>Non-ECR Auction Sales - OSS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</si>
  <si>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</si>
  <si>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</si>
  <si>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</si>
  <si>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</si>
  <si>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</si>
  <si>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</si>
  <si>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</si>
  <si>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</si>
  <si>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</si>
  <si>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</si>
  <si>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Various</t>
  </si>
  <si>
    <t>Gas Non-Dedicated Swaps</t>
  </si>
  <si>
    <t>Gas Non-Dedicated Swap - Accruals</t>
  </si>
  <si>
    <t>Gas Non-Ded Spark Gas Broker Commissions</t>
  </si>
  <si>
    <t>4470.144</t>
  </si>
  <si>
    <t>SIA Sharing Ratios</t>
  </si>
  <si>
    <t>PSO</t>
  </si>
  <si>
    <t>SWEPCO</t>
  </si>
  <si>
    <t>TCC</t>
  </si>
  <si>
    <t>TNC</t>
  </si>
  <si>
    <t xml:space="preserve">   East Direct Allocation</t>
  </si>
  <si>
    <t xml:space="preserve">   West Direct Allocation</t>
  </si>
  <si>
    <t xml:space="preserve">   Total</t>
  </si>
  <si>
    <t>PLR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</si>
  <si>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</si>
  <si>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</si>
  <si>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</si>
  <si>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</si>
  <si>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</si>
  <si>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</si>
  <si>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</si>
  <si>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</si>
  <si>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</si>
  <si>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</si>
  <si>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</si>
  <si>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I.  AEP EXTERNAL ENERGY (3)</t>
  </si>
  <si>
    <t>(ADJUSTED)</t>
  </si>
  <si>
    <t>(3)=(2)-(1)</t>
  </si>
  <si>
    <t>SOURCE</t>
  </si>
  <si>
    <t>(UNADJUSTED)</t>
  </si>
  <si>
    <t>East. AEP (Co. 122)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</si>
  <si>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</si>
  <si>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</si>
  <si>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</si>
  <si>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</si>
  <si>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</si>
  <si>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</si>
  <si>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</si>
  <si>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EXGN/CE/PECO</t>
  </si>
  <si>
    <t>TOTAL MEMBER PRIMARY CAPACITY</t>
  </si>
  <si>
    <t>KENTUCKY POWER COMPANY</t>
  </si>
  <si>
    <t>03/11</t>
  </si>
  <si>
    <t>AP &amp; OP loads were restated back to April 2010 to correct for the Culloden - Gavin meter error.</t>
  </si>
  <si>
    <t>Kanawha River</t>
  </si>
  <si>
    <t>Mountaineer</t>
  </si>
  <si>
    <t>Smith Mountain (Hydro)</t>
  </si>
  <si>
    <t>SEPA Capacity Agreement</t>
  </si>
  <si>
    <t>Other Conventional Hydros</t>
  </si>
  <si>
    <t>NOTES:</t>
  </si>
  <si>
    <t>AMOUNT</t>
  </si>
  <si>
    <t>*****</t>
  </si>
  <si>
    <t>NIPS</t>
  </si>
  <si>
    <t xml:space="preserve">     Expense) - makes sure the total = the sum of its parts.</t>
  </si>
  <si>
    <t>CE</t>
  </si>
  <si>
    <t>WABASH</t>
  </si>
  <si>
    <t>IMPA</t>
  </si>
  <si>
    <t>IN-STATE</t>
  </si>
  <si>
    <t>ALLOC. GEN.</t>
  </si>
  <si>
    <t>ALLOWANCES</t>
  </si>
  <si>
    <t>GENERATION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</si>
  <si>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</si>
  <si>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</si>
  <si>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</si>
  <si>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</si>
  <si>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</si>
  <si>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</si>
  <si>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</si>
  <si>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</si>
  <si>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</si>
  <si>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</si>
  <si>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</si>
  <si>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</si>
  <si>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</si>
  <si>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</si>
  <si>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</si>
  <si>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</si>
  <si>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</si>
  <si>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</si>
  <si>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</si>
  <si>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</si>
  <si>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</si>
  <si>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</si>
  <si>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</si>
  <si>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</si>
  <si>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</si>
  <si>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</si>
  <si>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</si>
  <si>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</si>
  <si>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</si>
  <si>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</si>
  <si>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</si>
  <si>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</si>
  <si>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</si>
  <si>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</si>
  <si>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</si>
  <si>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</si>
  <si>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Network Integration Transmission Service Charge</t>
  </si>
  <si>
    <t>Transmission Owner Scheduling, System…</t>
  </si>
  <si>
    <t>Power Factor Charges</t>
  </si>
  <si>
    <t>Other Supporting Facilities Charge</t>
  </si>
  <si>
    <t>02/11</t>
  </si>
  <si>
    <t>City of Lebanon</t>
  </si>
  <si>
    <t>Village of Croswell</t>
  </si>
  <si>
    <t>Village of Sebewaing</t>
  </si>
  <si>
    <t>BEMS</t>
  </si>
  <si>
    <t>Bethel</t>
  </si>
  <si>
    <t>Hammersville</t>
  </si>
  <si>
    <t>Town of Haggerstown</t>
  </si>
  <si>
    <t>Schedule 9 &amp; 10</t>
  </si>
  <si>
    <t>Schedule 9 MMU</t>
  </si>
  <si>
    <t>Richard Quaintance</t>
  </si>
  <si>
    <t>Effective November 2010 Actual Cycle the SIA Sharing calculations will be performed outside of the Interchange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</si>
  <si>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</si>
  <si>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</si>
  <si>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</si>
  <si>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</si>
  <si>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</si>
  <si>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</si>
  <si>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</si>
  <si>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</si>
  <si>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</si>
  <si>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</si>
  <si>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</si>
  <si>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</si>
  <si>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</si>
  <si>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</si>
  <si>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</si>
  <si>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</si>
  <si>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</si>
  <si>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</si>
  <si>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</si>
  <si>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</si>
  <si>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</si>
  <si>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Adj. for Transmission Enhancement Charge</t>
  </si>
  <si>
    <t>Adj. to Black Start Service Charges</t>
  </si>
  <si>
    <t>Other Supporting Facilities reclass (BCK)</t>
  </si>
  <si>
    <t>Load Management Test Failure (BCK)</t>
  </si>
  <si>
    <t>31</t>
  </si>
  <si>
    <t>21</t>
  </si>
  <si>
    <t>18</t>
  </si>
  <si>
    <t xml:space="preserve">  </t>
  </si>
  <si>
    <t>(1)  Power that did not enter into nor did it flow out of the AEP System, and is not included in the ECR/MLR report.</t>
  </si>
  <si>
    <t>EXERCISED</t>
  </si>
  <si>
    <t>EXERCISED OPTIONS</t>
  </si>
  <si>
    <t>OPERATING COMPANY PERCENTAGE</t>
  </si>
  <si>
    <t>Internal (MLR) MLR MONTHLY MAXIMUM</t>
  </si>
  <si>
    <t>Internal (MLR) MAXIMUM 60-MINUTE</t>
  </si>
  <si>
    <r>
      <t xml:space="preserve">  </t>
    </r>
    <r>
      <rPr>
        <b/>
        <sz val="10"/>
        <rFont val="Comic Sans MS"/>
        <family val="4"/>
      </rPr>
      <t>Indiana Total</t>
    </r>
  </si>
  <si>
    <t>+(2)/(8) +(3)/(7)</t>
  </si>
  <si>
    <t>BROKERS'</t>
  </si>
  <si>
    <t>COMMISSIONS</t>
  </si>
  <si>
    <t>PURCHASE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</si>
  <si>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</si>
  <si>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</si>
  <si>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</si>
  <si>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</si>
  <si>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</si>
  <si>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</si>
  <si>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</si>
  <si>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</si>
  <si>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</si>
  <si>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</si>
  <si>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</si>
  <si>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</si>
  <si>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</si>
  <si>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</si>
  <si>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</si>
  <si>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</si>
  <si>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</si>
  <si>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</si>
  <si>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</si>
  <si>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</si>
  <si>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</si>
  <si>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</si>
  <si>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</si>
  <si>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</si>
  <si>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</si>
  <si>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</si>
  <si>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</si>
  <si>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</si>
  <si>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</si>
  <si>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</si>
  <si>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</si>
  <si>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</si>
  <si>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</si>
  <si>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</si>
  <si>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</si>
  <si>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</si>
  <si>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</si>
  <si>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</si>
  <si>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</si>
  <si>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</si>
  <si>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</si>
  <si>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</si>
  <si>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</si>
  <si>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</si>
  <si>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</si>
  <si>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</si>
  <si>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</si>
  <si>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</si>
  <si>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</si>
  <si>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</si>
  <si>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</si>
  <si>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PJM NON-ECR PURCHASES - LSE</t>
  </si>
  <si>
    <t>*  SOURCE:  Line 17 of Schedule entitled "Steam-Electric Generating Plant Statistics (Large Plants)" in the FERC Form No. 1</t>
  </si>
  <si>
    <t>22</t>
  </si>
  <si>
    <t>Buckeye Pass-Through</t>
  </si>
  <si>
    <t>Buckeye</t>
  </si>
  <si>
    <t xml:space="preserve">     to column (1) numbers).</t>
  </si>
  <si>
    <t>Fowler Ridge Wind Farm I</t>
  </si>
  <si>
    <r>
      <t>SOURCE</t>
    </r>
    <r>
      <rPr>
        <sz val="10"/>
        <rFont val="Comic Sans MS"/>
        <family val="4"/>
      </rPr>
      <t>:  kW RATINGS ARE ESTABLISHED BY THE OPERATING COMMITTEE.</t>
    </r>
  </si>
  <si>
    <t>06</t>
  </si>
  <si>
    <t xml:space="preserve">East Share of </t>
  </si>
  <si>
    <t>Number</t>
  </si>
  <si>
    <t>ACCT. 4470.010</t>
  </si>
  <si>
    <t>ACCT. 4470.011</t>
  </si>
  <si>
    <t>Central Hudson Gas &amp; Electric Corp.</t>
  </si>
  <si>
    <t>Affiliated Sales Between East and West</t>
  </si>
  <si>
    <t>Reliant Energy Serv.</t>
  </si>
  <si>
    <t>RPL</t>
  </si>
  <si>
    <t>Richmond Power &amp; Light Co</t>
  </si>
  <si>
    <t>RVS</t>
  </si>
  <si>
    <t>Power Factor (BCK)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</si>
  <si>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</si>
  <si>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</si>
  <si>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</si>
  <si>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</si>
  <si>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OMG</t>
  </si>
  <si>
    <t>Fowler Ridge (APD &amp; IMD)</t>
  </si>
  <si>
    <t>Orion Camp Grove (OCG)</t>
  </si>
  <si>
    <t>MO/YR</t>
  </si>
  <si>
    <t xml:space="preserve">  Appalachian Total</t>
  </si>
  <si>
    <t>AEPAUB Emergency Load Response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</si>
  <si>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</si>
  <si>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</si>
  <si>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</si>
  <si>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</si>
  <si>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</si>
  <si>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</si>
  <si>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</si>
  <si>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</si>
  <si>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</si>
  <si>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</si>
  <si>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</si>
  <si>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</si>
  <si>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</si>
  <si>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</si>
  <si>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</si>
  <si>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</si>
  <si>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</si>
  <si>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</si>
  <si>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</si>
  <si>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</si>
  <si>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</si>
  <si>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</si>
  <si>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</si>
  <si>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</si>
  <si>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</si>
  <si>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</si>
  <si>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</si>
  <si>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</si>
  <si>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</si>
  <si>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</si>
  <si>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</si>
  <si>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</si>
  <si>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</si>
  <si>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</si>
  <si>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</si>
  <si>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</si>
  <si>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04/11</t>
  </si>
  <si>
    <t>Duke Energy Ohio</t>
  </si>
  <si>
    <t>DEOI2</t>
  </si>
  <si>
    <t>Capacity Resource Deficiency  Credit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</si>
  <si>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</si>
  <si>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</si>
  <si>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</si>
  <si>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</si>
  <si>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</si>
  <si>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Adj. to Balancing Operating Reserves Charges</t>
  </si>
  <si>
    <t>Reconciliation for Transmission Congestion Charges</t>
  </si>
  <si>
    <t>Reconciliation for Transmission Losses Charges</t>
  </si>
  <si>
    <t>BREC Power Supply</t>
  </si>
  <si>
    <t>Bryan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</si>
  <si>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</si>
  <si>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</si>
  <si>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</si>
  <si>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</si>
  <si>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</si>
  <si>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</si>
  <si>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</si>
  <si>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</si>
  <si>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</si>
  <si>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</si>
  <si>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</si>
  <si>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</si>
  <si>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</si>
  <si>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</si>
  <si>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</si>
  <si>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</si>
  <si>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CALCULATION OF RATES BASED UPON THIS MONTH’S WEIGHTED</t>
  </si>
  <si>
    <t xml:space="preserve">V  </t>
  </si>
  <si>
    <t>ENERGY COST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</si>
  <si>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</si>
  <si>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</si>
  <si>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</si>
  <si>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</si>
  <si>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</si>
  <si>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</si>
  <si>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</si>
  <si>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</si>
  <si>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</si>
  <si>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</si>
  <si>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</si>
  <si>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</si>
  <si>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</si>
  <si>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</si>
  <si>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</si>
  <si>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</si>
  <si>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</si>
  <si>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</si>
  <si>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>Adj. to Regulation Charges</t>
  </si>
  <si>
    <t>Day-ahead Scheduling Reserve Credit</t>
  </si>
  <si>
    <t>no</t>
  </si>
  <si>
    <t>-  Maintenance Expenses, Accounts 510-515</t>
  </si>
  <si>
    <t>Niagara Mohawk Energy Mktg</t>
  </si>
  <si>
    <t>NMNM</t>
  </si>
  <si>
    <t>Niagra Mohawk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</si>
  <si>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</si>
  <si>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</si>
  <si>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</si>
  <si>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</si>
  <si>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</si>
  <si>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</si>
  <si>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Act. 5570.007</t>
  </si>
  <si>
    <t>Load Management Test Failure</t>
  </si>
  <si>
    <t>Adj. for Synchronous Condensing Charge</t>
  </si>
  <si>
    <t>adj to North American Electric Reliability Corporation (NERC) Charge</t>
  </si>
  <si>
    <t>adj Reliability First Corporation (RFC) Charges</t>
  </si>
  <si>
    <t>adj SR Charge (Tier 1)</t>
  </si>
  <si>
    <t>-  Member Primary Energy Rates</t>
  </si>
  <si>
    <t>-  Member Primary Capacity Fixed Operating Rates</t>
  </si>
  <si>
    <t xml:space="preserve">IX 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</si>
  <si>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</si>
  <si>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</si>
  <si>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</si>
  <si>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</si>
  <si>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</si>
  <si>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</si>
  <si>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</si>
  <si>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</si>
  <si>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</si>
  <si>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>SR Credit (Tier 2)</t>
  </si>
  <si>
    <t>NOX</t>
  </si>
  <si>
    <t>SO2</t>
  </si>
  <si>
    <t>SO2 EMISSION</t>
  </si>
  <si>
    <t>SO2 COST ($)</t>
  </si>
  <si>
    <t>SO2 ADJUSTMENT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</si>
  <si>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</si>
  <si>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</si>
  <si>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</si>
  <si>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</si>
  <si>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</si>
  <si>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</si>
  <si>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</si>
  <si>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</si>
  <si>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</si>
  <si>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</si>
  <si>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</si>
  <si>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</si>
  <si>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</si>
  <si>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</si>
  <si>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 xml:space="preserve">  *  The sum of the Member's Primary Capacity Investment Rate (Appendix III) and the Member's Capacity Fixed</t>
  </si>
  <si>
    <t>Michigan Electric Coordinated System</t>
  </si>
  <si>
    <t>Rockport 1 Ownership Share</t>
  </si>
  <si>
    <t>In Actual Cycle</t>
  </si>
  <si>
    <t>Adjustment</t>
  </si>
  <si>
    <t>NSPP</t>
  </si>
  <si>
    <r>
      <t xml:space="preserve">TOTAL PJM-BUCKEYE NON-ECR FROM INVOICE </t>
    </r>
    <r>
      <rPr>
        <b/>
        <vertAlign val="superscript"/>
        <sz val="10"/>
        <rFont val="Comic Sans MS"/>
        <family val="4"/>
      </rPr>
      <t>(1)</t>
    </r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</si>
  <si>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</si>
  <si>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</si>
  <si>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</si>
  <si>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</si>
  <si>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</si>
  <si>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</si>
  <si>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</si>
  <si>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PJM NON-ECR - ACTUAL MWH</t>
  </si>
  <si>
    <t>Act. 5550.099</t>
  </si>
  <si>
    <t>Act. 4470.131</t>
  </si>
  <si>
    <t>Act. 4470.112</t>
  </si>
  <si>
    <t>Act. 4470.170</t>
  </si>
  <si>
    <t>Act. 5550.088</t>
  </si>
  <si>
    <t>Act. 5550.100</t>
  </si>
  <si>
    <t>Act. 5614.008</t>
  </si>
  <si>
    <t>Act. 4470.099</t>
  </si>
  <si>
    <t>Act. 4470.167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</si>
  <si>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</si>
  <si>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</si>
  <si>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</si>
  <si>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</si>
  <si>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</si>
  <si>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</si>
  <si>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</si>
  <si>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Shimman</t>
  </si>
  <si>
    <t>Supplemental Spreadsheet</t>
  </si>
  <si>
    <t>Woodruff</t>
  </si>
  <si>
    <t>Buckeye / PJM Entry</t>
  </si>
  <si>
    <t>PJM Entry</t>
  </si>
  <si>
    <t>Bookout Sales Related to Entergy Spreads</t>
  </si>
  <si>
    <t>$ COST</t>
  </si>
  <si>
    <t>$ REVENUE</t>
  </si>
  <si>
    <t>PJM NON-ECR - ACTUAL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</si>
  <si>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</si>
  <si>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</si>
  <si>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</si>
  <si>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</si>
  <si>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</si>
  <si>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</si>
  <si>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</si>
  <si>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</si>
  <si>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</si>
  <si>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</si>
  <si>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</si>
  <si>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                 expense, then aggregates such hourly data for the month to arrive at the totals reported above.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</si>
  <si>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</si>
  <si>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</si>
  <si>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</si>
  <si>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</si>
  <si>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</si>
  <si>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</si>
  <si>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</si>
  <si>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</si>
  <si>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</si>
  <si>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</si>
  <si>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</si>
  <si>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</si>
  <si>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</si>
  <si>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</si>
  <si>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</si>
  <si>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</si>
  <si>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Source -NOX Repricing</t>
  </si>
  <si>
    <t>Source-MLR Report</t>
  </si>
  <si>
    <t>Source - Cantor</t>
  </si>
  <si>
    <t>Recap Report</t>
  </si>
  <si>
    <t xml:space="preserve">Source -AMS Consumption </t>
  </si>
  <si>
    <t>Source -Plant Performance Report</t>
  </si>
  <si>
    <t xml:space="preserve">Source - PT </t>
  </si>
  <si>
    <t>Transmission Enhancement Charge (Auburn)</t>
  </si>
  <si>
    <t>07/11</t>
  </si>
  <si>
    <t>Firm /Non-Firm Pt to Pt Charges (Auburn)</t>
  </si>
  <si>
    <t xml:space="preserve">     the Off System spreadsheet.</t>
  </si>
  <si>
    <t xml:space="preserve">(1) The AEP System MLR Allocation of Pass-Trough Receipts for Transmission Service section is no longer included on APPVI PG2 as this activity is recorded from </t>
  </si>
  <si>
    <t>MAKE SURE THAT YOU USE ACTUAL TAB</t>
  </si>
  <si>
    <t>08/11</t>
  </si>
  <si>
    <t>07/21/11 HR 14</t>
  </si>
  <si>
    <t>07/21/11 HR 16</t>
  </si>
  <si>
    <t>Balancing Operating Reserve (LSE)</t>
  </si>
  <si>
    <t>Balancing Operating Reserve (OSS)</t>
  </si>
  <si>
    <t>Balancing Operating Reserve (LSE - KAMMER)</t>
  </si>
  <si>
    <t>Incremental Implicit Congestion  -LSE (Correction of Reversal of June 2011 Entry)</t>
  </si>
  <si>
    <t>Incremental Implicit Congestion  -OSS (Corrected July Correction of June 2011 Entry)</t>
  </si>
  <si>
    <t xml:space="preserve">AMOUNT </t>
  </si>
  <si>
    <t>(1) NOTE: Effective September 1, 2011 Sporn 5 has been removed from System Primary Capacity per the AEP East Operating                                         Committee. Refer to email from K. Pearce dated 9/28/2011</t>
  </si>
  <si>
    <t>09/11</t>
  </si>
  <si>
    <t>SO2 Consumption</t>
  </si>
  <si>
    <t>AEG</t>
  </si>
  <si>
    <t>Indiana Share</t>
  </si>
  <si>
    <t xml:space="preserve">(I - II + III) </t>
  </si>
  <si>
    <t>10/11</t>
  </si>
  <si>
    <t>CRES Capacity Charge (CSP &amp; OP)</t>
  </si>
  <si>
    <t>CRES Capacity Charge (BU 390)</t>
  </si>
  <si>
    <t>Synchronized Reserve ADJ (OSS MON, OCG &amp; PMP)</t>
  </si>
  <si>
    <t>PJM Annual Membership Fee (LSE AEPSCG)</t>
  </si>
  <si>
    <t>PJM Annual Membership Fee (OSS AEPSCG)</t>
  </si>
  <si>
    <t>Dresden Test Energy Reclasss</t>
  </si>
  <si>
    <t>Dresden Spot Market Energy</t>
  </si>
  <si>
    <t>Dresden Transmission Congestion</t>
  </si>
  <si>
    <t>Dresden Transmission Loss</t>
  </si>
  <si>
    <t>Metered Energy Correction (Banister) Dedicated APCO</t>
  </si>
  <si>
    <t>Metered Energy Correction (Banister) MLR</t>
  </si>
  <si>
    <t>ROCKPORT SPLITS</t>
  </si>
  <si>
    <t>11/11</t>
  </si>
  <si>
    <t>30</t>
  </si>
  <si>
    <t xml:space="preserve">APCO Peak load was restated for Sept 2011 to reflect corrections to Dominion metering at the Banister interconnection point.  </t>
  </si>
  <si>
    <t>Steve Molnar</t>
  </si>
  <si>
    <t>WCBECKJORD 6</t>
  </si>
  <si>
    <t>WCBJ6</t>
  </si>
  <si>
    <t>Dresden</t>
  </si>
  <si>
    <t>DRESDEN</t>
  </si>
  <si>
    <t>12/11</t>
  </si>
  <si>
    <t>02/11/11 HR 08</t>
  </si>
  <si>
    <t>02/11/11 HR 09</t>
  </si>
  <si>
    <t>Beginning with the January 2012 MLR Report, OPCo peak load for 2011 were restated to reflect the OP/SCP merger.</t>
  </si>
  <si>
    <t>WYANDOT</t>
  </si>
  <si>
    <t>The 2011 and Jan 2012 OP Peak loads have been restated to reflect Wyandot as a behind the meter load reducer effective with the OP/CSP merger.</t>
  </si>
  <si>
    <t>DRBLK</t>
  </si>
  <si>
    <t>YEAR 2011</t>
  </si>
  <si>
    <t>12/31/2011</t>
  </si>
  <si>
    <t>(2) NOTE: Effective January 31, 2012 Dresden achieved Commercial Operation and as a result APCO is credited with 2000 KW pro-rated primary capacity. APCO will receive the full credit of Dresden 577 MWs effective February 2012.</t>
  </si>
  <si>
    <t>February 2012</t>
  </si>
  <si>
    <t>MONTH ENDING 01/31/2012</t>
  </si>
  <si>
    <t xml:space="preserve">FEBRUARY REVISED 2012 </t>
  </si>
  <si>
    <t>01/12</t>
  </si>
  <si>
    <t>01/01/12 HR 01</t>
  </si>
  <si>
    <t xml:space="preserve">Pull Total Cardinal Gen from Gen Interval in PT </t>
  </si>
  <si>
    <t>CRES Capacity Charge</t>
  </si>
  <si>
    <t>CRES Capacity Charge (OP)</t>
  </si>
  <si>
    <t>CRES Capacity Charge (AEPEP)</t>
  </si>
  <si>
    <t>CRES Capacity Charge (Blue Star)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</si>
</sst>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  <numFmt numFmtId="210" formatCode="[$-409]dddd\,\ mmmm\ dd\,\ yyyy"/>
    <numFmt numFmtId="211" formatCode="m/d/yy;@"/>
    <numFmt numFmtId="212" formatCode="[$-409]h:mm:ss\ AM/PM"/>
    <numFmt numFmtId="213" formatCode="[$-409]mmm\-yy;@"/>
    <numFmt numFmtId="214" formatCode="[$-409]mmmm\-yy;@"/>
    <numFmt numFmtId="215" formatCode="dd\-mmm\-yy"/>
    <numFmt numFmtId="216" formatCode="&quot;$&quot;#,##0.00"/>
    <numFmt numFmtId="217" formatCode="0.0_);\(0.0\)"/>
  </numFmts>
  <fonts count="1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Comic Sans MS"/>
      <family val="4"/>
    </font>
    <font>
      <sz val="10"/>
      <name val="Courier"/>
      <family val="3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0"/>
      <color indexed="9"/>
      <name val="Book Antiqua"/>
      <family val="1"/>
    </font>
    <font>
      <u val="single"/>
      <sz val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2"/>
    </font>
    <font>
      <sz val="8"/>
      <name val="Book Antiqua"/>
      <family val="1"/>
    </font>
    <font>
      <sz val="10"/>
      <color indexed="12"/>
      <name val="Comic Sans MS"/>
      <family val="4"/>
    </font>
    <font>
      <sz val="8"/>
      <color indexed="10"/>
      <name val="Comic Sans MS"/>
      <family val="4"/>
    </font>
    <font>
      <b/>
      <sz val="10"/>
      <color indexed="56"/>
      <name val="Book Antiqua"/>
      <family val="1"/>
    </font>
    <font>
      <b/>
      <sz val="10"/>
      <color indexed="56"/>
      <name val="Comic Sans MS"/>
      <family val="4"/>
    </font>
    <font>
      <sz val="10"/>
      <color indexed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2"/>
      <name val="Book Antiqua"/>
      <family val="1"/>
    </font>
    <font>
      <sz val="8"/>
      <color indexed="12"/>
      <name val="Arial"/>
      <family val="2"/>
    </font>
    <font>
      <b/>
      <sz val="16"/>
      <name val="Arial"/>
      <family val="2"/>
    </font>
    <font>
      <sz val="10"/>
      <color indexed="56"/>
      <name val="Arial"/>
      <family val="2"/>
    </font>
    <font>
      <sz val="10"/>
      <color indexed="14"/>
      <name val="Book Antiqua"/>
      <family val="1"/>
    </font>
    <font>
      <sz val="8"/>
      <color indexed="8"/>
      <name val="Comic Sans MS"/>
      <family val="4"/>
    </font>
    <font>
      <b/>
      <u val="single"/>
      <sz val="12"/>
      <name val="Book Antiqua"/>
      <family val="1"/>
    </font>
    <font>
      <b/>
      <sz val="8"/>
      <color indexed="56"/>
      <name val="Comic Sans MS"/>
      <family val="4"/>
    </font>
    <font>
      <b/>
      <u val="single"/>
      <sz val="10"/>
      <color indexed="18"/>
      <name val="Book Antiqua"/>
      <family val="1"/>
    </font>
    <font>
      <b/>
      <sz val="10"/>
      <color indexed="18"/>
      <name val="Book Antiqua"/>
      <family val="1"/>
    </font>
    <font>
      <b/>
      <u val="single"/>
      <sz val="10"/>
      <color indexed="8"/>
      <name val="Book Antiqua"/>
      <family val="1"/>
    </font>
    <font>
      <sz val="10"/>
      <color indexed="22"/>
      <name val="Book Antiqua"/>
      <family val="1"/>
    </font>
    <font>
      <sz val="8"/>
      <color indexed="10"/>
      <name val="Arial Narrow"/>
      <family val="2"/>
    </font>
    <font>
      <b/>
      <sz val="10"/>
      <color indexed="62"/>
      <name val="Book Antiqua"/>
      <family val="1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8"/>
      <color indexed="10"/>
      <name val="Arial"/>
      <family val="2"/>
    </font>
    <font>
      <sz val="11"/>
      <color indexed="12"/>
      <name val="Book Antiqua"/>
      <family val="1"/>
    </font>
    <font>
      <sz val="10"/>
      <name val="Century Gothic"/>
      <family val="2"/>
    </font>
    <font>
      <sz val="10"/>
      <name val="Trebuchet MS"/>
      <family val="2"/>
    </font>
    <font>
      <b/>
      <sz val="10"/>
      <color indexed="8"/>
      <name val="Comic Sans MS"/>
      <family val="4"/>
    </font>
    <font>
      <sz val="10"/>
      <color indexed="12"/>
      <name val="Arial"/>
      <family val="2"/>
    </font>
    <font>
      <sz val="10"/>
      <color indexed="9"/>
      <name val="Comic Sans MS"/>
      <family val="4"/>
    </font>
    <font>
      <b/>
      <i/>
      <sz val="10"/>
      <name val="Comic Sans MS"/>
      <family val="4"/>
    </font>
    <font>
      <vertAlign val="superscript"/>
      <sz val="10"/>
      <color indexed="9"/>
      <name val="Comic Sans MS"/>
      <family val="4"/>
    </font>
    <font>
      <b/>
      <vertAlign val="superscript"/>
      <sz val="10"/>
      <name val="Comic Sans MS"/>
      <family val="4"/>
    </font>
    <font>
      <b/>
      <sz val="8"/>
      <color indexed="8"/>
      <name val="Comic Sans MS"/>
      <family val="4"/>
    </font>
    <font>
      <sz val="8"/>
      <color indexed="12"/>
      <name val="Comic Sans MS"/>
      <family val="4"/>
    </font>
    <font>
      <sz val="12"/>
      <color indexed="10"/>
      <name val="Book Antiqua"/>
      <family val="1"/>
    </font>
    <font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Book Antiqua"/>
      <family val="1"/>
    </font>
    <font>
      <sz val="10"/>
      <color rgb="FFFF0000"/>
      <name val="Comic Sans MS"/>
      <family val="4"/>
    </font>
    <font>
      <b/>
      <sz val="10"/>
      <color rgb="FFFF0000"/>
      <name val="Book Antiqu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0" applyNumberFormat="0" applyBorder="0" applyAlignment="0" applyProtection="0"/>
    <xf numFmtId="193" fontId="35" fillId="0" borderId="0" applyNumberFormat="0" applyFont="0" applyAlignment="0" applyProtection="0"/>
    <xf numFmtId="0" fontId="118" fillId="27" borderId="1" applyNumberFormat="0" applyAlignment="0" applyProtection="0"/>
    <xf numFmtId="0" fontId="11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5" fillId="30" borderId="1" applyNumberFormat="0" applyAlignment="0" applyProtection="0"/>
    <xf numFmtId="0" fontId="126" fillId="0" borderId="6" applyNumberFormat="0" applyFill="0" applyAlignment="0" applyProtection="0"/>
    <xf numFmtId="0" fontId="12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6" fillId="0" borderId="0">
      <alignment/>
      <protection/>
    </xf>
    <xf numFmtId="0" fontId="0" fillId="32" borderId="7" applyNumberFormat="0" applyFont="0" applyAlignment="0" applyProtection="0"/>
    <xf numFmtId="193" fontId="36" fillId="0" borderId="0" applyProtection="0">
      <alignment/>
    </xf>
    <xf numFmtId="0" fontId="12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9">
      <alignment horizontal="center"/>
      <protection/>
    </xf>
    <xf numFmtId="0" fontId="4" fillId="33" borderId="0" applyNumberFormat="0" applyFont="0" applyBorder="0" applyAlignment="0" applyProtection="0"/>
    <xf numFmtId="0" fontId="129" fillId="0" borderId="0" applyNumberFormat="0" applyFill="0" applyBorder="0" applyAlignment="0" applyProtection="0"/>
    <xf numFmtId="0" fontId="130" fillId="0" borderId="10" applyNumberFormat="0" applyFill="0" applyAlignment="0" applyProtection="0"/>
    <xf numFmtId="0" fontId="131" fillId="0" borderId="0" applyNumberFormat="0" applyFill="0" applyBorder="0" applyAlignment="0" applyProtection="0"/>
  </cellStyleXfs>
  <cellXfs count="1208">
    <xf numFmtId="0" fontId="0" fillId="0" borderId="0" xfId="0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37" fontId="8" fillId="0" borderId="11" xfId="0" applyNumberFormat="1" applyFont="1" applyFill="1" applyBorder="1" applyAlignment="1">
      <alignment/>
    </xf>
    <xf numFmtId="37" fontId="8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1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37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37" fontId="16" fillId="0" borderId="0" xfId="0" applyNumberFormat="1" applyFont="1" applyFill="1" applyAlignment="1">
      <alignment/>
    </xf>
    <xf numFmtId="37" fontId="16" fillId="0" borderId="11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11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11" fillId="0" borderId="0" xfId="0" applyNumberFormat="1" applyFont="1" applyAlignment="1">
      <alignment horizontal="center"/>
    </xf>
    <xf numFmtId="37" fontId="11" fillId="0" borderId="11" xfId="0" applyNumberFormat="1" applyFont="1" applyBorder="1" applyAlignment="1">
      <alignment horizontal="center"/>
    </xf>
    <xf numFmtId="166" fontId="8" fillId="0" borderId="11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167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/>
    </xf>
    <xf numFmtId="167" fontId="16" fillId="0" borderId="11" xfId="0" applyNumberFormat="1" applyFont="1" applyBorder="1" applyAlignment="1">
      <alignment horizontal="center"/>
    </xf>
    <xf numFmtId="171" fontId="16" fillId="0" borderId="11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37" fontId="16" fillId="0" borderId="0" xfId="0" applyNumberFormat="1" applyFont="1" applyBorder="1" applyAlignment="1">
      <alignment/>
    </xf>
    <xf numFmtId="37" fontId="16" fillId="0" borderId="0" xfId="0" applyNumberFormat="1" applyFont="1" applyAlignment="1" quotePrefix="1">
      <alignment/>
    </xf>
    <xf numFmtId="37" fontId="17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8" fillId="0" borderId="11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67" fontId="1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67" fontId="16" fillId="0" borderId="11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14" fontId="10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6" fillId="34" borderId="0" xfId="0" applyFont="1" applyFill="1" applyAlignment="1">
      <alignment/>
    </xf>
    <xf numFmtId="37" fontId="16" fillId="34" borderId="0" xfId="0" applyNumberFormat="1" applyFont="1" applyFill="1" applyAlignment="1">
      <alignment/>
    </xf>
    <xf numFmtId="167" fontId="16" fillId="34" borderId="0" xfId="0" applyNumberFormat="1" applyFont="1" applyFill="1" applyAlignment="1">
      <alignment horizontal="center"/>
    </xf>
    <xf numFmtId="0" fontId="16" fillId="34" borderId="0" xfId="0" applyFont="1" applyFill="1" applyAlignment="1" quotePrefix="1">
      <alignment/>
    </xf>
    <xf numFmtId="171" fontId="16" fillId="34" borderId="0" xfId="0" applyNumberFormat="1" applyFont="1" applyFill="1" applyAlignment="1">
      <alignment/>
    </xf>
    <xf numFmtId="37" fontId="16" fillId="34" borderId="11" xfId="0" applyNumberFormat="1" applyFont="1" applyFill="1" applyBorder="1" applyAlignment="1">
      <alignment/>
    </xf>
    <xf numFmtId="167" fontId="16" fillId="34" borderId="11" xfId="0" applyNumberFormat="1" applyFont="1" applyFill="1" applyBorder="1" applyAlignment="1">
      <alignment horizontal="center"/>
    </xf>
    <xf numFmtId="171" fontId="16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" fontId="14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12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9" xfId="0" applyFont="1" applyBorder="1" applyAlignment="1">
      <alignment/>
    </xf>
    <xf numFmtId="0" fontId="17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/>
    </xf>
    <xf numFmtId="171" fontId="16" fillId="0" borderId="0" xfId="0" applyNumberFormat="1" applyFont="1" applyFill="1" applyAlignment="1">
      <alignment/>
    </xf>
    <xf numFmtId="0" fontId="8" fillId="0" borderId="0" xfId="59">
      <alignment/>
      <protection/>
    </xf>
    <xf numFmtId="0" fontId="16" fillId="0" borderId="0" xfId="59" applyFont="1">
      <alignment/>
      <protection/>
    </xf>
    <xf numFmtId="17" fontId="17" fillId="0" borderId="0" xfId="59" applyNumberFormat="1" applyFont="1" applyAlignment="1">
      <alignment horizontal="left"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/>
      <protection/>
    </xf>
    <xf numFmtId="37" fontId="16" fillId="0" borderId="0" xfId="59" applyNumberFormat="1" applyFont="1">
      <alignment/>
      <protection/>
    </xf>
    <xf numFmtId="37" fontId="16" fillId="0" borderId="0" xfId="59" applyNumberFormat="1" applyFont="1" applyBorder="1">
      <alignment/>
      <protection/>
    </xf>
    <xf numFmtId="0" fontId="17" fillId="0" borderId="0" xfId="59" applyFont="1" applyAlignment="1">
      <alignment horizontal="left"/>
      <protection/>
    </xf>
    <xf numFmtId="37" fontId="17" fillId="0" borderId="0" xfId="59" applyNumberFormat="1" applyFont="1">
      <alignment/>
      <protection/>
    </xf>
    <xf numFmtId="17" fontId="17" fillId="0" borderId="0" xfId="59" applyNumberFormat="1" applyFont="1">
      <alignment/>
      <protection/>
    </xf>
    <xf numFmtId="37" fontId="16" fillId="0" borderId="0" xfId="59" applyNumberFormat="1" applyFont="1" applyAlignment="1">
      <alignment horizontal="center"/>
      <protection/>
    </xf>
    <xf numFmtId="37" fontId="16" fillId="0" borderId="0" xfId="59" applyNumberFormat="1" applyFont="1" applyBorder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26" fillId="0" borderId="13" xfId="59" applyFont="1" applyBorder="1">
      <alignment/>
      <protection/>
    </xf>
    <xf numFmtId="0" fontId="27" fillId="0" borderId="14" xfId="59" applyFont="1" applyBorder="1">
      <alignment/>
      <protection/>
    </xf>
    <xf numFmtId="0" fontId="27" fillId="0" borderId="14" xfId="59" applyFont="1" applyBorder="1" applyAlignment="1">
      <alignment horizontal="center"/>
      <protection/>
    </xf>
    <xf numFmtId="0" fontId="27" fillId="0" borderId="15" xfId="59" applyFont="1" applyFill="1" applyBorder="1">
      <alignment/>
      <protection/>
    </xf>
    <xf numFmtId="0" fontId="17" fillId="0" borderId="0" xfId="59" applyFont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7" fillId="0" borderId="11" xfId="59" applyFont="1" applyBorder="1" applyAlignment="1">
      <alignment horizontal="center"/>
      <protection/>
    </xf>
    <xf numFmtId="175" fontId="28" fillId="0" borderId="16" xfId="64" applyNumberFormat="1" applyFont="1" applyBorder="1" applyAlignment="1">
      <alignment/>
    </xf>
    <xf numFmtId="10" fontId="28" fillId="0" borderId="17" xfId="59" applyNumberFormat="1" applyFont="1" applyFill="1" applyBorder="1" applyAlignment="1">
      <alignment horizontal="center"/>
      <protection/>
    </xf>
    <xf numFmtId="0" fontId="18" fillId="0" borderId="0" xfId="59" applyFont="1" applyFill="1" applyAlignment="1">
      <alignment horizontal="center"/>
      <protection/>
    </xf>
    <xf numFmtId="0" fontId="18" fillId="0" borderId="11" xfId="59" applyFont="1" applyBorder="1" applyAlignment="1">
      <alignment horizontal="center"/>
      <protection/>
    </xf>
    <xf numFmtId="173" fontId="16" fillId="0" borderId="11" xfId="43" applyNumberFormat="1" applyFont="1" applyBorder="1" applyAlignment="1">
      <alignment horizontal="center"/>
    </xf>
    <xf numFmtId="0" fontId="29" fillId="0" borderId="18" xfId="59" applyFont="1" applyBorder="1">
      <alignment/>
      <protection/>
    </xf>
    <xf numFmtId="0" fontId="30" fillId="0" borderId="0" xfId="59" applyFont="1" applyBorder="1">
      <alignment/>
      <protection/>
    </xf>
    <xf numFmtId="0" fontId="29" fillId="0" borderId="0" xfId="59" applyFont="1" applyBorder="1">
      <alignment/>
      <protection/>
    </xf>
    <xf numFmtId="0" fontId="16" fillId="0" borderId="0" xfId="59" applyFont="1" applyBorder="1">
      <alignment/>
      <protection/>
    </xf>
    <xf numFmtId="0" fontId="29" fillId="0" borderId="0" xfId="59" applyFont="1" applyBorder="1" quotePrefix="1">
      <alignment/>
      <protection/>
    </xf>
    <xf numFmtId="37" fontId="29" fillId="0" borderId="19" xfId="59" applyNumberFormat="1" applyFont="1" applyBorder="1">
      <alignment/>
      <protection/>
    </xf>
    <xf numFmtId="37" fontId="16" fillId="0" borderId="18" xfId="59" applyNumberFormat="1" applyFont="1" applyBorder="1">
      <alignment/>
      <protection/>
    </xf>
    <xf numFmtId="37" fontId="16" fillId="0" borderId="19" xfId="59" applyNumberFormat="1" applyFont="1" applyBorder="1">
      <alignment/>
      <protection/>
    </xf>
    <xf numFmtId="173" fontId="16" fillId="0" borderId="18" xfId="43" applyNumberFormat="1" applyFont="1" applyBorder="1" applyAlignment="1">
      <alignment/>
    </xf>
    <xf numFmtId="173" fontId="16" fillId="0" borderId="0" xfId="43" applyNumberFormat="1" applyFont="1" applyBorder="1" applyAlignment="1">
      <alignment/>
    </xf>
    <xf numFmtId="173" fontId="16" fillId="0" borderId="19" xfId="59" applyNumberFormat="1" applyFont="1" applyBorder="1">
      <alignment/>
      <protection/>
    </xf>
    <xf numFmtId="0" fontId="16" fillId="0" borderId="18" xfId="59" applyFont="1" applyBorder="1">
      <alignment/>
      <protection/>
    </xf>
    <xf numFmtId="0" fontId="16" fillId="0" borderId="19" xfId="59" applyFont="1" applyBorder="1">
      <alignment/>
      <protection/>
    </xf>
    <xf numFmtId="0" fontId="17" fillId="0" borderId="0" xfId="59" applyFont="1" applyAlignment="1">
      <alignment horizontal="right"/>
      <protection/>
    </xf>
    <xf numFmtId="43" fontId="16" fillId="0" borderId="0" xfId="43" applyFont="1" applyAlignment="1">
      <alignment/>
    </xf>
    <xf numFmtId="0" fontId="25" fillId="0" borderId="9" xfId="66" applyAlignment="1">
      <alignment horizontal="center" wrapText="1"/>
      <protection/>
    </xf>
    <xf numFmtId="0" fontId="8" fillId="0" borderId="0" xfId="65" applyFont="1" applyAlignment="1">
      <alignment/>
    </xf>
    <xf numFmtId="0" fontId="8" fillId="33" borderId="0" xfId="67" applyFont="1" applyAlignment="1">
      <alignment/>
    </xf>
    <xf numFmtId="37" fontId="17" fillId="0" borderId="0" xfId="59" applyNumberFormat="1" applyFont="1" applyAlignment="1">
      <alignment horizontal="right"/>
      <protection/>
    </xf>
    <xf numFmtId="170" fontId="16" fillId="0" borderId="18" xfId="59" applyNumberFormat="1" applyFont="1" applyBorder="1">
      <alignment/>
      <protection/>
    </xf>
    <xf numFmtId="170" fontId="16" fillId="0" borderId="20" xfId="59" applyNumberFormat="1" applyFont="1" applyBorder="1">
      <alignment/>
      <protection/>
    </xf>
    <xf numFmtId="170" fontId="16" fillId="0" borderId="21" xfId="59" applyNumberFormat="1" applyFont="1" applyBorder="1">
      <alignment/>
      <protection/>
    </xf>
    <xf numFmtId="170" fontId="16" fillId="0" borderId="22" xfId="59" applyNumberFormat="1" applyFont="1" applyBorder="1">
      <alignment/>
      <protection/>
    </xf>
    <xf numFmtId="170" fontId="16" fillId="0" borderId="23" xfId="59" applyNumberFormat="1" applyFont="1" applyBorder="1">
      <alignment/>
      <protection/>
    </xf>
    <xf numFmtId="170" fontId="16" fillId="0" borderId="24" xfId="59" applyNumberFormat="1" applyFont="1" applyBorder="1">
      <alignment/>
      <protection/>
    </xf>
    <xf numFmtId="37" fontId="16" fillId="0" borderId="19" xfId="59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0" xfId="0" applyNumberFormat="1" applyAlignment="1">
      <alignment/>
    </xf>
    <xf numFmtId="5" fontId="2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11" xfId="0" applyNumberFormat="1" applyFont="1" applyBorder="1" applyAlignment="1">
      <alignment/>
    </xf>
    <xf numFmtId="5" fontId="0" fillId="0" borderId="11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5" fontId="11" fillId="0" borderId="11" xfId="0" applyNumberFormat="1" applyFont="1" applyBorder="1" applyAlignment="1">
      <alignment/>
    </xf>
    <xf numFmtId="5" fontId="8" fillId="0" borderId="1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37" fontId="11" fillId="0" borderId="0" xfId="0" applyNumberFormat="1" applyFont="1" applyBorder="1" applyAlignment="1" quotePrefix="1">
      <alignment horizontal="center"/>
    </xf>
    <xf numFmtId="0" fontId="29" fillId="0" borderId="18" xfId="59" applyFont="1" applyFill="1" applyBorder="1">
      <alignment/>
      <protection/>
    </xf>
    <xf numFmtId="0" fontId="16" fillId="0" borderId="25" xfId="59" applyFont="1" applyBorder="1">
      <alignment/>
      <protection/>
    </xf>
    <xf numFmtId="37" fontId="29" fillId="0" borderId="0" xfId="59" applyNumberFormat="1" applyFont="1" applyBorder="1">
      <alignment/>
      <protection/>
    </xf>
    <xf numFmtId="37" fontId="16" fillId="0" borderId="0" xfId="59" applyNumberFormat="1" applyFont="1" applyFill="1" applyBorder="1">
      <alignment/>
      <protection/>
    </xf>
    <xf numFmtId="0" fontId="16" fillId="0" borderId="26" xfId="59" applyFont="1" applyBorder="1">
      <alignment/>
      <protection/>
    </xf>
    <xf numFmtId="0" fontId="12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27" xfId="59" applyFont="1" applyBorder="1">
      <alignment/>
      <protection/>
    </xf>
    <xf numFmtId="0" fontId="14" fillId="0" borderId="0" xfId="0" applyFont="1" applyFill="1" applyBorder="1" applyAlignment="1">
      <alignment/>
    </xf>
    <xf numFmtId="0" fontId="29" fillId="0" borderId="0" xfId="59" applyFont="1" applyFill="1" applyBorder="1" quotePrefix="1">
      <alignment/>
      <protection/>
    </xf>
    <xf numFmtId="0" fontId="29" fillId="0" borderId="0" xfId="59" applyFont="1" applyFill="1" applyBorder="1">
      <alignment/>
      <protection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173" fontId="8" fillId="0" borderId="0" xfId="43" applyNumberFormat="1" applyFont="1" applyBorder="1" applyAlignment="1">
      <alignment/>
    </xf>
    <xf numFmtId="173" fontId="8" fillId="0" borderId="0" xfId="43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190" fontId="29" fillId="0" borderId="0" xfId="59" applyNumberFormat="1" applyFont="1" applyBorder="1" quotePrefix="1">
      <alignment/>
      <protection/>
    </xf>
    <xf numFmtId="0" fontId="11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43" applyFont="1" applyAlignment="1">
      <alignment/>
    </xf>
    <xf numFmtId="43" fontId="8" fillId="0" borderId="0" xfId="43" applyFont="1" applyBorder="1" applyAlignment="1">
      <alignment/>
    </xf>
    <xf numFmtId="0" fontId="11" fillId="0" borderId="11" xfId="0" applyFont="1" applyBorder="1" applyAlignment="1">
      <alignment horizontal="center" wrapText="1"/>
    </xf>
    <xf numFmtId="43" fontId="11" fillId="0" borderId="11" xfId="43" applyFont="1" applyBorder="1" applyAlignment="1">
      <alignment horizontal="center"/>
    </xf>
    <xf numFmtId="43" fontId="11" fillId="0" borderId="0" xfId="43" applyFont="1" applyBorder="1" applyAlignment="1">
      <alignment horizontal="center"/>
    </xf>
    <xf numFmtId="43" fontId="11" fillId="0" borderId="11" xfId="43" applyFont="1" applyBorder="1" applyAlignment="1">
      <alignment horizontal="center" wrapText="1"/>
    </xf>
    <xf numFmtId="0" fontId="11" fillId="0" borderId="0" xfId="0" applyFont="1" applyBorder="1" applyAlignment="1">
      <alignment/>
    </xf>
    <xf numFmtId="173" fontId="8" fillId="0" borderId="0" xfId="43" applyNumberFormat="1" applyFont="1" applyAlignment="1">
      <alignment/>
    </xf>
    <xf numFmtId="173" fontId="8" fillId="0" borderId="11" xfId="43" applyNumberFormat="1" applyFont="1" applyBorder="1" applyAlignment="1">
      <alignment/>
    </xf>
    <xf numFmtId="173" fontId="8" fillId="0" borderId="12" xfId="43" applyNumberFormat="1" applyFont="1" applyBorder="1" applyAlignment="1">
      <alignment/>
    </xf>
    <xf numFmtId="173" fontId="8" fillId="0" borderId="0" xfId="43" applyNumberFormat="1" applyFont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173" fontId="8" fillId="0" borderId="0" xfId="43" applyNumberFormat="1" applyFont="1" applyFill="1" applyAlignment="1">
      <alignment/>
    </xf>
    <xf numFmtId="173" fontId="8" fillId="0" borderId="11" xfId="43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3" fillId="0" borderId="28" xfId="0" applyNumberFormat="1" applyFont="1" applyBorder="1" applyAlignment="1">
      <alignment/>
    </xf>
    <xf numFmtId="39" fontId="23" fillId="0" borderId="29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3" fillId="0" borderId="19" xfId="0" applyNumberFormat="1" applyFont="1" applyBorder="1" applyAlignment="1">
      <alignment/>
    </xf>
    <xf numFmtId="39" fontId="23" fillId="0" borderId="11" xfId="0" applyNumberFormat="1" applyFont="1" applyBorder="1" applyAlignment="1">
      <alignment/>
    </xf>
    <xf numFmtId="39" fontId="23" fillId="0" borderId="30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43" fontId="8" fillId="0" borderId="0" xfId="43" applyFont="1" applyFill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8" fillId="0" borderId="11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8" fillId="0" borderId="0" xfId="43" applyNumberFormat="1" applyFont="1" applyFill="1" applyBorder="1" applyAlignment="1">
      <alignment horizontal="center"/>
    </xf>
    <xf numFmtId="173" fontId="11" fillId="0" borderId="11" xfId="43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4" fontId="8" fillId="0" borderId="0" xfId="45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9" fillId="0" borderId="0" xfId="59" applyFont="1" applyBorder="1" applyAlignment="1" quotePrefix="1">
      <alignment horizontal="center"/>
      <protection/>
    </xf>
    <xf numFmtId="0" fontId="29" fillId="0" borderId="0" xfId="59" applyFont="1" applyBorder="1" applyAlignment="1">
      <alignment horizontal="center"/>
      <protection/>
    </xf>
    <xf numFmtId="190" fontId="29" fillId="0" borderId="0" xfId="59" applyNumberFormat="1" applyFont="1" applyBorder="1" applyAlignment="1" quotePrefix="1">
      <alignment horizontal="center"/>
      <protection/>
    </xf>
    <xf numFmtId="37" fontId="1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1" fillId="0" borderId="0" xfId="43" applyNumberFormat="1" applyFont="1" applyBorder="1" applyAlignment="1">
      <alignment horizontal="center"/>
    </xf>
    <xf numFmtId="43" fontId="8" fillId="0" borderId="0" xfId="43" applyFont="1" applyFill="1" applyAlignment="1">
      <alignment/>
    </xf>
    <xf numFmtId="43" fontId="16" fillId="0" borderId="0" xfId="43" applyFont="1" applyBorder="1" applyAlignment="1">
      <alignment/>
    </xf>
    <xf numFmtId="44" fontId="8" fillId="0" borderId="0" xfId="45" applyFont="1" applyFill="1" applyBorder="1" applyAlignment="1">
      <alignment/>
    </xf>
    <xf numFmtId="37" fontId="8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/>
    </xf>
    <xf numFmtId="5" fontId="1" fillId="0" borderId="0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198" fontId="0" fillId="0" borderId="9" xfId="45" applyNumberFormat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3" fillId="0" borderId="21" xfId="0" applyNumberFormat="1" applyFont="1" applyBorder="1" applyAlignment="1">
      <alignment/>
    </xf>
    <xf numFmtId="39" fontId="23" fillId="0" borderId="18" xfId="0" applyNumberFormat="1" applyFont="1" applyBorder="1" applyAlignment="1">
      <alignment/>
    </xf>
    <xf numFmtId="39" fontId="23" fillId="0" borderId="23" xfId="0" applyNumberFormat="1" applyFont="1" applyBorder="1" applyAlignment="1">
      <alignment/>
    </xf>
    <xf numFmtId="0" fontId="23" fillId="0" borderId="11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5" fontId="8" fillId="0" borderId="11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175" fontId="1" fillId="35" borderId="0" xfId="0" applyNumberFormat="1" applyFont="1" applyFill="1" applyBorder="1" applyAlignment="1">
      <alignment horizontal="center"/>
    </xf>
    <xf numFmtId="175" fontId="1" fillId="35" borderId="35" xfId="0" applyNumberFormat="1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7" fontId="21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37" fontId="8" fillId="0" borderId="28" xfId="0" applyNumberFormat="1" applyFont="1" applyBorder="1" applyAlignment="1">
      <alignment/>
    </xf>
    <xf numFmtId="173" fontId="0" fillId="0" borderId="0" xfId="43" applyNumberFormat="1" applyAlignment="1">
      <alignment/>
    </xf>
    <xf numFmtId="173" fontId="0" fillId="0" borderId="28" xfId="43" applyNumberFormat="1" applyBorder="1" applyAlignment="1">
      <alignment/>
    </xf>
    <xf numFmtId="199" fontId="0" fillId="0" borderId="0" xfId="43" applyNumberFormat="1" applyAlignment="1">
      <alignment/>
    </xf>
    <xf numFmtId="8" fontId="11" fillId="0" borderId="0" xfId="43" applyNumberFormat="1" applyFont="1" applyFill="1" applyBorder="1" applyAlignment="1">
      <alignment horizontal="center"/>
    </xf>
    <xf numFmtId="0" fontId="16" fillId="0" borderId="0" xfId="59" applyFont="1" applyFill="1">
      <alignment/>
      <protection/>
    </xf>
    <xf numFmtId="5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0" fontId="17" fillId="0" borderId="0" xfId="59" applyFont="1" applyFill="1">
      <alignment/>
      <protection/>
    </xf>
    <xf numFmtId="43" fontId="16" fillId="0" borderId="0" xfId="43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0" fontId="29" fillId="0" borderId="0" xfId="59" applyFont="1" applyFill="1" applyBorder="1" applyAlignment="1" quotePrefix="1">
      <alignment horizontal="center"/>
      <protection/>
    </xf>
    <xf numFmtId="37" fontId="16" fillId="0" borderId="18" xfId="59" applyNumberFormat="1" applyFont="1" applyFill="1" applyBorder="1">
      <alignment/>
      <protection/>
    </xf>
    <xf numFmtId="173" fontId="16" fillId="0" borderId="18" xfId="43" applyNumberFormat="1" applyFont="1" applyFill="1" applyBorder="1" applyAlignment="1">
      <alignment/>
    </xf>
    <xf numFmtId="173" fontId="16" fillId="0" borderId="0" xfId="43" applyNumberFormat="1" applyFont="1" applyFill="1" applyBorder="1" applyAlignment="1">
      <alignment/>
    </xf>
    <xf numFmtId="173" fontId="16" fillId="0" borderId="19" xfId="59" applyNumberFormat="1" applyFont="1" applyFill="1" applyBorder="1">
      <alignment/>
      <protection/>
    </xf>
    <xf numFmtId="190" fontId="29" fillId="0" borderId="0" xfId="59" applyNumberFormat="1" applyFont="1" applyFill="1" applyBorder="1" applyAlignment="1" quotePrefix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11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1" fillId="0" borderId="0" xfId="0" applyFont="1" applyAlignment="1">
      <alignment horizontal="left" indent="1"/>
    </xf>
    <xf numFmtId="5" fontId="1" fillId="0" borderId="0" xfId="0" applyNumberFormat="1" applyFont="1" applyBorder="1" applyAlignment="1">
      <alignment/>
    </xf>
    <xf numFmtId="8" fontId="8" fillId="0" borderId="0" xfId="45" applyNumberFormat="1" applyFont="1" applyFill="1" applyBorder="1" applyAlignment="1">
      <alignment/>
    </xf>
    <xf numFmtId="7" fontId="3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2" fillId="0" borderId="0" xfId="0" applyNumberFormat="1" applyFont="1" applyAlignment="1">
      <alignment horizontal="center"/>
    </xf>
    <xf numFmtId="0" fontId="1" fillId="35" borderId="33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1" fillId="36" borderId="0" xfId="0" applyFont="1" applyFill="1" applyAlignment="1">
      <alignment/>
    </xf>
    <xf numFmtId="15" fontId="2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38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38" fillId="36" borderId="0" xfId="0" applyFont="1" applyFill="1" applyAlignment="1">
      <alignment horizontal="justify"/>
    </xf>
    <xf numFmtId="0" fontId="43" fillId="36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9" fillId="36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17" fontId="7" fillId="36" borderId="0" xfId="0" applyNumberFormat="1" applyFont="1" applyFill="1" applyAlignment="1">
      <alignment horizontal="center"/>
    </xf>
    <xf numFmtId="0" fontId="20" fillId="36" borderId="0" xfId="0" applyFont="1" applyFill="1" applyAlignment="1">
      <alignment/>
    </xf>
    <xf numFmtId="0" fontId="42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9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0" fontId="15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6" fillId="0" borderId="28" xfId="0" applyNumberFormat="1" applyFont="1" applyFill="1" applyBorder="1" applyAlignment="1">
      <alignment/>
    </xf>
    <xf numFmtId="14" fontId="43" fillId="36" borderId="0" xfId="0" applyNumberFormat="1" applyFont="1" applyFill="1" applyAlignment="1">
      <alignment horizontal="left" vertical="top" wrapText="1"/>
    </xf>
    <xf numFmtId="0" fontId="40" fillId="36" borderId="0" xfId="0" applyFont="1" applyFill="1" applyAlignment="1">
      <alignment/>
    </xf>
    <xf numFmtId="14" fontId="38" fillId="36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0" fontId="43" fillId="35" borderId="0" xfId="0" applyFont="1" applyFill="1" applyAlignment="1">
      <alignment vertical="top" wrapText="1"/>
    </xf>
    <xf numFmtId="0" fontId="11" fillId="0" borderId="0" xfId="0" applyFont="1" applyBorder="1" applyAlignment="1" quotePrefix="1">
      <alignment/>
    </xf>
    <xf numFmtId="0" fontId="11" fillId="0" borderId="31" xfId="0" applyFont="1" applyFill="1" applyBorder="1" applyAlignment="1">
      <alignment horizontal="center"/>
    </xf>
    <xf numFmtId="37" fontId="8" fillId="0" borderId="31" xfId="0" applyNumberFormat="1" applyFont="1" applyFill="1" applyBorder="1" applyAlignment="1">
      <alignment/>
    </xf>
    <xf numFmtId="37" fontId="8" fillId="0" borderId="36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37" fontId="29" fillId="0" borderId="0" xfId="59" applyNumberFormat="1" applyFont="1" applyFill="1" applyBorder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1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198" fontId="21" fillId="0" borderId="12" xfId="0" applyNumberFormat="1" applyFont="1" applyBorder="1" applyAlignment="1">
      <alignment horizontal="center"/>
    </xf>
    <xf numFmtId="44" fontId="1" fillId="0" borderId="0" xfId="45" applyFont="1" applyAlignment="1">
      <alignment horizontal="center"/>
    </xf>
    <xf numFmtId="198" fontId="1" fillId="0" borderId="0" xfId="45" applyNumberFormat="1" applyFont="1" applyAlignment="1">
      <alignment horizontal="center"/>
    </xf>
    <xf numFmtId="2" fontId="17" fillId="0" borderId="0" xfId="59" applyNumberFormat="1" applyFont="1" applyFill="1" applyAlignment="1">
      <alignment horizontal="left"/>
      <protection/>
    </xf>
    <xf numFmtId="0" fontId="1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35" borderId="37" xfId="0" applyFont="1" applyFill="1" applyBorder="1" applyAlignment="1">
      <alignment/>
    </xf>
    <xf numFmtId="0" fontId="45" fillId="35" borderId="25" xfId="0" applyFont="1" applyFill="1" applyBorder="1" applyAlignment="1">
      <alignment/>
    </xf>
    <xf numFmtId="0" fontId="44" fillId="35" borderId="22" xfId="0" applyFont="1" applyFill="1" applyBorder="1" applyAlignment="1">
      <alignment/>
    </xf>
    <xf numFmtId="0" fontId="44" fillId="35" borderId="20" xfId="0" applyFont="1" applyFill="1" applyBorder="1" applyAlignment="1">
      <alignment/>
    </xf>
    <xf numFmtId="0" fontId="44" fillId="35" borderId="24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44" fillId="35" borderId="27" xfId="0" applyFont="1" applyFill="1" applyBorder="1" applyAlignment="1">
      <alignment/>
    </xf>
    <xf numFmtId="0" fontId="45" fillId="35" borderId="21" xfId="0" applyFont="1" applyFill="1" applyBorder="1" applyAlignment="1">
      <alignment/>
    </xf>
    <xf numFmtId="0" fontId="44" fillId="35" borderId="37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/>
    </xf>
    <xf numFmtId="0" fontId="44" fillId="35" borderId="18" xfId="0" applyFont="1" applyFill="1" applyBorder="1" applyAlignment="1">
      <alignment/>
    </xf>
    <xf numFmtId="0" fontId="44" fillId="35" borderId="23" xfId="0" applyFont="1" applyFill="1" applyBorder="1" applyAlignment="1">
      <alignment/>
    </xf>
    <xf numFmtId="0" fontId="48" fillId="35" borderId="37" xfId="0" applyFont="1" applyFill="1" applyBorder="1" applyAlignment="1">
      <alignment horizontal="center"/>
    </xf>
    <xf numFmtId="0" fontId="44" fillId="35" borderId="28" xfId="0" applyFont="1" applyFill="1" applyBorder="1" applyAlignment="1">
      <alignment/>
    </xf>
    <xf numFmtId="0" fontId="49" fillId="35" borderId="37" xfId="0" applyFont="1" applyFill="1" applyBorder="1" applyAlignment="1">
      <alignment horizontal="center"/>
    </xf>
    <xf numFmtId="0" fontId="50" fillId="35" borderId="0" xfId="0" applyFont="1" applyFill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49" fillId="35" borderId="27" xfId="0" applyFont="1" applyFill="1" applyBorder="1" applyAlignment="1">
      <alignment horizontal="center"/>
    </xf>
    <xf numFmtId="0" fontId="44" fillId="35" borderId="26" xfId="0" applyFont="1" applyFill="1" applyBorder="1" applyAlignment="1">
      <alignment/>
    </xf>
    <xf numFmtId="0" fontId="48" fillId="35" borderId="24" xfId="0" applyFont="1" applyFill="1" applyBorder="1" applyAlignment="1">
      <alignment horizontal="center"/>
    </xf>
    <xf numFmtId="0" fontId="48" fillId="35" borderId="30" xfId="0" applyFont="1" applyFill="1" applyBorder="1" applyAlignment="1">
      <alignment horizontal="center"/>
    </xf>
    <xf numFmtId="37" fontId="44" fillId="35" borderId="37" xfId="0" applyNumberFormat="1" applyFont="1" applyFill="1" applyBorder="1" applyAlignment="1">
      <alignment/>
    </xf>
    <xf numFmtId="37" fontId="48" fillId="35" borderId="19" xfId="0" applyNumberFormat="1" applyFont="1" applyFill="1" applyBorder="1" applyAlignment="1">
      <alignment horizontal="center"/>
    </xf>
    <xf numFmtId="37" fontId="48" fillId="35" borderId="27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37" fontId="44" fillId="0" borderId="0" xfId="0" applyNumberFormat="1" applyFont="1" applyFill="1" applyBorder="1" applyAlignment="1">
      <alignment/>
    </xf>
    <xf numFmtId="37" fontId="44" fillId="0" borderId="0" xfId="0" applyNumberFormat="1" applyFont="1" applyAlignment="1">
      <alignment/>
    </xf>
    <xf numFmtId="37" fontId="44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37" fontId="44" fillId="0" borderId="0" xfId="0" applyNumberFormat="1" applyFont="1" applyFill="1" applyBorder="1" applyAlignment="1">
      <alignment horizontal="right"/>
    </xf>
    <xf numFmtId="37" fontId="44" fillId="0" borderId="28" xfId="0" applyNumberFormat="1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4" fillId="35" borderId="19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23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37" fontId="44" fillId="35" borderId="24" xfId="0" applyNumberFormat="1" applyFont="1" applyFill="1" applyBorder="1" applyAlignment="1">
      <alignment/>
    </xf>
    <xf numFmtId="0" fontId="48" fillId="35" borderId="21" xfId="0" applyFont="1" applyFill="1" applyBorder="1" applyAlignment="1">
      <alignment horizontal="center"/>
    </xf>
    <xf numFmtId="0" fontId="48" fillId="35" borderId="28" xfId="0" applyFont="1" applyFill="1" applyBorder="1" applyAlignment="1">
      <alignment horizontal="center"/>
    </xf>
    <xf numFmtId="0" fontId="48" fillId="35" borderId="29" xfId="0" applyFont="1" applyFill="1" applyBorder="1" applyAlignment="1">
      <alignment horizontal="center"/>
    </xf>
    <xf numFmtId="0" fontId="52" fillId="35" borderId="18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52" fillId="35" borderId="23" xfId="0" applyFont="1" applyFill="1" applyBorder="1" applyAlignment="1">
      <alignment horizontal="center"/>
    </xf>
    <xf numFmtId="172" fontId="52" fillId="35" borderId="11" xfId="0" applyNumberFormat="1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35" borderId="30" xfId="0" applyFont="1" applyFill="1" applyBorder="1" applyAlignment="1">
      <alignment horizontal="center"/>
    </xf>
    <xf numFmtId="0" fontId="48" fillId="35" borderId="22" xfId="0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24" xfId="0" applyFont="1" applyFill="1" applyBorder="1" applyAlignment="1">
      <alignment/>
    </xf>
    <xf numFmtId="0" fontId="48" fillId="35" borderId="37" xfId="0" applyFont="1" applyFill="1" applyBorder="1" applyAlignment="1">
      <alignment/>
    </xf>
    <xf numFmtId="37" fontId="44" fillId="35" borderId="25" xfId="0" applyNumberFormat="1" applyFont="1" applyFill="1" applyBorder="1" applyAlignment="1">
      <alignment/>
    </xf>
    <xf numFmtId="37" fontId="44" fillId="35" borderId="26" xfId="0" applyNumberFormat="1" applyFont="1" applyFill="1" applyBorder="1" applyAlignment="1">
      <alignment/>
    </xf>
    <xf numFmtId="37" fontId="44" fillId="35" borderId="27" xfId="0" applyNumberFormat="1" applyFont="1" applyFill="1" applyBorder="1" applyAlignment="1">
      <alignment/>
    </xf>
    <xf numFmtId="37" fontId="48" fillId="35" borderId="29" xfId="0" applyNumberFormat="1" applyFont="1" applyFill="1" applyBorder="1" applyAlignment="1">
      <alignment horizontal="center"/>
    </xf>
    <xf numFmtId="0" fontId="48" fillId="35" borderId="21" xfId="0" applyFont="1" applyFill="1" applyBorder="1" applyAlignment="1">
      <alignment/>
    </xf>
    <xf numFmtId="0" fontId="52" fillId="35" borderId="37" xfId="0" applyFont="1" applyFill="1" applyBorder="1" applyAlignment="1">
      <alignment horizontal="center"/>
    </xf>
    <xf numFmtId="37" fontId="44" fillId="35" borderId="22" xfId="0" applyNumberFormat="1" applyFont="1" applyFill="1" applyBorder="1" applyAlignment="1">
      <alignment/>
    </xf>
    <xf numFmtId="37" fontId="44" fillId="35" borderId="20" xfId="0" applyNumberFormat="1" applyFont="1" applyFill="1" applyBorder="1" applyAlignment="1">
      <alignment/>
    </xf>
    <xf numFmtId="0" fontId="48" fillId="35" borderId="26" xfId="0" applyFont="1" applyFill="1" applyBorder="1" applyAlignment="1">
      <alignment/>
    </xf>
    <xf numFmtId="0" fontId="44" fillId="35" borderId="37" xfId="0" applyFont="1" applyFill="1" applyBorder="1" applyAlignment="1">
      <alignment/>
    </xf>
    <xf numFmtId="37" fontId="44" fillId="35" borderId="21" xfId="0" applyNumberFormat="1" applyFont="1" applyFill="1" applyBorder="1" applyAlignment="1">
      <alignment/>
    </xf>
    <xf numFmtId="0" fontId="48" fillId="35" borderId="23" xfId="0" applyFont="1" applyFill="1" applyBorder="1" applyAlignment="1">
      <alignment/>
    </xf>
    <xf numFmtId="0" fontId="48" fillId="35" borderId="22" xfId="0" applyFont="1" applyFill="1" applyBorder="1" applyAlignment="1">
      <alignment horizontal="center"/>
    </xf>
    <xf numFmtId="0" fontId="48" fillId="35" borderId="38" xfId="0" applyFont="1" applyFill="1" applyBorder="1" applyAlignment="1">
      <alignment horizontal="center"/>
    </xf>
    <xf numFmtId="0" fontId="11" fillId="35" borderId="39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/>
    </xf>
    <xf numFmtId="0" fontId="48" fillId="35" borderId="14" xfId="0" applyFont="1" applyFill="1" applyBorder="1" applyAlignment="1">
      <alignment/>
    </xf>
    <xf numFmtId="37" fontId="8" fillId="35" borderId="41" xfId="0" applyNumberFormat="1" applyFont="1" applyFill="1" applyBorder="1" applyAlignment="1">
      <alignment/>
    </xf>
    <xf numFmtId="0" fontId="48" fillId="35" borderId="25" xfId="0" applyFont="1" applyFill="1" applyBorder="1" applyAlignment="1">
      <alignment/>
    </xf>
    <xf numFmtId="0" fontId="48" fillId="35" borderId="42" xfId="0" applyFont="1" applyFill="1" applyBorder="1" applyAlignment="1">
      <alignment/>
    </xf>
    <xf numFmtId="37" fontId="8" fillId="35" borderId="26" xfId="0" applyNumberFormat="1" applyFont="1" applyFill="1" applyBorder="1" applyAlignment="1">
      <alignment/>
    </xf>
    <xf numFmtId="37" fontId="48" fillId="35" borderId="26" xfId="0" applyNumberFormat="1" applyFont="1" applyFill="1" applyBorder="1" applyAlignment="1">
      <alignment/>
    </xf>
    <xf numFmtId="37" fontId="11" fillId="35" borderId="26" xfId="0" applyNumberFormat="1" applyFont="1" applyFill="1" applyBorder="1" applyAlignment="1">
      <alignment/>
    </xf>
    <xf numFmtId="37" fontId="48" fillId="35" borderId="28" xfId="0" applyNumberFormat="1" applyFont="1" applyFill="1" applyBorder="1" applyAlignment="1">
      <alignment horizontal="center"/>
    </xf>
    <xf numFmtId="37" fontId="11" fillId="35" borderId="29" xfId="0" applyNumberFormat="1" applyFont="1" applyFill="1" applyBorder="1" applyAlignment="1">
      <alignment horizontal="center"/>
    </xf>
    <xf numFmtId="0" fontId="52" fillId="35" borderId="11" xfId="43" applyNumberFormat="1" applyFont="1" applyFill="1" applyBorder="1" applyAlignment="1">
      <alignment horizontal="center"/>
    </xf>
    <xf numFmtId="172" fontId="52" fillId="35" borderId="11" xfId="43" applyNumberFormat="1" applyFont="1" applyFill="1" applyBorder="1" applyAlignment="1">
      <alignment horizontal="center"/>
    </xf>
    <xf numFmtId="0" fontId="52" fillId="35" borderId="30" xfId="43" applyNumberFormat="1" applyFont="1" applyFill="1" applyBorder="1" applyAlignment="1">
      <alignment horizontal="center"/>
    </xf>
    <xf numFmtId="0" fontId="10" fillId="35" borderId="30" xfId="43" applyNumberFormat="1" applyFont="1" applyFill="1" applyBorder="1" applyAlignment="1">
      <alignment horizontal="center"/>
    </xf>
    <xf numFmtId="37" fontId="44" fillId="35" borderId="28" xfId="0" applyNumberFormat="1" applyFont="1" applyFill="1" applyBorder="1" applyAlignment="1">
      <alignment/>
    </xf>
    <xf numFmtId="37" fontId="44" fillId="35" borderId="29" xfId="0" applyNumberFormat="1" applyFont="1" applyFill="1" applyBorder="1" applyAlignment="1">
      <alignment/>
    </xf>
    <xf numFmtId="37" fontId="8" fillId="35" borderId="28" xfId="0" applyNumberFormat="1" applyFont="1" applyFill="1" applyBorder="1" applyAlignment="1">
      <alignment/>
    </xf>
    <xf numFmtId="0" fontId="48" fillId="35" borderId="18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4" fillId="35" borderId="25" xfId="0" applyFont="1" applyFill="1" applyBorder="1" applyAlignment="1">
      <alignment/>
    </xf>
    <xf numFmtId="0" fontId="51" fillId="35" borderId="26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55" fillId="35" borderId="27" xfId="0" applyFont="1" applyFill="1" applyBorder="1" applyAlignment="1">
      <alignment/>
    </xf>
    <xf numFmtId="0" fontId="44" fillId="35" borderId="21" xfId="0" applyFont="1" applyFill="1" applyBorder="1" applyAlignment="1">
      <alignment/>
    </xf>
    <xf numFmtId="0" fontId="52" fillId="35" borderId="28" xfId="0" applyFont="1" applyFill="1" applyBorder="1" applyAlignment="1">
      <alignment horizontal="center"/>
    </xf>
    <xf numFmtId="0" fontId="44" fillId="35" borderId="29" xfId="0" applyFont="1" applyFill="1" applyBorder="1" applyAlignment="1">
      <alignment/>
    </xf>
    <xf numFmtId="37" fontId="52" fillId="35" borderId="28" xfId="0" applyNumberFormat="1" applyFont="1" applyFill="1" applyBorder="1" applyAlignment="1">
      <alignment horizontal="center"/>
    </xf>
    <xf numFmtId="37" fontId="48" fillId="35" borderId="23" xfId="0" applyNumberFormat="1" applyFont="1" applyFill="1" applyBorder="1" applyAlignment="1">
      <alignment horizontal="center"/>
    </xf>
    <xf numFmtId="37" fontId="48" fillId="35" borderId="11" xfId="0" applyNumberFormat="1" applyFont="1" applyFill="1" applyBorder="1" applyAlignment="1">
      <alignment horizontal="center"/>
    </xf>
    <xf numFmtId="37" fontId="48" fillId="35" borderId="30" xfId="0" applyNumberFormat="1" applyFont="1" applyFill="1" applyBorder="1" applyAlignment="1">
      <alignment horizontal="center"/>
    </xf>
    <xf numFmtId="37" fontId="0" fillId="35" borderId="19" xfId="0" applyNumberFormat="1" applyFont="1" applyFill="1" applyBorder="1" applyAlignment="1">
      <alignment/>
    </xf>
    <xf numFmtId="37" fontId="0" fillId="35" borderId="18" xfId="0" applyNumberFormat="1" applyFont="1" applyFill="1" applyBorder="1" applyAlignment="1">
      <alignment/>
    </xf>
    <xf numFmtId="37" fontId="0" fillId="35" borderId="23" xfId="0" applyNumberFormat="1" applyFont="1" applyFill="1" applyBorder="1" applyAlignment="1">
      <alignment/>
    </xf>
    <xf numFmtId="37" fontId="0" fillId="35" borderId="24" xfId="0" applyNumberFormat="1" applyFont="1" applyFill="1" applyBorder="1" applyAlignment="1">
      <alignment/>
    </xf>
    <xf numFmtId="37" fontId="0" fillId="35" borderId="30" xfId="0" applyNumberFormat="1" applyFont="1" applyFill="1" applyBorder="1" applyAlignment="1">
      <alignment/>
    </xf>
    <xf numFmtId="164" fontId="0" fillId="35" borderId="37" xfId="0" applyNumberFormat="1" applyFont="1" applyFill="1" applyBorder="1" applyAlignment="1">
      <alignment horizontal="center"/>
    </xf>
    <xf numFmtId="37" fontId="0" fillId="35" borderId="37" xfId="0" applyNumberFormat="1" applyFont="1" applyFill="1" applyBorder="1" applyAlignment="1">
      <alignment/>
    </xf>
    <xf numFmtId="37" fontId="1" fillId="35" borderId="24" xfId="0" applyNumberFormat="1" applyFont="1" applyFill="1" applyBorder="1" applyAlignment="1">
      <alignment/>
    </xf>
    <xf numFmtId="37" fontId="1" fillId="35" borderId="30" xfId="0" applyNumberFormat="1" applyFont="1" applyFill="1" applyBorder="1" applyAlignment="1">
      <alignment/>
    </xf>
    <xf numFmtId="39" fontId="1" fillId="35" borderId="30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37" fontId="1" fillId="35" borderId="27" xfId="0" applyNumberFormat="1" applyFont="1" applyFill="1" applyBorder="1" applyAlignment="1">
      <alignment/>
    </xf>
    <xf numFmtId="37" fontId="0" fillId="35" borderId="25" xfId="0" applyNumberFormat="1" applyFont="1" applyFill="1" applyBorder="1" applyAlignment="1">
      <alignment/>
    </xf>
    <xf numFmtId="37" fontId="0" fillId="35" borderId="41" xfId="0" applyNumberFormat="1" applyFont="1" applyFill="1" applyBorder="1" applyAlignment="1">
      <alignment/>
    </xf>
    <xf numFmtId="37" fontId="0" fillId="35" borderId="27" xfId="0" applyNumberFormat="1" applyFont="1" applyFill="1" applyBorder="1" applyAlignment="1">
      <alignment/>
    </xf>
    <xf numFmtId="37" fontId="0" fillId="35" borderId="11" xfId="0" applyNumberFormat="1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48" fillId="35" borderId="19" xfId="0" applyFont="1" applyFill="1" applyBorder="1" applyAlignment="1">
      <alignment horizontal="center"/>
    </xf>
    <xf numFmtId="0" fontId="48" fillId="35" borderId="23" xfId="0" applyFont="1" applyFill="1" applyBorder="1" applyAlignment="1" quotePrefix="1">
      <alignment horizontal="center"/>
    </xf>
    <xf numFmtId="0" fontId="44" fillId="35" borderId="11" xfId="0" applyFont="1" applyFill="1" applyBorder="1" applyAlignment="1">
      <alignment/>
    </xf>
    <xf numFmtId="0" fontId="48" fillId="35" borderId="30" xfId="0" applyFont="1" applyFill="1" applyBorder="1" applyAlignment="1" quotePrefix="1">
      <alignment horizontal="center"/>
    </xf>
    <xf numFmtId="0" fontId="48" fillId="35" borderId="0" xfId="0" applyFont="1" applyFill="1" applyBorder="1" applyAlignment="1">
      <alignment horizontal="center"/>
    </xf>
    <xf numFmtId="37" fontId="48" fillId="35" borderId="18" xfId="0" applyNumberFormat="1" applyFont="1" applyFill="1" applyBorder="1" applyAlignment="1">
      <alignment horizontal="center"/>
    </xf>
    <xf numFmtId="0" fontId="48" fillId="35" borderId="25" xfId="0" applyFont="1" applyFill="1" applyBorder="1" applyAlignment="1">
      <alignment horizontal="centerContinuous"/>
    </xf>
    <xf numFmtId="0" fontId="44" fillId="35" borderId="27" xfId="0" applyFont="1" applyFill="1" applyBorder="1" applyAlignment="1">
      <alignment horizontal="centerContinuous"/>
    </xf>
    <xf numFmtId="0" fontId="48" fillId="35" borderId="22" xfId="0" applyFont="1" applyFill="1" applyBorder="1" applyAlignment="1">
      <alignment horizontal="centerContinuous"/>
    </xf>
    <xf numFmtId="0" fontId="44" fillId="35" borderId="29" xfId="0" applyFont="1" applyFill="1" applyBorder="1" applyAlignment="1">
      <alignment horizontal="centerContinuous"/>
    </xf>
    <xf numFmtId="0" fontId="48" fillId="35" borderId="23" xfId="0" applyFont="1" applyFill="1" applyBorder="1" applyAlignment="1">
      <alignment horizontal="centerContinuous"/>
    </xf>
    <xf numFmtId="0" fontId="44" fillId="35" borderId="30" xfId="0" applyFont="1" applyFill="1" applyBorder="1" applyAlignment="1">
      <alignment horizontal="centerContinuous"/>
    </xf>
    <xf numFmtId="0" fontId="44" fillId="35" borderId="22" xfId="0" applyFont="1" applyFill="1" applyBorder="1" applyAlignment="1">
      <alignment horizontal="right"/>
    </xf>
    <xf numFmtId="0" fontId="44" fillId="35" borderId="20" xfId="0" applyFont="1" applyFill="1" applyBorder="1" applyAlignment="1">
      <alignment horizontal="right"/>
    </xf>
    <xf numFmtId="0" fontId="44" fillId="35" borderId="24" xfId="0" applyFont="1" applyFill="1" applyBorder="1" applyAlignment="1">
      <alignment horizontal="right"/>
    </xf>
    <xf numFmtId="37" fontId="0" fillId="35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37" fontId="0" fillId="35" borderId="22" xfId="0" applyNumberFormat="1" applyFont="1" applyFill="1" applyBorder="1" applyAlignment="1">
      <alignment/>
    </xf>
    <xf numFmtId="37" fontId="0" fillId="35" borderId="20" xfId="0" applyNumberFormat="1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44" fillId="35" borderId="30" xfId="0" applyFont="1" applyFill="1" applyBorder="1" applyAlignment="1">
      <alignment/>
    </xf>
    <xf numFmtId="0" fontId="52" fillId="35" borderId="19" xfId="0" applyFont="1" applyFill="1" applyBorder="1" applyAlignment="1" quotePrefix="1">
      <alignment horizontal="center"/>
    </xf>
    <xf numFmtId="37" fontId="0" fillId="35" borderId="29" xfId="0" applyNumberFormat="1" applyFont="1" applyFill="1" applyBorder="1" applyAlignment="1">
      <alignment/>
    </xf>
    <xf numFmtId="39" fontId="0" fillId="35" borderId="19" xfId="0" applyNumberFormat="1" applyFont="1" applyFill="1" applyBorder="1" applyAlignment="1" quotePrefix="1">
      <alignment horizontal="center"/>
    </xf>
    <xf numFmtId="37" fontId="0" fillId="35" borderId="19" xfId="0" applyNumberFormat="1" applyFont="1" applyFill="1" applyBorder="1" applyAlignment="1" quotePrefix="1">
      <alignment horizontal="center"/>
    </xf>
    <xf numFmtId="39" fontId="48" fillId="35" borderId="22" xfId="0" applyNumberFormat="1" applyFont="1" applyFill="1" applyBorder="1" applyAlignment="1">
      <alignment horizontal="center"/>
    </xf>
    <xf numFmtId="37" fontId="48" fillId="35" borderId="21" xfId="0" applyNumberFormat="1" applyFont="1" applyFill="1" applyBorder="1" applyAlignment="1">
      <alignment horizontal="center"/>
    </xf>
    <xf numFmtId="39" fontId="48" fillId="35" borderId="24" xfId="0" applyNumberFormat="1" applyFont="1" applyFill="1" applyBorder="1" applyAlignment="1">
      <alignment horizontal="center"/>
    </xf>
    <xf numFmtId="39" fontId="44" fillId="35" borderId="20" xfId="0" applyNumberFormat="1" applyFont="1" applyFill="1" applyBorder="1" applyAlignment="1">
      <alignment/>
    </xf>
    <xf numFmtId="37" fontId="44" fillId="35" borderId="11" xfId="0" applyNumberFormat="1" applyFont="1" applyFill="1" applyBorder="1" applyAlignment="1">
      <alignment horizontal="center"/>
    </xf>
    <xf numFmtId="0" fontId="44" fillId="35" borderId="18" xfId="0" applyFont="1" applyFill="1" applyBorder="1" applyAlignment="1">
      <alignment horizontal="center"/>
    </xf>
    <xf numFmtId="0" fontId="44" fillId="35" borderId="23" xfId="0" applyFont="1" applyFill="1" applyBorder="1" applyAlignment="1">
      <alignment horizontal="center"/>
    </xf>
    <xf numFmtId="0" fontId="44" fillId="35" borderId="21" xfId="0" applyFont="1" applyFill="1" applyBorder="1" applyAlignment="1">
      <alignment horizontal="center"/>
    </xf>
    <xf numFmtId="37" fontId="44" fillId="35" borderId="24" xfId="0" applyNumberFormat="1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4" fillId="35" borderId="24" xfId="0" applyFont="1" applyFill="1" applyBorder="1" applyAlignment="1">
      <alignment horizontal="center"/>
    </xf>
    <xf numFmtId="173" fontId="44" fillId="35" borderId="20" xfId="43" applyNumberFormat="1" applyFont="1" applyFill="1" applyBorder="1" applyAlignment="1">
      <alignment horizontal="center"/>
    </xf>
    <xf numFmtId="173" fontId="44" fillId="35" borderId="24" xfId="43" applyNumberFormat="1" applyFont="1" applyFill="1" applyBorder="1" applyAlignment="1">
      <alignment horizontal="center"/>
    </xf>
    <xf numFmtId="0" fontId="44" fillId="35" borderId="0" xfId="0" applyFont="1" applyFill="1" applyAlignment="1">
      <alignment/>
    </xf>
    <xf numFmtId="37" fontId="44" fillId="35" borderId="37" xfId="0" applyNumberFormat="1" applyFont="1" applyFill="1" applyBorder="1" applyAlignment="1">
      <alignment horizontal="center"/>
    </xf>
    <xf numFmtId="1" fontId="0" fillId="35" borderId="37" xfId="0" applyNumberFormat="1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0" fillId="0" borderId="0" xfId="59" applyFont="1" applyFill="1" applyBorder="1">
      <alignment/>
      <protection/>
    </xf>
    <xf numFmtId="170" fontId="16" fillId="0" borderId="18" xfId="59" applyNumberFormat="1" applyFont="1" applyFill="1" applyBorder="1">
      <alignment/>
      <protection/>
    </xf>
    <xf numFmtId="170" fontId="16" fillId="0" borderId="20" xfId="59" applyNumberFormat="1" applyFont="1" applyFill="1" applyBorder="1">
      <alignment/>
      <protection/>
    </xf>
    <xf numFmtId="17" fontId="17" fillId="0" borderId="0" xfId="59" applyNumberFormat="1" applyFont="1" applyFill="1" applyAlignment="1">
      <alignment horizontal="left"/>
      <protection/>
    </xf>
    <xf numFmtId="0" fontId="60" fillId="0" borderId="0" xfId="0" applyFont="1" applyFill="1" applyAlignment="1">
      <alignment/>
    </xf>
    <xf numFmtId="173" fontId="16" fillId="0" borderId="11" xfId="43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37" fontId="47" fillId="35" borderId="37" xfId="0" applyNumberFormat="1" applyFont="1" applyFill="1" applyBorder="1" applyAlignment="1">
      <alignment horizontal="center"/>
    </xf>
    <xf numFmtId="0" fontId="0" fillId="0" borderId="0" xfId="0" applyFill="1" applyAlignment="1" quotePrefix="1">
      <alignment/>
    </xf>
    <xf numFmtId="173" fontId="0" fillId="0" borderId="0" xfId="43" applyNumberFormat="1" applyFill="1" applyAlignment="1">
      <alignment/>
    </xf>
    <xf numFmtId="0" fontId="16" fillId="0" borderId="0" xfId="59" applyFont="1" applyFill="1" applyAlignment="1">
      <alignment horizontal="left"/>
      <protection/>
    </xf>
    <xf numFmtId="37" fontId="16" fillId="0" borderId="0" xfId="59" applyNumberFormat="1" applyFont="1" applyFill="1">
      <alignment/>
      <protection/>
    </xf>
    <xf numFmtId="37" fontId="17" fillId="0" borderId="0" xfId="59" applyNumberFormat="1" applyFont="1" applyFill="1">
      <alignment/>
      <protection/>
    </xf>
    <xf numFmtId="37" fontId="29" fillId="0" borderId="19" xfId="59" applyNumberFormat="1" applyFont="1" applyFill="1" applyBorder="1">
      <alignment/>
      <protection/>
    </xf>
    <xf numFmtId="37" fontId="29" fillId="0" borderId="19" xfId="59" applyNumberFormat="1" applyFont="1" applyFill="1" applyBorder="1" quotePrefix="1">
      <alignment/>
      <protection/>
    </xf>
    <xf numFmtId="0" fontId="67" fillId="0" borderId="0" xfId="0" applyFont="1" applyAlignment="1">
      <alignment/>
    </xf>
    <xf numFmtId="173" fontId="67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173" fontId="16" fillId="0" borderId="0" xfId="0" applyNumberFormat="1" applyFont="1" applyAlignment="1">
      <alignment/>
    </xf>
    <xf numFmtId="0" fontId="68" fillId="35" borderId="0" xfId="0" applyFont="1" applyFill="1" applyAlignment="1">
      <alignment/>
    </xf>
    <xf numFmtId="5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37" fontId="64" fillId="0" borderId="0" xfId="0" applyNumberFormat="1" applyFont="1" applyFill="1" applyBorder="1" applyAlignment="1">
      <alignment/>
    </xf>
    <xf numFmtId="37" fontId="71" fillId="0" borderId="18" xfId="59" applyNumberFormat="1" applyFont="1" applyFill="1" applyBorder="1">
      <alignment/>
      <protection/>
    </xf>
    <xf numFmtId="37" fontId="71" fillId="0" borderId="0" xfId="59" applyNumberFormat="1" applyFont="1" applyFill="1" applyBorder="1">
      <alignment/>
      <protection/>
    </xf>
    <xf numFmtId="37" fontId="71" fillId="0" borderId="19" xfId="59" applyNumberFormat="1" applyFont="1" applyFill="1" applyBorder="1">
      <alignment/>
      <protection/>
    </xf>
    <xf numFmtId="5" fontId="0" fillId="0" borderId="12" xfId="0" applyNumberFormat="1" applyFill="1" applyBorder="1" applyAlignment="1">
      <alignment/>
    </xf>
    <xf numFmtId="0" fontId="52" fillId="35" borderId="37" xfId="0" applyFont="1" applyFill="1" applyBorder="1" applyAlignment="1">
      <alignment horizontal="centerContinuous"/>
    </xf>
    <xf numFmtId="0" fontId="72" fillId="35" borderId="37" xfId="0" applyFont="1" applyFill="1" applyBorder="1" applyAlignment="1">
      <alignment horizontal="left"/>
    </xf>
    <xf numFmtId="0" fontId="48" fillId="35" borderId="37" xfId="0" applyFont="1" applyFill="1" applyBorder="1" applyAlignment="1">
      <alignment horizontal="center" wrapText="1"/>
    </xf>
    <xf numFmtId="37" fontId="48" fillId="35" borderId="37" xfId="0" applyNumberFormat="1" applyFont="1" applyFill="1" applyBorder="1" applyAlignment="1">
      <alignment horizontal="center" wrapText="1"/>
    </xf>
    <xf numFmtId="37" fontId="8" fillId="35" borderId="37" xfId="0" applyNumberFormat="1" applyFont="1" applyFill="1" applyBorder="1" applyAlignment="1">
      <alignment/>
    </xf>
    <xf numFmtId="0" fontId="74" fillId="35" borderId="18" xfId="0" applyFont="1" applyFill="1" applyBorder="1" applyAlignment="1">
      <alignment horizontal="center"/>
    </xf>
    <xf numFmtId="0" fontId="74" fillId="35" borderId="37" xfId="0" applyFont="1" applyFill="1" applyBorder="1" applyAlignment="1">
      <alignment horizontal="center"/>
    </xf>
    <xf numFmtId="0" fontId="75" fillId="35" borderId="37" xfId="0" applyFont="1" applyFill="1" applyBorder="1" applyAlignment="1">
      <alignment/>
    </xf>
    <xf numFmtId="172" fontId="11" fillId="0" borderId="11" xfId="0" applyNumberFormat="1" applyFont="1" applyFill="1" applyBorder="1" applyAlignment="1">
      <alignment horizontal="center"/>
    </xf>
    <xf numFmtId="0" fontId="76" fillId="35" borderId="22" xfId="0" applyFont="1" applyFill="1" applyBorder="1" applyAlignment="1">
      <alignment horizontal="center"/>
    </xf>
    <xf numFmtId="0" fontId="74" fillId="35" borderId="24" xfId="0" applyFont="1" applyFill="1" applyBorder="1" applyAlignment="1">
      <alignment horizontal="center" wrapText="1"/>
    </xf>
    <xf numFmtId="0" fontId="77" fillId="35" borderId="37" xfId="0" applyFont="1" applyFill="1" applyBorder="1" applyAlignment="1">
      <alignment/>
    </xf>
    <xf numFmtId="172" fontId="52" fillId="35" borderId="23" xfId="0" applyNumberFormat="1" applyFont="1" applyFill="1" applyBorder="1" applyAlignment="1">
      <alignment horizontal="center"/>
    </xf>
    <xf numFmtId="37" fontId="48" fillId="35" borderId="22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Alignment="1">
      <alignment horizontal="center"/>
    </xf>
    <xf numFmtId="37" fontId="11" fillId="0" borderId="11" xfId="0" applyNumberFormat="1" applyFont="1" applyFill="1" applyBorder="1" applyAlignment="1">
      <alignment horizontal="center"/>
    </xf>
    <xf numFmtId="37" fontId="8" fillId="0" borderId="43" xfId="0" applyNumberFormat="1" applyFont="1" applyFill="1" applyBorder="1" applyAlignment="1">
      <alignment/>
    </xf>
    <xf numFmtId="37" fontId="58" fillId="35" borderId="37" xfId="0" applyNumberFormat="1" applyFont="1" applyFill="1" applyBorder="1" applyAlignment="1">
      <alignment/>
    </xf>
    <xf numFmtId="37" fontId="58" fillId="35" borderId="20" xfId="0" applyNumberFormat="1" applyFont="1" applyFill="1" applyBorder="1" applyAlignment="1">
      <alignment/>
    </xf>
    <xf numFmtId="37" fontId="58" fillId="35" borderId="0" xfId="0" applyNumberFormat="1" applyFont="1" applyFill="1" applyBorder="1" applyAlignment="1">
      <alignment/>
    </xf>
    <xf numFmtId="173" fontId="8" fillId="35" borderId="0" xfId="43" applyNumberFormat="1" applyFont="1" applyFill="1" applyBorder="1" applyAlignment="1">
      <alignment horizontal="center"/>
    </xf>
    <xf numFmtId="173" fontId="8" fillId="35" borderId="0" xfId="43" applyNumberFormat="1" applyFont="1" applyFill="1" applyAlignment="1">
      <alignment/>
    </xf>
    <xf numFmtId="5" fontId="0" fillId="35" borderId="0" xfId="0" applyNumberFormat="1" applyFill="1" applyBorder="1" applyAlignment="1">
      <alignment/>
    </xf>
    <xf numFmtId="37" fontId="8" fillId="0" borderId="28" xfId="0" applyNumberFormat="1" applyFont="1" applyFill="1" applyBorder="1" applyAlignment="1">
      <alignment/>
    </xf>
    <xf numFmtId="37" fontId="8" fillId="0" borderId="44" xfId="0" applyNumberFormat="1" applyFont="1" applyFill="1" applyBorder="1" applyAlignment="1">
      <alignment/>
    </xf>
    <xf numFmtId="37" fontId="8" fillId="0" borderId="35" xfId="0" applyNumberFormat="1" applyFont="1" applyFill="1" applyBorder="1" applyAlignment="1">
      <alignment/>
    </xf>
    <xf numFmtId="37" fontId="8" fillId="0" borderId="38" xfId="0" applyNumberFormat="1" applyFont="1" applyFill="1" applyBorder="1" applyAlignment="1">
      <alignment/>
    </xf>
    <xf numFmtId="172" fontId="52" fillId="35" borderId="24" xfId="4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Border="1" applyAlignment="1">
      <alignment/>
    </xf>
    <xf numFmtId="173" fontId="11" fillId="0" borderId="0" xfId="43" applyNumberFormat="1" applyFont="1" applyBorder="1" applyAlignment="1">
      <alignment/>
    </xf>
    <xf numFmtId="0" fontId="1" fillId="0" borderId="0" xfId="0" applyFont="1" applyAlignment="1">
      <alignment/>
    </xf>
    <xf numFmtId="173" fontId="11" fillId="0" borderId="0" xfId="43" applyNumberFormat="1" applyFont="1" applyFill="1" applyAlignment="1">
      <alignment/>
    </xf>
    <xf numFmtId="0" fontId="0" fillId="0" borderId="0" xfId="0" applyFont="1" applyAlignment="1">
      <alignment/>
    </xf>
    <xf numFmtId="0" fontId="6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8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35" borderId="0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14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0" fontId="8" fillId="0" borderId="0" xfId="0" applyFont="1" applyAlignment="1" quotePrefix="1">
      <alignment horizontal="left"/>
    </xf>
    <xf numFmtId="44" fontId="23" fillId="0" borderId="0" xfId="45" applyFont="1" applyFill="1" applyBorder="1" applyAlignment="1">
      <alignment/>
    </xf>
    <xf numFmtId="37" fontId="9" fillId="0" borderId="0" xfId="0" applyNumberFormat="1" applyFont="1" applyFill="1" applyAlignment="1">
      <alignment/>
    </xf>
    <xf numFmtId="16" fontId="11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198" fontId="23" fillId="0" borderId="0" xfId="45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213" fontId="17" fillId="0" borderId="0" xfId="0" applyNumberFormat="1" applyFont="1" applyFill="1" applyAlignment="1">
      <alignment horizontal="center"/>
    </xf>
    <xf numFmtId="198" fontId="23" fillId="0" borderId="11" xfId="45" applyNumberFormat="1" applyFont="1" applyFill="1" applyBorder="1" applyAlignment="1">
      <alignment/>
    </xf>
    <xf numFmtId="173" fontId="16" fillId="0" borderId="0" xfId="43" applyNumberFormat="1" applyFont="1" applyFill="1" applyAlignment="1">
      <alignment/>
    </xf>
    <xf numFmtId="0" fontId="17" fillId="0" borderId="0" xfId="0" applyFont="1" applyFill="1" applyAlignment="1" quotePrefix="1">
      <alignment horizontal="center"/>
    </xf>
    <xf numFmtId="173" fontId="16" fillId="0" borderId="11" xfId="43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0" fillId="38" borderId="0" xfId="0" applyFill="1" applyAlignment="1">
      <alignment/>
    </xf>
    <xf numFmtId="43" fontId="0" fillId="38" borderId="0" xfId="43" applyFill="1" applyAlignment="1">
      <alignment/>
    </xf>
    <xf numFmtId="43" fontId="0" fillId="0" borderId="0" xfId="43" applyAlignment="1">
      <alignment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4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17" fontId="0" fillId="0" borderId="0" xfId="0" applyNumberFormat="1" applyFill="1" applyAlignment="1">
      <alignment horizontal="center"/>
    </xf>
    <xf numFmtId="43" fontId="0" fillId="0" borderId="0" xfId="43" applyFill="1" applyAlignment="1">
      <alignment/>
    </xf>
    <xf numFmtId="0" fontId="11" fillId="0" borderId="0" xfId="0" applyFont="1" applyFill="1" applyBorder="1" applyAlignment="1">
      <alignment horizontal="center" wrapText="1"/>
    </xf>
    <xf numFmtId="43" fontId="11" fillId="0" borderId="0" xfId="43" applyFont="1" applyFill="1" applyBorder="1" applyAlignment="1">
      <alignment horizontal="center"/>
    </xf>
    <xf numFmtId="43" fontId="8" fillId="35" borderId="0" xfId="43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5" borderId="0" xfId="0" applyFont="1" applyFill="1" applyBorder="1" applyAlignment="1">
      <alignment/>
    </xf>
    <xf numFmtId="37" fontId="48" fillId="35" borderId="27" xfId="0" applyNumberFormat="1" applyFont="1" applyFill="1" applyBorder="1" applyAlignment="1">
      <alignment horizontal="center"/>
    </xf>
    <xf numFmtId="37" fontId="48" fillId="35" borderId="25" xfId="0" applyNumberFormat="1" applyFont="1" applyFill="1" applyBorder="1" applyAlignment="1">
      <alignment horizontal="left"/>
    </xf>
    <xf numFmtId="37" fontId="11" fillId="35" borderId="37" xfId="0" applyNumberFormat="1" applyFont="1" applyFill="1" applyBorder="1" applyAlignment="1">
      <alignment/>
    </xf>
    <xf numFmtId="0" fontId="48" fillId="35" borderId="24" xfId="0" applyFont="1" applyFill="1" applyBorder="1" applyAlignment="1">
      <alignment horizontal="center" wrapText="1"/>
    </xf>
    <xf numFmtId="37" fontId="48" fillId="35" borderId="22" xfId="0" applyNumberFormat="1" applyFont="1" applyFill="1" applyBorder="1" applyAlignment="1">
      <alignment horizontal="center"/>
    </xf>
    <xf numFmtId="37" fontId="80" fillId="35" borderId="22" xfId="0" applyNumberFormat="1" applyFont="1" applyFill="1" applyBorder="1" applyAlignment="1">
      <alignment/>
    </xf>
    <xf numFmtId="37" fontId="69" fillId="35" borderId="2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59" applyFont="1" applyFill="1" applyBorder="1">
      <alignment/>
      <protection/>
    </xf>
    <xf numFmtId="43" fontId="0" fillId="35" borderId="0" xfId="43" applyFill="1" applyAlignment="1">
      <alignment/>
    </xf>
    <xf numFmtId="214" fontId="0" fillId="0" borderId="0" xfId="0" applyNumberFormat="1" applyFill="1" applyAlignment="1">
      <alignment horizontal="center"/>
    </xf>
    <xf numFmtId="44" fontId="21" fillId="0" borderId="0" xfId="0" applyNumberFormat="1" applyFont="1" applyBorder="1" applyAlignment="1">
      <alignment horizontal="center"/>
    </xf>
    <xf numFmtId="37" fontId="0" fillId="0" borderId="0" xfId="45" applyNumberFormat="1" applyFont="1" applyAlignment="1">
      <alignment horizontal="center"/>
    </xf>
    <xf numFmtId="173" fontId="58" fillId="0" borderId="0" xfId="43" applyNumberFormat="1" applyFont="1" applyFill="1" applyAlignment="1">
      <alignment/>
    </xf>
    <xf numFmtId="198" fontId="0" fillId="0" borderId="0" xfId="45" applyNumberFormat="1" applyFill="1" applyBorder="1" applyAlignment="1">
      <alignment/>
    </xf>
    <xf numFmtId="175" fontId="0" fillId="0" borderId="35" xfId="64" applyNumberFormat="1" applyFill="1" applyBorder="1" applyAlignment="1">
      <alignment/>
    </xf>
    <xf numFmtId="198" fontId="0" fillId="0" borderId="11" xfId="45" applyNumberForma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37" fontId="44" fillId="35" borderId="18" xfId="0" applyNumberFormat="1" applyFont="1" applyFill="1" applyBorder="1" applyAlignment="1">
      <alignment/>
    </xf>
    <xf numFmtId="37" fontId="44" fillId="35" borderId="23" xfId="0" applyNumberFormat="1" applyFont="1" applyFill="1" applyBorder="1" applyAlignment="1">
      <alignment/>
    </xf>
    <xf numFmtId="49" fontId="85" fillId="0" borderId="0" xfId="60" applyNumberFormat="1" applyFont="1" applyAlignment="1" applyProtection="1">
      <alignment horizontal="center"/>
      <protection locked="0"/>
    </xf>
    <xf numFmtId="10" fontId="8" fillId="0" borderId="0" xfId="43" applyNumberFormat="1" applyFont="1" applyFill="1" applyAlignment="1">
      <alignment/>
    </xf>
    <xf numFmtId="37" fontId="48" fillId="35" borderId="14" xfId="0" applyNumberFormat="1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5" fontId="0" fillId="0" borderId="0" xfId="0" applyNumberFormat="1" applyFont="1" applyFill="1" applyAlignment="1">
      <alignment horizontal="center"/>
    </xf>
    <xf numFmtId="5" fontId="58" fillId="0" borderId="0" xfId="0" applyNumberFormat="1" applyFont="1" applyFill="1" applyAlignment="1">
      <alignment horizontal="center"/>
    </xf>
    <xf numFmtId="37" fontId="58" fillId="35" borderId="18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5" fontId="1" fillId="35" borderId="0" xfId="0" applyNumberFormat="1" applyFont="1" applyFill="1" applyAlignment="1">
      <alignment horizontal="center"/>
    </xf>
    <xf numFmtId="175" fontId="0" fillId="35" borderId="0" xfId="0" applyNumberFormat="1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11" fillId="0" borderId="36" xfId="0" applyFont="1" applyFill="1" applyBorder="1" applyAlignment="1">
      <alignment horizontal="center"/>
    </xf>
    <xf numFmtId="173" fontId="8" fillId="35" borderId="0" xfId="43" applyNumberFormat="1" applyFont="1" applyFill="1" applyBorder="1" applyAlignment="1">
      <alignment/>
    </xf>
    <xf numFmtId="17" fontId="11" fillId="0" borderId="0" xfId="0" applyNumberFormat="1" applyFont="1" applyAlignment="1" quotePrefix="1">
      <alignment horizontal="center"/>
    </xf>
    <xf numFmtId="164" fontId="12" fillId="0" borderId="0" xfId="0" applyNumberFormat="1" applyFont="1" applyAlignment="1">
      <alignment horizontal="center"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 quotePrefix="1">
      <alignment horizontal="right"/>
    </xf>
    <xf numFmtId="0" fontId="8" fillId="0" borderId="3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left" indent="1"/>
    </xf>
    <xf numFmtId="173" fontId="0" fillId="35" borderId="37" xfId="43" applyNumberFormat="1" applyFont="1" applyFill="1" applyBorder="1" applyAlignment="1">
      <alignment horizontal="center"/>
    </xf>
    <xf numFmtId="37" fontId="88" fillId="35" borderId="20" xfId="0" applyNumberFormat="1" applyFont="1" applyFill="1" applyBorder="1" applyAlignment="1">
      <alignment/>
    </xf>
    <xf numFmtId="172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3" fontId="58" fillId="35" borderId="0" xfId="43" applyFont="1" applyFill="1" applyAlignment="1">
      <alignment/>
    </xf>
    <xf numFmtId="37" fontId="16" fillId="35" borderId="0" xfId="0" applyNumberFormat="1" applyFont="1" applyFill="1" applyAlignment="1">
      <alignment/>
    </xf>
    <xf numFmtId="173" fontId="9" fillId="35" borderId="0" xfId="43" applyNumberFormat="1" applyFont="1" applyFill="1" applyAlignment="1">
      <alignment/>
    </xf>
    <xf numFmtId="17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17" fontId="58" fillId="0" borderId="0" xfId="0" applyNumberFormat="1" applyFont="1" applyFill="1" applyAlignment="1">
      <alignment horizontal="center"/>
    </xf>
    <xf numFmtId="173" fontId="0" fillId="0" borderId="0" xfId="43" applyNumberFormat="1" applyFont="1" applyFill="1" applyAlignment="1">
      <alignment/>
    </xf>
    <xf numFmtId="0" fontId="58" fillId="0" borderId="0" xfId="0" applyFont="1" applyFill="1" applyAlignment="1">
      <alignment vertical="top"/>
    </xf>
    <xf numFmtId="0" fontId="58" fillId="0" borderId="0" xfId="0" applyFont="1" applyAlignment="1">
      <alignment horizontal="center"/>
    </xf>
    <xf numFmtId="17" fontId="39" fillId="0" borderId="0" xfId="0" applyNumberFormat="1" applyFont="1" applyAlignment="1">
      <alignment horizontal="right"/>
    </xf>
    <xf numFmtId="0" fontId="39" fillId="0" borderId="0" xfId="0" applyFont="1" applyAlignment="1">
      <alignment vertical="top"/>
    </xf>
    <xf numFmtId="164" fontId="58" fillId="0" borderId="12" xfId="0" applyNumberFormat="1" applyFont="1" applyBorder="1" applyAlignment="1">
      <alignment vertical="top"/>
    </xf>
    <xf numFmtId="0" fontId="58" fillId="0" borderId="11" xfId="0" applyFont="1" applyBorder="1" applyAlignment="1">
      <alignment vertical="top"/>
    </xf>
    <xf numFmtId="0" fontId="16" fillId="0" borderId="0" xfId="59" applyFont="1" applyFill="1" applyBorder="1">
      <alignment/>
      <protection/>
    </xf>
    <xf numFmtId="170" fontId="16" fillId="0" borderId="23" xfId="59" applyNumberFormat="1" applyFont="1" applyFill="1" applyBorder="1">
      <alignment/>
      <protection/>
    </xf>
    <xf numFmtId="170" fontId="16" fillId="0" borderId="24" xfId="59" applyNumberFormat="1" applyFont="1" applyFill="1" applyBorder="1">
      <alignment/>
      <protection/>
    </xf>
    <xf numFmtId="0" fontId="24" fillId="0" borderId="0" xfId="0" applyFont="1" applyAlignment="1">
      <alignment vertical="top"/>
    </xf>
    <xf numFmtId="0" fontId="58" fillId="0" borderId="34" xfId="0" applyFont="1" applyBorder="1" applyAlignment="1">
      <alignment vertical="top"/>
    </xf>
    <xf numFmtId="0" fontId="58" fillId="0" borderId="32" xfId="0" applyFont="1" applyBorder="1" applyAlignment="1">
      <alignment vertical="top"/>
    </xf>
    <xf numFmtId="0" fontId="58" fillId="0" borderId="33" xfId="0" applyFont="1" applyBorder="1" applyAlignment="1">
      <alignment vertical="top"/>
    </xf>
    <xf numFmtId="0" fontId="58" fillId="0" borderId="31" xfId="0" applyFont="1" applyBorder="1" applyAlignment="1">
      <alignment vertical="top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58" fillId="0" borderId="0" xfId="0" applyFont="1" applyBorder="1" applyAlignment="1">
      <alignment vertical="top"/>
    </xf>
    <xf numFmtId="0" fontId="58" fillId="0" borderId="35" xfId="0" applyFont="1" applyBorder="1" applyAlignment="1">
      <alignment vertical="top"/>
    </xf>
    <xf numFmtId="0" fontId="1" fillId="0" borderId="31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35" xfId="0" applyNumberFormat="1" applyFont="1" applyBorder="1" applyAlignment="1">
      <alignment horizontal="center"/>
    </xf>
    <xf numFmtId="7" fontId="22" fillId="0" borderId="0" xfId="0" applyNumberFormat="1" applyFont="1" applyBorder="1" applyAlignment="1">
      <alignment horizontal="center"/>
    </xf>
    <xf numFmtId="7" fontId="22" fillId="0" borderId="35" xfId="0" applyNumberFormat="1" applyFont="1" applyBorder="1" applyAlignment="1">
      <alignment horizontal="center"/>
    </xf>
    <xf numFmtId="0" fontId="58" fillId="0" borderId="16" xfId="0" applyFont="1" applyBorder="1" applyAlignment="1">
      <alignment vertical="top"/>
    </xf>
    <xf numFmtId="0" fontId="1" fillId="0" borderId="9" xfId="0" applyFont="1" applyBorder="1" applyAlignment="1">
      <alignment horizontal="center"/>
    </xf>
    <xf numFmtId="7" fontId="1" fillId="0" borderId="9" xfId="0" applyNumberFormat="1" applyFont="1" applyBorder="1" applyAlignment="1">
      <alignment horizontal="center"/>
    </xf>
    <xf numFmtId="7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8" fillId="0" borderId="0" xfId="0" applyFont="1" applyFill="1" applyAlignment="1">
      <alignment horizontal="center"/>
    </xf>
    <xf numFmtId="173" fontId="58" fillId="0" borderId="0" xfId="0" applyNumberFormat="1" applyFont="1" applyFill="1" applyAlignment="1">
      <alignment vertical="top"/>
    </xf>
    <xf numFmtId="37" fontId="58" fillId="39" borderId="20" xfId="0" applyNumberFormat="1" applyFont="1" applyFill="1" applyBorder="1" applyAlignment="1">
      <alignment/>
    </xf>
    <xf numFmtId="37" fontId="58" fillId="39" borderId="0" xfId="0" applyNumberFormat="1" applyFont="1" applyFill="1" applyBorder="1" applyAlignment="1">
      <alignment/>
    </xf>
    <xf numFmtId="37" fontId="58" fillId="39" borderId="24" xfId="0" applyNumberFormat="1" applyFont="1" applyFill="1" applyBorder="1" applyAlignment="1">
      <alignment/>
    </xf>
    <xf numFmtId="37" fontId="58" fillId="39" borderId="11" xfId="0" applyNumberFormat="1" applyFont="1" applyFill="1" applyBorder="1" applyAlignment="1">
      <alignment/>
    </xf>
    <xf numFmtId="37" fontId="0" fillId="39" borderId="19" xfId="0" applyNumberFormat="1" applyFont="1" applyFill="1" applyBorder="1" applyAlignment="1">
      <alignment/>
    </xf>
    <xf numFmtId="37" fontId="0" fillId="39" borderId="20" xfId="0" applyNumberFormat="1" applyFont="1" applyFill="1" applyBorder="1" applyAlignment="1">
      <alignment/>
    </xf>
    <xf numFmtId="37" fontId="58" fillId="39" borderId="18" xfId="0" applyNumberFormat="1" applyFont="1" applyFill="1" applyBorder="1" applyAlignment="1">
      <alignment/>
    </xf>
    <xf numFmtId="0" fontId="58" fillId="0" borderId="9" xfId="0" applyFont="1" applyBorder="1" applyAlignment="1">
      <alignment vertical="top"/>
    </xf>
    <xf numFmtId="0" fontId="58" fillId="0" borderId="34" xfId="0" applyFont="1" applyFill="1" applyBorder="1" applyAlignment="1">
      <alignment vertical="top"/>
    </xf>
    <xf numFmtId="0" fontId="58" fillId="0" borderId="31" xfId="0" applyFont="1" applyFill="1" applyBorder="1" applyAlignment="1">
      <alignment vertical="top"/>
    </xf>
    <xf numFmtId="0" fontId="31" fillId="36" borderId="0" xfId="0" applyFont="1" applyFill="1" applyAlignment="1">
      <alignment/>
    </xf>
    <xf numFmtId="0" fontId="31" fillId="36" borderId="0" xfId="0" applyFont="1" applyFill="1" applyAlignment="1">
      <alignment vertical="top" wrapText="1"/>
    </xf>
    <xf numFmtId="0" fontId="43" fillId="36" borderId="0" xfId="0" applyFont="1" applyFill="1" applyAlignment="1">
      <alignment/>
    </xf>
    <xf numFmtId="37" fontId="16" fillId="0" borderId="0" xfId="0" applyNumberFormat="1" applyFont="1" applyFill="1" applyAlignment="1" quotePrefix="1">
      <alignment/>
    </xf>
    <xf numFmtId="16" fontId="58" fillId="0" borderId="0" xfId="0" applyNumberFormat="1" applyFont="1" applyAlignment="1">
      <alignment vertical="top"/>
    </xf>
    <xf numFmtId="173" fontId="89" fillId="40" borderId="0" xfId="43" applyNumberFormat="1" applyFont="1" applyFill="1" applyBorder="1" applyAlignment="1">
      <alignment/>
    </xf>
    <xf numFmtId="173" fontId="89" fillId="40" borderId="11" xfId="43" applyNumberFormat="1" applyFont="1" applyFill="1" applyBorder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89" fillId="40" borderId="0" xfId="0" applyFont="1" applyFill="1" applyAlignment="1">
      <alignment/>
    </xf>
    <xf numFmtId="173" fontId="89" fillId="40" borderId="12" xfId="43" applyNumberFormat="1" applyFont="1" applyFill="1" applyBorder="1" applyAlignment="1">
      <alignment/>
    </xf>
    <xf numFmtId="173" fontId="89" fillId="0" borderId="0" xfId="43" applyNumberFormat="1" applyFont="1" applyFill="1" applyBorder="1" applyAlignment="1">
      <alignment/>
    </xf>
    <xf numFmtId="43" fontId="89" fillId="0" borderId="0" xfId="43" applyFont="1" applyFill="1" applyAlignment="1">
      <alignment/>
    </xf>
    <xf numFmtId="14" fontId="3" fillId="0" borderId="0" xfId="0" applyNumberFormat="1" applyFont="1" applyFill="1" applyAlignment="1">
      <alignment horizontal="left"/>
    </xf>
    <xf numFmtId="0" fontId="11" fillId="35" borderId="0" xfId="0" applyFont="1" applyFill="1" applyAlignment="1">
      <alignment/>
    </xf>
    <xf numFmtId="172" fontId="52" fillId="35" borderId="30" xfId="43" applyNumberFormat="1" applyFont="1" applyFill="1" applyBorder="1" applyAlignment="1">
      <alignment horizontal="center"/>
    </xf>
    <xf numFmtId="173" fontId="8" fillId="41" borderId="0" xfId="43" applyNumberFormat="1" applyFont="1" applyFill="1" applyAlignment="1">
      <alignment/>
    </xf>
    <xf numFmtId="0" fontId="29" fillId="0" borderId="11" xfId="59" applyFont="1" applyFill="1" applyBorder="1" quotePrefix="1">
      <alignment/>
      <protection/>
    </xf>
    <xf numFmtId="0" fontId="30" fillId="0" borderId="11" xfId="59" applyFont="1" applyFill="1" applyBorder="1">
      <alignment/>
      <protection/>
    </xf>
    <xf numFmtId="37" fontId="8" fillId="35" borderId="37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17" fillId="0" borderId="0" xfId="59" applyFont="1" applyFill="1" applyBorder="1" applyAlignment="1">
      <alignment horizontal="right"/>
      <protection/>
    </xf>
    <xf numFmtId="0" fontId="29" fillId="0" borderId="0" xfId="59" applyFont="1" applyFill="1" applyBorder="1" applyAlignment="1">
      <alignment horizontal="center"/>
      <protection/>
    </xf>
    <xf numFmtId="43" fontId="11" fillId="0" borderId="0" xfId="0" applyNumberFormat="1" applyFont="1" applyAlignment="1">
      <alignment/>
    </xf>
    <xf numFmtId="44" fontId="11" fillId="0" borderId="0" xfId="45" applyFont="1" applyAlignment="1">
      <alignment/>
    </xf>
    <xf numFmtId="0" fontId="16" fillId="0" borderId="11" xfId="59" applyFont="1" applyFill="1" applyBorder="1">
      <alignment/>
      <protection/>
    </xf>
    <xf numFmtId="37" fontId="16" fillId="35" borderId="11" xfId="0" applyNumberFormat="1" applyFont="1" applyFill="1" applyBorder="1" applyAlignment="1">
      <alignment/>
    </xf>
    <xf numFmtId="37" fontId="29" fillId="0" borderId="30" xfId="59" applyNumberFormat="1" applyFont="1" applyFill="1" applyBorder="1">
      <alignment/>
      <protection/>
    </xf>
    <xf numFmtId="0" fontId="93" fillId="0" borderId="0" xfId="59" applyFont="1" applyFill="1" applyBorder="1">
      <alignment/>
      <protection/>
    </xf>
    <xf numFmtId="0" fontId="71" fillId="0" borderId="0" xfId="59" applyFont="1" applyFill="1">
      <alignment/>
      <protection/>
    </xf>
    <xf numFmtId="0" fontId="93" fillId="0" borderId="0" xfId="59" applyFont="1" applyFill="1" applyBorder="1" quotePrefix="1">
      <alignment/>
      <protection/>
    </xf>
    <xf numFmtId="43" fontId="71" fillId="0" borderId="0" xfId="43" applyFont="1" applyFill="1" applyAlignment="1">
      <alignment/>
    </xf>
    <xf numFmtId="0" fontId="93" fillId="0" borderId="0" xfId="59" applyFont="1" applyFill="1" applyBorder="1" applyAlignment="1">
      <alignment horizontal="right"/>
      <protection/>
    </xf>
    <xf numFmtId="0" fontId="93" fillId="0" borderId="0" xfId="59" applyFont="1" applyFill="1" applyBorder="1" applyAlignment="1">
      <alignment horizontal="center"/>
      <protection/>
    </xf>
    <xf numFmtId="0" fontId="71" fillId="0" borderId="0" xfId="59" applyFont="1" applyFill="1" applyBorder="1">
      <alignment/>
      <protection/>
    </xf>
    <xf numFmtId="0" fontId="29" fillId="0" borderId="23" xfId="59" applyFont="1" applyFill="1" applyBorder="1">
      <alignment/>
      <protection/>
    </xf>
    <xf numFmtId="0" fontId="29" fillId="0" borderId="11" xfId="59" applyFont="1" applyFill="1" applyBorder="1" applyAlignment="1" quotePrefix="1">
      <alignment horizontal="center"/>
      <protection/>
    </xf>
    <xf numFmtId="37" fontId="16" fillId="0" borderId="23" xfId="59" applyNumberFormat="1" applyFont="1" applyFill="1" applyBorder="1">
      <alignment/>
      <protection/>
    </xf>
    <xf numFmtId="37" fontId="16" fillId="0" borderId="11" xfId="59" applyNumberFormat="1" applyFont="1" applyFill="1" applyBorder="1">
      <alignment/>
      <protection/>
    </xf>
    <xf numFmtId="173" fontId="16" fillId="0" borderId="23" xfId="43" applyNumberFormat="1" applyFont="1" applyFill="1" applyBorder="1" applyAlignment="1">
      <alignment/>
    </xf>
    <xf numFmtId="2" fontId="16" fillId="0" borderId="0" xfId="59" applyNumberFormat="1" applyFont="1">
      <alignment/>
      <protection/>
    </xf>
    <xf numFmtId="43" fontId="9" fillId="0" borderId="0" xfId="43" applyFont="1" applyFill="1" applyBorder="1" applyAlignment="1">
      <alignment/>
    </xf>
    <xf numFmtId="43" fontId="8" fillId="0" borderId="0" xfId="0" applyNumberFormat="1" applyFont="1" applyAlignment="1">
      <alignment/>
    </xf>
    <xf numFmtId="43" fontId="8" fillId="0" borderId="0" xfId="43" applyFont="1" applyFill="1" applyAlignment="1">
      <alignment/>
    </xf>
    <xf numFmtId="0" fontId="44" fillId="35" borderId="25" xfId="0" applyFont="1" applyFill="1" applyBorder="1" applyAlignment="1">
      <alignment horizontal="center"/>
    </xf>
    <xf numFmtId="0" fontId="44" fillId="35" borderId="26" xfId="0" applyFont="1" applyFill="1" applyBorder="1" applyAlignment="1">
      <alignment horizontal="center"/>
    </xf>
    <xf numFmtId="37" fontId="44" fillId="35" borderId="0" xfId="0" applyNumberFormat="1" applyFont="1" applyFill="1" applyBorder="1" applyAlignment="1">
      <alignment/>
    </xf>
    <xf numFmtId="0" fontId="17" fillId="35" borderId="25" xfId="0" applyFont="1" applyFill="1" applyBorder="1" applyAlignment="1">
      <alignment horizontal="left" vertical="top" wrapText="1"/>
    </xf>
    <xf numFmtId="0" fontId="8" fillId="35" borderId="26" xfId="0" applyFont="1" applyFill="1" applyBorder="1" applyAlignment="1">
      <alignment vertical="top"/>
    </xf>
    <xf numFmtId="0" fontId="52" fillId="35" borderId="27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52" fillId="35" borderId="27" xfId="0" applyFont="1" applyFill="1" applyBorder="1" applyAlignment="1" quotePrefix="1">
      <alignment horizontal="center"/>
    </xf>
    <xf numFmtId="0" fontId="8" fillId="35" borderId="18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0" fontId="44" fillId="35" borderId="0" xfId="0" applyFont="1" applyFill="1" applyAlignment="1">
      <alignment vertical="top"/>
    </xf>
    <xf numFmtId="0" fontId="8" fillId="35" borderId="19" xfId="0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0" fontId="8" fillId="35" borderId="11" xfId="0" applyFont="1" applyFill="1" applyBorder="1" applyAlignment="1">
      <alignment vertical="top"/>
    </xf>
    <xf numFmtId="37" fontId="8" fillId="35" borderId="11" xfId="45" applyNumberFormat="1" applyFont="1" applyFill="1" applyBorder="1" applyAlignment="1">
      <alignment/>
    </xf>
    <xf numFmtId="3" fontId="8" fillId="35" borderId="24" xfId="0" applyNumberFormat="1" applyFont="1" applyFill="1" applyBorder="1" applyAlignment="1">
      <alignment vertical="top"/>
    </xf>
    <xf numFmtId="3" fontId="44" fillId="35" borderId="37" xfId="0" applyNumberFormat="1" applyFont="1" applyFill="1" applyBorder="1" applyAlignment="1">
      <alignment vertical="top"/>
    </xf>
    <xf numFmtId="0" fontId="44" fillId="35" borderId="24" xfId="0" applyFont="1" applyFill="1" applyBorder="1" applyAlignment="1">
      <alignment vertical="top"/>
    </xf>
    <xf numFmtId="166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8" fillId="0" borderId="0" xfId="0" applyNumberFormat="1" applyFont="1" applyFill="1" applyBorder="1" applyAlignment="1">
      <alignment/>
    </xf>
    <xf numFmtId="43" fontId="16" fillId="0" borderId="0" xfId="43" applyFont="1" applyBorder="1" applyAlignment="1">
      <alignment horizontal="center"/>
    </xf>
    <xf numFmtId="0" fontId="16" fillId="0" borderId="21" xfId="59" applyFont="1" applyBorder="1">
      <alignment/>
      <protection/>
    </xf>
    <xf numFmtId="0" fontId="16" fillId="0" borderId="28" xfId="59" applyFont="1" applyBorder="1">
      <alignment/>
      <protection/>
    </xf>
    <xf numFmtId="0" fontId="29" fillId="0" borderId="21" xfId="59" applyFont="1" applyFill="1" applyBorder="1">
      <alignment/>
      <protection/>
    </xf>
    <xf numFmtId="0" fontId="30" fillId="0" borderId="28" xfId="59" applyFont="1" applyFill="1" applyBorder="1">
      <alignment/>
      <protection/>
    </xf>
    <xf numFmtId="0" fontId="29" fillId="0" borderId="28" xfId="59" applyFont="1" applyFill="1" applyBorder="1" applyAlignment="1" quotePrefix="1">
      <alignment horizontal="center"/>
      <protection/>
    </xf>
    <xf numFmtId="0" fontId="16" fillId="0" borderId="28" xfId="59" applyFont="1" applyFill="1" applyBorder="1">
      <alignment/>
      <protection/>
    </xf>
    <xf numFmtId="0" fontId="29" fillId="0" borderId="28" xfId="59" applyFont="1" applyFill="1" applyBorder="1" quotePrefix="1">
      <alignment/>
      <protection/>
    </xf>
    <xf numFmtId="37" fontId="29" fillId="0" borderId="29" xfId="59" applyNumberFormat="1" applyFont="1" applyFill="1" applyBorder="1">
      <alignment/>
      <protection/>
    </xf>
    <xf numFmtId="37" fontId="16" fillId="0" borderId="21" xfId="59" applyNumberFormat="1" applyFont="1" applyFill="1" applyBorder="1">
      <alignment/>
      <protection/>
    </xf>
    <xf numFmtId="37" fontId="16" fillId="0" borderId="28" xfId="59" applyNumberFormat="1" applyFont="1" applyFill="1" applyBorder="1">
      <alignment/>
      <protection/>
    </xf>
    <xf numFmtId="43" fontId="16" fillId="0" borderId="37" xfId="43" applyFont="1" applyBorder="1" applyAlignment="1">
      <alignment/>
    </xf>
    <xf numFmtId="173" fontId="16" fillId="0" borderId="0" xfId="43" applyNumberFormat="1" applyFont="1" applyBorder="1" applyAlignment="1">
      <alignment horizontal="center"/>
    </xf>
    <xf numFmtId="173" fontId="16" fillId="0" borderId="0" xfId="59" applyNumberFormat="1" applyFont="1" applyFill="1" applyBorder="1">
      <alignment/>
      <protection/>
    </xf>
    <xf numFmtId="173" fontId="16" fillId="0" borderId="21" xfId="43" applyNumberFormat="1" applyFont="1" applyFill="1" applyBorder="1" applyAlignment="1">
      <alignment/>
    </xf>
    <xf numFmtId="173" fontId="16" fillId="0" borderId="28" xfId="43" applyNumberFormat="1" applyFont="1" applyFill="1" applyBorder="1" applyAlignment="1">
      <alignment/>
    </xf>
    <xf numFmtId="173" fontId="16" fillId="0" borderId="29" xfId="59" applyNumberFormat="1" applyFont="1" applyFill="1" applyBorder="1">
      <alignment/>
      <protection/>
    </xf>
    <xf numFmtId="173" fontId="16" fillId="0" borderId="30" xfId="59" applyNumberFormat="1" applyFont="1" applyFill="1" applyBorder="1">
      <alignment/>
      <protection/>
    </xf>
    <xf numFmtId="0" fontId="13" fillId="0" borderId="0" xfId="59" applyFont="1" applyBorder="1">
      <alignment/>
      <protection/>
    </xf>
    <xf numFmtId="0" fontId="8" fillId="42" borderId="0" xfId="0" applyFont="1" applyFill="1" applyAlignment="1">
      <alignment/>
    </xf>
    <xf numFmtId="0" fontId="48" fillId="35" borderId="26" xfId="0" applyFont="1" applyFill="1" applyBorder="1" applyAlignment="1">
      <alignment horizontal="center"/>
    </xf>
    <xf numFmtId="173" fontId="8" fillId="43" borderId="0" xfId="43" applyNumberFormat="1" applyFont="1" applyFill="1" applyAlignment="1">
      <alignment/>
    </xf>
    <xf numFmtId="0" fontId="8" fillId="43" borderId="0" xfId="0" applyFont="1" applyFill="1" applyAlignment="1">
      <alignment horizontal="center"/>
    </xf>
    <xf numFmtId="17" fontId="45" fillId="44" borderId="37" xfId="0" applyNumberFormat="1" applyFont="1" applyFill="1" applyBorder="1" applyAlignment="1" quotePrefix="1">
      <alignment horizontal="left"/>
    </xf>
    <xf numFmtId="2" fontId="0" fillId="44" borderId="37" xfId="0" applyNumberFormat="1" applyFont="1" applyFill="1" applyBorder="1" applyAlignment="1">
      <alignment horizontal="center"/>
    </xf>
    <xf numFmtId="4" fontId="0" fillId="44" borderId="37" xfId="0" applyNumberFormat="1" applyFont="1" applyFill="1" applyBorder="1" applyAlignment="1">
      <alignment horizontal="center"/>
    </xf>
    <xf numFmtId="2" fontId="8" fillId="44" borderId="19" xfId="0" applyNumberFormat="1" applyFont="1" applyFill="1" applyBorder="1" applyAlignment="1">
      <alignment horizontal="center"/>
    </xf>
    <xf numFmtId="169" fontId="8" fillId="44" borderId="20" xfId="0" applyNumberFormat="1" applyFont="1" applyFill="1" applyBorder="1" applyAlignment="1">
      <alignment horizontal="center"/>
    </xf>
    <xf numFmtId="2" fontId="8" fillId="44" borderId="30" xfId="0" applyNumberFormat="1" applyFont="1" applyFill="1" applyBorder="1" applyAlignment="1">
      <alignment horizontal="center"/>
    </xf>
    <xf numFmtId="2" fontId="58" fillId="44" borderId="20" xfId="0" applyNumberFormat="1" applyFont="1" applyFill="1" applyBorder="1" applyAlignment="1">
      <alignment/>
    </xf>
    <xf numFmtId="2" fontId="58" fillId="44" borderId="24" xfId="0" applyNumberFormat="1" applyFont="1" applyFill="1" applyBorder="1" applyAlignment="1">
      <alignment/>
    </xf>
    <xf numFmtId="37" fontId="0" fillId="44" borderId="20" xfId="0" applyNumberFormat="1" applyFont="1" applyFill="1" applyBorder="1" applyAlignment="1">
      <alignment/>
    </xf>
    <xf numFmtId="37" fontId="0" fillId="44" borderId="18" xfId="0" applyNumberFormat="1" applyFont="1" applyFill="1" applyBorder="1" applyAlignment="1">
      <alignment/>
    </xf>
    <xf numFmtId="37" fontId="58" fillId="44" borderId="19" xfId="0" applyNumberFormat="1" applyFont="1" applyFill="1" applyBorder="1" applyAlignment="1">
      <alignment/>
    </xf>
    <xf numFmtId="37" fontId="0" fillId="44" borderId="19" xfId="0" applyNumberFormat="1" applyFont="1" applyFill="1" applyBorder="1" applyAlignment="1">
      <alignment/>
    </xf>
    <xf numFmtId="37" fontId="0" fillId="44" borderId="22" xfId="0" applyNumberFormat="1" applyFont="1" applyFill="1" applyBorder="1" applyAlignment="1">
      <alignment/>
    </xf>
    <xf numFmtId="37" fontId="58" fillId="44" borderId="18" xfId="0" applyNumberFormat="1" applyFont="1" applyFill="1" applyBorder="1" applyAlignment="1">
      <alignment/>
    </xf>
    <xf numFmtId="37" fontId="58" fillId="44" borderId="20" xfId="0" applyNumberFormat="1" applyFont="1" applyFill="1" applyBorder="1" applyAlignment="1">
      <alignment/>
    </xf>
    <xf numFmtId="37" fontId="58" fillId="44" borderId="24" xfId="0" applyNumberFormat="1" applyFont="1" applyFill="1" applyBorder="1" applyAlignment="1">
      <alignment/>
    </xf>
    <xf numFmtId="37" fontId="58" fillId="44" borderId="30" xfId="0" applyNumberFormat="1" applyFont="1" applyFill="1" applyBorder="1" applyAlignment="1">
      <alignment/>
    </xf>
    <xf numFmtId="37" fontId="0" fillId="44" borderId="30" xfId="0" applyNumberFormat="1" applyFont="1" applyFill="1" applyBorder="1" applyAlignment="1">
      <alignment/>
    </xf>
    <xf numFmtId="37" fontId="58" fillId="44" borderId="22" xfId="0" applyNumberFormat="1" applyFont="1" applyFill="1" applyBorder="1" applyAlignment="1">
      <alignment/>
    </xf>
    <xf numFmtId="173" fontId="8" fillId="44" borderId="0" xfId="43" applyNumberFormat="1" applyFont="1" applyFill="1" applyAlignment="1">
      <alignment/>
    </xf>
    <xf numFmtId="173" fontId="8" fillId="44" borderId="22" xfId="0" applyNumberFormat="1" applyFont="1" applyFill="1" applyBorder="1" applyAlignment="1">
      <alignment/>
    </xf>
    <xf numFmtId="173" fontId="8" fillId="44" borderId="20" xfId="0" applyNumberFormat="1" applyFont="1" applyFill="1" applyBorder="1" applyAlignment="1">
      <alignment/>
    </xf>
    <xf numFmtId="173" fontId="8" fillId="44" borderId="24" xfId="43" applyNumberFormat="1" applyFont="1" applyFill="1" applyBorder="1" applyAlignment="1">
      <alignment/>
    </xf>
    <xf numFmtId="173" fontId="8" fillId="44" borderId="24" xfId="0" applyNumberFormat="1" applyFont="1" applyFill="1" applyBorder="1" applyAlignment="1">
      <alignment/>
    </xf>
    <xf numFmtId="37" fontId="0" fillId="44" borderId="24" xfId="0" applyNumberFormat="1" applyFont="1" applyFill="1" applyBorder="1" applyAlignment="1">
      <alignment/>
    </xf>
    <xf numFmtId="37" fontId="4" fillId="44" borderId="20" xfId="0" applyNumberFormat="1" applyFont="1" applyFill="1" applyBorder="1" applyAlignment="1">
      <alignment/>
    </xf>
    <xf numFmtId="37" fontId="0" fillId="44" borderId="29" xfId="0" applyNumberFormat="1" applyFont="1" applyFill="1" applyBorder="1" applyAlignment="1">
      <alignment/>
    </xf>
    <xf numFmtId="37" fontId="4" fillId="44" borderId="24" xfId="0" applyNumberFormat="1" applyFont="1" applyFill="1" applyBorder="1" applyAlignment="1">
      <alignment/>
    </xf>
    <xf numFmtId="37" fontId="0" fillId="44" borderId="0" xfId="0" applyNumberFormat="1" applyFont="1" applyFill="1" applyBorder="1" applyAlignment="1">
      <alignment/>
    </xf>
    <xf numFmtId="37" fontId="44" fillId="44" borderId="22" xfId="0" applyNumberFormat="1" applyFont="1" applyFill="1" applyBorder="1" applyAlignment="1">
      <alignment/>
    </xf>
    <xf numFmtId="37" fontId="44" fillId="44" borderId="20" xfId="0" applyNumberFormat="1" applyFont="1" applyFill="1" applyBorder="1" applyAlignment="1">
      <alignment/>
    </xf>
    <xf numFmtId="37" fontId="44" fillId="44" borderId="24" xfId="0" applyNumberFormat="1" applyFont="1" applyFill="1" applyBorder="1" applyAlignment="1">
      <alignment/>
    </xf>
    <xf numFmtId="37" fontId="58" fillId="44" borderId="21" xfId="0" applyNumberFormat="1" applyFont="1" applyFill="1" applyBorder="1" applyAlignment="1">
      <alignment/>
    </xf>
    <xf numFmtId="37" fontId="44" fillId="44" borderId="21" xfId="0" applyNumberFormat="1" applyFont="1" applyFill="1" applyBorder="1" applyAlignment="1">
      <alignment/>
    </xf>
    <xf numFmtId="37" fontId="0" fillId="44" borderId="21" xfId="0" applyNumberFormat="1" applyFont="1" applyFill="1" applyBorder="1" applyAlignment="1">
      <alignment/>
    </xf>
    <xf numFmtId="1" fontId="0" fillId="44" borderId="29" xfId="0" applyNumberFormat="1" applyFill="1" applyBorder="1" applyAlignment="1">
      <alignment/>
    </xf>
    <xf numFmtId="37" fontId="44" fillId="44" borderId="18" xfId="0" applyNumberFormat="1" applyFont="1" applyFill="1" applyBorder="1" applyAlignment="1">
      <alignment/>
    </xf>
    <xf numFmtId="1" fontId="0" fillId="44" borderId="19" xfId="0" applyNumberFormat="1" applyFill="1" applyBorder="1" applyAlignment="1">
      <alignment/>
    </xf>
    <xf numFmtId="37" fontId="0" fillId="44" borderId="23" xfId="0" applyNumberFormat="1" applyFont="1" applyFill="1" applyBorder="1" applyAlignment="1">
      <alignment/>
    </xf>
    <xf numFmtId="1" fontId="0" fillId="44" borderId="30" xfId="0" applyNumberFormat="1" applyFill="1" applyBorder="1" applyAlignment="1">
      <alignment/>
    </xf>
    <xf numFmtId="37" fontId="0" fillId="44" borderId="22" xfId="0" applyNumberFormat="1" applyFont="1" applyFill="1" applyBorder="1" applyAlignment="1">
      <alignment horizontal="right"/>
    </xf>
    <xf numFmtId="37" fontId="0" fillId="44" borderId="45" xfId="0" applyNumberFormat="1" applyFont="1" applyFill="1" applyBorder="1" applyAlignment="1">
      <alignment horizontal="right"/>
    </xf>
    <xf numFmtId="37" fontId="0" fillId="44" borderId="20" xfId="0" applyNumberFormat="1" applyFont="1" applyFill="1" applyBorder="1" applyAlignment="1">
      <alignment horizontal="right"/>
    </xf>
    <xf numFmtId="37" fontId="0" fillId="44" borderId="46" xfId="0" applyNumberFormat="1" applyFont="1" applyFill="1" applyBorder="1" applyAlignment="1">
      <alignment horizontal="right"/>
    </xf>
    <xf numFmtId="37" fontId="0" fillId="44" borderId="24" xfId="0" applyNumberFormat="1" applyFont="1" applyFill="1" applyBorder="1" applyAlignment="1">
      <alignment horizontal="right"/>
    </xf>
    <xf numFmtId="37" fontId="0" fillId="44" borderId="47" xfId="0" applyNumberFormat="1" applyFont="1" applyFill="1" applyBorder="1" applyAlignment="1">
      <alignment horizontal="right"/>
    </xf>
    <xf numFmtId="37" fontId="0" fillId="44" borderId="39" xfId="0" applyNumberFormat="1" applyFont="1" applyFill="1" applyBorder="1" applyAlignment="1">
      <alignment horizontal="right"/>
    </xf>
    <xf numFmtId="37" fontId="0" fillId="44" borderId="48" xfId="0" applyNumberFormat="1" applyFont="1" applyFill="1" applyBorder="1" applyAlignment="1">
      <alignment/>
    </xf>
    <xf numFmtId="37" fontId="0" fillId="44" borderId="48" xfId="0" applyNumberFormat="1" applyFont="1" applyFill="1" applyBorder="1" applyAlignment="1">
      <alignment horizontal="right"/>
    </xf>
    <xf numFmtId="37" fontId="0" fillId="44" borderId="20" xfId="0" applyNumberFormat="1" applyFont="1" applyFill="1" applyBorder="1" applyAlignment="1">
      <alignment/>
    </xf>
    <xf numFmtId="37" fontId="0" fillId="44" borderId="40" xfId="0" applyNumberFormat="1" applyFont="1" applyFill="1" applyBorder="1" applyAlignment="1">
      <alignment horizontal="right"/>
    </xf>
    <xf numFmtId="37" fontId="0" fillId="44" borderId="40" xfId="0" applyNumberFormat="1" applyFont="1" applyFill="1" applyBorder="1" applyAlignment="1">
      <alignment/>
    </xf>
    <xf numFmtId="173" fontId="9" fillId="44" borderId="0" xfId="43" applyNumberFormat="1" applyFont="1" applyFill="1" applyAlignment="1">
      <alignment/>
    </xf>
    <xf numFmtId="37" fontId="58" fillId="44" borderId="23" xfId="0" applyNumberFormat="1" applyFont="1" applyFill="1" applyBorder="1" applyAlignment="1">
      <alignment/>
    </xf>
    <xf numFmtId="173" fontId="9" fillId="44" borderId="24" xfId="43" applyNumberFormat="1" applyFont="1" applyFill="1" applyBorder="1" applyAlignment="1">
      <alignment/>
    </xf>
    <xf numFmtId="37" fontId="0" fillId="44" borderId="11" xfId="0" applyNumberFormat="1" applyFont="1" applyFill="1" applyBorder="1" applyAlignment="1">
      <alignment/>
    </xf>
    <xf numFmtId="37" fontId="81" fillId="44" borderId="22" xfId="0" applyNumberFormat="1" applyFont="1" applyFill="1" applyBorder="1" applyAlignment="1">
      <alignment/>
    </xf>
    <xf numFmtId="37" fontId="81" fillId="44" borderId="20" xfId="0" applyNumberFormat="1" applyFont="1" applyFill="1" applyBorder="1" applyAlignment="1">
      <alignment/>
    </xf>
    <xf numFmtId="37" fontId="81" fillId="44" borderId="24" xfId="0" applyNumberFormat="1" applyFont="1" applyFill="1" applyBorder="1" applyAlignment="1">
      <alignment/>
    </xf>
    <xf numFmtId="0" fontId="57" fillId="44" borderId="0" xfId="0" applyFont="1" applyFill="1" applyBorder="1" applyAlignment="1" quotePrefix="1">
      <alignment/>
    </xf>
    <xf numFmtId="0" fontId="57" fillId="44" borderId="0" xfId="0" applyFont="1" applyFill="1" applyBorder="1" applyAlignment="1">
      <alignment/>
    </xf>
    <xf numFmtId="0" fontId="57" fillId="44" borderId="19" xfId="0" applyFont="1" applyFill="1" applyBorder="1" applyAlignment="1">
      <alignment/>
    </xf>
    <xf numFmtId="0" fontId="44" fillId="44" borderId="0" xfId="0" applyFont="1" applyFill="1" applyBorder="1" applyAlignment="1">
      <alignment/>
    </xf>
    <xf numFmtId="0" fontId="44" fillId="44" borderId="19" xfId="0" applyFont="1" applyFill="1" applyBorder="1" applyAlignment="1">
      <alignment/>
    </xf>
    <xf numFmtId="0" fontId="44" fillId="44" borderId="11" xfId="0" applyFont="1" applyFill="1" applyBorder="1" applyAlignment="1">
      <alignment/>
    </xf>
    <xf numFmtId="0" fontId="44" fillId="44" borderId="30" xfId="0" applyFont="1" applyFill="1" applyBorder="1" applyAlignment="1">
      <alignment/>
    </xf>
    <xf numFmtId="37" fontId="81" fillId="44" borderId="18" xfId="0" applyNumberFormat="1" applyFont="1" applyFill="1" applyBorder="1" applyAlignment="1">
      <alignment/>
    </xf>
    <xf numFmtId="37" fontId="81" fillId="44" borderId="19" xfId="0" applyNumberFormat="1" applyFont="1" applyFill="1" applyBorder="1" applyAlignment="1">
      <alignment/>
    </xf>
    <xf numFmtId="37" fontId="81" fillId="44" borderId="23" xfId="0" applyNumberFormat="1" applyFont="1" applyFill="1" applyBorder="1" applyAlignment="1">
      <alignment/>
    </xf>
    <xf numFmtId="37" fontId="81" fillId="44" borderId="30" xfId="0" applyNumberFormat="1" applyFont="1" applyFill="1" applyBorder="1" applyAlignment="1">
      <alignment/>
    </xf>
    <xf numFmtId="37" fontId="81" fillId="44" borderId="0" xfId="0" applyNumberFormat="1" applyFont="1" applyFill="1" applyBorder="1" applyAlignment="1">
      <alignment/>
    </xf>
    <xf numFmtId="37" fontId="81" fillId="44" borderId="11" xfId="0" applyNumberFormat="1" applyFont="1" applyFill="1" applyBorder="1" applyAlignment="1">
      <alignment/>
    </xf>
    <xf numFmtId="37" fontId="0" fillId="44" borderId="24" xfId="0" applyNumberFormat="1" applyFont="1" applyFill="1" applyBorder="1" applyAlignment="1">
      <alignment/>
    </xf>
    <xf numFmtId="3" fontId="8" fillId="44" borderId="21" xfId="0" applyNumberFormat="1" applyFont="1" applyFill="1" applyBorder="1" applyAlignment="1">
      <alignment vertical="top"/>
    </xf>
    <xf numFmtId="3" fontId="8" fillId="44" borderId="22" xfId="0" applyNumberFormat="1" applyFont="1" applyFill="1" applyBorder="1" applyAlignment="1">
      <alignment vertical="top"/>
    </xf>
    <xf numFmtId="3" fontId="8" fillId="44" borderId="18" xfId="0" applyNumberFormat="1" applyFont="1" applyFill="1" applyBorder="1" applyAlignment="1">
      <alignment vertical="top"/>
    </xf>
    <xf numFmtId="3" fontId="8" fillId="44" borderId="20" xfId="0" applyNumberFormat="1" applyFont="1" applyFill="1" applyBorder="1" applyAlignment="1">
      <alignment vertical="top"/>
    </xf>
    <xf numFmtId="3" fontId="8" fillId="44" borderId="11" xfId="0" applyNumberFormat="1" applyFont="1" applyFill="1" applyBorder="1" applyAlignment="1">
      <alignment vertical="top"/>
    </xf>
    <xf numFmtId="3" fontId="8" fillId="44" borderId="24" xfId="0" applyNumberFormat="1" applyFont="1" applyFill="1" applyBorder="1" applyAlignment="1">
      <alignment vertical="top"/>
    </xf>
    <xf numFmtId="3" fontId="8" fillId="44" borderId="23" xfId="0" applyNumberFormat="1" applyFont="1" applyFill="1" applyBorder="1" applyAlignment="1">
      <alignment vertical="top"/>
    </xf>
    <xf numFmtId="39" fontId="0" fillId="44" borderId="22" xfId="0" applyNumberFormat="1" applyFont="1" applyFill="1" applyBorder="1" applyAlignment="1">
      <alignment/>
    </xf>
    <xf numFmtId="39" fontId="0" fillId="44" borderId="20" xfId="0" applyNumberFormat="1" applyFont="1" applyFill="1" applyBorder="1" applyAlignment="1">
      <alignment/>
    </xf>
    <xf numFmtId="39" fontId="0" fillId="44" borderId="24" xfId="0" applyNumberFormat="1" applyFont="1" applyFill="1" applyBorder="1" applyAlignment="1">
      <alignment/>
    </xf>
    <xf numFmtId="0" fontId="57" fillId="44" borderId="18" xfId="0" applyFont="1" applyFill="1" applyBorder="1" applyAlignment="1">
      <alignment/>
    </xf>
    <xf numFmtId="37" fontId="44" fillId="44" borderId="0" xfId="0" applyNumberFormat="1" applyFont="1" applyFill="1" applyBorder="1" applyAlignment="1">
      <alignment/>
    </xf>
    <xf numFmtId="0" fontId="44" fillId="44" borderId="28" xfId="0" applyFont="1" applyFill="1" applyBorder="1" applyAlignment="1">
      <alignment/>
    </xf>
    <xf numFmtId="0" fontId="44" fillId="44" borderId="29" xfId="0" applyFont="1" applyFill="1" applyBorder="1" applyAlignment="1">
      <alignment/>
    </xf>
    <xf numFmtId="0" fontId="57" fillId="44" borderId="0" xfId="0" applyFont="1" applyFill="1" applyAlignment="1">
      <alignment/>
    </xf>
    <xf numFmtId="0" fontId="57" fillId="44" borderId="23" xfId="0" applyFont="1" applyFill="1" applyBorder="1" applyAlignment="1">
      <alignment/>
    </xf>
    <xf numFmtId="37" fontId="44" fillId="44" borderId="11" xfId="0" applyNumberFormat="1" applyFont="1" applyFill="1" applyBorder="1" applyAlignment="1">
      <alignment/>
    </xf>
    <xf numFmtId="37" fontId="44" fillId="2" borderId="37" xfId="0" applyNumberFormat="1" applyFont="1" applyFill="1" applyBorder="1" applyAlignment="1">
      <alignment/>
    </xf>
    <xf numFmtId="37" fontId="9" fillId="44" borderId="20" xfId="0" applyNumberFormat="1" applyFont="1" applyFill="1" applyBorder="1" applyAlignment="1">
      <alignment/>
    </xf>
    <xf numFmtId="37" fontId="58" fillId="44" borderId="0" xfId="0" applyNumberFormat="1" applyFont="1" applyFill="1" applyBorder="1" applyAlignment="1">
      <alignment/>
    </xf>
    <xf numFmtId="37" fontId="58" fillId="44" borderId="11" xfId="0" applyNumberFormat="1" applyFont="1" applyFill="1" applyBorder="1" applyAlignment="1">
      <alignment/>
    </xf>
    <xf numFmtId="37" fontId="58" fillId="45" borderId="0" xfId="0" applyNumberFormat="1" applyFont="1" applyFill="1" applyBorder="1" applyAlignment="1">
      <alignment/>
    </xf>
    <xf numFmtId="37" fontId="58" fillId="2" borderId="20" xfId="0" applyNumberFormat="1" applyFont="1" applyFill="1" applyBorder="1" applyAlignment="1">
      <alignment/>
    </xf>
    <xf numFmtId="37" fontId="58" fillId="2" borderId="0" xfId="0" applyNumberFormat="1" applyFont="1" applyFill="1" applyBorder="1" applyAlignment="1">
      <alignment/>
    </xf>
    <xf numFmtId="37" fontId="58" fillId="2" borderId="21" xfId="0" applyNumberFormat="1" applyFont="1" applyFill="1" applyBorder="1" applyAlignment="1">
      <alignment/>
    </xf>
    <xf numFmtId="37" fontId="58" fillId="2" borderId="0" xfId="0" applyNumberFormat="1" applyFont="1" applyFill="1" applyBorder="1" applyAlignment="1">
      <alignment horizontal="right"/>
    </xf>
    <xf numFmtId="37" fontId="48" fillId="2" borderId="37" xfId="0" applyNumberFormat="1" applyFont="1" applyFill="1" applyBorder="1" applyAlignment="1">
      <alignment/>
    </xf>
    <xf numFmtId="37" fontId="44" fillId="2" borderId="27" xfId="0" applyNumberFormat="1" applyFont="1" applyFill="1" applyBorder="1" applyAlignment="1">
      <alignment/>
    </xf>
    <xf numFmtId="39" fontId="8" fillId="44" borderId="20" xfId="0" applyNumberFormat="1" applyFont="1" applyFill="1" applyBorder="1" applyAlignment="1">
      <alignment/>
    </xf>
    <xf numFmtId="39" fontId="8" fillId="44" borderId="19" xfId="0" applyNumberFormat="1" applyFont="1" applyFill="1" applyBorder="1" applyAlignment="1">
      <alignment/>
    </xf>
    <xf numFmtId="39" fontId="8" fillId="44" borderId="24" xfId="0" applyNumberFormat="1" applyFont="1" applyFill="1" applyBorder="1" applyAlignment="1">
      <alignment/>
    </xf>
    <xf numFmtId="39" fontId="8" fillId="44" borderId="30" xfId="0" applyNumberFormat="1" applyFont="1" applyFill="1" applyBorder="1" applyAlignment="1">
      <alignment/>
    </xf>
    <xf numFmtId="173" fontId="69" fillId="44" borderId="37" xfId="43" applyNumberFormat="1" applyFont="1" applyFill="1" applyBorder="1" applyAlignment="1">
      <alignment horizontal="center"/>
    </xf>
    <xf numFmtId="173" fontId="82" fillId="44" borderId="37" xfId="43" applyNumberFormat="1" applyFont="1" applyFill="1" applyBorder="1" applyAlignment="1">
      <alignment horizontal="center"/>
    </xf>
    <xf numFmtId="37" fontId="0" fillId="44" borderId="24" xfId="0" applyNumberFormat="1" applyFont="1" applyFill="1" applyBorder="1" applyAlignment="1">
      <alignment horizontal="center"/>
    </xf>
    <xf numFmtId="37" fontId="81" fillId="44" borderId="30" xfId="0" applyNumberFormat="1" applyFont="1" applyFill="1" applyBorder="1" applyAlignment="1">
      <alignment horizontal="center"/>
    </xf>
    <xf numFmtId="37" fontId="0" fillId="44" borderId="37" xfId="0" applyNumberFormat="1" applyFont="1" applyFill="1" applyBorder="1" applyAlignment="1">
      <alignment horizontal="center"/>
    </xf>
    <xf numFmtId="37" fontId="58" fillId="44" borderId="18" xfId="0" applyNumberFormat="1" applyFont="1" applyFill="1" applyBorder="1" applyAlignment="1">
      <alignment horizontal="right"/>
    </xf>
    <xf numFmtId="37" fontId="58" fillId="44" borderId="23" xfId="0" applyNumberFormat="1" applyFont="1" applyFill="1" applyBorder="1" applyAlignment="1">
      <alignment horizontal="right"/>
    </xf>
    <xf numFmtId="37" fontId="58" fillId="44" borderId="11" xfId="0" applyNumberFormat="1" applyFont="1" applyFill="1" applyBorder="1" applyAlignment="1">
      <alignment horizontal="right"/>
    </xf>
    <xf numFmtId="37" fontId="44" fillId="2" borderId="0" xfId="0" applyNumberFormat="1" applyFont="1" applyFill="1" applyAlignment="1">
      <alignment/>
    </xf>
    <xf numFmtId="0" fontId="46" fillId="44" borderId="25" xfId="0" applyFont="1" applyFill="1" applyBorder="1" applyAlignment="1">
      <alignment horizontal="right"/>
    </xf>
    <xf numFmtId="0" fontId="8" fillId="45" borderId="0" xfId="0" applyFont="1" applyFill="1" applyAlignment="1">
      <alignment/>
    </xf>
    <xf numFmtId="0" fontId="50" fillId="45" borderId="0" xfId="0" applyFont="1" applyFill="1" applyAlignment="1">
      <alignment/>
    </xf>
    <xf numFmtId="0" fontId="44" fillId="45" borderId="0" xfId="0" applyFont="1" applyFill="1" applyAlignment="1">
      <alignment/>
    </xf>
    <xf numFmtId="0" fontId="59" fillId="45" borderId="0" xfId="0" applyFont="1" applyFill="1" applyAlignment="1">
      <alignment/>
    </xf>
    <xf numFmtId="0" fontId="7" fillId="45" borderId="0" xfId="0" applyFont="1" applyFill="1" applyAlignment="1">
      <alignment/>
    </xf>
    <xf numFmtId="17" fontId="8" fillId="45" borderId="0" xfId="0" applyNumberFormat="1" applyFont="1" applyFill="1" applyAlignment="1">
      <alignment/>
    </xf>
    <xf numFmtId="17" fontId="8" fillId="45" borderId="0" xfId="0" applyNumberFormat="1" applyFont="1" applyFill="1" applyBorder="1" applyAlignment="1" quotePrefix="1">
      <alignment/>
    </xf>
    <xf numFmtId="17" fontId="8" fillId="45" borderId="0" xfId="0" applyNumberFormat="1" applyFont="1" applyFill="1" applyBorder="1" applyAlignment="1">
      <alignment/>
    </xf>
    <xf numFmtId="17" fontId="8" fillId="45" borderId="0" xfId="0" applyNumberFormat="1" applyFont="1" applyFill="1" applyAlignment="1" quotePrefix="1">
      <alignment/>
    </xf>
    <xf numFmtId="17" fontId="15" fillId="45" borderId="0" xfId="0" applyNumberFormat="1" applyFont="1" applyFill="1" applyAlignment="1">
      <alignment/>
    </xf>
    <xf numFmtId="164" fontId="8" fillId="45" borderId="0" xfId="0" applyNumberFormat="1" applyFont="1" applyFill="1" applyBorder="1" applyAlignment="1">
      <alignment horizontal="center"/>
    </xf>
    <xf numFmtId="2" fontId="8" fillId="45" borderId="0" xfId="0" applyNumberFormat="1" applyFont="1" applyFill="1" applyAlignment="1">
      <alignment/>
    </xf>
    <xf numFmtId="0" fontId="16" fillId="45" borderId="0" xfId="0" applyFont="1" applyFill="1" applyAlignment="1">
      <alignment/>
    </xf>
    <xf numFmtId="2" fontId="8" fillId="45" borderId="0" xfId="0" applyNumberFormat="1" applyFont="1" applyFill="1" applyBorder="1" applyAlignment="1">
      <alignment/>
    </xf>
    <xf numFmtId="0" fontId="8" fillId="45" borderId="0" xfId="0" applyFont="1" applyFill="1" applyBorder="1" applyAlignment="1">
      <alignment/>
    </xf>
    <xf numFmtId="0" fontId="61" fillId="45" borderId="0" xfId="0" applyFont="1" applyFill="1" applyBorder="1" applyAlignment="1">
      <alignment/>
    </xf>
    <xf numFmtId="0" fontId="11" fillId="45" borderId="0" xfId="0" applyFont="1" applyFill="1" applyBorder="1" applyAlignment="1">
      <alignment horizontal="center"/>
    </xf>
    <xf numFmtId="211" fontId="60" fillId="45" borderId="0" xfId="0" applyNumberFormat="1" applyFont="1" applyFill="1" applyBorder="1" applyAlignment="1">
      <alignment horizontal="left"/>
    </xf>
    <xf numFmtId="37" fontId="8" fillId="45" borderId="0" xfId="0" applyNumberFormat="1" applyFont="1" applyFill="1" applyBorder="1" applyAlignment="1">
      <alignment/>
    </xf>
    <xf numFmtId="37" fontId="60" fillId="45" borderId="0" xfId="0" applyNumberFormat="1" applyFont="1" applyFill="1" applyBorder="1" applyAlignment="1">
      <alignment/>
    </xf>
    <xf numFmtId="37" fontId="14" fillId="45" borderId="0" xfId="0" applyNumberFormat="1" applyFont="1" applyFill="1" applyBorder="1" applyAlignment="1">
      <alignment/>
    </xf>
    <xf numFmtId="37" fontId="11" fillId="45" borderId="0" xfId="0" applyNumberFormat="1" applyFont="1" applyFill="1" applyBorder="1" applyAlignment="1">
      <alignment/>
    </xf>
    <xf numFmtId="37" fontId="9" fillId="45" borderId="0" xfId="0" applyNumberFormat="1" applyFont="1" applyFill="1" applyBorder="1" applyAlignment="1">
      <alignment/>
    </xf>
    <xf numFmtId="211" fontId="15" fillId="45" borderId="0" xfId="0" applyNumberFormat="1" applyFont="1" applyFill="1" applyBorder="1" applyAlignment="1">
      <alignment horizontal="left"/>
    </xf>
    <xf numFmtId="37" fontId="11" fillId="45" borderId="0" xfId="0" applyNumberFormat="1" applyFont="1" applyFill="1" applyBorder="1" applyAlignment="1">
      <alignment horizontal="center"/>
    </xf>
    <xf numFmtId="37" fontId="15" fillId="45" borderId="0" xfId="0" applyNumberFormat="1" applyFont="1" applyFill="1" applyBorder="1" applyAlignment="1">
      <alignment/>
    </xf>
    <xf numFmtId="0" fontId="8" fillId="45" borderId="0" xfId="0" applyFont="1" applyFill="1" applyAlignment="1">
      <alignment horizontal="left"/>
    </xf>
    <xf numFmtId="0" fontId="12" fillId="45" borderId="0" xfId="0" applyFont="1" applyFill="1" applyAlignment="1">
      <alignment horizontal="left"/>
    </xf>
    <xf numFmtId="37" fontId="10" fillId="45" borderId="0" xfId="0" applyNumberFormat="1" applyFont="1" applyFill="1" applyBorder="1" applyAlignment="1">
      <alignment horizontal="center"/>
    </xf>
    <xf numFmtId="37" fontId="8" fillId="45" borderId="0" xfId="0" applyNumberFormat="1" applyFont="1" applyFill="1" applyAlignment="1">
      <alignment/>
    </xf>
    <xf numFmtId="0" fontId="10" fillId="45" borderId="0" xfId="0" applyFont="1" applyFill="1" applyBorder="1" applyAlignment="1">
      <alignment horizontal="center"/>
    </xf>
    <xf numFmtId="37" fontId="8" fillId="45" borderId="0" xfId="0" applyNumberFormat="1" applyFont="1" applyFill="1" applyBorder="1" applyAlignment="1">
      <alignment horizontal="right"/>
    </xf>
    <xf numFmtId="0" fontId="63" fillId="45" borderId="0" xfId="0" applyFont="1" applyFill="1" applyAlignment="1">
      <alignment/>
    </xf>
    <xf numFmtId="37" fontId="8" fillId="45" borderId="0" xfId="0" applyNumberFormat="1" applyFont="1" applyFill="1" applyBorder="1" applyAlignment="1">
      <alignment horizontal="center"/>
    </xf>
    <xf numFmtId="37" fontId="0" fillId="45" borderId="0" xfId="0" applyNumberFormat="1" applyFont="1" applyFill="1" applyBorder="1" applyAlignment="1">
      <alignment/>
    </xf>
    <xf numFmtId="37" fontId="73" fillId="45" borderId="0" xfId="0" applyNumberFormat="1" applyFont="1" applyFill="1" applyBorder="1" applyAlignment="1">
      <alignment/>
    </xf>
    <xf numFmtId="37" fontId="44" fillId="45" borderId="0" xfId="0" applyNumberFormat="1" applyFont="1" applyFill="1" applyBorder="1" applyAlignment="1">
      <alignment/>
    </xf>
    <xf numFmtId="0" fontId="48" fillId="45" borderId="0" xfId="0" applyFont="1" applyFill="1" applyAlignment="1">
      <alignment horizontal="center"/>
    </xf>
    <xf numFmtId="0" fontId="44" fillId="45" borderId="0" xfId="0" applyFont="1" applyFill="1" applyBorder="1" applyAlignment="1">
      <alignment/>
    </xf>
    <xf numFmtId="0" fontId="44" fillId="45" borderId="0" xfId="0" applyFont="1" applyFill="1" applyAlignment="1">
      <alignment horizontal="left"/>
    </xf>
    <xf numFmtId="0" fontId="44" fillId="45" borderId="11" xfId="0" applyFont="1" applyFill="1" applyBorder="1" applyAlignment="1">
      <alignment/>
    </xf>
    <xf numFmtId="0" fontId="66" fillId="45" borderId="0" xfId="0" applyFont="1" applyFill="1" applyAlignment="1">
      <alignment/>
    </xf>
    <xf numFmtId="0" fontId="56" fillId="45" borderId="0" xfId="0" applyFont="1" applyFill="1" applyBorder="1" applyAlignment="1">
      <alignment/>
    </xf>
    <xf numFmtId="0" fontId="44" fillId="45" borderId="0" xfId="0" applyFont="1" applyFill="1" applyBorder="1" applyAlignment="1" quotePrefix="1">
      <alignment/>
    </xf>
    <xf numFmtId="173" fontId="44" fillId="45" borderId="0" xfId="43" applyNumberFormat="1" applyFont="1" applyFill="1" applyBorder="1" applyAlignment="1">
      <alignment/>
    </xf>
    <xf numFmtId="10" fontId="44" fillId="45" borderId="0" xfId="64" applyNumberFormat="1" applyFont="1" applyFill="1" applyBorder="1" applyAlignment="1">
      <alignment/>
    </xf>
    <xf numFmtId="0" fontId="44" fillId="45" borderId="18" xfId="0" applyFont="1" applyFill="1" applyBorder="1" applyAlignment="1">
      <alignment/>
    </xf>
    <xf numFmtId="0" fontId="44" fillId="45" borderId="0" xfId="0" applyFont="1" applyFill="1" applyBorder="1" applyAlignment="1">
      <alignment horizontal="center"/>
    </xf>
    <xf numFmtId="173" fontId="44" fillId="45" borderId="0" xfId="0" applyNumberFormat="1" applyFont="1" applyFill="1" applyBorder="1" applyAlignment="1">
      <alignment/>
    </xf>
    <xf numFmtId="43" fontId="44" fillId="45" borderId="0" xfId="0" applyNumberFormat="1" applyFont="1" applyFill="1" applyBorder="1" applyAlignment="1">
      <alignment/>
    </xf>
    <xf numFmtId="39" fontId="44" fillId="45" borderId="0" xfId="0" applyNumberFormat="1" applyFont="1" applyFill="1" applyBorder="1" applyAlignment="1">
      <alignment/>
    </xf>
    <xf numFmtId="0" fontId="48" fillId="45" borderId="0" xfId="0" applyFont="1" applyFill="1" applyAlignment="1">
      <alignment/>
    </xf>
    <xf numFmtId="37" fontId="44" fillId="45" borderId="0" xfId="0" applyNumberFormat="1" applyFont="1" applyFill="1" applyAlignment="1">
      <alignment/>
    </xf>
    <xf numFmtId="4" fontId="0" fillId="45" borderId="0" xfId="0" applyNumberFormat="1" applyFont="1" applyFill="1" applyAlignment="1">
      <alignment/>
    </xf>
    <xf numFmtId="0" fontId="0" fillId="45" borderId="0" xfId="0" applyFont="1" applyFill="1" applyAlignment="1">
      <alignment/>
    </xf>
    <xf numFmtId="0" fontId="48" fillId="45" borderId="0" xfId="0" applyFont="1" applyFill="1" applyBorder="1" applyAlignment="1">
      <alignment horizontal="center"/>
    </xf>
    <xf numFmtId="39" fontId="59" fillId="45" borderId="0" xfId="0" applyNumberFormat="1" applyFont="1" applyFill="1" applyBorder="1" applyAlignment="1">
      <alignment/>
    </xf>
    <xf numFmtId="0" fontId="57" fillId="45" borderId="0" xfId="0" applyFont="1" applyFill="1" applyAlignment="1">
      <alignment/>
    </xf>
    <xf numFmtId="167" fontId="44" fillId="45" borderId="0" xfId="0" applyNumberFormat="1" applyFont="1" applyFill="1" applyBorder="1" applyAlignment="1">
      <alignment/>
    </xf>
    <xf numFmtId="166" fontId="44" fillId="45" borderId="0" xfId="0" applyNumberFormat="1" applyFont="1" applyFill="1" applyBorder="1" applyAlignment="1">
      <alignment/>
    </xf>
    <xf numFmtId="2" fontId="44" fillId="45" borderId="0" xfId="0" applyNumberFormat="1" applyFont="1" applyFill="1" applyBorder="1" applyAlignment="1">
      <alignment/>
    </xf>
    <xf numFmtId="0" fontId="48" fillId="45" borderId="0" xfId="0" applyFont="1" applyFill="1" applyBorder="1" applyAlignment="1">
      <alignment/>
    </xf>
    <xf numFmtId="0" fontId="44" fillId="45" borderId="28" xfId="0" applyFont="1" applyFill="1" applyBorder="1" applyAlignment="1">
      <alignment horizontal="center"/>
    </xf>
    <xf numFmtId="0" fontId="44" fillId="45" borderId="25" xfId="0" applyFont="1" applyFill="1" applyBorder="1" applyAlignment="1">
      <alignment horizontal="center"/>
    </xf>
    <xf numFmtId="0" fontId="44" fillId="45" borderId="26" xfId="0" applyFont="1" applyFill="1" applyBorder="1" applyAlignment="1">
      <alignment horizontal="center"/>
    </xf>
    <xf numFmtId="0" fontId="44" fillId="45" borderId="27" xfId="0" applyFont="1" applyFill="1" applyBorder="1" applyAlignment="1">
      <alignment horizontal="center"/>
    </xf>
    <xf numFmtId="0" fontId="44" fillId="45" borderId="0" xfId="0" applyFont="1" applyFill="1" applyAlignment="1" quotePrefix="1">
      <alignment/>
    </xf>
    <xf numFmtId="173" fontId="44" fillId="45" borderId="0" xfId="43" applyNumberFormat="1" applyFont="1" applyFill="1" applyAlignment="1">
      <alignment/>
    </xf>
    <xf numFmtId="37" fontId="0" fillId="45" borderId="0" xfId="0" applyNumberFormat="1" applyFont="1" applyFill="1" applyAlignment="1">
      <alignment/>
    </xf>
    <xf numFmtId="43" fontId="44" fillId="45" borderId="0" xfId="43" applyFont="1" applyFill="1" applyAlignment="1">
      <alignment/>
    </xf>
    <xf numFmtId="37" fontId="62" fillId="45" borderId="0" xfId="0" applyNumberFormat="1" applyFont="1" applyFill="1" applyBorder="1" applyAlignment="1">
      <alignment/>
    </xf>
    <xf numFmtId="37" fontId="65" fillId="45" borderId="0" xfId="0" applyNumberFormat="1" applyFont="1" applyFill="1" applyBorder="1" applyAlignment="1">
      <alignment/>
    </xf>
    <xf numFmtId="0" fontId="64" fillId="45" borderId="0" xfId="0" applyFont="1" applyFill="1" applyAlignment="1">
      <alignment/>
    </xf>
    <xf numFmtId="0" fontId="62" fillId="45" borderId="0" xfId="0" applyFont="1" applyFill="1" applyAlignment="1">
      <alignment/>
    </xf>
    <xf numFmtId="44" fontId="44" fillId="45" borderId="0" xfId="45" applyFont="1" applyFill="1" applyBorder="1" applyAlignment="1">
      <alignment/>
    </xf>
    <xf numFmtId="37" fontId="17" fillId="45" borderId="0" xfId="0" applyNumberFormat="1" applyFont="1" applyFill="1" applyBorder="1" applyAlignment="1">
      <alignment horizontal="left"/>
    </xf>
    <xf numFmtId="37" fontId="44" fillId="45" borderId="29" xfId="0" applyNumberFormat="1" applyFont="1" applyFill="1" applyBorder="1" applyAlignment="1">
      <alignment/>
    </xf>
    <xf numFmtId="37" fontId="53" fillId="45" borderId="19" xfId="0" applyNumberFormat="1" applyFont="1" applyFill="1" applyBorder="1" applyAlignment="1">
      <alignment/>
    </xf>
    <xf numFmtId="37" fontId="44" fillId="45" borderId="19" xfId="0" applyNumberFormat="1" applyFont="1" applyFill="1" applyBorder="1" applyAlignment="1">
      <alignment/>
    </xf>
    <xf numFmtId="44" fontId="8" fillId="45" borderId="0" xfId="45" applyFont="1" applyFill="1" applyAlignment="1">
      <alignment/>
    </xf>
    <xf numFmtId="37" fontId="44" fillId="45" borderId="0" xfId="0" applyNumberFormat="1" applyFont="1" applyFill="1" applyBorder="1" applyAlignment="1">
      <alignment horizontal="right"/>
    </xf>
    <xf numFmtId="37" fontId="44" fillId="45" borderId="0" xfId="0" applyNumberFormat="1" applyFont="1" applyFill="1" applyBorder="1" applyAlignment="1">
      <alignment horizontal="center"/>
    </xf>
    <xf numFmtId="37" fontId="84" fillId="45" borderId="0" xfId="0" applyNumberFormat="1" applyFont="1" applyFill="1" applyBorder="1" applyAlignment="1">
      <alignment/>
    </xf>
    <xf numFmtId="173" fontId="44" fillId="45" borderId="0" xfId="43" applyNumberFormat="1" applyFont="1" applyFill="1" applyAlignment="1">
      <alignment/>
    </xf>
    <xf numFmtId="44" fontId="50" fillId="45" borderId="0" xfId="45" applyFont="1" applyFill="1" applyAlignment="1">
      <alignment/>
    </xf>
    <xf numFmtId="0" fontId="57" fillId="45" borderId="0" xfId="0" applyFont="1" applyFill="1" applyBorder="1" applyAlignment="1">
      <alignment/>
    </xf>
    <xf numFmtId="211" fontId="94" fillId="45" borderId="0" xfId="0" applyNumberFormat="1" applyFont="1" applyFill="1" applyBorder="1" applyAlignment="1">
      <alignment horizontal="left"/>
    </xf>
    <xf numFmtId="0" fontId="57" fillId="44" borderId="21" xfId="0" applyFont="1" applyFill="1" applyBorder="1" applyAlignment="1" quotePrefix="1">
      <alignment/>
    </xf>
    <xf numFmtId="0" fontId="57" fillId="44" borderId="28" xfId="0" applyFont="1" applyFill="1" applyBorder="1" applyAlignment="1">
      <alignment/>
    </xf>
    <xf numFmtId="0" fontId="57" fillId="44" borderId="29" xfId="0" applyFont="1" applyFill="1" applyBorder="1" applyAlignment="1">
      <alignment/>
    </xf>
    <xf numFmtId="0" fontId="57" fillId="44" borderId="23" xfId="0" applyFont="1" applyFill="1" applyBorder="1" applyAlignment="1" quotePrefix="1">
      <alignment/>
    </xf>
    <xf numFmtId="0" fontId="57" fillId="44" borderId="11" xfId="0" applyFont="1" applyFill="1" applyBorder="1" applyAlignment="1">
      <alignment/>
    </xf>
    <xf numFmtId="0" fontId="57" fillId="44" borderId="30" xfId="0" applyFont="1" applyFill="1" applyBorder="1" applyAlignment="1">
      <alignment/>
    </xf>
    <xf numFmtId="0" fontId="70" fillId="45" borderId="0" xfId="0" applyFont="1" applyFill="1" applyAlignment="1">
      <alignment/>
    </xf>
    <xf numFmtId="0" fontId="44" fillId="2" borderId="37" xfId="0" applyFont="1" applyFill="1" applyBorder="1" applyAlignment="1">
      <alignment horizontal="center"/>
    </xf>
    <xf numFmtId="37" fontId="0" fillId="2" borderId="22" xfId="0" applyNumberFormat="1" applyFont="1" applyFill="1" applyBorder="1" applyAlignment="1">
      <alignment/>
    </xf>
    <xf numFmtId="37" fontId="0" fillId="2" borderId="20" xfId="0" applyNumberFormat="1" applyFont="1" applyFill="1" applyBorder="1" applyAlignment="1">
      <alignment/>
    </xf>
    <xf numFmtId="37" fontId="0" fillId="2" borderId="24" xfId="0" applyNumberFormat="1" applyFont="1" applyFill="1" applyBorder="1" applyAlignment="1">
      <alignment/>
    </xf>
    <xf numFmtId="0" fontId="44" fillId="35" borderId="26" xfId="0" applyFont="1" applyFill="1" applyBorder="1" applyAlignment="1">
      <alignment vertical="top"/>
    </xf>
    <xf numFmtId="37" fontId="58" fillId="46" borderId="30" xfId="0" applyNumberFormat="1" applyFont="1" applyFill="1" applyBorder="1" applyAlignment="1">
      <alignment/>
    </xf>
    <xf numFmtId="37" fontId="58" fillId="46" borderId="37" xfId="0" applyNumberFormat="1" applyFont="1" applyFill="1" applyBorder="1" applyAlignment="1">
      <alignment/>
    </xf>
    <xf numFmtId="0" fontId="44" fillId="46" borderId="11" xfId="0" applyFont="1" applyFill="1" applyBorder="1" applyAlignment="1">
      <alignment/>
    </xf>
    <xf numFmtId="37" fontId="44" fillId="46" borderId="11" xfId="0" applyNumberFormat="1" applyFont="1" applyFill="1" applyBorder="1" applyAlignment="1">
      <alignment/>
    </xf>
    <xf numFmtId="37" fontId="0" fillId="46" borderId="0" xfId="0" applyNumberFormat="1" applyFont="1" applyFill="1" applyBorder="1" applyAlignment="1">
      <alignment/>
    </xf>
    <xf numFmtId="37" fontId="44" fillId="46" borderId="0" xfId="0" applyNumberFormat="1" applyFont="1" applyFill="1" applyBorder="1" applyAlignment="1">
      <alignment/>
    </xf>
    <xf numFmtId="0" fontId="14" fillId="45" borderId="0" xfId="0" applyFont="1" applyFill="1" applyBorder="1" applyAlignment="1">
      <alignment horizontal="center"/>
    </xf>
    <xf numFmtId="211" fontId="87" fillId="45" borderId="0" xfId="0" applyNumberFormat="1" applyFont="1" applyFill="1" applyBorder="1" applyAlignment="1">
      <alignment horizontal="left"/>
    </xf>
    <xf numFmtId="0" fontId="15" fillId="45" borderId="0" xfId="0" applyFont="1" applyFill="1" applyAlignment="1">
      <alignment/>
    </xf>
    <xf numFmtId="0" fontId="78" fillId="45" borderId="0" xfId="0" applyFont="1" applyFill="1" applyAlignment="1">
      <alignment horizontal="center" wrapText="1"/>
    </xf>
    <xf numFmtId="0" fontId="79" fillId="45" borderId="0" xfId="0" applyFont="1" applyFill="1" applyAlignment="1">
      <alignment/>
    </xf>
    <xf numFmtId="37" fontId="44" fillId="46" borderId="27" xfId="0" applyNumberFormat="1" applyFont="1" applyFill="1" applyBorder="1" applyAlignment="1">
      <alignment/>
    </xf>
    <xf numFmtId="173" fontId="16" fillId="0" borderId="0" xfId="43" applyNumberFormat="1" applyFont="1" applyFill="1" applyBorder="1" applyAlignment="1">
      <alignment horizontal="center"/>
    </xf>
    <xf numFmtId="37" fontId="0" fillId="46" borderId="19" xfId="0" applyNumberFormat="1" applyFont="1" applyFill="1" applyBorder="1" applyAlignment="1">
      <alignment/>
    </xf>
    <xf numFmtId="37" fontId="0" fillId="46" borderId="24" xfId="0" applyNumberFormat="1" applyFont="1" applyFill="1" applyBorder="1" applyAlignment="1">
      <alignment/>
    </xf>
    <xf numFmtId="0" fontId="26" fillId="0" borderId="31" xfId="59" applyFont="1" applyBorder="1">
      <alignment/>
      <protection/>
    </xf>
    <xf numFmtId="0" fontId="16" fillId="0" borderId="35" xfId="59" applyFont="1" applyBorder="1">
      <alignment/>
      <protection/>
    </xf>
    <xf numFmtId="37" fontId="16" fillId="0" borderId="30" xfId="59" applyNumberFormat="1" applyFont="1" applyFill="1" applyBorder="1">
      <alignment/>
      <protection/>
    </xf>
    <xf numFmtId="0" fontId="38" fillId="45" borderId="0" xfId="0" applyFont="1" applyFill="1" applyAlignment="1">
      <alignment/>
    </xf>
    <xf numFmtId="0" fontId="45" fillId="45" borderId="0" xfId="0" applyFont="1" applyFill="1" applyBorder="1" applyAlignment="1">
      <alignment/>
    </xf>
    <xf numFmtId="164" fontId="0" fillId="45" borderId="0" xfId="0" applyNumberFormat="1" applyFont="1" applyFill="1" applyBorder="1" applyAlignment="1">
      <alignment horizontal="center"/>
    </xf>
    <xf numFmtId="0" fontId="132" fillId="45" borderId="0" xfId="0" applyFont="1" applyFill="1" applyAlignment="1">
      <alignment horizontal="left" wrapText="1"/>
    </xf>
    <xf numFmtId="37" fontId="0" fillId="45" borderId="0" xfId="0" applyNumberFormat="1" applyFont="1" applyFill="1" applyBorder="1" applyAlignment="1">
      <alignment/>
    </xf>
    <xf numFmtId="10" fontId="133" fillId="0" borderId="0" xfId="43" applyNumberFormat="1" applyFont="1" applyFill="1" applyAlignment="1">
      <alignment/>
    </xf>
    <xf numFmtId="0" fontId="0" fillId="36" borderId="0" xfId="0" applyFont="1" applyFill="1" applyAlignment="1">
      <alignment/>
    </xf>
    <xf numFmtId="173" fontId="9" fillId="45" borderId="0" xfId="43" applyNumberFormat="1" applyFont="1" applyFill="1" applyAlignment="1">
      <alignment/>
    </xf>
    <xf numFmtId="173" fontId="8" fillId="46" borderId="0" xfId="43" applyNumberFormat="1" applyFont="1" applyFill="1" applyAlignment="1">
      <alignment/>
    </xf>
    <xf numFmtId="37" fontId="0" fillId="44" borderId="0" xfId="0" applyNumberFormat="1" applyFont="1" applyFill="1" applyBorder="1" applyAlignment="1">
      <alignment/>
    </xf>
    <xf numFmtId="0" fontId="8" fillId="46" borderId="0" xfId="0" applyFont="1" applyFill="1" applyAlignment="1">
      <alignment/>
    </xf>
    <xf numFmtId="0" fontId="8" fillId="46" borderId="0" xfId="0" applyFont="1" applyFill="1" applyAlignment="1">
      <alignment horizontal="center"/>
    </xf>
    <xf numFmtId="44" fontId="8" fillId="0" borderId="0" xfId="45" applyFont="1" applyAlignment="1">
      <alignment/>
    </xf>
    <xf numFmtId="0" fontId="44" fillId="45" borderId="0" xfId="0" applyFont="1" applyFill="1" applyBorder="1" applyAlignment="1">
      <alignment horizontal="center"/>
    </xf>
    <xf numFmtId="2" fontId="58" fillId="45" borderId="0" xfId="0" applyNumberFormat="1" applyFont="1" applyFill="1" applyBorder="1" applyAlignment="1">
      <alignment/>
    </xf>
    <xf numFmtId="2" fontId="58" fillId="44" borderId="22" xfId="0" applyNumberFormat="1" applyFont="1" applyFill="1" applyBorder="1" applyAlignment="1">
      <alignment/>
    </xf>
    <xf numFmtId="0" fontId="48" fillId="46" borderId="22" xfId="0" applyFont="1" applyFill="1" applyBorder="1" applyAlignment="1">
      <alignment/>
    </xf>
    <xf numFmtId="0" fontId="48" fillId="46" borderId="22" xfId="0" applyFont="1" applyFill="1" applyBorder="1" applyAlignment="1">
      <alignment horizontal="center"/>
    </xf>
    <xf numFmtId="0" fontId="48" fillId="46" borderId="29" xfId="0" applyFont="1" applyFill="1" applyBorder="1" applyAlignment="1">
      <alignment horizontal="center"/>
    </xf>
    <xf numFmtId="1" fontId="48" fillId="45" borderId="22" xfId="0" applyNumberFormat="1" applyFont="1" applyFill="1" applyBorder="1" applyAlignment="1">
      <alignment/>
    </xf>
    <xf numFmtId="1" fontId="48" fillId="45" borderId="24" xfId="0" applyNumberFormat="1" applyFont="1" applyFill="1" applyBorder="1" applyAlignment="1">
      <alignment/>
    </xf>
    <xf numFmtId="0" fontId="134" fillId="45" borderId="22" xfId="0" applyFont="1" applyFill="1" applyBorder="1" applyAlignment="1">
      <alignment horizontal="center"/>
    </xf>
    <xf numFmtId="0" fontId="134" fillId="45" borderId="24" xfId="0" applyFont="1" applyFill="1" applyBorder="1" applyAlignment="1">
      <alignment horizontal="center"/>
    </xf>
    <xf numFmtId="0" fontId="8" fillId="45" borderId="0" xfId="0" applyFont="1" applyFill="1" applyAlignment="1" quotePrefix="1">
      <alignment horizontal="center"/>
    </xf>
    <xf numFmtId="0" fontId="16" fillId="47" borderId="0" xfId="0" applyFont="1" applyFill="1" applyAlignment="1">
      <alignment/>
    </xf>
    <xf numFmtId="0" fontId="16" fillId="48" borderId="0" xfId="0" applyFont="1" applyFill="1" applyAlignment="1">
      <alignment/>
    </xf>
    <xf numFmtId="190" fontId="8" fillId="0" borderId="0" xfId="0" applyNumberFormat="1" applyFont="1" applyAlignment="1">
      <alignment/>
    </xf>
    <xf numFmtId="0" fontId="44" fillId="45" borderId="11" xfId="0" applyFont="1" applyFill="1" applyBorder="1" applyAlignment="1">
      <alignment horizontal="center"/>
    </xf>
    <xf numFmtId="7" fontId="8" fillId="0" borderId="0" xfId="0" applyNumberFormat="1" applyFont="1" applyAlignment="1">
      <alignment/>
    </xf>
    <xf numFmtId="37" fontId="0" fillId="44" borderId="20" xfId="0" applyNumberFormat="1" applyFont="1" applyFill="1" applyBorder="1" applyAlignment="1">
      <alignment horizontal="center"/>
    </xf>
    <xf numFmtId="37" fontId="0" fillId="46" borderId="20" xfId="0" applyNumberFormat="1" applyFont="1" applyFill="1" applyBorder="1" applyAlignment="1">
      <alignment horizontal="center"/>
    </xf>
    <xf numFmtId="164" fontId="0" fillId="45" borderId="19" xfId="0" applyNumberFormat="1" applyFont="1" applyFill="1" applyBorder="1" applyAlignment="1">
      <alignment horizontal="center"/>
    </xf>
    <xf numFmtId="164" fontId="0" fillId="45" borderId="30" xfId="0" applyNumberFormat="1" applyFont="1" applyFill="1" applyBorder="1" applyAlignment="1">
      <alignment horizontal="center"/>
    </xf>
    <xf numFmtId="0" fontId="95" fillId="45" borderId="0" xfId="0" applyFont="1" applyFill="1" applyBorder="1" applyAlignment="1">
      <alignment/>
    </xf>
    <xf numFmtId="0" fontId="96" fillId="0" borderId="0" xfId="0" applyFont="1" applyFill="1" applyAlignment="1">
      <alignment/>
    </xf>
    <xf numFmtId="37" fontId="0" fillId="44" borderId="19" xfId="0" applyNumberFormat="1" applyFont="1" applyFill="1" applyBorder="1" applyAlignment="1">
      <alignment/>
    </xf>
    <xf numFmtId="14" fontId="38" fillId="45" borderId="0" xfId="0" applyNumberFormat="1" applyFont="1" applyFill="1" applyAlignment="1">
      <alignment horizontal="left"/>
    </xf>
    <xf numFmtId="173" fontId="11" fillId="35" borderId="0" xfId="43" applyNumberFormat="1" applyFont="1" applyFill="1" applyAlignment="1">
      <alignment/>
    </xf>
    <xf numFmtId="173" fontId="11" fillId="46" borderId="0" xfId="43" applyNumberFormat="1" applyFont="1" applyFill="1" applyAlignment="1">
      <alignment/>
    </xf>
    <xf numFmtId="173" fontId="11" fillId="0" borderId="0" xfId="43" applyNumberFormat="1" applyFont="1" applyAlignment="1">
      <alignment/>
    </xf>
    <xf numFmtId="0" fontId="9" fillId="45" borderId="0" xfId="0" applyFont="1" applyFill="1" applyBorder="1" applyAlignment="1">
      <alignment horizontal="center" vertical="top" wrapText="1"/>
    </xf>
    <xf numFmtId="173" fontId="8" fillId="45" borderId="0" xfId="43" applyNumberFormat="1" applyFont="1" applyFill="1" applyAlignment="1">
      <alignment/>
    </xf>
    <xf numFmtId="44" fontId="8" fillId="45" borderId="0" xfId="45" applyFont="1" applyFill="1" applyBorder="1" applyAlignment="1">
      <alignment/>
    </xf>
    <xf numFmtId="173" fontId="8" fillId="45" borderId="0" xfId="43" applyNumberFormat="1" applyFont="1" applyFill="1" applyBorder="1" applyAlignment="1">
      <alignment/>
    </xf>
    <xf numFmtId="0" fontId="8" fillId="45" borderId="0" xfId="0" applyFont="1" applyFill="1" applyAlignment="1">
      <alignment horizontal="center"/>
    </xf>
    <xf numFmtId="0" fontId="44" fillId="35" borderId="37" xfId="0" applyFont="1" applyFill="1" applyBorder="1" applyAlignment="1">
      <alignment horizontal="center"/>
    </xf>
    <xf numFmtId="0" fontId="44" fillId="35" borderId="25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/>
    </xf>
    <xf numFmtId="0" fontId="44" fillId="35" borderId="26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8" fillId="35" borderId="23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30" xfId="0" applyFont="1" applyFill="1" applyBorder="1" applyAlignment="1">
      <alignment horizontal="center"/>
    </xf>
    <xf numFmtId="0" fontId="44" fillId="45" borderId="0" xfId="0" applyFont="1" applyFill="1" applyBorder="1" applyAlignment="1">
      <alignment horizontal="center"/>
    </xf>
    <xf numFmtId="0" fontId="48" fillId="35" borderId="25" xfId="0" applyFont="1" applyFill="1" applyBorder="1" applyAlignment="1">
      <alignment horizontal="center"/>
    </xf>
    <xf numFmtId="0" fontId="48" fillId="35" borderId="26" xfId="0" applyFont="1" applyFill="1" applyBorder="1" applyAlignment="1">
      <alignment horizontal="center"/>
    </xf>
    <xf numFmtId="0" fontId="48" fillId="35" borderId="27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left"/>
    </xf>
    <xf numFmtId="0" fontId="45" fillId="35" borderId="26" xfId="0" applyFont="1" applyFill="1" applyBorder="1" applyAlignment="1">
      <alignment horizontal="left"/>
    </xf>
    <xf numFmtId="0" fontId="45" fillId="35" borderId="27" xfId="0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4" fillId="0" borderId="0" xfId="0" applyFont="1" applyFill="1" applyAlignment="1">
      <alignment wrapText="1"/>
    </xf>
    <xf numFmtId="0" fontId="1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0" fillId="0" borderId="28" xfId="0" applyFont="1" applyBorder="1" applyAlignment="1">
      <alignment horizontal="center"/>
    </xf>
    <xf numFmtId="37" fontId="11" fillId="0" borderId="11" xfId="0" applyNumberFormat="1" applyFont="1" applyBorder="1" applyAlignment="1">
      <alignment horizontal="center"/>
    </xf>
    <xf numFmtId="0" fontId="11" fillId="0" borderId="36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PS-565TRANS" xfId="59"/>
    <cellStyle name="Normal_Transmission Purchases 2010 Actual" xfId="60"/>
    <cellStyle name="Note" xfId="61"/>
    <cellStyle name="ntec" xfId="62"/>
    <cellStyle name="Output" xfId="63"/>
    <cellStyle name="Percent" xfId="64"/>
    <cellStyle name="PSChar" xfId="65"/>
    <cellStyle name="PSHeading" xfId="66"/>
    <cellStyle name="PSSpacer" xfId="67"/>
    <cellStyle name="Title" xfId="68"/>
    <cellStyle name="Total" xfId="69"/>
    <cellStyle name="Warning Text" xfId="70"/>
  </cellStyles>
  <dxfs count="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 descr="logo_AEP-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 descr="Print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 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3" customWidth="1"/>
    <col min="2" max="2" width="25.421875" style="3" customWidth="1"/>
    <col min="3" max="3" width="23.7109375" style="3" customWidth="1"/>
    <col min="4" max="4" width="25.28125" style="3" customWidth="1"/>
    <col min="5" max="5" width="23.421875" style="3" customWidth="1"/>
    <col min="6" max="6" width="23.8515625" style="3" customWidth="1"/>
    <col min="7" max="8" width="17.140625" style="3" customWidth="1"/>
    <col min="9" max="9" width="2.7109375" style="3" customWidth="1"/>
    <col min="10" max="10" width="16.8515625" style="3" customWidth="1"/>
    <col min="11" max="11" width="2.7109375" style="3" customWidth="1"/>
    <col min="12" max="12" width="16.28125" style="3" customWidth="1"/>
    <col min="13" max="13" width="15.421875" style="3" customWidth="1"/>
    <col min="14" max="14" width="2.7109375" style="3" customWidth="1"/>
    <col min="15" max="15" width="14.421875" style="3" customWidth="1"/>
    <col min="16" max="16" width="13.7109375" style="3" customWidth="1"/>
    <col min="17" max="17" width="9.7109375" style="3" customWidth="1"/>
    <col min="18" max="18" width="16.00390625" style="3" customWidth="1"/>
    <col min="19" max="19" width="13.00390625" style="3" customWidth="1"/>
    <col min="20" max="20" width="8.140625" style="3" customWidth="1"/>
    <col min="21" max="21" width="14.57421875" style="3" bestFit="1" customWidth="1"/>
    <col min="22" max="22" width="2.7109375" style="3" customWidth="1"/>
    <col min="23" max="23" width="14.8515625" style="3" bestFit="1" customWidth="1"/>
    <col min="24" max="24" width="13.140625" style="3" bestFit="1" customWidth="1"/>
    <col min="25" max="25" width="14.7109375" style="3" customWidth="1"/>
    <col min="26" max="16384" width="9.140625" style="3" customWidth="1"/>
  </cols>
  <sheetData>
    <row r="1" spans="1:25" ht="16.5">
      <c r="A1" s="1011"/>
      <c r="B1" s="444" t="s">
        <v>918</v>
      </c>
      <c r="C1" s="896" t="s">
        <v>2140</v>
      </c>
      <c r="D1" s="1"/>
      <c r="E1" s="1017"/>
      <c r="F1" s="1017"/>
      <c r="G1" s="1017"/>
      <c r="H1" s="1018"/>
      <c r="I1" s="1011"/>
      <c r="J1" s="533" t="s">
        <v>1733</v>
      </c>
      <c r="K1" s="534"/>
      <c r="L1" s="534"/>
      <c r="M1" s="534"/>
      <c r="N1" s="535"/>
      <c r="O1" s="535"/>
      <c r="P1" s="535"/>
      <c r="Q1" s="535"/>
      <c r="R1" s="536"/>
      <c r="S1" s="1013"/>
      <c r="T1" s="1013"/>
      <c r="U1" s="1013"/>
      <c r="V1" s="1013"/>
      <c r="W1" s="1013"/>
      <c r="X1" s="1013"/>
      <c r="Y1" s="1013"/>
    </row>
    <row r="2" spans="1:25" ht="19.5">
      <c r="A2" s="1011"/>
      <c r="B2" s="1015"/>
      <c r="C2" s="1016"/>
      <c r="D2" s="1016"/>
      <c r="E2" s="1019"/>
      <c r="F2" s="1019"/>
      <c r="G2" s="1019"/>
      <c r="H2" s="1020"/>
      <c r="I2" s="1011"/>
      <c r="J2" s="537"/>
      <c r="K2" s="538" t="s">
        <v>919</v>
      </c>
      <c r="L2" s="539"/>
      <c r="M2" s="537"/>
      <c r="N2" s="538" t="s">
        <v>920</v>
      </c>
      <c r="O2" s="539"/>
      <c r="P2" s="537"/>
      <c r="Q2" s="538" t="s">
        <v>921</v>
      </c>
      <c r="R2" s="539"/>
      <c r="S2" s="1052"/>
      <c r="T2" s="1013"/>
      <c r="U2" s="1013"/>
      <c r="V2" s="1013"/>
      <c r="W2" s="1013"/>
      <c r="X2" s="1013"/>
      <c r="Y2" s="1013"/>
    </row>
    <row r="3" spans="1:25" ht="15">
      <c r="A3" s="1011"/>
      <c r="B3" s="1011"/>
      <c r="C3" s="1011"/>
      <c r="D3" s="1011"/>
      <c r="E3" s="1011"/>
      <c r="F3" s="1011"/>
      <c r="G3" s="1011"/>
      <c r="H3" s="1011"/>
      <c r="I3" s="1011"/>
      <c r="J3" s="481" t="s">
        <v>922</v>
      </c>
      <c r="K3" s="482" t="s">
        <v>923</v>
      </c>
      <c r="L3" s="467" t="s">
        <v>924</v>
      </c>
      <c r="M3" s="481" t="s">
        <v>922</v>
      </c>
      <c r="N3" s="482"/>
      <c r="O3" s="467" t="s">
        <v>924</v>
      </c>
      <c r="P3" s="481" t="s">
        <v>922</v>
      </c>
      <c r="Q3" s="482"/>
      <c r="R3" s="467" t="s">
        <v>924</v>
      </c>
      <c r="S3" s="1013"/>
      <c r="T3" s="1013"/>
      <c r="U3" s="1013"/>
      <c r="V3" s="1013"/>
      <c r="W3" s="1013"/>
      <c r="X3" s="1013"/>
      <c r="Y3" s="1013"/>
    </row>
    <row r="4" spans="1:25" ht="16.5">
      <c r="A4" s="1012" t="s">
        <v>2082</v>
      </c>
      <c r="B4" s="445" t="s">
        <v>925</v>
      </c>
      <c r="C4" s="449"/>
      <c r="D4" s="678"/>
      <c r="E4" s="1129"/>
      <c r="F4" s="1049"/>
      <c r="G4" s="1025"/>
      <c r="H4" s="1025"/>
      <c r="I4" s="1011"/>
      <c r="J4" s="908">
        <v>15913496</v>
      </c>
      <c r="K4" s="544"/>
      <c r="L4" s="907">
        <v>0</v>
      </c>
      <c r="M4" s="905">
        <v>40242204.42</v>
      </c>
      <c r="N4" s="544"/>
      <c r="O4" s="907">
        <v>11205026.21</v>
      </c>
      <c r="P4" s="905">
        <v>0</v>
      </c>
      <c r="Q4" s="544"/>
      <c r="R4" s="908">
        <v>0</v>
      </c>
      <c r="S4" s="1049"/>
      <c r="T4" s="1049"/>
      <c r="U4" s="1049"/>
      <c r="V4" s="1049"/>
      <c r="W4" s="1049"/>
      <c r="X4" s="1049"/>
      <c r="Y4" s="1049"/>
    </row>
    <row r="5" spans="1:25" ht="15">
      <c r="A5" s="1011"/>
      <c r="B5" s="446" t="s">
        <v>926</v>
      </c>
      <c r="C5" s="1159">
        <v>0.3052</v>
      </c>
      <c r="D5" s="1021"/>
      <c r="E5" s="1049"/>
      <c r="F5" s="1130"/>
      <c r="G5" s="1021"/>
      <c r="H5" s="1021"/>
      <c r="I5" s="1011"/>
      <c r="J5" s="904">
        <v>3192734</v>
      </c>
      <c r="K5" s="544"/>
      <c r="L5" s="907">
        <v>0</v>
      </c>
      <c r="M5" s="905">
        <v>9882268.91</v>
      </c>
      <c r="N5" s="544"/>
      <c r="O5" s="907">
        <v>1060193.2</v>
      </c>
      <c r="P5" s="905">
        <v>0</v>
      </c>
      <c r="Q5" s="544"/>
      <c r="R5" s="904">
        <v>0</v>
      </c>
      <c r="S5" s="1053"/>
      <c r="T5" s="1049"/>
      <c r="U5" s="1049"/>
      <c r="V5" s="1049"/>
      <c r="W5" s="1049"/>
      <c r="X5" s="1183"/>
      <c r="Y5" s="1183"/>
    </row>
    <row r="6" spans="1:25" ht="15">
      <c r="A6" s="1011"/>
      <c r="B6" s="447" t="s">
        <v>927</v>
      </c>
      <c r="C6" s="1159">
        <v>0.06409</v>
      </c>
      <c r="D6" s="1021"/>
      <c r="E6" s="1049"/>
      <c r="F6" s="1130"/>
      <c r="G6" s="1021"/>
      <c r="H6" s="1021"/>
      <c r="I6" s="1011"/>
      <c r="J6" s="904">
        <v>225789</v>
      </c>
      <c r="K6" s="544"/>
      <c r="L6" s="907">
        <v>0</v>
      </c>
      <c r="M6" s="905">
        <v>7104337</v>
      </c>
      <c r="N6" s="544"/>
      <c r="O6" s="907">
        <v>27821025.66</v>
      </c>
      <c r="P6" s="905">
        <v>0</v>
      </c>
      <c r="Q6" s="544"/>
      <c r="R6" s="904">
        <v>0</v>
      </c>
      <c r="S6" s="1054"/>
      <c r="T6" s="1049"/>
      <c r="U6" s="1049"/>
      <c r="V6" s="1049"/>
      <c r="W6" s="1049"/>
      <c r="X6" s="1055"/>
      <c r="Y6" s="1056"/>
    </row>
    <row r="7" spans="1:25" ht="15">
      <c r="A7" s="1011"/>
      <c r="B7" s="447" t="s">
        <v>928</v>
      </c>
      <c r="C7" s="1159">
        <v>0.20368</v>
      </c>
      <c r="D7" s="1021"/>
      <c r="E7" s="1049"/>
      <c r="F7" s="1130"/>
      <c r="G7" s="1021"/>
      <c r="H7" s="1021"/>
      <c r="I7" s="1011"/>
      <c r="J7" s="904">
        <v>0</v>
      </c>
      <c r="K7" s="544"/>
      <c r="L7" s="907">
        <v>19332019</v>
      </c>
      <c r="M7" s="905">
        <v>11023548</v>
      </c>
      <c r="N7" s="544"/>
      <c r="O7" s="907">
        <v>28166113.8</v>
      </c>
      <c r="P7" s="905">
        <v>0</v>
      </c>
      <c r="Q7" s="544"/>
      <c r="R7" s="904">
        <v>0</v>
      </c>
      <c r="S7" s="1049"/>
      <c r="T7" s="1049"/>
      <c r="U7" s="1049"/>
      <c r="V7" s="1049"/>
      <c r="W7" s="1049"/>
      <c r="X7" s="1055"/>
      <c r="Y7" s="1056"/>
    </row>
    <row r="8" spans="1:25" ht="15">
      <c r="A8" s="1011"/>
      <c r="B8" s="447" t="s">
        <v>929</v>
      </c>
      <c r="C8" s="1159">
        <v>0.42703</v>
      </c>
      <c r="D8" s="1021"/>
      <c r="E8" s="1049"/>
      <c r="F8" s="1130"/>
      <c r="G8" s="1021"/>
      <c r="H8" s="1021"/>
      <c r="I8" s="1011"/>
      <c r="J8" s="920">
        <v>0</v>
      </c>
      <c r="K8" s="544"/>
      <c r="L8" s="951">
        <v>0</v>
      </c>
      <c r="M8" s="934">
        <v>0</v>
      </c>
      <c r="N8" s="544"/>
      <c r="O8" s="913">
        <v>0</v>
      </c>
      <c r="P8" s="934">
        <v>0</v>
      </c>
      <c r="Q8" s="544"/>
      <c r="R8" s="920">
        <v>0</v>
      </c>
      <c r="S8" s="1049"/>
      <c r="T8" s="1049"/>
      <c r="U8" s="1049"/>
      <c r="V8" s="1049"/>
      <c r="W8" s="1049"/>
      <c r="X8" s="1055"/>
      <c r="Y8" s="1049"/>
    </row>
    <row r="9" spans="1:25" ht="15">
      <c r="A9" s="1011" t="s">
        <v>923</v>
      </c>
      <c r="B9" s="447" t="s">
        <v>1754</v>
      </c>
      <c r="C9" s="1160">
        <v>0</v>
      </c>
      <c r="D9" s="1021" t="s">
        <v>923</v>
      </c>
      <c r="E9" s="1049"/>
      <c r="F9" s="1130"/>
      <c r="G9" s="1021"/>
      <c r="H9" s="1021"/>
      <c r="I9" s="1011"/>
      <c r="J9" s="546">
        <f>SUM(J4:J8)</f>
        <v>19332019</v>
      </c>
      <c r="K9" s="548"/>
      <c r="L9" s="548">
        <f>SUM(L4:L8)</f>
        <v>19332019</v>
      </c>
      <c r="M9" s="546">
        <f>SUM(M4:M8)</f>
        <v>68252358.33</v>
      </c>
      <c r="N9" s="548"/>
      <c r="O9" s="548">
        <f>SUM(O4:O8)</f>
        <v>68252358.87</v>
      </c>
      <c r="P9" s="546">
        <f>SUM(P4:P8)</f>
        <v>0</v>
      </c>
      <c r="Q9" s="548"/>
      <c r="R9" s="559">
        <f>SUM(R4:R8)</f>
        <v>0</v>
      </c>
      <c r="S9" s="1057"/>
      <c r="T9" s="1049"/>
      <c r="U9" s="1049"/>
      <c r="V9" s="1049"/>
      <c r="W9" s="1049"/>
      <c r="X9" s="1049"/>
      <c r="Y9" s="1049"/>
    </row>
    <row r="10" spans="1:25" ht="15">
      <c r="A10" s="1011"/>
      <c r="B10" s="448" t="s">
        <v>543</v>
      </c>
      <c r="C10" s="549">
        <f>SUM(C5:C9)</f>
        <v>1</v>
      </c>
      <c r="D10" s="1021"/>
      <c r="E10" s="1021"/>
      <c r="F10" s="1021"/>
      <c r="G10" s="1021"/>
      <c r="H10" s="1021"/>
      <c r="I10" s="1011"/>
      <c r="J10" s="508"/>
      <c r="K10" s="540" t="s">
        <v>1755</v>
      </c>
      <c r="L10" s="529"/>
      <c r="M10" s="508"/>
      <c r="N10" s="540" t="s">
        <v>1756</v>
      </c>
      <c r="O10" s="529"/>
      <c r="P10" s="1047"/>
      <c r="Q10" s="1047"/>
      <c r="R10" s="1047"/>
      <c r="S10" s="1049"/>
      <c r="T10" s="1049"/>
      <c r="U10" s="1049"/>
      <c r="V10" s="1049"/>
      <c r="W10" s="1049"/>
      <c r="X10" s="1049"/>
      <c r="Y10" s="1049"/>
    </row>
    <row r="11" spans="1:25" ht="15">
      <c r="A11" s="1011"/>
      <c r="D11" s="443"/>
      <c r="E11" s="1011"/>
      <c r="F11" s="1011"/>
      <c r="G11" s="1011"/>
      <c r="H11" s="1011"/>
      <c r="I11" s="1011"/>
      <c r="J11" s="541" t="s">
        <v>1757</v>
      </c>
      <c r="K11" s="542"/>
      <c r="L11" s="543" t="s">
        <v>1758</v>
      </c>
      <c r="M11" s="541" t="s">
        <v>1759</v>
      </c>
      <c r="N11" s="542"/>
      <c r="O11" s="543" t="s">
        <v>924</v>
      </c>
      <c r="P11" s="1047"/>
      <c r="Q11" s="1047"/>
      <c r="R11" s="1047"/>
      <c r="S11" s="1049"/>
      <c r="T11" s="1049"/>
      <c r="U11" s="1049"/>
      <c r="V11" s="1049"/>
      <c r="W11" s="1058"/>
      <c r="X11" s="1058"/>
      <c r="Y11" s="1058"/>
    </row>
    <row r="12" spans="1:25" ht="16.5">
      <c r="A12" s="1013" t="s">
        <v>2083</v>
      </c>
      <c r="B12" s="451" t="s">
        <v>1760</v>
      </c>
      <c r="C12" s="897">
        <v>2.939906647457367</v>
      </c>
      <c r="D12" s="452" t="s">
        <v>1995</v>
      </c>
      <c r="E12" s="1022"/>
      <c r="F12" s="1022"/>
      <c r="G12" s="1022"/>
      <c r="H12" s="1022"/>
      <c r="I12" s="1011"/>
      <c r="J12" s="905">
        <v>1789812.973</v>
      </c>
      <c r="K12" s="544"/>
      <c r="L12" s="907">
        <v>256923.91199999998</v>
      </c>
      <c r="M12" s="545">
        <f>J4+M4+P4</f>
        <v>56155700.42</v>
      </c>
      <c r="N12" s="544"/>
      <c r="O12" s="544">
        <f>L4+O4+R4</f>
        <v>11205026.21</v>
      </c>
      <c r="P12" s="1047"/>
      <c r="Q12" s="1047"/>
      <c r="R12" s="1047"/>
      <c r="S12" s="1049"/>
      <c r="T12" s="1049"/>
      <c r="U12" s="1055"/>
      <c r="V12" s="1049"/>
      <c r="W12" s="1059"/>
      <c r="X12" s="1059"/>
      <c r="Y12" s="1059"/>
    </row>
    <row r="13" spans="1:25" ht="18" customHeight="1">
      <c r="A13" s="1012" t="s">
        <v>2081</v>
      </c>
      <c r="B13" s="1010" t="s">
        <v>1761</v>
      </c>
      <c r="C13" s="898">
        <v>50.00018590278626</v>
      </c>
      <c r="D13" s="453" t="s">
        <v>1994</v>
      </c>
      <c r="E13" s="1022"/>
      <c r="F13" s="1022"/>
      <c r="G13" s="1022"/>
      <c r="H13" s="1022"/>
      <c r="I13" s="1011"/>
      <c r="J13" s="905">
        <v>415879.08</v>
      </c>
      <c r="K13" s="544"/>
      <c r="L13" s="907">
        <v>40996.566000000006</v>
      </c>
      <c r="M13" s="545">
        <f>J5+M5+P5</f>
        <v>13075002.91</v>
      </c>
      <c r="N13" s="544"/>
      <c r="O13" s="544">
        <f>L5+O5+R5</f>
        <v>1060193.2</v>
      </c>
      <c r="P13" s="1047"/>
      <c r="Q13" s="1047"/>
      <c r="R13" s="1047"/>
      <c r="S13" s="1049"/>
      <c r="T13" s="1049"/>
      <c r="U13" s="1055"/>
      <c r="V13" s="1049"/>
      <c r="W13" s="1059"/>
      <c r="X13" s="1059"/>
      <c r="Y13" s="1059"/>
    </row>
    <row r="14" spans="1:25" ht="15">
      <c r="A14" s="1011"/>
      <c r="B14" s="8"/>
      <c r="C14" s="9"/>
      <c r="D14" s="7"/>
      <c r="E14" s="1022"/>
      <c r="F14" s="1022"/>
      <c r="G14" s="1022"/>
      <c r="H14" s="1022"/>
      <c r="I14" s="1011"/>
      <c r="J14" s="905">
        <v>214311.58</v>
      </c>
      <c r="K14" s="544"/>
      <c r="L14" s="907">
        <v>1358179.321</v>
      </c>
      <c r="M14" s="545">
        <f>J6+M6+P6</f>
        <v>7330126</v>
      </c>
      <c r="N14" s="544"/>
      <c r="O14" s="544">
        <f>L6+O6+R6</f>
        <v>27821025.66</v>
      </c>
      <c r="P14" s="1047"/>
      <c r="Q14" s="1047"/>
      <c r="R14" s="1047"/>
      <c r="S14" s="1049"/>
      <c r="T14" s="1049"/>
      <c r="U14" s="1055"/>
      <c r="V14" s="1049"/>
      <c r="W14" s="1059"/>
      <c r="X14" s="1059"/>
      <c r="Y14" s="1059"/>
    </row>
    <row r="15" spans="1:25" ht="16.5">
      <c r="A15" s="1014" t="s">
        <v>2085</v>
      </c>
      <c r="B15" s="445" t="s">
        <v>132</v>
      </c>
      <c r="C15" s="456" t="s">
        <v>1995</v>
      </c>
      <c r="D15" s="456" t="s">
        <v>1994</v>
      </c>
      <c r="E15" s="1023"/>
      <c r="F15" s="1011"/>
      <c r="G15" s="1011"/>
      <c r="H15" s="1011"/>
      <c r="I15" s="1011"/>
      <c r="J15" s="905">
        <v>279677.1479999999</v>
      </c>
      <c r="K15" s="544"/>
      <c r="L15" s="907">
        <v>1043580.959</v>
      </c>
      <c r="M15" s="545">
        <f>J7+M7+P7</f>
        <v>11023548</v>
      </c>
      <c r="N15" s="544"/>
      <c r="O15" s="544">
        <f>L7+O7+R7</f>
        <v>47498132.8</v>
      </c>
      <c r="P15" s="1047"/>
      <c r="Q15" s="1047"/>
      <c r="R15" s="1047"/>
      <c r="S15" s="1049"/>
      <c r="T15" s="1049"/>
      <c r="U15" s="1055"/>
      <c r="V15" s="1049"/>
      <c r="W15" s="1059"/>
      <c r="X15" s="1059"/>
      <c r="Y15" s="1059"/>
    </row>
    <row r="16" spans="1:25" ht="15">
      <c r="A16" s="1014" t="s">
        <v>2084</v>
      </c>
      <c r="B16" s="446" t="s">
        <v>926</v>
      </c>
      <c r="C16" s="899">
        <v>47.56</v>
      </c>
      <c r="D16" s="1143">
        <v>0</v>
      </c>
      <c r="E16" s="1142"/>
      <c r="F16" s="1022"/>
      <c r="G16" s="1011"/>
      <c r="H16" s="1011"/>
      <c r="I16" s="1011"/>
      <c r="J16" s="934">
        <v>0</v>
      </c>
      <c r="K16" s="544"/>
      <c r="L16" s="913">
        <v>0</v>
      </c>
      <c r="M16" s="546">
        <f>J8+M8+P8</f>
        <v>0</v>
      </c>
      <c r="N16" s="544"/>
      <c r="O16" s="547">
        <f>L8+O8+R8</f>
        <v>0</v>
      </c>
      <c r="P16" s="1047"/>
      <c r="Q16" s="1047"/>
      <c r="R16" s="1047"/>
      <c r="S16" s="1049"/>
      <c r="T16" s="1049"/>
      <c r="U16" s="1055"/>
      <c r="V16" s="1049"/>
      <c r="W16" s="1059"/>
      <c r="X16" s="1059"/>
      <c r="Y16" s="1059"/>
    </row>
    <row r="17" spans="1:25" ht="15">
      <c r="A17" s="1011"/>
      <c r="B17" s="447" t="s">
        <v>927</v>
      </c>
      <c r="C17" s="899">
        <v>557.18</v>
      </c>
      <c r="D17" s="902">
        <v>14.51</v>
      </c>
      <c r="E17" s="1142"/>
      <c r="F17" s="1024"/>
      <c r="G17" s="1022"/>
      <c r="H17" s="1022"/>
      <c r="I17" s="1011"/>
      <c r="J17" s="546">
        <f>SUM(J12:J16)</f>
        <v>2699680.781</v>
      </c>
      <c r="K17" s="548"/>
      <c r="L17" s="548">
        <f>SUM(L12:L16)</f>
        <v>2699680.7580000004</v>
      </c>
      <c r="M17" s="546">
        <f>SUM(M12:M16)</f>
        <v>87584377.33</v>
      </c>
      <c r="N17" s="548"/>
      <c r="O17" s="548">
        <f>SUM(O12:O16)</f>
        <v>87584377.87</v>
      </c>
      <c r="P17" s="1047"/>
      <c r="Q17" s="1047"/>
      <c r="R17" s="1047"/>
      <c r="S17" s="1049"/>
      <c r="T17" s="1049"/>
      <c r="U17" s="1055"/>
      <c r="V17" s="1049"/>
      <c r="W17" s="1055"/>
      <c r="X17" s="1055"/>
      <c r="Y17" s="1055"/>
    </row>
    <row r="18" spans="1:25" ht="15">
      <c r="A18" s="1011"/>
      <c r="B18" s="447" t="s">
        <v>928</v>
      </c>
      <c r="C18" s="900">
        <v>337.11</v>
      </c>
      <c r="D18" s="902">
        <v>38.98</v>
      </c>
      <c r="E18" s="1142"/>
      <c r="F18" s="1022"/>
      <c r="G18" s="1022"/>
      <c r="H18" s="1022"/>
      <c r="I18" s="1011"/>
      <c r="J18" s="1013"/>
      <c r="K18" s="1013"/>
      <c r="L18" s="1013"/>
      <c r="M18" s="1013"/>
      <c r="N18" s="1013"/>
      <c r="O18" s="1013"/>
      <c r="P18" s="1013"/>
      <c r="Q18" s="1013"/>
      <c r="R18" s="1013"/>
      <c r="S18" s="1049"/>
      <c r="T18" s="1049"/>
      <c r="U18" s="1049"/>
      <c r="V18" s="1049"/>
      <c r="W18" s="1049"/>
      <c r="X18" s="1049"/>
      <c r="Y18" s="1049"/>
    </row>
    <row r="19" spans="1:25" ht="16.5">
      <c r="A19" s="1011"/>
      <c r="B19" s="447" t="s">
        <v>929</v>
      </c>
      <c r="C19" s="899">
        <v>146.43</v>
      </c>
      <c r="D19" s="902">
        <v>-210.9864</v>
      </c>
      <c r="E19" s="1142"/>
      <c r="F19" s="1022"/>
      <c r="G19" s="1022"/>
      <c r="H19" s="1022"/>
      <c r="I19" s="1011"/>
      <c r="J19" s="451" t="s">
        <v>1762</v>
      </c>
      <c r="K19" s="457"/>
      <c r="L19" s="457"/>
      <c r="M19" s="457"/>
      <c r="N19" s="457"/>
      <c r="O19" s="539"/>
      <c r="P19" s="1013"/>
      <c r="Q19" s="1013"/>
      <c r="R19" s="1013"/>
      <c r="S19" s="1049"/>
      <c r="T19" s="1049"/>
      <c r="U19" s="1049"/>
      <c r="V19" s="1049"/>
      <c r="W19" s="1060"/>
      <c r="X19" s="1058"/>
      <c r="Y19" s="1049"/>
    </row>
    <row r="20" spans="1:25" ht="15">
      <c r="A20" s="1011"/>
      <c r="B20" s="448" t="s">
        <v>1754</v>
      </c>
      <c r="C20" s="901">
        <v>0</v>
      </c>
      <c r="D20" s="903">
        <v>0</v>
      </c>
      <c r="E20" s="1142"/>
      <c r="F20" s="1022"/>
      <c r="G20" s="1022"/>
      <c r="H20" s="1022"/>
      <c r="I20" s="1011"/>
      <c r="J20" s="1098" t="s">
        <v>1362</v>
      </c>
      <c r="K20" s="1099"/>
      <c r="L20" s="1099"/>
      <c r="M20" s="1099"/>
      <c r="N20" s="1099"/>
      <c r="O20" s="1100"/>
      <c r="P20" s="1013"/>
      <c r="Q20" s="1013"/>
      <c r="R20" s="1013"/>
      <c r="S20" s="1049"/>
      <c r="T20" s="1049"/>
      <c r="U20" s="1049"/>
      <c r="V20" s="1049"/>
      <c r="W20" s="1058"/>
      <c r="X20" s="1058"/>
      <c r="Y20" s="1058"/>
    </row>
    <row r="21" spans="1:25" ht="15">
      <c r="A21" s="1011"/>
      <c r="B21" s="8"/>
      <c r="C21" s="9"/>
      <c r="D21" s="7"/>
      <c r="E21" s="1022"/>
      <c r="F21" s="1022"/>
      <c r="G21" s="1022"/>
      <c r="H21" s="1022"/>
      <c r="I21" s="1011"/>
      <c r="J21" s="979" t="s">
        <v>1363</v>
      </c>
      <c r="K21" s="956"/>
      <c r="L21" s="956"/>
      <c r="M21" s="956"/>
      <c r="N21" s="956"/>
      <c r="O21" s="957"/>
      <c r="P21" s="1013"/>
      <c r="Q21" s="1013"/>
      <c r="R21" s="1013"/>
      <c r="S21" s="1049"/>
      <c r="T21" s="1049"/>
      <c r="U21" s="1061"/>
      <c r="V21" s="1049"/>
      <c r="W21" s="1047"/>
      <c r="X21" s="1047"/>
      <c r="Y21" s="1047"/>
    </row>
    <row r="22" spans="1:25" ht="15.75" customHeight="1">
      <c r="A22" s="457"/>
      <c r="B22" s="445" t="s">
        <v>1706</v>
      </c>
      <c r="C22" s="465"/>
      <c r="D22" s="465"/>
      <c r="E22" s="465"/>
      <c r="F22" s="450"/>
      <c r="G22" s="1012" t="s">
        <v>2086</v>
      </c>
      <c r="H22" s="1022"/>
      <c r="I22" s="1011"/>
      <c r="J22" s="1101" t="s">
        <v>1365</v>
      </c>
      <c r="K22" s="1102"/>
      <c r="L22" s="1102"/>
      <c r="M22" s="1102"/>
      <c r="N22" s="1102"/>
      <c r="O22" s="1103"/>
      <c r="P22" s="1013"/>
      <c r="Q22" s="1013"/>
      <c r="R22" s="1013"/>
      <c r="S22" s="1049"/>
      <c r="T22" s="1049"/>
      <c r="U22" s="1047"/>
      <c r="V22" s="1049"/>
      <c r="W22" s="1047"/>
      <c r="X22" s="1047"/>
      <c r="Y22" s="1047"/>
    </row>
    <row r="23" spans="1:25" ht="15">
      <c r="A23" s="458" t="s">
        <v>926</v>
      </c>
      <c r="B23" s="466" t="s">
        <v>1709</v>
      </c>
      <c r="C23" s="467" t="s">
        <v>1710</v>
      </c>
      <c r="D23" s="467" t="s">
        <v>1713</v>
      </c>
      <c r="E23" s="456" t="s">
        <v>1714</v>
      </c>
      <c r="F23" s="456" t="s">
        <v>1715</v>
      </c>
      <c r="G23" s="1026"/>
      <c r="H23" s="1025"/>
      <c r="I23" s="1011"/>
      <c r="J23" s="1013"/>
      <c r="K23" s="1013"/>
      <c r="L23" s="1013"/>
      <c r="M23" s="1013"/>
      <c r="N23" s="1013"/>
      <c r="O23" s="1013"/>
      <c r="P23" s="1013" t="s">
        <v>207</v>
      </c>
      <c r="Q23" s="1013"/>
      <c r="R23" s="1048"/>
      <c r="S23" s="1049"/>
      <c r="T23" s="1049"/>
      <c r="U23" s="1047"/>
      <c r="V23" s="1049"/>
      <c r="W23" s="1047"/>
      <c r="X23" s="1047"/>
      <c r="Y23" s="1047"/>
    </row>
    <row r="24" spans="1:25" ht="16.5">
      <c r="A24" s="459" t="s">
        <v>1716</v>
      </c>
      <c r="B24" s="904">
        <v>4531</v>
      </c>
      <c r="C24" s="904">
        <v>889884</v>
      </c>
      <c r="D24" s="904">
        <v>430341.68</v>
      </c>
      <c r="E24" s="904">
        <v>130908</v>
      </c>
      <c r="F24" s="904">
        <v>379773.25</v>
      </c>
      <c r="G24" s="1027"/>
      <c r="H24" s="1028"/>
      <c r="I24" s="1011"/>
      <c r="J24" s="451" t="s">
        <v>1702</v>
      </c>
      <c r="K24" s="457"/>
      <c r="L24" s="539"/>
      <c r="M24" s="1013"/>
      <c r="N24" s="1013"/>
      <c r="O24" s="1013"/>
      <c r="P24" s="1013"/>
      <c r="Q24" s="1013"/>
      <c r="R24" s="1013"/>
      <c r="S24" s="1049"/>
      <c r="T24" s="1049"/>
      <c r="U24" s="1047"/>
      <c r="V24" s="1049"/>
      <c r="W24" s="1047"/>
      <c r="X24" s="1047"/>
      <c r="Y24" s="1047"/>
    </row>
    <row r="25" spans="1:25" ht="15">
      <c r="A25" s="459" t="s">
        <v>1717</v>
      </c>
      <c r="B25" s="904">
        <v>9271</v>
      </c>
      <c r="C25" s="904">
        <v>1266759</v>
      </c>
      <c r="D25" s="904">
        <v>346758.04000000015</v>
      </c>
      <c r="E25" s="904">
        <v>583681</v>
      </c>
      <c r="F25" s="904">
        <v>294414.7000000001</v>
      </c>
      <c r="G25" s="1029"/>
      <c r="H25" s="1030"/>
      <c r="I25" s="1011"/>
      <c r="J25" s="537"/>
      <c r="K25" s="538" t="s">
        <v>1703</v>
      </c>
      <c r="L25" s="539"/>
      <c r="M25" s="1013"/>
      <c r="N25" s="1013"/>
      <c r="O25" s="1013"/>
      <c r="P25" s="1013"/>
      <c r="Q25" s="1013"/>
      <c r="R25" s="1013"/>
      <c r="S25" s="1049"/>
      <c r="T25" s="1049"/>
      <c r="U25" s="1047"/>
      <c r="V25" s="1049"/>
      <c r="W25" s="1047"/>
      <c r="X25" s="1047"/>
      <c r="Y25" s="1047"/>
    </row>
    <row r="26" spans="1:25" ht="15">
      <c r="A26" s="459" t="s">
        <v>1718</v>
      </c>
      <c r="B26" s="904">
        <v>43758</v>
      </c>
      <c r="C26" s="904">
        <v>2238043</v>
      </c>
      <c r="D26" s="904">
        <v>1410466.22</v>
      </c>
      <c r="E26" s="904">
        <v>517806</v>
      </c>
      <c r="F26" s="904">
        <v>1253535.99</v>
      </c>
      <c r="G26" s="1029"/>
      <c r="H26" s="1028"/>
      <c r="I26" s="1011"/>
      <c r="J26" s="531" t="s">
        <v>1704</v>
      </c>
      <c r="K26" s="560"/>
      <c r="L26" s="561" t="s">
        <v>1705</v>
      </c>
      <c r="M26" s="1013"/>
      <c r="N26" s="1013"/>
      <c r="O26" s="1013"/>
      <c r="P26" s="1013"/>
      <c r="Q26" s="1013"/>
      <c r="R26" s="1013"/>
      <c r="S26" s="1049"/>
      <c r="T26" s="1049"/>
      <c r="U26" s="1047"/>
      <c r="V26" s="1049"/>
      <c r="W26" s="1047"/>
      <c r="X26" s="1047"/>
      <c r="Y26" s="1047"/>
    </row>
    <row r="27" spans="1:25" ht="15">
      <c r="A27" s="459" t="s">
        <v>1719</v>
      </c>
      <c r="B27" s="904">
        <v>48150</v>
      </c>
      <c r="C27" s="904">
        <v>3365665</v>
      </c>
      <c r="D27" s="904">
        <v>2579416.66</v>
      </c>
      <c r="E27" s="904">
        <v>251608</v>
      </c>
      <c r="F27" s="904">
        <v>2351477.17</v>
      </c>
      <c r="G27" s="1029"/>
      <c r="H27" s="1011"/>
      <c r="I27" s="1011"/>
      <c r="J27" s="562" t="s">
        <v>707</v>
      </c>
      <c r="K27" s="563"/>
      <c r="L27" s="564" t="s">
        <v>708</v>
      </c>
      <c r="M27" s="1013"/>
      <c r="N27" s="1013"/>
      <c r="O27" s="1013"/>
      <c r="P27" s="1013"/>
      <c r="Q27" s="1013"/>
      <c r="R27" s="1013"/>
      <c r="S27" s="1049"/>
      <c r="T27" s="1049"/>
      <c r="U27" s="1049"/>
      <c r="V27" s="1049"/>
      <c r="W27" s="1049"/>
      <c r="X27" s="1049"/>
      <c r="Y27" s="1049"/>
    </row>
    <row r="28" spans="1:25" ht="15">
      <c r="A28" s="459" t="s">
        <v>1720</v>
      </c>
      <c r="B28" s="904">
        <v>676420</v>
      </c>
      <c r="C28" s="905">
        <v>25897366</v>
      </c>
      <c r="D28" s="904">
        <v>20575600.245</v>
      </c>
      <c r="E28" s="904">
        <v>2730214</v>
      </c>
      <c r="F28" s="904">
        <v>19584436.18</v>
      </c>
      <c r="G28" s="1031"/>
      <c r="H28" s="1028"/>
      <c r="I28" s="1011"/>
      <c r="J28" s="914">
        <v>472412.316</v>
      </c>
      <c r="K28" s="544"/>
      <c r="L28" s="914">
        <v>424975.283</v>
      </c>
      <c r="M28" s="1028"/>
      <c r="N28" s="1013"/>
      <c r="O28" s="1047"/>
      <c r="P28" s="1013"/>
      <c r="Q28" s="1013"/>
      <c r="R28" s="1013"/>
      <c r="S28" s="1049"/>
      <c r="T28" s="1049"/>
      <c r="U28" s="1049"/>
      <c r="V28" s="1049"/>
      <c r="W28" s="1058"/>
      <c r="X28" s="1049"/>
      <c r="Y28" s="1058"/>
    </row>
    <row r="29" spans="1:25" ht="15">
      <c r="A29" s="459" t="s">
        <v>1721</v>
      </c>
      <c r="B29" s="905">
        <v>541430</v>
      </c>
      <c r="C29" s="904">
        <v>17691527</v>
      </c>
      <c r="D29" s="904">
        <v>14443972.424999999</v>
      </c>
      <c r="E29" s="904">
        <v>1450156</v>
      </c>
      <c r="F29" s="904">
        <v>13417372.309999999</v>
      </c>
      <c r="G29" s="1029"/>
      <c r="H29" s="1029"/>
      <c r="I29" s="1011"/>
      <c r="J29" s="910">
        <v>99203.5</v>
      </c>
      <c r="K29" s="544"/>
      <c r="L29" s="910">
        <v>59034.196</v>
      </c>
      <c r="M29" s="1029"/>
      <c r="N29" s="1013"/>
      <c r="O29" s="1047"/>
      <c r="P29" s="1013"/>
      <c r="Q29" s="1013"/>
      <c r="R29" s="1013"/>
      <c r="S29" s="1049"/>
      <c r="T29" s="1049"/>
      <c r="U29" s="1059"/>
      <c r="V29" s="1049"/>
      <c r="W29" s="1059"/>
      <c r="X29" s="1059"/>
      <c r="Y29" s="1059"/>
    </row>
    <row r="30" spans="1:25" ht="16.5">
      <c r="A30" s="459" t="s">
        <v>1695</v>
      </c>
      <c r="B30" s="905">
        <v>0</v>
      </c>
      <c r="C30" s="904">
        <v>218934</v>
      </c>
      <c r="D30" s="904">
        <v>764.82</v>
      </c>
      <c r="E30" s="904">
        <v>85416</v>
      </c>
      <c r="F30" s="904">
        <v>580.84</v>
      </c>
      <c r="G30" s="1029"/>
      <c r="H30" s="1032"/>
      <c r="I30" s="1011"/>
      <c r="J30" s="910">
        <v>315271.769</v>
      </c>
      <c r="K30" s="544"/>
      <c r="L30" s="910">
        <v>277690.762</v>
      </c>
      <c r="M30" s="1013"/>
      <c r="N30" s="1013"/>
      <c r="O30" s="1047"/>
      <c r="P30" s="1013"/>
      <c r="Q30" s="1013"/>
      <c r="R30" s="1013"/>
      <c r="S30" s="1049"/>
      <c r="T30" s="1049"/>
      <c r="U30" s="1059"/>
      <c r="V30" s="1049"/>
      <c r="W30" s="1059"/>
      <c r="X30" s="1059"/>
      <c r="Y30" s="1059"/>
    </row>
    <row r="31" spans="1:25" s="2" customFormat="1" ht="16.5">
      <c r="A31" s="459" t="s">
        <v>2128</v>
      </c>
      <c r="B31" s="905">
        <v>287314</v>
      </c>
      <c r="C31" s="904">
        <v>5743463</v>
      </c>
      <c r="D31" s="904">
        <v>5743463.149999999</v>
      </c>
      <c r="E31" s="904">
        <v>0</v>
      </c>
      <c r="F31" s="904">
        <v>5738954.84</v>
      </c>
      <c r="G31" s="1029"/>
      <c r="H31" s="1032"/>
      <c r="I31" s="1011"/>
      <c r="J31" s="910">
        <v>660990.298</v>
      </c>
      <c r="K31" s="544"/>
      <c r="L31" s="910">
        <v>786177.637</v>
      </c>
      <c r="M31" s="1013"/>
      <c r="N31" s="1013"/>
      <c r="O31" s="1047"/>
      <c r="P31" s="1013"/>
      <c r="Q31" s="1013"/>
      <c r="R31" s="1013"/>
      <c r="S31" s="1049"/>
      <c r="T31" s="1049"/>
      <c r="U31" s="1059"/>
      <c r="V31" s="1049"/>
      <c r="W31" s="1059"/>
      <c r="X31" s="1059"/>
      <c r="Y31" s="1059"/>
    </row>
    <row r="32" spans="1:25" ht="15">
      <c r="A32" s="459" t="s">
        <v>1073</v>
      </c>
      <c r="B32" s="905">
        <v>21152</v>
      </c>
      <c r="C32" s="904">
        <v>0</v>
      </c>
      <c r="D32" s="904">
        <v>0</v>
      </c>
      <c r="E32" s="904">
        <v>0</v>
      </c>
      <c r="F32" s="904">
        <v>0</v>
      </c>
      <c r="G32" s="1029"/>
      <c r="H32" s="1029"/>
      <c r="I32" s="1011"/>
      <c r="J32" s="911">
        <v>0</v>
      </c>
      <c r="K32" s="544"/>
      <c r="L32" s="911">
        <v>0</v>
      </c>
      <c r="M32" s="1013"/>
      <c r="N32" s="1013"/>
      <c r="O32" s="1045"/>
      <c r="P32" s="1049"/>
      <c r="Q32" s="1013"/>
      <c r="R32" s="1013"/>
      <c r="S32" s="1049"/>
      <c r="T32" s="1049"/>
      <c r="U32" s="1059"/>
      <c r="V32" s="1049"/>
      <c r="W32" s="1059"/>
      <c r="X32" s="1059"/>
      <c r="Y32" s="1059"/>
    </row>
    <row r="33" spans="1:25" ht="15">
      <c r="A33" s="459" t="s">
        <v>780</v>
      </c>
      <c r="B33" s="905">
        <v>20433</v>
      </c>
      <c r="C33" s="904">
        <v>0</v>
      </c>
      <c r="D33" s="904">
        <v>0</v>
      </c>
      <c r="E33" s="904">
        <v>0</v>
      </c>
      <c r="F33" s="904">
        <v>0</v>
      </c>
      <c r="G33" s="1029"/>
      <c r="H33" s="1029"/>
      <c r="I33" s="1011"/>
      <c r="J33" s="546">
        <f>SUM(J28:J32)</f>
        <v>1547877.883</v>
      </c>
      <c r="K33" s="548"/>
      <c r="L33" s="548">
        <f>SUM(L28:L32)</f>
        <v>1547877.878</v>
      </c>
      <c r="M33" s="1013"/>
      <c r="N33" s="1013"/>
      <c r="O33" s="1013"/>
      <c r="P33" s="1013"/>
      <c r="Q33" s="1013"/>
      <c r="R33" s="1013"/>
      <c r="S33" s="1049"/>
      <c r="T33" s="1049"/>
      <c r="U33" s="1059"/>
      <c r="V33" s="1049"/>
      <c r="W33" s="1059"/>
      <c r="X33" s="1059"/>
      <c r="Y33" s="1059"/>
    </row>
    <row r="34" spans="1:25" ht="16.5">
      <c r="A34" s="459" t="s">
        <v>434</v>
      </c>
      <c r="B34" s="905">
        <v>22358</v>
      </c>
      <c r="C34" s="904">
        <v>0</v>
      </c>
      <c r="D34" s="904">
        <v>0</v>
      </c>
      <c r="E34" s="904">
        <v>0</v>
      </c>
      <c r="F34" s="904">
        <v>0</v>
      </c>
      <c r="G34" s="1032"/>
      <c r="H34" s="1032"/>
      <c r="I34" s="1011"/>
      <c r="J34" s="1013"/>
      <c r="K34" s="1013"/>
      <c r="L34" s="1013"/>
      <c r="M34" s="1013"/>
      <c r="N34" s="1013"/>
      <c r="O34" s="1013" t="s">
        <v>923</v>
      </c>
      <c r="P34" s="1013"/>
      <c r="Q34" s="1013"/>
      <c r="R34" s="1013"/>
      <c r="S34" s="1049"/>
      <c r="T34" s="1049"/>
      <c r="U34" s="1059"/>
      <c r="V34" s="1049"/>
      <c r="W34" s="1059"/>
      <c r="X34" s="1059"/>
      <c r="Y34" s="1059"/>
    </row>
    <row r="35" spans="1:25" ht="16.5">
      <c r="A35" s="459" t="s">
        <v>498</v>
      </c>
      <c r="B35" s="905">
        <v>11106</v>
      </c>
      <c r="C35" s="904">
        <v>0</v>
      </c>
      <c r="D35" s="904">
        <v>0</v>
      </c>
      <c r="E35" s="904">
        <v>0</v>
      </c>
      <c r="F35" s="904">
        <v>0</v>
      </c>
      <c r="G35" s="1033"/>
      <c r="H35" s="1033"/>
      <c r="I35" s="1011"/>
      <c r="J35" s="451" t="s">
        <v>1724</v>
      </c>
      <c r="K35" s="457"/>
      <c r="L35" s="457"/>
      <c r="M35" s="457"/>
      <c r="N35" s="457"/>
      <c r="O35" s="539"/>
      <c r="P35" s="1184" t="s">
        <v>1725</v>
      </c>
      <c r="Q35" s="1185"/>
      <c r="R35" s="1185"/>
      <c r="S35" s="1185"/>
      <c r="T35" s="1185"/>
      <c r="U35" s="1186"/>
      <c r="V35" s="1013"/>
      <c r="W35" s="1013"/>
      <c r="X35" s="1013"/>
      <c r="Y35" s="1013"/>
    </row>
    <row r="36" spans="1:25" ht="16.5">
      <c r="A36" s="459" t="s">
        <v>499</v>
      </c>
      <c r="B36" s="905">
        <v>11874</v>
      </c>
      <c r="C36" s="904">
        <v>0</v>
      </c>
      <c r="D36" s="904">
        <v>0</v>
      </c>
      <c r="E36" s="904">
        <v>0</v>
      </c>
      <c r="F36" s="904">
        <v>0</v>
      </c>
      <c r="G36" s="1033"/>
      <c r="H36" s="1034"/>
      <c r="I36" s="1011"/>
      <c r="J36" s="537"/>
      <c r="K36" s="538" t="s">
        <v>1703</v>
      </c>
      <c r="L36" s="539"/>
      <c r="M36" s="537"/>
      <c r="N36" s="538" t="s">
        <v>1727</v>
      </c>
      <c r="O36" s="539"/>
      <c r="P36" s="537"/>
      <c r="Q36" s="538" t="s">
        <v>1703</v>
      </c>
      <c r="R36" s="539"/>
      <c r="S36" s="537"/>
      <c r="T36" s="538" t="s">
        <v>1727</v>
      </c>
      <c r="U36" s="539"/>
      <c r="V36" s="1013"/>
      <c r="W36" s="1052"/>
      <c r="X36" s="1013"/>
      <c r="Y36" s="1013"/>
    </row>
    <row r="37" spans="1:25" ht="16.5">
      <c r="A37" s="460" t="s">
        <v>543</v>
      </c>
      <c r="B37" s="550">
        <f>SUM(B24:B36)</f>
        <v>1697797</v>
      </c>
      <c r="C37" s="550">
        <f>SUM(C24:C36)</f>
        <v>57311641</v>
      </c>
      <c r="D37" s="550">
        <f>SUM(D24:D36)</f>
        <v>45530783.24</v>
      </c>
      <c r="E37" s="550">
        <f>SUM(E24:E36)</f>
        <v>5749789</v>
      </c>
      <c r="F37" s="550">
        <f>SUM(F24:F36)</f>
        <v>43020545.28</v>
      </c>
      <c r="G37" s="1033"/>
      <c r="H37" s="1034"/>
      <c r="I37" s="1011"/>
      <c r="J37" s="481" t="s">
        <v>1704</v>
      </c>
      <c r="K37" s="482"/>
      <c r="L37" s="467" t="s">
        <v>1705</v>
      </c>
      <c r="M37" s="481" t="s">
        <v>922</v>
      </c>
      <c r="N37" s="482"/>
      <c r="O37" s="467" t="s">
        <v>924</v>
      </c>
      <c r="P37" s="481" t="s">
        <v>1704</v>
      </c>
      <c r="Q37" s="565"/>
      <c r="R37" s="467" t="s">
        <v>1705</v>
      </c>
      <c r="S37" s="481" t="s">
        <v>922</v>
      </c>
      <c r="T37" s="482"/>
      <c r="U37" s="467" t="s">
        <v>924</v>
      </c>
      <c r="V37" s="1013"/>
      <c r="W37" s="1013"/>
      <c r="X37" s="1013"/>
      <c r="Y37" s="1013"/>
    </row>
    <row r="38" spans="1:25" ht="15">
      <c r="A38" s="458" t="s">
        <v>927</v>
      </c>
      <c r="B38" s="551" t="s">
        <v>1726</v>
      </c>
      <c r="C38" s="552" t="s">
        <v>1722</v>
      </c>
      <c r="D38" s="553" t="s">
        <v>1722</v>
      </c>
      <c r="E38" s="553" t="s">
        <v>1722</v>
      </c>
      <c r="F38" s="551" t="s">
        <v>1723</v>
      </c>
      <c r="G38" s="1029"/>
      <c r="H38" s="990"/>
      <c r="I38" s="1011"/>
      <c r="J38" s="914">
        <v>0</v>
      </c>
      <c r="K38" s="1123"/>
      <c r="L38" s="908">
        <v>589.753</v>
      </c>
      <c r="M38" s="907">
        <v>0</v>
      </c>
      <c r="N38" s="1123"/>
      <c r="O38" s="907">
        <v>23329.347</v>
      </c>
      <c r="P38" s="908">
        <v>0</v>
      </c>
      <c r="Q38" s="544"/>
      <c r="R38" s="924">
        <v>571.841</v>
      </c>
      <c r="S38" s="905">
        <v>0</v>
      </c>
      <c r="T38" s="544"/>
      <c r="U38" s="907">
        <v>22612.164</v>
      </c>
      <c r="V38" s="1013"/>
      <c r="W38" s="1013"/>
      <c r="X38" s="1013"/>
      <c r="Y38" s="1013"/>
    </row>
    <row r="39" spans="1:25" ht="16.5">
      <c r="A39" s="461" t="s">
        <v>494</v>
      </c>
      <c r="B39" s="906">
        <v>80747</v>
      </c>
      <c r="C39" s="906">
        <v>4486096</v>
      </c>
      <c r="D39" s="906">
        <v>2594807.15</v>
      </c>
      <c r="E39" s="906">
        <v>1269462</v>
      </c>
      <c r="F39" s="906">
        <v>2532462.54</v>
      </c>
      <c r="G39" s="1032"/>
      <c r="H39" s="990"/>
      <c r="I39" s="1011"/>
      <c r="J39" s="910">
        <v>0</v>
      </c>
      <c r="K39" s="1123"/>
      <c r="L39" s="904">
        <v>84.605</v>
      </c>
      <c r="M39" s="907">
        <v>0</v>
      </c>
      <c r="N39" s="1123"/>
      <c r="O39" s="907">
        <v>2470.738</v>
      </c>
      <c r="P39" s="904">
        <v>0</v>
      </c>
      <c r="Q39" s="544"/>
      <c r="R39" s="924">
        <v>38.23</v>
      </c>
      <c r="S39" s="905">
        <v>0</v>
      </c>
      <c r="T39" s="544"/>
      <c r="U39" s="907">
        <v>1118.16</v>
      </c>
      <c r="V39" s="1013"/>
      <c r="W39" s="1013"/>
      <c r="X39" s="1013"/>
      <c r="Y39" s="1013"/>
    </row>
    <row r="40" spans="1:25" ht="15">
      <c r="A40" s="461" t="s">
        <v>1728</v>
      </c>
      <c r="B40" s="906">
        <v>130730</v>
      </c>
      <c r="C40" s="906">
        <v>3003239.1271367483</v>
      </c>
      <c r="D40" s="906">
        <v>2687273.0727763334</v>
      </c>
      <c r="E40" s="906">
        <v>189937.8314541893</v>
      </c>
      <c r="F40" s="906">
        <v>2585863.0190619314</v>
      </c>
      <c r="G40" s="1029"/>
      <c r="H40" s="990"/>
      <c r="I40" s="1011"/>
      <c r="J40" s="910">
        <v>157.876</v>
      </c>
      <c r="K40" s="1123"/>
      <c r="L40" s="904">
        <v>10.363</v>
      </c>
      <c r="M40" s="907">
        <v>10499.902</v>
      </c>
      <c r="N40" s="1123"/>
      <c r="O40" s="907">
        <v>0</v>
      </c>
      <c r="P40" s="904">
        <v>181.791</v>
      </c>
      <c r="Q40" s="544"/>
      <c r="R40" s="924">
        <v>10.363</v>
      </c>
      <c r="S40" s="905">
        <v>11239.691</v>
      </c>
      <c r="T40" s="544"/>
      <c r="U40" s="907">
        <v>0</v>
      </c>
      <c r="V40" s="1013"/>
      <c r="W40" s="1013"/>
      <c r="X40" s="1013"/>
      <c r="Y40" s="1013"/>
    </row>
    <row r="41" spans="1:25" ht="15">
      <c r="A41" s="461" t="s">
        <v>1729</v>
      </c>
      <c r="B41" s="906">
        <v>124249</v>
      </c>
      <c r="C41" s="906">
        <v>4674578.198301256</v>
      </c>
      <c r="D41" s="906">
        <v>2634773.108735708</v>
      </c>
      <c r="E41" s="906">
        <v>128046.08860755393</v>
      </c>
      <c r="F41" s="906">
        <v>2537710.906546386</v>
      </c>
      <c r="G41" s="1029"/>
      <c r="H41" s="990"/>
      <c r="I41" s="1011"/>
      <c r="J41" s="910">
        <v>561.82</v>
      </c>
      <c r="K41" s="1123"/>
      <c r="L41" s="904">
        <v>34.975</v>
      </c>
      <c r="M41" s="907">
        <v>16413.288</v>
      </c>
      <c r="N41" s="1123"/>
      <c r="O41" s="907">
        <v>1113.105</v>
      </c>
      <c r="P41" s="904">
        <v>530.398</v>
      </c>
      <c r="Q41" s="544"/>
      <c r="R41" s="924">
        <v>91.755</v>
      </c>
      <c r="S41" s="905">
        <v>15326.972</v>
      </c>
      <c r="T41" s="544"/>
      <c r="U41" s="907">
        <v>2836.339</v>
      </c>
      <c r="V41" s="1013"/>
      <c r="W41" s="1013"/>
      <c r="X41" s="1013"/>
      <c r="Y41" s="1013"/>
    </row>
    <row r="42" spans="1:25" ht="16.5">
      <c r="A42" s="460" t="s">
        <v>543</v>
      </c>
      <c r="B42" s="550">
        <f>SUM(B39:B41)</f>
        <v>335726</v>
      </c>
      <c r="C42" s="550">
        <f>SUM(C39:C41)</f>
        <v>12163913.325438004</v>
      </c>
      <c r="D42" s="550">
        <f>SUM(D39:D41)</f>
        <v>7916853.331512041</v>
      </c>
      <c r="E42" s="550">
        <f>SUM(E39:E41)</f>
        <v>1587445.9200617431</v>
      </c>
      <c r="F42" s="550">
        <f>SUM(F39:F41)</f>
        <v>7656036.465608317</v>
      </c>
      <c r="G42" s="1035"/>
      <c r="H42" s="1132"/>
      <c r="I42" s="1011"/>
      <c r="J42" s="968">
        <v>0</v>
      </c>
      <c r="K42" s="1123"/>
      <c r="L42" s="920">
        <v>0</v>
      </c>
      <c r="M42" s="913">
        <v>0</v>
      </c>
      <c r="N42" s="1124"/>
      <c r="O42" s="913">
        <v>0</v>
      </c>
      <c r="P42" s="920">
        <v>0</v>
      </c>
      <c r="Q42" s="544"/>
      <c r="R42" s="951">
        <v>0</v>
      </c>
      <c r="S42" s="934">
        <v>0</v>
      </c>
      <c r="T42" s="544"/>
      <c r="U42" s="913">
        <v>0</v>
      </c>
      <c r="V42" s="1013"/>
      <c r="W42" s="1013"/>
      <c r="X42" s="1013"/>
      <c r="Y42" s="1013"/>
    </row>
    <row r="43" spans="1:25" ht="15">
      <c r="A43" s="458" t="s">
        <v>928</v>
      </c>
      <c r="B43" s="554"/>
      <c r="C43" s="554"/>
      <c r="D43" s="554"/>
      <c r="E43" s="554"/>
      <c r="F43" s="551"/>
      <c r="G43" s="1029"/>
      <c r="H43" s="1029"/>
      <c r="I43" s="1011"/>
      <c r="J43" s="546">
        <f>SUM(J38:J42)</f>
        <v>719.696</v>
      </c>
      <c r="K43" s="548"/>
      <c r="L43" s="548">
        <f>SUM(L38:L42)</f>
        <v>719.696</v>
      </c>
      <c r="M43" s="546">
        <f>SUM(M38:M42)</f>
        <v>26913.190000000002</v>
      </c>
      <c r="N43" s="548"/>
      <c r="O43" s="548">
        <f>SUM(O38:O42)</f>
        <v>26913.190000000002</v>
      </c>
      <c r="P43" s="559">
        <f>SUM(P38:P42)</f>
        <v>712.1890000000001</v>
      </c>
      <c r="Q43" s="548"/>
      <c r="R43" s="559">
        <f>SUM(R38:R42)</f>
        <v>712.189</v>
      </c>
      <c r="S43" s="546">
        <f>SUM(S38:S42)</f>
        <v>26566.663</v>
      </c>
      <c r="T43" s="548"/>
      <c r="U43" s="548">
        <f>SUM(U38:U42)</f>
        <v>26566.663</v>
      </c>
      <c r="V43" s="1013"/>
      <c r="W43" s="1013"/>
      <c r="X43" s="1013"/>
      <c r="Y43" s="1013"/>
    </row>
    <row r="44" spans="1:25" ht="15">
      <c r="A44" s="461" t="s">
        <v>1730</v>
      </c>
      <c r="B44" s="907">
        <v>47241</v>
      </c>
      <c r="C44" s="552" t="s">
        <v>1009</v>
      </c>
      <c r="D44" s="907">
        <v>1714594.33</v>
      </c>
      <c r="E44" s="552" t="s">
        <v>1009</v>
      </c>
      <c r="F44" s="907">
        <v>1611024.34</v>
      </c>
      <c r="G44" s="1029"/>
      <c r="H44" s="1045"/>
      <c r="I44" s="1011"/>
      <c r="J44" s="1047"/>
      <c r="K44" s="1047"/>
      <c r="L44" s="1047"/>
      <c r="M44" s="1047"/>
      <c r="N44" s="1047"/>
      <c r="O44" s="1047"/>
      <c r="P44" s="1013"/>
      <c r="Q44" s="1013"/>
      <c r="R44" s="1013"/>
      <c r="S44" s="1013"/>
      <c r="T44" s="1013"/>
      <c r="U44" s="1051"/>
      <c r="V44" s="1051"/>
      <c r="W44" s="1051"/>
      <c r="X44" s="1051"/>
      <c r="Y44" s="1013"/>
    </row>
    <row r="45" spans="1:25" ht="16.5">
      <c r="A45" s="461" t="s">
        <v>1731</v>
      </c>
      <c r="B45" s="907">
        <v>270332</v>
      </c>
      <c r="C45" s="552" t="s">
        <v>1009</v>
      </c>
      <c r="D45" s="907">
        <v>7020287.229999999</v>
      </c>
      <c r="E45" s="552" t="s">
        <v>1009</v>
      </c>
      <c r="F45" s="907">
        <v>6494755.159999998</v>
      </c>
      <c r="G45" s="1029"/>
      <c r="H45" s="1045"/>
      <c r="I45" s="1011"/>
      <c r="J45" s="445" t="s">
        <v>1734</v>
      </c>
      <c r="K45" s="465"/>
      <c r="L45" s="465"/>
      <c r="M45" s="465"/>
      <c r="N45" s="465"/>
      <c r="O45" s="450"/>
      <c r="P45" s="1013"/>
      <c r="Q45" s="1013"/>
      <c r="R45" s="445" t="s">
        <v>2011</v>
      </c>
      <c r="S45" s="450"/>
      <c r="T45" s="1013"/>
      <c r="U45" s="1187" t="s">
        <v>2011</v>
      </c>
      <c r="V45" s="1188"/>
      <c r="W45" s="1188"/>
      <c r="X45" s="1189"/>
      <c r="Y45" s="1013"/>
    </row>
    <row r="46" spans="1:25" ht="15">
      <c r="A46" s="462" t="s">
        <v>1732</v>
      </c>
      <c r="B46" s="552" t="s">
        <v>1726</v>
      </c>
      <c r="C46" s="907">
        <v>10401110</v>
      </c>
      <c r="D46" s="552" t="s">
        <v>1722</v>
      </c>
      <c r="E46" s="907">
        <v>859669</v>
      </c>
      <c r="F46" s="552" t="s">
        <v>1009</v>
      </c>
      <c r="G46" s="1029"/>
      <c r="H46" s="1045"/>
      <c r="I46" s="1011"/>
      <c r="J46" s="566" t="s">
        <v>1735</v>
      </c>
      <c r="K46" s="469"/>
      <c r="L46" s="561" t="s">
        <v>1736</v>
      </c>
      <c r="M46" s="955" t="s">
        <v>1737</v>
      </c>
      <c r="N46" s="956"/>
      <c r="O46" s="957"/>
      <c r="P46" s="1050"/>
      <c r="Q46" s="1013"/>
      <c r="R46" s="567" t="s">
        <v>1725</v>
      </c>
      <c r="S46" s="568"/>
      <c r="T46" s="1013"/>
      <c r="U46" s="1184" t="s">
        <v>1725</v>
      </c>
      <c r="V46" s="1185"/>
      <c r="W46" s="1185"/>
      <c r="X46" s="1186"/>
      <c r="Y46" s="1013"/>
    </row>
    <row r="47" spans="1:25" ht="15">
      <c r="A47" s="461" t="s">
        <v>1841</v>
      </c>
      <c r="B47" s="907">
        <v>435682</v>
      </c>
      <c r="C47" s="907">
        <v>10008852.056828523</v>
      </c>
      <c r="D47" s="907">
        <v>8955836.509548983</v>
      </c>
      <c r="E47" s="907">
        <v>633003.0925084074</v>
      </c>
      <c r="F47" s="907">
        <v>8617868.674909664</v>
      </c>
      <c r="G47" s="1029"/>
      <c r="H47" s="1045"/>
      <c r="I47" s="1011"/>
      <c r="J47" s="566" t="s">
        <v>171</v>
      </c>
      <c r="K47" s="469"/>
      <c r="L47" s="561" t="s">
        <v>172</v>
      </c>
      <c r="M47" s="955" t="s">
        <v>173</v>
      </c>
      <c r="N47" s="956"/>
      <c r="O47" s="957"/>
      <c r="P47" s="1013"/>
      <c r="Q47" s="1013"/>
      <c r="R47" s="569" t="s">
        <v>744</v>
      </c>
      <c r="S47" s="570"/>
      <c r="T47" s="1013"/>
      <c r="U47" s="1177" t="s">
        <v>744</v>
      </c>
      <c r="V47" s="1178"/>
      <c r="W47" s="1178"/>
      <c r="X47" s="1179"/>
      <c r="Y47" s="1013"/>
    </row>
    <row r="48" spans="1:25" ht="15">
      <c r="A48" s="461" t="s">
        <v>1838</v>
      </c>
      <c r="B48" s="907">
        <v>304953</v>
      </c>
      <c r="C48" s="907">
        <v>7005635.9025298925</v>
      </c>
      <c r="D48" s="907">
        <v>6268583.992674682</v>
      </c>
      <c r="E48" s="907">
        <v>443066.71395585855</v>
      </c>
      <c r="F48" s="907">
        <v>6032025.436028403</v>
      </c>
      <c r="G48" s="1029"/>
      <c r="H48" s="1045"/>
      <c r="I48" s="1011"/>
      <c r="J48" s="566" t="s">
        <v>175</v>
      </c>
      <c r="K48" s="543"/>
      <c r="L48" s="467" t="s">
        <v>922</v>
      </c>
      <c r="M48" s="955" t="s">
        <v>176</v>
      </c>
      <c r="N48" s="956"/>
      <c r="O48" s="957"/>
      <c r="P48" s="1013"/>
      <c r="Q48" s="1013"/>
      <c r="R48" s="571" t="s">
        <v>263</v>
      </c>
      <c r="S48" s="572"/>
      <c r="T48" s="1013"/>
      <c r="U48" s="1180" t="s">
        <v>264</v>
      </c>
      <c r="V48" s="1181"/>
      <c r="W48" s="1181"/>
      <c r="X48" s="1182"/>
      <c r="Y48" s="1013"/>
    </row>
    <row r="49" spans="1:25" ht="16.5">
      <c r="A49" s="461" t="s">
        <v>170</v>
      </c>
      <c r="B49" s="907">
        <v>289919</v>
      </c>
      <c r="C49" s="907">
        <v>10907524.701794798</v>
      </c>
      <c r="D49" s="907">
        <v>6147902.879794186</v>
      </c>
      <c r="E49" s="907">
        <v>298779.0160324303</v>
      </c>
      <c r="F49" s="907">
        <v>5921420.76246104</v>
      </c>
      <c r="G49" s="1032"/>
      <c r="H49" s="1011"/>
      <c r="I49" s="1011"/>
      <c r="J49" s="928">
        <v>17454744.5669</v>
      </c>
      <c r="K49" s="544"/>
      <c r="L49" s="952">
        <v>0</v>
      </c>
      <c r="M49" s="956" t="s">
        <v>1850</v>
      </c>
      <c r="N49" s="956"/>
      <c r="O49" s="957"/>
      <c r="P49" s="1013"/>
      <c r="Q49" s="1013"/>
      <c r="R49" s="928">
        <v>0</v>
      </c>
      <c r="S49" s="446"/>
      <c r="T49" s="1013"/>
      <c r="U49" s="446"/>
      <c r="V49" s="573" t="s">
        <v>1648</v>
      </c>
      <c r="W49" s="930">
        <v>0</v>
      </c>
      <c r="X49" s="446"/>
      <c r="Y49" s="1062"/>
    </row>
    <row r="50" spans="1:25" ht="15">
      <c r="A50" s="461" t="s">
        <v>174</v>
      </c>
      <c r="B50" s="907">
        <v>414173.00000000006</v>
      </c>
      <c r="C50" s="907">
        <v>15582291.01340877</v>
      </c>
      <c r="D50" s="907">
        <v>8782782.01647011</v>
      </c>
      <c r="E50" s="907">
        <v>426830.25744156045</v>
      </c>
      <c r="F50" s="907">
        <v>8459233.790992575</v>
      </c>
      <c r="G50" s="1029"/>
      <c r="H50" s="1011"/>
      <c r="I50" s="1011"/>
      <c r="J50" s="909">
        <v>3665381.9994175</v>
      </c>
      <c r="K50" s="544"/>
      <c r="L50" s="953">
        <v>0</v>
      </c>
      <c r="M50" s="956" t="s">
        <v>178</v>
      </c>
      <c r="N50" s="956"/>
      <c r="O50" s="957"/>
      <c r="P50" s="1013"/>
      <c r="Q50" s="1013"/>
      <c r="R50" s="909">
        <v>0</v>
      </c>
      <c r="S50" s="447"/>
      <c r="T50" s="1013"/>
      <c r="U50" s="447"/>
      <c r="V50" s="574" t="s">
        <v>1649</v>
      </c>
      <c r="W50" s="905">
        <v>0</v>
      </c>
      <c r="X50" s="447"/>
      <c r="Y50" s="1013"/>
    </row>
    <row r="51" spans="1:25" ht="15">
      <c r="A51" s="461" t="s">
        <v>177</v>
      </c>
      <c r="B51" s="907">
        <v>1535264</v>
      </c>
      <c r="C51" s="907">
        <v>32124191</v>
      </c>
      <c r="D51" s="907">
        <v>13305663.6</v>
      </c>
      <c r="E51" s="907">
        <v>9954754</v>
      </c>
      <c r="F51" s="907">
        <v>13305663.6</v>
      </c>
      <c r="G51" s="1029"/>
      <c r="H51" s="1011"/>
      <c r="I51" s="1011"/>
      <c r="J51" s="909">
        <v>11648697.19796</v>
      </c>
      <c r="K51" s="544"/>
      <c r="L51" s="953">
        <v>0</v>
      </c>
      <c r="M51" s="955" t="s">
        <v>179</v>
      </c>
      <c r="N51" s="956"/>
      <c r="O51" s="957"/>
      <c r="P51" s="1013"/>
      <c r="Q51" s="1013"/>
      <c r="R51" s="909">
        <v>0</v>
      </c>
      <c r="S51" s="447"/>
      <c r="T51" s="1013"/>
      <c r="U51" s="447"/>
      <c r="V51" s="574" t="s">
        <v>1650</v>
      </c>
      <c r="W51" s="905">
        <v>0</v>
      </c>
      <c r="X51" s="447"/>
      <c r="Y51" s="1013"/>
    </row>
    <row r="52" spans="1:25" ht="15">
      <c r="A52" s="461" t="s">
        <v>433</v>
      </c>
      <c r="B52" s="907">
        <v>22704</v>
      </c>
      <c r="C52" s="907">
        <v>0</v>
      </c>
      <c r="D52" s="907">
        <v>0</v>
      </c>
      <c r="E52" s="907">
        <v>0</v>
      </c>
      <c r="F52" s="907">
        <v>0</v>
      </c>
      <c r="G52" s="1029"/>
      <c r="H52" s="1011"/>
      <c r="I52" s="1011"/>
      <c r="J52" s="909">
        <v>24422344.6457225</v>
      </c>
      <c r="K52" s="544"/>
      <c r="L52" s="953">
        <v>0</v>
      </c>
      <c r="M52" s="958"/>
      <c r="N52" s="958"/>
      <c r="O52" s="959"/>
      <c r="P52" s="1013"/>
      <c r="Q52" s="1013"/>
      <c r="R52" s="909">
        <v>0</v>
      </c>
      <c r="S52" s="447"/>
      <c r="T52" s="1013"/>
      <c r="U52" s="447"/>
      <c r="V52" s="574" t="s">
        <v>1651</v>
      </c>
      <c r="W52" s="920">
        <v>0</v>
      </c>
      <c r="X52" s="447"/>
      <c r="Y52" s="1013"/>
    </row>
    <row r="53" spans="1:25" ht="15">
      <c r="A53" s="461" t="s">
        <v>497</v>
      </c>
      <c r="B53" s="907">
        <v>12665</v>
      </c>
      <c r="C53" s="907">
        <v>0</v>
      </c>
      <c r="D53" s="907">
        <v>0</v>
      </c>
      <c r="E53" s="907">
        <v>0</v>
      </c>
      <c r="F53" s="907">
        <v>0</v>
      </c>
      <c r="G53" s="1029"/>
      <c r="H53" s="1011"/>
      <c r="I53" s="1011"/>
      <c r="J53" s="949">
        <v>0</v>
      </c>
      <c r="K53" s="544"/>
      <c r="L53" s="954">
        <v>0</v>
      </c>
      <c r="M53" s="958"/>
      <c r="N53" s="958"/>
      <c r="O53" s="959"/>
      <c r="P53" s="1013"/>
      <c r="Q53" s="1013"/>
      <c r="R53" s="949">
        <v>0</v>
      </c>
      <c r="S53" s="447"/>
      <c r="T53" s="1013"/>
      <c r="U53" s="448"/>
      <c r="V53" s="575" t="s">
        <v>543</v>
      </c>
      <c r="W53" s="546">
        <f>SUM(W49:W52)</f>
        <v>0</v>
      </c>
      <c r="X53" s="448"/>
      <c r="Y53" s="1013"/>
    </row>
    <row r="54" spans="1:25" ht="15">
      <c r="A54" s="460" t="s">
        <v>543</v>
      </c>
      <c r="B54" s="550">
        <f>SUM(B44:B53)</f>
        <v>3332933</v>
      </c>
      <c r="C54" s="550">
        <f>SUM(C44:C53)</f>
        <v>86029604.67456198</v>
      </c>
      <c r="D54" s="550">
        <f>SUM(D44:D53)</f>
        <v>52195650.55848796</v>
      </c>
      <c r="E54" s="550">
        <f>SUM(E44:E53)</f>
        <v>12616102.079938255</v>
      </c>
      <c r="F54" s="550">
        <f>SUM(F44:F53)</f>
        <v>50441991.76439168</v>
      </c>
      <c r="G54" s="1029"/>
      <c r="H54" s="1029"/>
      <c r="I54" s="1011"/>
      <c r="J54" s="546">
        <f>SUM(J49:J53)</f>
        <v>57191168.41</v>
      </c>
      <c r="K54" s="548"/>
      <c r="L54" s="547">
        <f>SUM(L49:L53)</f>
        <v>0</v>
      </c>
      <c r="M54" s="960"/>
      <c r="N54" s="960"/>
      <c r="O54" s="961"/>
      <c r="P54" s="1013"/>
      <c r="Q54" s="1013"/>
      <c r="R54" s="546">
        <f>SUM(R49:R53)</f>
        <v>0</v>
      </c>
      <c r="S54" s="448"/>
      <c r="T54" s="443"/>
      <c r="U54" s="1049"/>
      <c r="V54" s="1049"/>
      <c r="W54" s="1047"/>
      <c r="X54" s="1049"/>
      <c r="Y54" s="1013"/>
    </row>
    <row r="55" spans="1:25" ht="15">
      <c r="A55" s="458" t="s">
        <v>929</v>
      </c>
      <c r="B55" s="555"/>
      <c r="C55" s="555"/>
      <c r="D55" s="555"/>
      <c r="E55" s="555"/>
      <c r="F55" s="551"/>
      <c r="G55" s="1029"/>
      <c r="H55" s="1029"/>
      <c r="I55" s="1011"/>
      <c r="J55" s="1013"/>
      <c r="K55" s="1013"/>
      <c r="L55" s="1013"/>
      <c r="M55" s="1013"/>
      <c r="N55" s="1013"/>
      <c r="O55" s="1013"/>
      <c r="P55" s="1013"/>
      <c r="Q55" s="1013"/>
      <c r="R55" s="443"/>
      <c r="S55" s="1013"/>
      <c r="T55" s="1013"/>
      <c r="U55" s="1013"/>
      <c r="V55" s="1013"/>
      <c r="W55" s="1013"/>
      <c r="X55" s="1013"/>
      <c r="Y55" s="1013"/>
    </row>
    <row r="56" spans="1:25" ht="16.5">
      <c r="A56" s="461" t="s">
        <v>1717</v>
      </c>
      <c r="B56" s="904">
        <v>44893</v>
      </c>
      <c r="C56" s="904">
        <v>3463548</v>
      </c>
      <c r="D56" s="904">
        <v>1486179.28</v>
      </c>
      <c r="E56" s="904">
        <v>539523</v>
      </c>
      <c r="F56" s="904">
        <v>1364305.71</v>
      </c>
      <c r="G56" s="1029"/>
      <c r="H56" s="1029"/>
      <c r="I56" s="1011"/>
      <c r="J56" s="445" t="s">
        <v>184</v>
      </c>
      <c r="K56" s="465"/>
      <c r="L56" s="465"/>
      <c r="M56" s="465"/>
      <c r="N56" s="465"/>
      <c r="O56" s="465"/>
      <c r="P56" s="465"/>
      <c r="Q56" s="465"/>
      <c r="R56" s="450"/>
      <c r="S56" s="1013"/>
      <c r="T56" s="1013"/>
      <c r="U56" s="1013"/>
      <c r="V56" s="1013"/>
      <c r="W56" s="1013"/>
      <c r="X56" s="1013"/>
      <c r="Y56" s="1013"/>
    </row>
    <row r="57" spans="1:25" ht="15">
      <c r="A57" s="461" t="s">
        <v>180</v>
      </c>
      <c r="B57" s="904">
        <v>231400</v>
      </c>
      <c r="C57" s="904">
        <v>7854951</v>
      </c>
      <c r="D57" s="904">
        <v>5625412</v>
      </c>
      <c r="E57" s="904">
        <v>1286855</v>
      </c>
      <c r="F57" s="904">
        <v>5664847.8</v>
      </c>
      <c r="G57" s="1029"/>
      <c r="H57" s="1029"/>
      <c r="I57" s="1011"/>
      <c r="J57" s="537"/>
      <c r="K57" s="538" t="s">
        <v>185</v>
      </c>
      <c r="L57" s="539"/>
      <c r="M57" s="537"/>
      <c r="N57" s="538" t="s">
        <v>186</v>
      </c>
      <c r="O57" s="539"/>
      <c r="P57" s="537"/>
      <c r="Q57" s="538" t="s">
        <v>187</v>
      </c>
      <c r="R57" s="539"/>
      <c r="S57" s="1013"/>
      <c r="T57" s="1013"/>
      <c r="U57" s="1013"/>
      <c r="V57" s="1013"/>
      <c r="W57" s="1013"/>
      <c r="X57" s="1013"/>
      <c r="Y57" s="1013"/>
    </row>
    <row r="58" spans="1:25" ht="16.5">
      <c r="A58" s="461" t="s">
        <v>181</v>
      </c>
      <c r="B58" s="904">
        <v>160426</v>
      </c>
      <c r="C58" s="904">
        <v>6664221</v>
      </c>
      <c r="D58" s="904">
        <v>5632160.010000001</v>
      </c>
      <c r="E58" s="904">
        <v>801176</v>
      </c>
      <c r="F58" s="904">
        <v>5429321.510000001</v>
      </c>
      <c r="G58" s="1032"/>
      <c r="H58" s="1030"/>
      <c r="I58" s="1011"/>
      <c r="J58" s="481" t="s">
        <v>189</v>
      </c>
      <c r="K58" s="482"/>
      <c r="L58" s="467" t="s">
        <v>190</v>
      </c>
      <c r="M58" s="481" t="s">
        <v>189</v>
      </c>
      <c r="N58" s="482"/>
      <c r="O58" s="467" t="s">
        <v>190</v>
      </c>
      <c r="P58" s="481" t="s">
        <v>189</v>
      </c>
      <c r="Q58" s="482"/>
      <c r="R58" s="467" t="s">
        <v>190</v>
      </c>
      <c r="S58" s="1173" t="s">
        <v>733</v>
      </c>
      <c r="T58" s="1173"/>
      <c r="U58" s="1173"/>
      <c r="V58" s="1013"/>
      <c r="W58" s="1105" t="s">
        <v>226</v>
      </c>
      <c r="X58" s="443"/>
      <c r="Y58" s="1013"/>
    </row>
    <row r="59" spans="1:25" ht="15">
      <c r="A59" s="461" t="s">
        <v>182</v>
      </c>
      <c r="B59" s="904">
        <v>23777</v>
      </c>
      <c r="C59" s="904">
        <v>1651802</v>
      </c>
      <c r="D59" s="904">
        <v>467451.31</v>
      </c>
      <c r="E59" s="904">
        <v>507105</v>
      </c>
      <c r="F59" s="904">
        <v>435649.07</v>
      </c>
      <c r="G59" s="1029"/>
      <c r="H59" s="1028"/>
      <c r="I59" s="1011"/>
      <c r="J59" s="962">
        <v>220671</v>
      </c>
      <c r="K59" s="907"/>
      <c r="L59" s="962">
        <v>6038358</v>
      </c>
      <c r="M59" s="962">
        <v>123846</v>
      </c>
      <c r="N59" s="544"/>
      <c r="O59" s="963">
        <v>9115750</v>
      </c>
      <c r="P59" s="962">
        <v>204304</v>
      </c>
      <c r="Q59" s="544"/>
      <c r="R59" s="966">
        <v>11428678</v>
      </c>
      <c r="S59" s="576">
        <f aca="true" t="shared" si="0" ref="S59:S64">J59+P59</f>
        <v>424975</v>
      </c>
      <c r="T59" s="577"/>
      <c r="U59" s="578">
        <f aca="true" t="shared" si="1" ref="U59:U64">L59+R59</f>
        <v>17467036</v>
      </c>
      <c r="V59" s="1064"/>
      <c r="W59" s="1106">
        <f aca="true" t="shared" si="2" ref="W59:W64">M189</f>
        <v>17467036</v>
      </c>
      <c r="X59" s="1013"/>
      <c r="Y59" s="1013"/>
    </row>
    <row r="60" spans="1:25" ht="15">
      <c r="A60" s="461" t="s">
        <v>183</v>
      </c>
      <c r="B60" s="904">
        <v>533031</v>
      </c>
      <c r="C60" s="905">
        <v>19083587</v>
      </c>
      <c r="D60" s="904">
        <v>13542519.43</v>
      </c>
      <c r="E60" s="904">
        <v>3489760</v>
      </c>
      <c r="F60" s="904">
        <v>13278891.64</v>
      </c>
      <c r="G60" s="1029"/>
      <c r="H60" s="1011"/>
      <c r="I60" s="1011"/>
      <c r="J60" s="962">
        <v>42138</v>
      </c>
      <c r="K60" s="907"/>
      <c r="L60" s="963">
        <v>999976</v>
      </c>
      <c r="M60" s="962">
        <v>0</v>
      </c>
      <c r="N60" s="544"/>
      <c r="O60" s="963">
        <v>0</v>
      </c>
      <c r="P60" s="962">
        <v>16896</v>
      </c>
      <c r="Q60" s="544"/>
      <c r="R60" s="907">
        <v>485700</v>
      </c>
      <c r="S60" s="545">
        <f t="shared" si="0"/>
        <v>59034</v>
      </c>
      <c r="T60" s="577"/>
      <c r="U60" s="579">
        <f t="shared" si="1"/>
        <v>1485676</v>
      </c>
      <c r="V60" s="1064"/>
      <c r="W60" s="1107">
        <f t="shared" si="2"/>
        <v>1485676</v>
      </c>
      <c r="X60" s="1013"/>
      <c r="Y60" s="1013"/>
    </row>
    <row r="61" spans="1:25" ht="15">
      <c r="A61" s="461" t="s">
        <v>1720</v>
      </c>
      <c r="B61" s="905">
        <v>303754</v>
      </c>
      <c r="C61" s="904">
        <v>10850299</v>
      </c>
      <c r="D61" s="904">
        <v>9296570.79</v>
      </c>
      <c r="E61" s="904">
        <v>843717</v>
      </c>
      <c r="F61" s="904">
        <v>9071321.129999999</v>
      </c>
      <c r="G61" s="1029"/>
      <c r="H61" s="1029"/>
      <c r="I61" s="1011"/>
      <c r="J61" s="962">
        <v>162035</v>
      </c>
      <c r="K61" s="907"/>
      <c r="L61" s="963">
        <v>3413259</v>
      </c>
      <c r="M61" s="962">
        <v>61961</v>
      </c>
      <c r="N61" s="544"/>
      <c r="O61" s="963">
        <v>4560651</v>
      </c>
      <c r="P61" s="962">
        <v>115656</v>
      </c>
      <c r="Q61" s="544"/>
      <c r="R61" s="966">
        <v>6104220</v>
      </c>
      <c r="S61" s="545">
        <f t="shared" si="0"/>
        <v>277691</v>
      </c>
      <c r="T61" s="577"/>
      <c r="U61" s="579">
        <f t="shared" si="1"/>
        <v>9517479</v>
      </c>
      <c r="V61" s="1064"/>
      <c r="W61" s="1107">
        <f t="shared" si="2"/>
        <v>9517479</v>
      </c>
      <c r="X61" s="1013"/>
      <c r="Y61" s="1013"/>
    </row>
    <row r="62" spans="1:25" ht="16.5">
      <c r="A62" s="461" t="s">
        <v>188</v>
      </c>
      <c r="B62" s="905">
        <v>1656567</v>
      </c>
      <c r="C62" s="904">
        <v>45169187</v>
      </c>
      <c r="D62" s="904">
        <v>36323058.510000005</v>
      </c>
      <c r="E62" s="904">
        <v>2226436</v>
      </c>
      <c r="F62" s="904">
        <v>34208583.800000004</v>
      </c>
      <c r="G62" s="1029"/>
      <c r="H62" s="1036"/>
      <c r="I62" s="1011"/>
      <c r="J62" s="962">
        <v>519389</v>
      </c>
      <c r="K62" s="907"/>
      <c r="L62" s="963">
        <v>14170896</v>
      </c>
      <c r="M62" s="962">
        <v>154213</v>
      </c>
      <c r="N62" s="544"/>
      <c r="O62" s="963">
        <v>4623297</v>
      </c>
      <c r="P62" s="962">
        <v>266789</v>
      </c>
      <c r="Q62" s="544"/>
      <c r="R62" s="966">
        <v>7859502</v>
      </c>
      <c r="S62" s="545">
        <f t="shared" si="0"/>
        <v>786178</v>
      </c>
      <c r="T62" s="577"/>
      <c r="U62" s="579">
        <f t="shared" si="1"/>
        <v>22030398</v>
      </c>
      <c r="V62" s="1064"/>
      <c r="W62" s="1107">
        <f t="shared" si="2"/>
        <v>22030398</v>
      </c>
      <c r="X62" s="1013"/>
      <c r="Y62" s="1013"/>
    </row>
    <row r="63" spans="1:25" ht="15">
      <c r="A63" s="461" t="s">
        <v>497</v>
      </c>
      <c r="B63" s="905">
        <v>25330</v>
      </c>
      <c r="C63" s="904">
        <v>0</v>
      </c>
      <c r="D63" s="904">
        <v>0</v>
      </c>
      <c r="E63" s="904">
        <v>0</v>
      </c>
      <c r="F63" s="904">
        <v>0</v>
      </c>
      <c r="G63" s="1029"/>
      <c r="H63" s="1029"/>
      <c r="I63" s="1011"/>
      <c r="J63" s="964">
        <v>0</v>
      </c>
      <c r="K63" s="907"/>
      <c r="L63" s="965">
        <v>0</v>
      </c>
      <c r="M63" s="964">
        <v>0</v>
      </c>
      <c r="N63" s="544"/>
      <c r="O63" s="965">
        <v>0</v>
      </c>
      <c r="P63" s="964">
        <v>0</v>
      </c>
      <c r="Q63" s="544"/>
      <c r="R63" s="967">
        <v>0</v>
      </c>
      <c r="S63" s="546">
        <f t="shared" si="0"/>
        <v>0</v>
      </c>
      <c r="T63" s="577"/>
      <c r="U63" s="547">
        <f t="shared" si="1"/>
        <v>0</v>
      </c>
      <c r="V63" s="1064"/>
      <c r="W63" s="1108">
        <f t="shared" si="2"/>
        <v>0</v>
      </c>
      <c r="X63" s="1013"/>
      <c r="Y63" s="1013"/>
    </row>
    <row r="64" spans="1:25" ht="15">
      <c r="A64" s="461" t="s">
        <v>943</v>
      </c>
      <c r="B64" s="905">
        <v>955</v>
      </c>
      <c r="C64" s="904">
        <v>0</v>
      </c>
      <c r="D64" s="904">
        <v>0</v>
      </c>
      <c r="E64" s="904">
        <v>0</v>
      </c>
      <c r="F64" s="904">
        <v>0</v>
      </c>
      <c r="G64" s="1029"/>
      <c r="H64" s="1029"/>
      <c r="I64" s="1011"/>
      <c r="J64" s="546">
        <f>SUM(J59:J63)</f>
        <v>944233</v>
      </c>
      <c r="K64" s="548"/>
      <c r="L64" s="548">
        <f>SUM(L59:L63)</f>
        <v>24622489</v>
      </c>
      <c r="M64" s="546">
        <f>SUM(M59:M63)</f>
        <v>340020</v>
      </c>
      <c r="N64" s="548"/>
      <c r="O64" s="548">
        <f>SUM(O59:O63)</f>
        <v>18299698</v>
      </c>
      <c r="P64" s="546">
        <f>SUM(P59:P63)</f>
        <v>603645</v>
      </c>
      <c r="Q64" s="548"/>
      <c r="R64" s="559">
        <f>SUM(R59:R63)</f>
        <v>25878100</v>
      </c>
      <c r="S64" s="556">
        <f t="shared" si="0"/>
        <v>1547878</v>
      </c>
      <c r="T64" s="580"/>
      <c r="U64" s="558">
        <f t="shared" si="1"/>
        <v>50500589</v>
      </c>
      <c r="V64" s="1065"/>
      <c r="W64" s="1108">
        <f t="shared" si="2"/>
        <v>50500589</v>
      </c>
      <c r="X64" s="1013"/>
      <c r="Y64" s="1013"/>
    </row>
    <row r="65" spans="1:25" ht="15">
      <c r="A65" s="463" t="s">
        <v>191</v>
      </c>
      <c r="B65" s="905">
        <v>217939</v>
      </c>
      <c r="C65" s="905">
        <v>13380140</v>
      </c>
      <c r="D65" s="904">
        <v>11135657.753000002</v>
      </c>
      <c r="E65" s="904">
        <v>1193319</v>
      </c>
      <c r="F65" s="904">
        <v>11032007.493</v>
      </c>
      <c r="G65" s="1029"/>
      <c r="H65" s="1029"/>
      <c r="I65" s="1011"/>
      <c r="J65" s="1013"/>
      <c r="K65" s="1013"/>
      <c r="L65" s="1013"/>
      <c r="M65" s="1013"/>
      <c r="N65" s="1013"/>
      <c r="O65" s="1013"/>
      <c r="P65" s="1013"/>
      <c r="Q65" s="1013"/>
      <c r="R65" s="1013"/>
      <c r="S65" s="1013"/>
      <c r="T65" s="1013"/>
      <c r="U65" s="1013"/>
      <c r="V65" s="1013"/>
      <c r="W65" s="1013"/>
      <c r="X65" s="1013"/>
      <c r="Y65" s="1013"/>
    </row>
    <row r="66" spans="1:25" ht="15.75" customHeight="1">
      <c r="A66" s="463" t="s">
        <v>192</v>
      </c>
      <c r="B66" s="905">
        <v>0</v>
      </c>
      <c r="C66" s="905">
        <v>-81144</v>
      </c>
      <c r="D66" s="904">
        <v>-51291.27</v>
      </c>
      <c r="E66" s="904">
        <v>12466</v>
      </c>
      <c r="F66" s="904">
        <v>0</v>
      </c>
      <c r="G66" s="1032"/>
      <c r="H66" s="1032"/>
      <c r="I66" s="1011"/>
      <c r="J66" s="445" t="s">
        <v>297</v>
      </c>
      <c r="K66" s="465"/>
      <c r="L66" s="465"/>
      <c r="M66" s="465"/>
      <c r="N66" s="465"/>
      <c r="O66" s="450"/>
      <c r="P66" s="445" t="s">
        <v>1098</v>
      </c>
      <c r="Q66" s="465"/>
      <c r="R66" s="465"/>
      <c r="S66" s="465"/>
      <c r="T66" s="465"/>
      <c r="U66" s="450"/>
      <c r="V66" s="1013"/>
      <c r="W66" s="1013"/>
      <c r="X66" s="1013"/>
      <c r="Y66" s="1013"/>
    </row>
    <row r="67" spans="1:25" ht="15">
      <c r="A67" s="463" t="s">
        <v>193</v>
      </c>
      <c r="B67" s="905">
        <v>20306</v>
      </c>
      <c r="C67" s="904">
        <v>752205</v>
      </c>
      <c r="D67" s="907">
        <v>622471.79</v>
      </c>
      <c r="E67" s="907">
        <v>-4999</v>
      </c>
      <c r="F67" s="907">
        <v>487089.76</v>
      </c>
      <c r="G67" s="1037"/>
      <c r="H67" s="1038"/>
      <c r="I67" s="1011"/>
      <c r="J67" s="478" t="s">
        <v>548</v>
      </c>
      <c r="K67" s="560"/>
      <c r="L67" s="488" t="s">
        <v>189</v>
      </c>
      <c r="M67" s="488" t="s">
        <v>922</v>
      </c>
      <c r="N67" s="893"/>
      <c r="O67" s="858" t="s">
        <v>196</v>
      </c>
      <c r="P67" s="478" t="s">
        <v>548</v>
      </c>
      <c r="Q67" s="560"/>
      <c r="R67" s="488" t="s">
        <v>189</v>
      </c>
      <c r="S67" s="488" t="s">
        <v>922</v>
      </c>
      <c r="T67" s="565"/>
      <c r="U67" s="582" t="s">
        <v>196</v>
      </c>
      <c r="V67" s="1013"/>
      <c r="W67" s="1013"/>
      <c r="X67" s="1013"/>
      <c r="Y67" s="1013"/>
    </row>
    <row r="68" spans="1:25" ht="15">
      <c r="A68" s="463" t="s">
        <v>194</v>
      </c>
      <c r="B68" s="904">
        <v>206625</v>
      </c>
      <c r="C68" s="907">
        <v>12824337</v>
      </c>
      <c r="D68" s="907">
        <v>7678473.6</v>
      </c>
      <c r="E68" s="907">
        <v>2065353</v>
      </c>
      <c r="F68" s="907">
        <v>6349983.88</v>
      </c>
      <c r="G68" s="1011"/>
      <c r="H68" s="1011"/>
      <c r="I68" s="1011"/>
      <c r="J68" s="537" t="s">
        <v>926</v>
      </c>
      <c r="K68" s="457"/>
      <c r="L68" s="914">
        <v>1485963.158</v>
      </c>
      <c r="M68" s="914">
        <v>30904135.541</v>
      </c>
      <c r="N68" s="654"/>
      <c r="O68" s="910">
        <v>27252940.077</v>
      </c>
      <c r="P68" s="457" t="s">
        <v>926</v>
      </c>
      <c r="Q68" s="457"/>
      <c r="R68" s="929">
        <v>0</v>
      </c>
      <c r="S68" s="925">
        <v>0</v>
      </c>
      <c r="T68" s="853"/>
      <c r="U68" s="925">
        <v>0</v>
      </c>
      <c r="V68" s="1013"/>
      <c r="W68" s="1013"/>
      <c r="X68" s="1013"/>
      <c r="Y68" s="1013"/>
    </row>
    <row r="69" spans="1:25" ht="15">
      <c r="A69" s="463" t="s">
        <v>195</v>
      </c>
      <c r="B69" s="904">
        <v>161237</v>
      </c>
      <c r="C69" s="907">
        <v>8587126</v>
      </c>
      <c r="D69" s="907">
        <v>5120544.63</v>
      </c>
      <c r="E69" s="907">
        <v>800249</v>
      </c>
      <c r="F69" s="907">
        <v>4121611.38</v>
      </c>
      <c r="G69" s="1011"/>
      <c r="H69" s="1011"/>
      <c r="I69" s="1011"/>
      <c r="J69" s="454" t="s">
        <v>927</v>
      </c>
      <c r="K69" s="560"/>
      <c r="L69" s="910">
        <v>334607.92</v>
      </c>
      <c r="M69" s="910">
        <v>7007079.16</v>
      </c>
      <c r="N69" s="654"/>
      <c r="O69" s="910">
        <v>6184218.069</v>
      </c>
      <c r="P69" s="560" t="s">
        <v>927</v>
      </c>
      <c r="Q69" s="560"/>
      <c r="R69" s="932">
        <v>0</v>
      </c>
      <c r="S69" s="926">
        <v>0</v>
      </c>
      <c r="T69" s="853"/>
      <c r="U69" s="926">
        <v>0</v>
      </c>
      <c r="V69" s="1013"/>
      <c r="W69" s="1013"/>
      <c r="X69" s="1013"/>
      <c r="Y69" s="1013"/>
    </row>
    <row r="70" spans="1:25" ht="15">
      <c r="A70" s="463" t="s">
        <v>1001</v>
      </c>
      <c r="B70" s="904">
        <v>429045</v>
      </c>
      <c r="C70" s="907">
        <v>7771044</v>
      </c>
      <c r="D70" s="907">
        <v>8411067.5</v>
      </c>
      <c r="E70" s="907">
        <v>314345</v>
      </c>
      <c r="F70" s="907">
        <v>8856675.58</v>
      </c>
      <c r="G70" s="1011"/>
      <c r="H70" s="1011"/>
      <c r="I70" s="1011"/>
      <c r="J70" s="454" t="s">
        <v>928</v>
      </c>
      <c r="K70" s="560"/>
      <c r="L70" s="910">
        <v>0</v>
      </c>
      <c r="M70" s="910">
        <v>0</v>
      </c>
      <c r="N70" s="654"/>
      <c r="O70" s="910">
        <v>0</v>
      </c>
      <c r="P70" s="560" t="s">
        <v>928</v>
      </c>
      <c r="Q70" s="560"/>
      <c r="R70" s="932">
        <v>0</v>
      </c>
      <c r="S70" s="926">
        <v>0</v>
      </c>
      <c r="T70" s="853"/>
      <c r="U70" s="926">
        <v>0</v>
      </c>
      <c r="V70" s="1013"/>
      <c r="W70" s="1013"/>
      <c r="X70" s="1013" t="s">
        <v>923</v>
      </c>
      <c r="Y70" s="1013"/>
    </row>
    <row r="71" spans="1:25" ht="15">
      <c r="A71" s="463" t="s">
        <v>640</v>
      </c>
      <c r="B71" s="904">
        <v>0</v>
      </c>
      <c r="C71" s="907">
        <v>-783486</v>
      </c>
      <c r="D71" s="907">
        <v>-50808.73</v>
      </c>
      <c r="E71" s="907">
        <v>17571</v>
      </c>
      <c r="F71" s="907">
        <v>225735.43</v>
      </c>
      <c r="G71" s="1011"/>
      <c r="H71" s="1011"/>
      <c r="I71" s="1011"/>
      <c r="J71" s="454" t="s">
        <v>929</v>
      </c>
      <c r="K71" s="560"/>
      <c r="L71" s="910">
        <v>1491.821</v>
      </c>
      <c r="M71" s="910">
        <v>26185.939</v>
      </c>
      <c r="N71" s="654"/>
      <c r="O71" s="910">
        <v>22577.22</v>
      </c>
      <c r="P71" s="560" t="s">
        <v>929</v>
      </c>
      <c r="Q71" s="560"/>
      <c r="R71" s="932">
        <v>0</v>
      </c>
      <c r="S71" s="926">
        <v>0</v>
      </c>
      <c r="T71" s="853"/>
      <c r="U71" s="926">
        <v>0</v>
      </c>
      <c r="V71" s="1013"/>
      <c r="W71" s="1013"/>
      <c r="X71" s="1013"/>
      <c r="Y71" s="1013"/>
    </row>
    <row r="72" spans="1:25" ht="15">
      <c r="A72" s="463" t="s">
        <v>641</v>
      </c>
      <c r="B72" s="904">
        <v>692019</v>
      </c>
      <c r="C72" s="907">
        <v>15499511</v>
      </c>
      <c r="D72" s="907">
        <v>14393768.830000002</v>
      </c>
      <c r="E72" s="907">
        <v>221061</v>
      </c>
      <c r="F72" s="907">
        <v>14364029.020000001</v>
      </c>
      <c r="G72" s="1011"/>
      <c r="H72" s="1011"/>
      <c r="I72" s="1011"/>
      <c r="J72" s="454" t="s">
        <v>1754</v>
      </c>
      <c r="K72" s="560"/>
      <c r="L72" s="968">
        <v>0</v>
      </c>
      <c r="M72" s="968">
        <v>0</v>
      </c>
      <c r="N72" s="1114"/>
      <c r="O72" s="945">
        <v>0</v>
      </c>
      <c r="P72" s="560" t="s">
        <v>1754</v>
      </c>
      <c r="Q72" s="560"/>
      <c r="R72" s="927">
        <v>0</v>
      </c>
      <c r="S72" s="927">
        <v>0</v>
      </c>
      <c r="T72" s="1115"/>
      <c r="U72" s="927">
        <v>0</v>
      </c>
      <c r="V72" s="1013"/>
      <c r="W72" s="1013"/>
      <c r="X72" s="1013"/>
      <c r="Y72" s="1013"/>
    </row>
    <row r="73" spans="1:25" ht="12.75" customHeight="1">
      <c r="A73" s="1158" t="s">
        <v>1726</v>
      </c>
      <c r="B73" s="1157" t="s">
        <v>1726</v>
      </c>
      <c r="C73" s="1157" t="s">
        <v>1726</v>
      </c>
      <c r="D73" s="1157" t="s">
        <v>1726</v>
      </c>
      <c r="E73" s="1157" t="s">
        <v>1726</v>
      </c>
      <c r="F73" s="1157" t="s">
        <v>1726</v>
      </c>
      <c r="G73" s="1011"/>
      <c r="H73" s="1011"/>
      <c r="I73" s="1011"/>
      <c r="J73" s="455" t="s">
        <v>543</v>
      </c>
      <c r="K73" s="563"/>
      <c r="L73" s="1110">
        <f>SUM(L68:L72)</f>
        <v>1822062.899</v>
      </c>
      <c r="M73" s="1110">
        <f>SUM(M68:M72)</f>
        <v>37937400.64000001</v>
      </c>
      <c r="N73" s="1110"/>
      <c r="O73" s="1111">
        <f>SUM(O68:O72)</f>
        <v>33459735.365999997</v>
      </c>
      <c r="P73" s="1112" t="s">
        <v>543</v>
      </c>
      <c r="Q73" s="1112"/>
      <c r="R73" s="1113">
        <f>SUM(R68:R72)</f>
        <v>0</v>
      </c>
      <c r="S73" s="1113">
        <f>SUM(S68:S72)</f>
        <v>0</v>
      </c>
      <c r="T73" s="1112"/>
      <c r="U73" s="1121">
        <f>SUM(U68:U72)</f>
        <v>0</v>
      </c>
      <c r="V73" s="1013"/>
      <c r="W73" s="1013"/>
      <c r="X73" s="1013"/>
      <c r="Y73" s="1013"/>
    </row>
    <row r="74" spans="1:25" ht="15">
      <c r="A74" s="1158" t="s">
        <v>1726</v>
      </c>
      <c r="B74" s="1157" t="s">
        <v>1726</v>
      </c>
      <c r="C74" s="1157" t="s">
        <v>1726</v>
      </c>
      <c r="D74" s="1157" t="s">
        <v>1726</v>
      </c>
      <c r="E74" s="1157" t="s">
        <v>1726</v>
      </c>
      <c r="F74" s="1157" t="s">
        <v>1726</v>
      </c>
      <c r="G74" s="1025"/>
      <c r="H74" s="1025"/>
      <c r="I74" s="1011"/>
      <c r="J74" s="1049"/>
      <c r="K74" s="1049"/>
      <c r="L74" s="990"/>
      <c r="M74" s="990"/>
      <c r="N74" s="990"/>
      <c r="O74" s="990"/>
      <c r="P74" s="1049"/>
      <c r="Q74" s="1049"/>
      <c r="R74" s="1049"/>
      <c r="S74" s="1049"/>
      <c r="T74" s="1049"/>
      <c r="U74" s="1049"/>
      <c r="V74" s="1013"/>
      <c r="W74" s="1013"/>
      <c r="X74" s="1013"/>
      <c r="Y74" s="1013"/>
    </row>
    <row r="75" spans="1:25" ht="16.5" customHeight="1">
      <c r="A75" s="1158" t="s">
        <v>1726</v>
      </c>
      <c r="B75" s="1157" t="s">
        <v>1726</v>
      </c>
      <c r="C75" s="1157" t="s">
        <v>1726</v>
      </c>
      <c r="D75" s="1157" t="s">
        <v>1726</v>
      </c>
      <c r="E75" s="1157" t="s">
        <v>1726</v>
      </c>
      <c r="F75" s="1157" t="s">
        <v>1726</v>
      </c>
      <c r="G75" s="1025"/>
      <c r="H75" s="1025"/>
      <c r="I75" s="1011"/>
      <c r="J75" s="854" t="s">
        <v>549</v>
      </c>
      <c r="K75" s="855"/>
      <c r="L75" s="856" t="s">
        <v>189</v>
      </c>
      <c r="M75" s="857" t="s">
        <v>924</v>
      </c>
      <c r="N75" s="1109"/>
      <c r="O75" s="858" t="s">
        <v>196</v>
      </c>
      <c r="P75" s="854" t="s">
        <v>550</v>
      </c>
      <c r="Q75" s="855"/>
      <c r="R75" s="856" t="s">
        <v>189</v>
      </c>
      <c r="S75" s="857" t="s">
        <v>924</v>
      </c>
      <c r="T75" s="1109"/>
      <c r="U75" s="858" t="s">
        <v>196</v>
      </c>
      <c r="V75" s="471"/>
      <c r="W75" s="1013"/>
      <c r="X75" s="1013"/>
      <c r="Y75" s="1013"/>
    </row>
    <row r="76" spans="1:25" ht="15">
      <c r="A76" s="1158" t="s">
        <v>1726</v>
      </c>
      <c r="B76" s="1157" t="s">
        <v>1726</v>
      </c>
      <c r="C76" s="1157" t="s">
        <v>1726</v>
      </c>
      <c r="D76" s="1157" t="s">
        <v>1726</v>
      </c>
      <c r="E76" s="1157" t="s">
        <v>1726</v>
      </c>
      <c r="F76" s="1157" t="s">
        <v>1726</v>
      </c>
      <c r="G76" s="1011"/>
      <c r="H76" s="1011"/>
      <c r="I76" s="1011"/>
      <c r="J76" s="859" t="s">
        <v>926</v>
      </c>
      <c r="K76" s="860"/>
      <c r="L76" s="969">
        <v>0</v>
      </c>
      <c r="M76" s="970">
        <v>0</v>
      </c>
      <c r="N76" s="861"/>
      <c r="O76" s="970">
        <v>0</v>
      </c>
      <c r="P76" s="859" t="s">
        <v>926</v>
      </c>
      <c r="Q76" s="860"/>
      <c r="R76" s="932">
        <v>0</v>
      </c>
      <c r="S76" s="926">
        <v>0</v>
      </c>
      <c r="T76" s="861"/>
      <c r="U76" s="926">
        <v>0</v>
      </c>
      <c r="V76" s="1013"/>
      <c r="W76" s="1013"/>
      <c r="X76" s="1013"/>
      <c r="Y76" s="1013"/>
    </row>
    <row r="77" spans="1:25" ht="15">
      <c r="A77" s="464" t="s">
        <v>543</v>
      </c>
      <c r="B77" s="550">
        <f>SUM(B56:B76)</f>
        <v>4707304</v>
      </c>
      <c r="C77" s="550">
        <f>SUM(C56:C76)</f>
        <v>152687328</v>
      </c>
      <c r="D77" s="550">
        <f>SUM(D56:D76)</f>
        <v>119633235.43300001</v>
      </c>
      <c r="E77" s="550">
        <f>SUM(E56:E76)</f>
        <v>14313937</v>
      </c>
      <c r="F77" s="550">
        <f>SUM(F56:F76)</f>
        <v>114890053.203</v>
      </c>
      <c r="G77" s="1011"/>
      <c r="H77" s="1011"/>
      <c r="I77" s="1011"/>
      <c r="J77" s="859" t="s">
        <v>927</v>
      </c>
      <c r="K77" s="860"/>
      <c r="L77" s="971">
        <v>0</v>
      </c>
      <c r="M77" s="972">
        <v>0</v>
      </c>
      <c r="N77" s="861"/>
      <c r="O77" s="972">
        <v>0</v>
      </c>
      <c r="P77" s="859" t="s">
        <v>927</v>
      </c>
      <c r="Q77" s="860"/>
      <c r="R77" s="932">
        <v>0</v>
      </c>
      <c r="S77" s="926">
        <v>0</v>
      </c>
      <c r="T77" s="861"/>
      <c r="U77" s="926">
        <v>0</v>
      </c>
      <c r="V77" s="1013"/>
      <c r="W77" s="1013"/>
      <c r="X77" s="1013"/>
      <c r="Y77" s="1013"/>
    </row>
    <row r="78" spans="1:25" ht="16.5">
      <c r="A78" s="1116"/>
      <c r="B78" s="6"/>
      <c r="C78" s="6"/>
      <c r="D78" s="10"/>
      <c r="E78" s="10"/>
      <c r="F78" s="10"/>
      <c r="G78" s="1011"/>
      <c r="H78" s="1011"/>
      <c r="I78" s="1011"/>
      <c r="J78" s="859" t="s">
        <v>551</v>
      </c>
      <c r="K78" s="860"/>
      <c r="L78" s="971">
        <v>1187419.601</v>
      </c>
      <c r="M78" s="972">
        <v>20843356.16</v>
      </c>
      <c r="N78" s="861"/>
      <c r="O78" s="972">
        <v>17970408.239</v>
      </c>
      <c r="P78" s="859" t="s">
        <v>551</v>
      </c>
      <c r="Q78" s="860"/>
      <c r="R78" s="932">
        <v>0</v>
      </c>
      <c r="S78" s="926">
        <v>0</v>
      </c>
      <c r="T78" s="861"/>
      <c r="U78" s="926">
        <v>0</v>
      </c>
      <c r="V78" s="1013"/>
      <c r="W78" s="1013"/>
      <c r="X78" s="1013"/>
      <c r="Y78" s="1013"/>
    </row>
    <row r="79" spans="1:25" ht="16.5">
      <c r="A79" s="1117" t="s">
        <v>944</v>
      </c>
      <c r="B79" s="445"/>
      <c r="C79" s="465"/>
      <c r="D79" s="465"/>
      <c r="E79" s="450"/>
      <c r="F79" s="1013" t="s">
        <v>1434</v>
      </c>
      <c r="G79" s="1011"/>
      <c r="H79" s="1011"/>
      <c r="I79" s="1011"/>
      <c r="J79" s="859" t="s">
        <v>929</v>
      </c>
      <c r="K79" s="860"/>
      <c r="L79" s="971">
        <v>634643.282</v>
      </c>
      <c r="M79" s="972">
        <v>17094044.474</v>
      </c>
      <c r="N79" s="861"/>
      <c r="O79" s="972">
        <v>15489327.126</v>
      </c>
      <c r="P79" s="859" t="s">
        <v>929</v>
      </c>
      <c r="Q79" s="860"/>
      <c r="R79" s="932">
        <v>0</v>
      </c>
      <c r="S79" s="926">
        <v>0</v>
      </c>
      <c r="T79" s="861"/>
      <c r="U79" s="926">
        <v>0</v>
      </c>
      <c r="V79" s="1013"/>
      <c r="W79" s="1013"/>
      <c r="X79" s="1013"/>
      <c r="Y79" s="1013"/>
    </row>
    <row r="80" spans="1:25" ht="15">
      <c r="A80" s="1030"/>
      <c r="B80" s="478" t="s">
        <v>1798</v>
      </c>
      <c r="C80" s="446"/>
      <c r="D80" s="480" t="s">
        <v>1794</v>
      </c>
      <c r="E80" s="479"/>
      <c r="F80" s="1013" t="s">
        <v>2087</v>
      </c>
      <c r="G80" s="1025"/>
      <c r="H80" s="1025"/>
      <c r="I80" s="1011"/>
      <c r="J80" s="859" t="s">
        <v>1754</v>
      </c>
      <c r="K80" s="862"/>
      <c r="L80" s="973">
        <v>0</v>
      </c>
      <c r="M80" s="974">
        <v>0</v>
      </c>
      <c r="N80" s="861"/>
      <c r="O80" s="975">
        <v>0</v>
      </c>
      <c r="P80" s="859" t="s">
        <v>1754</v>
      </c>
      <c r="Q80" s="862"/>
      <c r="R80" s="927">
        <v>0</v>
      </c>
      <c r="S80" s="927">
        <v>0</v>
      </c>
      <c r="T80" s="861"/>
      <c r="U80" s="926">
        <v>0</v>
      </c>
      <c r="V80" s="1013"/>
      <c r="W80" s="1013"/>
      <c r="X80" s="1013"/>
      <c r="Y80" s="1013"/>
    </row>
    <row r="81" spans="1:25" ht="15">
      <c r="A81" s="1028"/>
      <c r="B81" s="481" t="s">
        <v>922</v>
      </c>
      <c r="C81" s="466" t="s">
        <v>924</v>
      </c>
      <c r="D81" s="482" t="s">
        <v>922</v>
      </c>
      <c r="E81" s="467" t="s">
        <v>924</v>
      </c>
      <c r="F81" s="1013"/>
      <c r="G81" s="1025"/>
      <c r="H81" s="1025"/>
      <c r="I81" s="1011"/>
      <c r="J81" s="863" t="s">
        <v>543</v>
      </c>
      <c r="K81" s="864"/>
      <c r="L81" s="865">
        <f>SUM(L76:L80)</f>
        <v>1822062.883</v>
      </c>
      <c r="M81" s="866">
        <f>SUM(M76:M80)</f>
        <v>37937400.634</v>
      </c>
      <c r="N81" s="868"/>
      <c r="O81" s="867">
        <f>SUM(O76:O80)</f>
        <v>33459735.365000002</v>
      </c>
      <c r="P81" s="863" t="s">
        <v>543</v>
      </c>
      <c r="Q81" s="864"/>
      <c r="R81" s="865">
        <f>SUM(R76:R80)</f>
        <v>0</v>
      </c>
      <c r="S81" s="866">
        <f>SUM(S76:S80)</f>
        <v>0</v>
      </c>
      <c r="T81" s="868"/>
      <c r="U81" s="867">
        <f>SUM(U76:U80)</f>
        <v>0</v>
      </c>
      <c r="V81" s="1013"/>
      <c r="W81" s="1013"/>
      <c r="X81" s="1013"/>
      <c r="Y81" s="1013"/>
    </row>
    <row r="82" spans="1:25" ht="16.5">
      <c r="A82" s="1011"/>
      <c r="B82" s="909">
        <v>0</v>
      </c>
      <c r="C82" s="910">
        <v>14830424.378964</v>
      </c>
      <c r="D82" s="907">
        <v>0</v>
      </c>
      <c r="E82" s="907">
        <v>14869139.102064002</v>
      </c>
      <c r="F82" s="1084"/>
      <c r="G82" s="1027"/>
      <c r="H82" s="1027"/>
      <c r="I82" s="1011"/>
      <c r="J82" s="1057"/>
      <c r="K82" s="1049"/>
      <c r="L82" s="1047"/>
      <c r="M82" s="1047"/>
      <c r="N82" s="1047"/>
      <c r="O82" s="1047"/>
      <c r="P82" s="1049"/>
      <c r="Q82" s="1049"/>
      <c r="R82" s="1049"/>
      <c r="S82" s="1049"/>
      <c r="T82" s="1013"/>
      <c r="U82" s="1013"/>
      <c r="V82" s="1013"/>
      <c r="W82" s="1013"/>
      <c r="X82" s="1013"/>
      <c r="Y82" s="1013"/>
    </row>
    <row r="83" spans="1:25" ht="16.5">
      <c r="A83" s="1011"/>
      <c r="B83" s="909">
        <v>0</v>
      </c>
      <c r="C83" s="910">
        <v>3114291.9621563</v>
      </c>
      <c r="D83" s="907">
        <v>0</v>
      </c>
      <c r="E83" s="907">
        <v>3122421.7927388</v>
      </c>
      <c r="F83" s="1013"/>
      <c r="G83" s="1029"/>
      <c r="H83" s="1029"/>
      <c r="I83" s="1011"/>
      <c r="J83" s="445" t="s">
        <v>293</v>
      </c>
      <c r="K83" s="465"/>
      <c r="L83" s="465"/>
      <c r="M83" s="465"/>
      <c r="N83" s="499"/>
      <c r="O83" s="499"/>
      <c r="P83" s="465"/>
      <c r="Q83" s="465"/>
      <c r="R83" s="465"/>
      <c r="S83" s="465"/>
      <c r="T83" s="465"/>
      <c r="U83" s="450"/>
      <c r="V83" s="1013"/>
      <c r="W83" s="1013"/>
      <c r="X83" s="1013"/>
      <c r="Y83" s="1013"/>
    </row>
    <row r="84" spans="1:25" ht="15">
      <c r="A84" s="1011"/>
      <c r="B84" s="910">
        <v>0</v>
      </c>
      <c r="C84" s="906">
        <v>9897316.016097602</v>
      </c>
      <c r="D84" s="907">
        <v>0</v>
      </c>
      <c r="E84" s="907">
        <v>9923152.8581376</v>
      </c>
      <c r="F84" s="1029"/>
      <c r="G84" s="1029"/>
      <c r="H84" s="1029"/>
      <c r="I84" s="1011"/>
      <c r="J84" s="454"/>
      <c r="K84" s="560"/>
      <c r="L84" s="510" t="s">
        <v>546</v>
      </c>
      <c r="M84" s="561" t="s">
        <v>547</v>
      </c>
      <c r="N84" s="979" t="s">
        <v>1690</v>
      </c>
      <c r="O84" s="980"/>
      <c r="P84" s="958"/>
      <c r="Q84" s="958"/>
      <c r="R84" s="958"/>
      <c r="S84" s="958"/>
      <c r="T84" s="981"/>
      <c r="U84" s="982"/>
      <c r="V84" s="1013"/>
      <c r="W84" s="1013"/>
      <c r="X84" s="1013"/>
      <c r="Y84" s="1013"/>
    </row>
    <row r="85" spans="1:25" ht="16.5">
      <c r="A85" s="1011"/>
      <c r="B85" s="910">
        <v>0</v>
      </c>
      <c r="C85" s="906">
        <v>20750446.0547821</v>
      </c>
      <c r="D85" s="907">
        <v>0</v>
      </c>
      <c r="E85" s="907">
        <v>20804614.9670596</v>
      </c>
      <c r="F85" s="1063"/>
      <c r="G85" s="1035"/>
      <c r="H85" s="1035"/>
      <c r="I85" s="1011"/>
      <c r="J85" s="454"/>
      <c r="K85" s="560"/>
      <c r="L85" s="466" t="s">
        <v>1691</v>
      </c>
      <c r="M85" s="467" t="s">
        <v>1691</v>
      </c>
      <c r="N85" s="979" t="s">
        <v>133</v>
      </c>
      <c r="O85" s="980"/>
      <c r="P85" s="958"/>
      <c r="Q85" s="958"/>
      <c r="R85" s="958"/>
      <c r="S85" s="958"/>
      <c r="T85" s="958"/>
      <c r="U85" s="959"/>
      <c r="V85" s="1013"/>
      <c r="W85" s="1013"/>
      <c r="X85" s="1013"/>
      <c r="Y85" s="1013"/>
    </row>
    <row r="86" spans="1:25" ht="16.5">
      <c r="A86" s="1011"/>
      <c r="B86" s="909">
        <v>0</v>
      </c>
      <c r="C86" s="909">
        <v>0</v>
      </c>
      <c r="D86" s="904">
        <v>0</v>
      </c>
      <c r="E86" s="905">
        <v>0</v>
      </c>
      <c r="F86" s="1057"/>
      <c r="G86" s="1040"/>
      <c r="H86" s="1035"/>
      <c r="I86" s="1011"/>
      <c r="J86" s="454" t="s">
        <v>610</v>
      </c>
      <c r="K86" s="560"/>
      <c r="L86" s="976">
        <v>0</v>
      </c>
      <c r="M86" s="584" t="s">
        <v>1692</v>
      </c>
      <c r="N86" s="983" t="s">
        <v>1428</v>
      </c>
      <c r="O86" s="980"/>
      <c r="P86" s="958"/>
      <c r="Q86" s="958"/>
      <c r="R86" s="958"/>
      <c r="S86" s="958"/>
      <c r="T86" s="958"/>
      <c r="U86" s="959"/>
      <c r="V86" s="1013"/>
      <c r="W86" s="1013"/>
      <c r="X86" s="1013"/>
      <c r="Y86" s="1013"/>
    </row>
    <row r="87" spans="1:25" ht="16.5">
      <c r="A87" s="1011"/>
      <c r="B87" s="911">
        <v>48592478.412</v>
      </c>
      <c r="C87" s="912">
        <v>0</v>
      </c>
      <c r="D87" s="913">
        <v>48719328.72</v>
      </c>
      <c r="E87" s="913">
        <v>0</v>
      </c>
      <c r="F87" s="1085"/>
      <c r="G87" s="1011"/>
      <c r="H87" s="1039"/>
      <c r="I87" s="1011"/>
      <c r="J87" s="454" t="s">
        <v>1693</v>
      </c>
      <c r="K87" s="560"/>
      <c r="L87" s="977">
        <v>0</v>
      </c>
      <c r="M87" s="584" t="s">
        <v>1692</v>
      </c>
      <c r="N87" s="979" t="s">
        <v>1467</v>
      </c>
      <c r="O87" s="980"/>
      <c r="P87" s="958"/>
      <c r="Q87" s="958"/>
      <c r="R87" s="958"/>
      <c r="S87" s="958"/>
      <c r="T87" s="958"/>
      <c r="U87" s="959"/>
      <c r="V87" s="1013"/>
      <c r="W87" s="1013"/>
      <c r="X87" s="1013"/>
      <c r="Y87" s="1013"/>
    </row>
    <row r="88" spans="1:25" ht="16.5">
      <c r="A88" s="1011"/>
      <c r="B88" s="547">
        <f>SUM(B82:B87)</f>
        <v>48592478.412</v>
      </c>
      <c r="C88" s="547">
        <f>SUM(C82:C87)</f>
        <v>48592478.412</v>
      </c>
      <c r="D88" s="547">
        <f>SUM(D82:D87)</f>
        <v>48719328.72</v>
      </c>
      <c r="E88" s="547">
        <f>SUM(E82:E87)</f>
        <v>48719328.72</v>
      </c>
      <c r="F88" s="1086" t="s">
        <v>1478</v>
      </c>
      <c r="G88" s="1011"/>
      <c r="H88" s="1039"/>
      <c r="I88" s="1011"/>
      <c r="J88" s="454" t="s">
        <v>1680</v>
      </c>
      <c r="K88" s="560"/>
      <c r="L88" s="977">
        <v>0</v>
      </c>
      <c r="M88" s="584" t="s">
        <v>1692</v>
      </c>
      <c r="N88" s="983" t="s">
        <v>1694</v>
      </c>
      <c r="O88" s="980"/>
      <c r="P88" s="958"/>
      <c r="Q88" s="958"/>
      <c r="R88" s="958"/>
      <c r="S88" s="958"/>
      <c r="T88" s="958"/>
      <c r="U88" s="959"/>
      <c r="V88" s="1013"/>
      <c r="W88" s="1013"/>
      <c r="X88" s="1013"/>
      <c r="Y88" s="1013"/>
    </row>
    <row r="89" spans="1:25" ht="16.5">
      <c r="A89" s="1011"/>
      <c r="B89" s="1047"/>
      <c r="C89" s="1087"/>
      <c r="D89" s="709" t="s">
        <v>1273</v>
      </c>
      <c r="E89" s="708"/>
      <c r="F89" s="1084"/>
      <c r="G89" s="1011"/>
      <c r="H89" s="1039"/>
      <c r="I89" s="1011"/>
      <c r="J89" s="454" t="s">
        <v>1660</v>
      </c>
      <c r="K89" s="560"/>
      <c r="L89" s="977">
        <v>0</v>
      </c>
      <c r="M89" s="584" t="s">
        <v>1692</v>
      </c>
      <c r="N89" s="984" t="s">
        <v>1468</v>
      </c>
      <c r="O89" s="985"/>
      <c r="P89" s="960"/>
      <c r="Q89" s="960"/>
      <c r="R89" s="960"/>
      <c r="S89" s="960"/>
      <c r="T89" s="960"/>
      <c r="U89" s="961"/>
      <c r="V89" s="1013"/>
      <c r="W89" s="1013"/>
      <c r="X89" s="1013"/>
      <c r="Y89" s="1013"/>
    </row>
    <row r="90" spans="1:25" ht="16.5">
      <c r="A90" s="1011"/>
      <c r="B90" s="1047"/>
      <c r="C90" s="1088"/>
      <c r="D90" s="906">
        <v>44050</v>
      </c>
      <c r="E90" s="906">
        <v>0</v>
      </c>
      <c r="F90" s="1013"/>
      <c r="G90" s="1011"/>
      <c r="H90" s="1039"/>
      <c r="I90" s="1011"/>
      <c r="J90" s="454" t="s">
        <v>1585</v>
      </c>
      <c r="K90" s="560"/>
      <c r="L90" s="977">
        <v>0</v>
      </c>
      <c r="M90" s="584" t="s">
        <v>1692</v>
      </c>
      <c r="N90" s="1047"/>
      <c r="O90" s="1047"/>
      <c r="P90" s="1049"/>
      <c r="Q90" s="1049"/>
      <c r="R90" s="1049"/>
      <c r="S90" s="1049"/>
      <c r="T90" s="1013"/>
      <c r="U90" s="1013"/>
      <c r="V90" s="1013"/>
      <c r="W90" s="1013"/>
      <c r="X90" s="1013"/>
      <c r="Y90" s="1013"/>
    </row>
    <row r="91" spans="1:25" ht="16.5">
      <c r="A91" s="1011"/>
      <c r="B91" s="1047"/>
      <c r="C91" s="1089"/>
      <c r="D91" s="906">
        <v>9251</v>
      </c>
      <c r="E91" s="906">
        <v>0</v>
      </c>
      <c r="F91" s="1029"/>
      <c r="G91" s="1011"/>
      <c r="H91" s="1039"/>
      <c r="I91" s="1011"/>
      <c r="J91" s="454" t="s">
        <v>1696</v>
      </c>
      <c r="K91" s="560"/>
      <c r="L91" s="977">
        <v>0</v>
      </c>
      <c r="M91" s="584" t="s">
        <v>1692</v>
      </c>
      <c r="N91" s="1047"/>
      <c r="O91" s="1047"/>
      <c r="P91" s="1049"/>
      <c r="Q91" s="1049"/>
      <c r="R91" s="1049"/>
      <c r="S91" s="1049"/>
      <c r="T91" s="1013"/>
      <c r="U91" s="1013"/>
      <c r="V91" s="1013"/>
      <c r="W91" s="1013"/>
      <c r="X91" s="1013"/>
      <c r="Y91" s="1013"/>
    </row>
    <row r="92" spans="1:25" ht="16.5">
      <c r="A92" s="1011"/>
      <c r="B92" s="1047"/>
      <c r="C92" s="1089"/>
      <c r="D92" s="906">
        <v>29399</v>
      </c>
      <c r="E92" s="906">
        <v>0</v>
      </c>
      <c r="F92" s="1049"/>
      <c r="G92" s="1040"/>
      <c r="H92" s="1039"/>
      <c r="I92" s="1011"/>
      <c r="J92" s="454" t="s">
        <v>1697</v>
      </c>
      <c r="K92" s="560"/>
      <c r="L92" s="977">
        <v>0</v>
      </c>
      <c r="M92" s="584" t="s">
        <v>1692</v>
      </c>
      <c r="N92" s="1047"/>
      <c r="O92" s="1047"/>
      <c r="P92" s="1049"/>
      <c r="Q92" s="1049"/>
      <c r="R92" s="1049"/>
      <c r="S92" s="1049"/>
      <c r="T92" s="1013"/>
      <c r="U92" s="1013"/>
      <c r="V92" s="1013"/>
      <c r="W92" s="1013"/>
      <c r="X92" s="1013"/>
      <c r="Y92" s="1013"/>
    </row>
    <row r="93" spans="1:25" ht="15">
      <c r="A93" s="1011"/>
      <c r="B93" s="1047"/>
      <c r="C93" s="1089"/>
      <c r="D93" s="906">
        <v>0</v>
      </c>
      <c r="E93" s="906">
        <v>82700</v>
      </c>
      <c r="F93" s="1049"/>
      <c r="G93" s="1011"/>
      <c r="H93" s="1029"/>
      <c r="I93" s="1011"/>
      <c r="J93" s="454" t="s">
        <v>1698</v>
      </c>
      <c r="K93" s="560"/>
      <c r="L93" s="977">
        <v>0</v>
      </c>
      <c r="M93" s="585" t="s">
        <v>1692</v>
      </c>
      <c r="N93" s="1047"/>
      <c r="O93" s="1047"/>
      <c r="P93" s="1049"/>
      <c r="Q93" s="1049"/>
      <c r="R93" s="1049"/>
      <c r="S93" s="1049"/>
      <c r="T93" s="1013"/>
      <c r="U93" s="1013"/>
      <c r="V93" s="1013"/>
      <c r="W93" s="1013"/>
      <c r="X93" s="1013"/>
      <c r="Y93" s="1013"/>
    </row>
    <row r="94" spans="1:25" ht="16.5">
      <c r="A94" s="1011"/>
      <c r="B94" s="1047"/>
      <c r="C94" s="1089"/>
      <c r="D94" s="912">
        <v>0</v>
      </c>
      <c r="E94" s="912">
        <v>0</v>
      </c>
      <c r="F94" s="1066"/>
      <c r="G94" s="1011"/>
      <c r="H94" s="1041"/>
      <c r="I94" s="1011"/>
      <c r="J94" s="455" t="s">
        <v>1695</v>
      </c>
      <c r="K94" s="563"/>
      <c r="L94" s="978">
        <v>0</v>
      </c>
      <c r="M94" s="585" t="s">
        <v>1692</v>
      </c>
      <c r="N94" s="1047"/>
      <c r="O94" s="1047"/>
      <c r="P94" s="1049"/>
      <c r="Q94" s="1049"/>
      <c r="R94" s="1049"/>
      <c r="S94" s="1049"/>
      <c r="T94" s="1013"/>
      <c r="U94" s="1013"/>
      <c r="V94" s="1013"/>
      <c r="W94" s="1013"/>
      <c r="X94" s="1013"/>
      <c r="Y94" s="1013"/>
    </row>
    <row r="95" spans="1:25" ht="15">
      <c r="A95" s="1011"/>
      <c r="B95" s="1047"/>
      <c r="C95" s="1089"/>
      <c r="D95" s="548">
        <f>SUM(D90:D94)</f>
        <v>82700</v>
      </c>
      <c r="E95" s="548">
        <f>SUM(E90:E94)</f>
        <v>82700</v>
      </c>
      <c r="F95" s="1047"/>
      <c r="G95" s="1011"/>
      <c r="H95" s="1042"/>
      <c r="I95" s="1011"/>
      <c r="J95" s="1049"/>
      <c r="K95" s="1049"/>
      <c r="L95" s="1067"/>
      <c r="M95" s="1067"/>
      <c r="N95" s="1047"/>
      <c r="O95" s="1066"/>
      <c r="P95" s="1049"/>
      <c r="Q95" s="1049"/>
      <c r="R95" s="1049"/>
      <c r="S95" s="1049"/>
      <c r="T95" s="1013"/>
      <c r="U95" s="1066"/>
      <c r="V95" s="1013"/>
      <c r="W95" s="1013"/>
      <c r="X95" s="1013"/>
      <c r="Y95" s="1013"/>
    </row>
    <row r="96" spans="1:25" ht="16.5">
      <c r="A96" s="1011"/>
      <c r="B96" s="443"/>
      <c r="C96" s="1013"/>
      <c r="D96" s="1013"/>
      <c r="E96" s="1013"/>
      <c r="F96" s="472"/>
      <c r="G96" s="1043"/>
      <c r="H96" s="1042"/>
      <c r="I96" s="1011"/>
      <c r="J96" s="451" t="s">
        <v>545</v>
      </c>
      <c r="K96" s="457"/>
      <c r="L96" s="586" t="s">
        <v>1699</v>
      </c>
      <c r="M96" s="587" t="s">
        <v>539</v>
      </c>
      <c r="N96" s="485"/>
      <c r="O96" s="510" t="s">
        <v>1700</v>
      </c>
      <c r="P96" s="1013"/>
      <c r="Q96" s="1013"/>
      <c r="R96" s="1013"/>
      <c r="S96" s="1013"/>
      <c r="T96" s="1013"/>
      <c r="U96" s="1066"/>
      <c r="V96" s="1013"/>
      <c r="W96" s="1013"/>
      <c r="X96" s="1013"/>
      <c r="Y96" s="1013"/>
    </row>
    <row r="97" spans="1:25" ht="15">
      <c r="A97" s="1011"/>
      <c r="B97" s="484" t="s">
        <v>198</v>
      </c>
      <c r="C97" s="485" t="s">
        <v>1703</v>
      </c>
      <c r="D97" s="485" t="s">
        <v>1703</v>
      </c>
      <c r="E97" s="485" t="s">
        <v>1727</v>
      </c>
      <c r="F97" s="486" t="s">
        <v>1727</v>
      </c>
      <c r="G97" s="1029"/>
      <c r="H97" s="1042"/>
      <c r="I97" s="1011"/>
      <c r="J97" s="454"/>
      <c r="K97" s="560"/>
      <c r="L97" s="588" t="s">
        <v>543</v>
      </c>
      <c r="M97" s="541" t="s">
        <v>1701</v>
      </c>
      <c r="N97" s="482"/>
      <c r="O97" s="466" t="s">
        <v>1603</v>
      </c>
      <c r="P97" s="1068"/>
      <c r="Q97" s="1013"/>
      <c r="R97" s="1013"/>
      <c r="S97" s="1013"/>
      <c r="T97" s="1013"/>
      <c r="U97" s="1066"/>
      <c r="V97" s="1013"/>
      <c r="W97" s="1013"/>
      <c r="X97" s="1013"/>
      <c r="Y97" s="1013"/>
    </row>
    <row r="98" spans="1:25" ht="15">
      <c r="A98" s="1011"/>
      <c r="B98" s="640" t="s">
        <v>920</v>
      </c>
      <c r="C98" s="488" t="s">
        <v>540</v>
      </c>
      <c r="D98" s="488" t="s">
        <v>171</v>
      </c>
      <c r="E98" s="488" t="s">
        <v>541</v>
      </c>
      <c r="F98" s="489" t="s">
        <v>542</v>
      </c>
      <c r="G98" s="1011"/>
      <c r="H98" s="1042"/>
      <c r="I98" s="1011"/>
      <c r="J98" s="455"/>
      <c r="K98" s="563"/>
      <c r="L98" s="589"/>
      <c r="M98" s="590"/>
      <c r="N98" s="581"/>
      <c r="O98" s="467" t="s">
        <v>1995</v>
      </c>
      <c r="P98" s="1013"/>
      <c r="Q98" s="1013"/>
      <c r="R98" s="1174" t="s">
        <v>1812</v>
      </c>
      <c r="S98" s="1176"/>
      <c r="T98" s="1176"/>
      <c r="U98" s="1175"/>
      <c r="V98" s="1013"/>
      <c r="W98" s="1013"/>
      <c r="X98" s="1013"/>
      <c r="Y98" s="1013"/>
    </row>
    <row r="99" spans="1:25" ht="15">
      <c r="A99" s="1011"/>
      <c r="B99" s="490" t="s">
        <v>539</v>
      </c>
      <c r="C99" s="491">
        <v>4470.01</v>
      </c>
      <c r="D99" s="492">
        <v>4470.006</v>
      </c>
      <c r="E99" s="491">
        <v>4470.01</v>
      </c>
      <c r="F99" s="493">
        <v>4470.006</v>
      </c>
      <c r="G99" s="1011"/>
      <c r="H99" s="1042"/>
      <c r="I99" s="1011"/>
      <c r="J99" s="591" t="s">
        <v>1810</v>
      </c>
      <c r="K99" s="560"/>
      <c r="L99" s="914">
        <v>25428.57400000001</v>
      </c>
      <c r="M99" s="914">
        <v>118431</v>
      </c>
      <c r="N99" s="583"/>
      <c r="O99" s="907">
        <v>28</v>
      </c>
      <c r="P99" s="1014" t="s">
        <v>938</v>
      </c>
      <c r="Q99" s="1013"/>
      <c r="R99" s="507"/>
      <c r="S99" s="594" t="s">
        <v>429</v>
      </c>
      <c r="T99" s="595"/>
      <c r="U99" s="596" t="s">
        <v>430</v>
      </c>
      <c r="V99" s="1013"/>
      <c r="W99" s="1013"/>
      <c r="X99" s="1013"/>
      <c r="Y99" s="1013"/>
    </row>
    <row r="100" spans="1:25" ht="16.5">
      <c r="A100" s="1118"/>
      <c r="B100" s="494" t="s">
        <v>926</v>
      </c>
      <c r="C100" s="914">
        <v>182408.550583778</v>
      </c>
      <c r="D100" s="914">
        <v>186177.93776</v>
      </c>
      <c r="E100" s="914">
        <v>5905548.61827252</v>
      </c>
      <c r="F100" s="914">
        <v>8627809</v>
      </c>
      <c r="G100" s="1011"/>
      <c r="H100" s="1044"/>
      <c r="I100" s="1011"/>
      <c r="J100" s="591" t="s">
        <v>1811</v>
      </c>
      <c r="K100" s="560"/>
      <c r="L100" s="910">
        <v>85278.21199999996</v>
      </c>
      <c r="M100" s="910">
        <v>406344</v>
      </c>
      <c r="N100" s="544"/>
      <c r="O100" s="907">
        <v>98</v>
      </c>
      <c r="P100" s="1014" t="s">
        <v>939</v>
      </c>
      <c r="Q100" s="1013"/>
      <c r="R100" s="452" t="s">
        <v>926</v>
      </c>
      <c r="S100" s="1001"/>
      <c r="T100" s="597"/>
      <c r="U100" s="749">
        <f>IF(ISNUMBER(S100/S102*U102),S100/S102*U102,0)</f>
        <v>0</v>
      </c>
      <c r="V100" s="1013"/>
      <c r="W100" s="1013"/>
      <c r="X100" s="1013"/>
      <c r="Y100" s="1013"/>
    </row>
    <row r="101" spans="1:25" ht="15">
      <c r="A101" s="1011"/>
      <c r="B101" s="495" t="s">
        <v>927</v>
      </c>
      <c r="C101" s="910">
        <v>38234.31420460135</v>
      </c>
      <c r="D101" s="910">
        <v>39044.144892</v>
      </c>
      <c r="E101" s="910">
        <v>1240128.2696765587</v>
      </c>
      <c r="F101" s="910">
        <v>1811782</v>
      </c>
      <c r="G101" s="1011"/>
      <c r="H101" s="1040"/>
      <c r="I101" s="1011"/>
      <c r="J101" s="591" t="s">
        <v>1812</v>
      </c>
      <c r="K101" s="560"/>
      <c r="L101" s="991">
        <v>15791.319000000056</v>
      </c>
      <c r="M101" s="991">
        <v>151645</v>
      </c>
      <c r="N101" s="579"/>
      <c r="O101" s="907">
        <v>46</v>
      </c>
      <c r="P101" s="1013"/>
      <c r="Q101" s="1013"/>
      <c r="R101" s="452" t="s">
        <v>160</v>
      </c>
      <c r="S101" s="1001"/>
      <c r="T101" s="597"/>
      <c r="U101" s="749">
        <f>U102-U100</f>
        <v>0</v>
      </c>
      <c r="V101" s="1013"/>
      <c r="W101" s="1013"/>
      <c r="X101" s="1013"/>
      <c r="Y101" s="1013"/>
    </row>
    <row r="102" spans="1:25" ht="16.5">
      <c r="A102" s="1011"/>
      <c r="B102" s="495" t="s">
        <v>928</v>
      </c>
      <c r="C102" s="910">
        <v>121735.7271083352</v>
      </c>
      <c r="D102" s="910">
        <v>124214.709184</v>
      </c>
      <c r="E102" s="910">
        <v>3941161.044653168</v>
      </c>
      <c r="F102" s="910">
        <v>5757904</v>
      </c>
      <c r="G102" s="1035"/>
      <c r="H102" s="1035"/>
      <c r="I102" s="1011"/>
      <c r="J102" s="591" t="s">
        <v>972</v>
      </c>
      <c r="K102" s="560"/>
      <c r="L102" s="910">
        <v>0</v>
      </c>
      <c r="M102" s="910">
        <v>0</v>
      </c>
      <c r="N102" s="579"/>
      <c r="O102" s="907">
        <v>0</v>
      </c>
      <c r="P102" s="1013"/>
      <c r="Q102" s="1013"/>
      <c r="R102" s="452" t="s">
        <v>159</v>
      </c>
      <c r="S102" s="749">
        <f>SUM(S100:S101)</f>
        <v>0</v>
      </c>
      <c r="T102" s="598"/>
      <c r="U102" s="1002"/>
      <c r="V102" s="1013"/>
      <c r="W102" s="1013"/>
      <c r="X102" s="1013"/>
      <c r="Y102" s="1013"/>
    </row>
    <row r="103" spans="1:25" ht="16.5">
      <c r="A103" s="1011"/>
      <c r="B103" s="495" t="s">
        <v>929</v>
      </c>
      <c r="C103" s="910">
        <v>255642.36611828546</v>
      </c>
      <c r="D103" s="910">
        <v>260753.008164</v>
      </c>
      <c r="E103" s="910">
        <v>8262928.802497754</v>
      </c>
      <c r="F103" s="910">
        <v>12071865</v>
      </c>
      <c r="G103" s="1011"/>
      <c r="H103" s="1039"/>
      <c r="I103" s="1011"/>
      <c r="J103" s="591" t="s">
        <v>973</v>
      </c>
      <c r="K103" s="560"/>
      <c r="L103" s="910">
        <v>0</v>
      </c>
      <c r="M103" s="910">
        <v>0</v>
      </c>
      <c r="N103" s="579"/>
      <c r="O103" s="907">
        <v>0</v>
      </c>
      <c r="P103" s="1013"/>
      <c r="Q103" s="1013"/>
      <c r="R103" s="1013"/>
      <c r="S103" s="1013"/>
      <c r="T103" s="1013"/>
      <c r="U103" s="1047"/>
      <c r="V103" s="1013"/>
      <c r="W103" s="1013"/>
      <c r="X103" s="1013"/>
      <c r="Y103" s="1013"/>
    </row>
    <row r="104" spans="1:25" ht="16.5">
      <c r="A104" s="1011"/>
      <c r="B104" s="495" t="s">
        <v>1754</v>
      </c>
      <c r="C104" s="911">
        <v>0</v>
      </c>
      <c r="D104" s="911">
        <v>0</v>
      </c>
      <c r="E104" s="911">
        <v>0</v>
      </c>
      <c r="F104" s="911">
        <v>0</v>
      </c>
      <c r="G104" s="1029"/>
      <c r="H104" s="1039"/>
      <c r="I104" s="1011"/>
      <c r="J104" s="591" t="s">
        <v>1488</v>
      </c>
      <c r="K104" s="560"/>
      <c r="L104" s="910">
        <v>0</v>
      </c>
      <c r="M104" s="910">
        <v>0</v>
      </c>
      <c r="N104" s="579"/>
      <c r="O104" s="907">
        <v>0</v>
      </c>
      <c r="P104" s="1013"/>
      <c r="Q104" s="1013"/>
      <c r="R104" s="1013"/>
      <c r="S104" s="1013"/>
      <c r="T104" s="1013"/>
      <c r="U104" s="1047"/>
      <c r="V104" s="1013"/>
      <c r="W104" s="1013"/>
      <c r="X104" s="1013"/>
      <c r="Y104" s="1013"/>
    </row>
    <row r="105" spans="1:25" ht="16.5">
      <c r="A105" s="1011"/>
      <c r="B105" s="496" t="s">
        <v>543</v>
      </c>
      <c r="C105" s="547">
        <f>SUM(C100:C104)</f>
        <v>598020.958015</v>
      </c>
      <c r="D105" s="547">
        <f>SUM(D100:D104)</f>
        <v>610189.8</v>
      </c>
      <c r="E105" s="547">
        <f>SUM(E100:E104)</f>
        <v>19349766.7351</v>
      </c>
      <c r="F105" s="547">
        <f>SUM(F100:F104)</f>
        <v>28269360</v>
      </c>
      <c r="G105" s="1039"/>
      <c r="H105" s="1039"/>
      <c r="I105" s="1011"/>
      <c r="J105" s="591" t="s">
        <v>1489</v>
      </c>
      <c r="K105" s="560"/>
      <c r="L105" s="910">
        <v>0</v>
      </c>
      <c r="M105" s="910">
        <v>0</v>
      </c>
      <c r="N105" s="579"/>
      <c r="O105" s="907">
        <v>0</v>
      </c>
      <c r="P105" s="1013"/>
      <c r="Q105" s="1013"/>
      <c r="R105" s="1063"/>
      <c r="S105" s="1013"/>
      <c r="T105" s="1013"/>
      <c r="U105" s="1047"/>
      <c r="V105" s="1013"/>
      <c r="W105" s="1013"/>
      <c r="X105" s="1013"/>
      <c r="Y105" s="1013"/>
    </row>
    <row r="106" spans="1:25" ht="16.5">
      <c r="A106" s="1011"/>
      <c r="B106" s="497" t="s">
        <v>544</v>
      </c>
      <c r="C106" s="498"/>
      <c r="D106" s="499"/>
      <c r="E106" s="499"/>
      <c r="F106" s="500"/>
      <c r="G106" s="1039"/>
      <c r="H106" s="1039"/>
      <c r="I106" s="1011"/>
      <c r="J106" s="591" t="s">
        <v>1490</v>
      </c>
      <c r="K106" s="560"/>
      <c r="L106" s="910">
        <v>0</v>
      </c>
      <c r="M106" s="910">
        <v>0</v>
      </c>
      <c r="N106" s="750"/>
      <c r="O106" s="907">
        <v>0</v>
      </c>
      <c r="P106" s="1013"/>
      <c r="Q106" s="1013"/>
      <c r="R106" s="1013"/>
      <c r="S106" s="1013"/>
      <c r="T106" s="1013"/>
      <c r="U106" s="1069"/>
      <c r="V106" s="1049"/>
      <c r="W106" s="1049"/>
      <c r="X106" s="1049"/>
      <c r="Y106" s="1013"/>
    </row>
    <row r="107" spans="1:25" ht="16.5">
      <c r="A107" s="1011"/>
      <c r="B107" s="494" t="s">
        <v>926</v>
      </c>
      <c r="C107" s="915">
        <v>181175.1</v>
      </c>
      <c r="D107" s="916">
        <v>186455.94</v>
      </c>
      <c r="E107" s="908">
        <v>5880115</v>
      </c>
      <c r="F107" s="908">
        <v>8639918</v>
      </c>
      <c r="G107" s="1039"/>
      <c r="H107" s="1039"/>
      <c r="I107" s="1011"/>
      <c r="J107" s="591" t="s">
        <v>1491</v>
      </c>
      <c r="K107" s="560"/>
      <c r="L107" s="910">
        <v>0</v>
      </c>
      <c r="M107" s="910">
        <v>0</v>
      </c>
      <c r="N107" s="579"/>
      <c r="O107" s="907">
        <v>0</v>
      </c>
      <c r="P107" s="1013"/>
      <c r="Q107" s="1013"/>
      <c r="R107" s="1013"/>
      <c r="S107" s="1013"/>
      <c r="T107" s="1013"/>
      <c r="U107" s="1070"/>
      <c r="V107" s="1049"/>
      <c r="W107" s="1049"/>
      <c r="X107" s="1049"/>
      <c r="Y107" s="1013"/>
    </row>
    <row r="108" spans="1:25" ht="16.5">
      <c r="A108" s="1011"/>
      <c r="B108" s="495" t="s">
        <v>927</v>
      </c>
      <c r="C108" s="915">
        <v>37975.3</v>
      </c>
      <c r="D108" s="917">
        <v>39101.14</v>
      </c>
      <c r="E108" s="904">
        <v>1234786.19</v>
      </c>
      <c r="F108" s="904">
        <v>1814325</v>
      </c>
      <c r="G108" s="1039"/>
      <c r="H108" s="1039"/>
      <c r="I108" s="1011"/>
      <c r="J108" s="591" t="s">
        <v>1813</v>
      </c>
      <c r="K108" s="560"/>
      <c r="L108" s="910">
        <v>730</v>
      </c>
      <c r="M108" s="910">
        <v>17662</v>
      </c>
      <c r="N108" s="579"/>
      <c r="O108" s="907">
        <v>89</v>
      </c>
      <c r="P108" s="1013"/>
      <c r="Q108" s="1013"/>
      <c r="R108" s="1174" t="s">
        <v>1183</v>
      </c>
      <c r="S108" s="1175"/>
      <c r="T108" s="1013"/>
      <c r="U108" s="1047"/>
      <c r="V108" s="1049"/>
      <c r="W108" s="1049"/>
      <c r="X108" s="1049"/>
      <c r="Y108" s="1013"/>
    </row>
    <row r="109" spans="1:25" ht="15">
      <c r="A109" s="1011"/>
      <c r="B109" s="495" t="s">
        <v>928</v>
      </c>
      <c r="C109" s="915">
        <v>120912.3</v>
      </c>
      <c r="D109" s="917">
        <v>124400.71</v>
      </c>
      <c r="E109" s="904">
        <v>3924186.15</v>
      </c>
      <c r="F109" s="904">
        <v>5765984</v>
      </c>
      <c r="G109" s="1029"/>
      <c r="H109" s="1029"/>
      <c r="I109" s="1011"/>
      <c r="J109" s="591" t="s">
        <v>1814</v>
      </c>
      <c r="K109" s="560"/>
      <c r="L109" s="910">
        <v>906</v>
      </c>
      <c r="M109" s="910">
        <v>22265</v>
      </c>
      <c r="N109" s="579"/>
      <c r="O109" s="907">
        <v>115</v>
      </c>
      <c r="P109" s="1013"/>
      <c r="Q109" s="1013"/>
      <c r="R109" s="995"/>
      <c r="S109" s="996"/>
      <c r="T109" s="1013"/>
      <c r="U109" s="1047"/>
      <c r="V109" s="1049"/>
      <c r="W109" s="1049"/>
      <c r="X109" s="1049"/>
      <c r="Y109" s="1013"/>
    </row>
    <row r="110" spans="1:25" ht="15">
      <c r="A110" s="1011"/>
      <c r="B110" s="495" t="s">
        <v>929</v>
      </c>
      <c r="C110" s="915">
        <v>253915.47</v>
      </c>
      <c r="D110" s="917">
        <v>261142.01</v>
      </c>
      <c r="E110" s="904">
        <v>8227335.91</v>
      </c>
      <c r="F110" s="904">
        <v>12088807</v>
      </c>
      <c r="G110" s="1029"/>
      <c r="H110" s="1029"/>
      <c r="I110" s="1011"/>
      <c r="J110" s="591" t="s">
        <v>1815</v>
      </c>
      <c r="K110" s="560"/>
      <c r="L110" s="910">
        <v>233.496</v>
      </c>
      <c r="M110" s="910">
        <v>8223</v>
      </c>
      <c r="N110" s="579"/>
      <c r="O110" s="907">
        <v>37</v>
      </c>
      <c r="P110" s="1013"/>
      <c r="Q110" s="1013"/>
      <c r="R110" s="452" t="s">
        <v>429</v>
      </c>
      <c r="S110" s="453" t="s">
        <v>430</v>
      </c>
      <c r="T110" s="1013"/>
      <c r="U110" s="1047"/>
      <c r="V110" s="1049"/>
      <c r="W110" s="1013"/>
      <c r="X110" s="1049"/>
      <c r="Y110" s="1013"/>
    </row>
    <row r="111" spans="1:25" ht="15">
      <c r="A111" s="1011"/>
      <c r="B111" s="495" t="s">
        <v>1754</v>
      </c>
      <c r="C111" s="918">
        <v>0</v>
      </c>
      <c r="D111" s="919">
        <v>0</v>
      </c>
      <c r="E111" s="920">
        <v>0</v>
      </c>
      <c r="F111" s="920">
        <v>0</v>
      </c>
      <c r="G111" s="1029"/>
      <c r="H111" s="1029"/>
      <c r="I111" s="1011"/>
      <c r="J111" s="591" t="s">
        <v>2136</v>
      </c>
      <c r="K111" s="560"/>
      <c r="L111" s="910">
        <v>2200.324</v>
      </c>
      <c r="M111" s="988">
        <v>287314</v>
      </c>
      <c r="N111" s="579"/>
      <c r="O111" s="907">
        <v>0</v>
      </c>
      <c r="P111" s="1013"/>
      <c r="Q111" s="1013"/>
      <c r="R111" s="997">
        <f>O112/(O112+O113)*R109</f>
        <v>0</v>
      </c>
      <c r="S111" s="998">
        <f>O112/(O112+O113)*S109</f>
        <v>0</v>
      </c>
      <c r="T111" s="1013"/>
      <c r="U111" s="1047"/>
      <c r="V111" s="1049"/>
      <c r="W111" s="1071"/>
      <c r="X111" s="1049"/>
      <c r="Y111" s="1013"/>
    </row>
    <row r="112" spans="1:25" ht="16.5">
      <c r="A112" s="1011"/>
      <c r="B112" s="496" t="s">
        <v>543</v>
      </c>
      <c r="C112" s="547">
        <f>SUM(C107:C111)</f>
        <v>593978.17</v>
      </c>
      <c r="D112" s="547">
        <f>SUM(D107:D111)</f>
        <v>611099.8</v>
      </c>
      <c r="E112" s="547">
        <f>SUM(E107:E111)</f>
        <v>19266423.25</v>
      </c>
      <c r="F112" s="547">
        <f>SUM(F107:F111)</f>
        <v>28309034</v>
      </c>
      <c r="G112" s="1043"/>
      <c r="H112" s="1029"/>
      <c r="I112" s="1011"/>
      <c r="J112" s="591" t="s">
        <v>1816</v>
      </c>
      <c r="K112" s="560"/>
      <c r="L112" s="987">
        <v>743</v>
      </c>
      <c r="M112" s="924">
        <v>4531</v>
      </c>
      <c r="N112" s="579"/>
      <c r="O112" s="907">
        <f>17+18</f>
        <v>35</v>
      </c>
      <c r="P112" s="1013"/>
      <c r="Q112" s="1013"/>
      <c r="R112" s="999">
        <f>O113/(O112+O113)*R109</f>
        <v>0</v>
      </c>
      <c r="S112" s="1000">
        <f>O113/(O112+O113)*S109</f>
        <v>0</v>
      </c>
      <c r="T112" s="1013"/>
      <c r="U112" s="1047"/>
      <c r="V112" s="1049"/>
      <c r="W112" s="1049"/>
      <c r="X112" s="1049"/>
      <c r="Y112" s="1013"/>
    </row>
    <row r="113" spans="1:25" ht="15">
      <c r="A113" s="1011"/>
      <c r="B113" s="443"/>
      <c r="C113" s="473"/>
      <c r="D113" s="473"/>
      <c r="E113" s="474"/>
      <c r="F113" s="474"/>
      <c r="G113" s="1029"/>
      <c r="H113" s="1029"/>
      <c r="I113" s="1011"/>
      <c r="J113" s="591" t="s">
        <v>1817</v>
      </c>
      <c r="K113" s="560"/>
      <c r="L113" s="987">
        <v>0</v>
      </c>
      <c r="M113" s="1137">
        <v>0</v>
      </c>
      <c r="N113" s="579"/>
      <c r="O113" s="1163">
        <v>0</v>
      </c>
      <c r="P113" s="1013"/>
      <c r="Q113" s="1013"/>
      <c r="R113" s="547">
        <f>SUM(R111:R112)</f>
        <v>0</v>
      </c>
      <c r="S113" s="548">
        <f>SUM(S111:S112)</f>
        <v>0</v>
      </c>
      <c r="T113" s="1013"/>
      <c r="U113" s="1047"/>
      <c r="V113" s="1049"/>
      <c r="W113" s="1060"/>
      <c r="X113" s="1049"/>
      <c r="Y113" s="1013"/>
    </row>
    <row r="114" spans="1:25" ht="15">
      <c r="A114" s="1011"/>
      <c r="B114" s="644" t="s">
        <v>198</v>
      </c>
      <c r="C114" s="510" t="s">
        <v>1703</v>
      </c>
      <c r="D114" s="510" t="s">
        <v>1703</v>
      </c>
      <c r="E114" s="510" t="s">
        <v>1727</v>
      </c>
      <c r="F114" s="712" t="s">
        <v>1727</v>
      </c>
      <c r="G114" s="1029"/>
      <c r="H114" s="1029"/>
      <c r="I114" s="1011"/>
      <c r="J114" s="591" t="s">
        <v>1818</v>
      </c>
      <c r="K114" s="560"/>
      <c r="L114" s="987">
        <v>0</v>
      </c>
      <c r="M114" s="924">
        <v>0</v>
      </c>
      <c r="N114" s="579"/>
      <c r="O114" s="907">
        <v>0</v>
      </c>
      <c r="P114" s="1013"/>
      <c r="Q114" s="1013"/>
      <c r="R114" s="1013"/>
      <c r="S114" s="1013"/>
      <c r="T114" s="1013"/>
      <c r="U114" s="1047"/>
      <c r="V114" s="1049"/>
      <c r="W114" s="1049"/>
      <c r="X114" s="1049"/>
      <c r="Y114" s="1013"/>
    </row>
    <row r="115" spans="1:25" ht="30">
      <c r="A115" s="1011"/>
      <c r="B115" s="645" t="s">
        <v>387</v>
      </c>
      <c r="C115" s="711" t="s">
        <v>1443</v>
      </c>
      <c r="D115" s="711" t="s">
        <v>1440</v>
      </c>
      <c r="E115" s="711" t="s">
        <v>1441</v>
      </c>
      <c r="F115" s="711" t="s">
        <v>1442</v>
      </c>
      <c r="G115" s="1029"/>
      <c r="H115" s="1029"/>
      <c r="I115" s="1011"/>
      <c r="J115" s="591" t="s">
        <v>1819</v>
      </c>
      <c r="K115" s="560"/>
      <c r="L115" s="910">
        <v>0</v>
      </c>
      <c r="M115" s="988">
        <v>0</v>
      </c>
      <c r="N115" s="579"/>
      <c r="O115" s="907">
        <v>0</v>
      </c>
      <c r="P115" s="1013"/>
      <c r="Q115" s="1013"/>
      <c r="R115" s="1013"/>
      <c r="S115" s="1013"/>
      <c r="T115" s="1013"/>
      <c r="U115" s="1047"/>
      <c r="V115" s="1049"/>
      <c r="W115" s="1049"/>
      <c r="X115" s="1049"/>
      <c r="Y115" s="1013"/>
    </row>
    <row r="116" spans="1:25" ht="15">
      <c r="A116" s="1011"/>
      <c r="B116" s="502" t="s">
        <v>926</v>
      </c>
      <c r="C116" s="905">
        <v>0</v>
      </c>
      <c r="D116" s="908">
        <v>0</v>
      </c>
      <c r="E116" s="908">
        <v>0</v>
      </c>
      <c r="F116" s="908">
        <v>0</v>
      </c>
      <c r="G116" s="1029"/>
      <c r="H116" s="1029"/>
      <c r="I116" s="1011"/>
      <c r="J116" s="591" t="s">
        <v>1820</v>
      </c>
      <c r="K116" s="560"/>
      <c r="L116" s="910">
        <v>5431.376999999998</v>
      </c>
      <c r="M116" s="988">
        <v>43758</v>
      </c>
      <c r="N116" s="579"/>
      <c r="O116" s="907">
        <v>317</v>
      </c>
      <c r="P116" s="1013"/>
      <c r="Q116" s="1013"/>
      <c r="R116" s="1013"/>
      <c r="S116" s="1013"/>
      <c r="T116" s="1013"/>
      <c r="U116" s="1047"/>
      <c r="V116" s="1049"/>
      <c r="W116" s="1060"/>
      <c r="X116" s="1049"/>
      <c r="Y116" s="1013"/>
    </row>
    <row r="117" spans="1:25" ht="15">
      <c r="A117" s="1011"/>
      <c r="B117" s="478" t="s">
        <v>927</v>
      </c>
      <c r="C117" s="905">
        <v>0</v>
      </c>
      <c r="D117" s="904">
        <v>0</v>
      </c>
      <c r="E117" s="904">
        <v>0</v>
      </c>
      <c r="F117" s="904">
        <v>0</v>
      </c>
      <c r="G117" s="1040"/>
      <c r="H117" s="1040"/>
      <c r="I117" s="1011"/>
      <c r="J117" s="591" t="s">
        <v>1821</v>
      </c>
      <c r="K117" s="560"/>
      <c r="L117" s="910">
        <v>62563.37899999999</v>
      </c>
      <c r="M117" s="988">
        <v>541430</v>
      </c>
      <c r="N117" s="579"/>
      <c r="O117" s="907">
        <v>136</v>
      </c>
      <c r="P117" s="1013"/>
      <c r="Q117" s="1013"/>
      <c r="R117" s="1013"/>
      <c r="S117" s="1013"/>
      <c r="T117" s="1013"/>
      <c r="U117" s="1047"/>
      <c r="V117" s="1049"/>
      <c r="W117" s="1049"/>
      <c r="X117" s="1049"/>
      <c r="Y117" s="1013"/>
    </row>
    <row r="118" spans="1:25" ht="15">
      <c r="A118" s="1011"/>
      <c r="B118" s="478" t="s">
        <v>928</v>
      </c>
      <c r="C118" s="905">
        <v>0</v>
      </c>
      <c r="D118" s="904">
        <v>0</v>
      </c>
      <c r="E118" s="904">
        <v>0</v>
      </c>
      <c r="F118" s="904">
        <v>0</v>
      </c>
      <c r="G118" s="1011"/>
      <c r="H118" s="1011"/>
      <c r="I118" s="1011"/>
      <c r="J118" s="591" t="s">
        <v>1822</v>
      </c>
      <c r="K118" s="560"/>
      <c r="L118" s="910">
        <v>205</v>
      </c>
      <c r="M118" s="988">
        <v>9271</v>
      </c>
      <c r="N118" s="579"/>
      <c r="O118" s="907">
        <v>0</v>
      </c>
      <c r="P118" s="1062" t="s">
        <v>734</v>
      </c>
      <c r="Q118" s="1013"/>
      <c r="R118" s="1013"/>
      <c r="S118" s="1013"/>
      <c r="T118" s="1013"/>
      <c r="U118" s="1047">
        <f>65+70</f>
        <v>135</v>
      </c>
      <c r="V118" s="1049"/>
      <c r="W118" s="1060"/>
      <c r="X118" s="1049"/>
      <c r="Y118" s="1013"/>
    </row>
    <row r="119" spans="1:25" ht="16.5">
      <c r="A119" s="1011"/>
      <c r="B119" s="478" t="s">
        <v>929</v>
      </c>
      <c r="C119" s="905">
        <v>0</v>
      </c>
      <c r="D119" s="904">
        <v>0</v>
      </c>
      <c r="E119" s="904">
        <v>0</v>
      </c>
      <c r="F119" s="904">
        <v>0</v>
      </c>
      <c r="G119" s="1035"/>
      <c r="H119" s="1035"/>
      <c r="I119" s="1011"/>
      <c r="J119" s="591" t="s">
        <v>1823</v>
      </c>
      <c r="K119" s="560"/>
      <c r="L119" s="796"/>
      <c r="M119" s="797"/>
      <c r="N119" s="579"/>
      <c r="O119" s="800">
        <v>0</v>
      </c>
      <c r="P119" s="986">
        <f>SUM(O99:O120)</f>
        <v>968</v>
      </c>
      <c r="Q119" s="443"/>
      <c r="R119" s="1013"/>
      <c r="S119" s="1013"/>
      <c r="T119" s="1013"/>
      <c r="U119" s="1047"/>
      <c r="V119" s="1049"/>
      <c r="W119" s="1049"/>
      <c r="X119" s="1049"/>
      <c r="Y119" s="1013"/>
    </row>
    <row r="120" spans="1:25" ht="16.5">
      <c r="A120" s="1011"/>
      <c r="B120" s="495" t="s">
        <v>1754</v>
      </c>
      <c r="C120" s="920">
        <v>0</v>
      </c>
      <c r="D120" s="920">
        <v>0</v>
      </c>
      <c r="E120" s="920">
        <v>0</v>
      </c>
      <c r="F120" s="920">
        <v>0</v>
      </c>
      <c r="G120" s="1011"/>
      <c r="H120" s="1035"/>
      <c r="I120" s="1011"/>
      <c r="J120" s="591" t="s">
        <v>1824</v>
      </c>
      <c r="K120" s="560"/>
      <c r="L120" s="910">
        <v>0</v>
      </c>
      <c r="M120" s="988">
        <v>0</v>
      </c>
      <c r="N120" s="579"/>
      <c r="O120" s="907">
        <v>67</v>
      </c>
      <c r="P120" s="1062" t="s">
        <v>734</v>
      </c>
      <c r="Q120" s="1013"/>
      <c r="R120" s="1013"/>
      <c r="S120" s="1013"/>
      <c r="T120" s="1013"/>
      <c r="U120" s="1047"/>
      <c r="V120" s="1049"/>
      <c r="W120" s="1049"/>
      <c r="X120" s="1049"/>
      <c r="Y120" s="1013"/>
    </row>
    <row r="121" spans="1:25" ht="16.5">
      <c r="A121" s="1011"/>
      <c r="B121" s="496" t="s">
        <v>543</v>
      </c>
      <c r="C121" s="547">
        <f>SUM(C116:C120)</f>
        <v>0</v>
      </c>
      <c r="D121" s="547">
        <f>SUM(D116:D120)</f>
        <v>0</v>
      </c>
      <c r="E121" s="547">
        <f>SUM(E116:E120)</f>
        <v>0</v>
      </c>
      <c r="F121" s="547">
        <f>SUM(F116:F120)</f>
        <v>0</v>
      </c>
      <c r="G121" s="1035"/>
      <c r="H121" s="1035"/>
      <c r="I121" s="1011"/>
      <c r="J121" s="591" t="s">
        <v>1825</v>
      </c>
      <c r="K121" s="560"/>
      <c r="L121" s="796"/>
      <c r="M121" s="797"/>
      <c r="N121" s="579"/>
      <c r="O121" s="801"/>
      <c r="P121" s="1062" t="s">
        <v>734</v>
      </c>
      <c r="Q121" s="1013"/>
      <c r="R121" s="1013"/>
      <c r="S121" s="1013"/>
      <c r="T121" s="1013"/>
      <c r="U121" s="1047"/>
      <c r="V121" s="1049"/>
      <c r="W121" s="1049"/>
      <c r="X121" s="1049"/>
      <c r="Y121" s="1013"/>
    </row>
    <row r="122" spans="1:25" ht="16.5">
      <c r="A122" s="1011"/>
      <c r="B122" s="497"/>
      <c r="C122" s="547"/>
      <c r="D122" s="499"/>
      <c r="E122" s="499"/>
      <c r="F122" s="500"/>
      <c r="G122" s="1035"/>
      <c r="H122" s="1035"/>
      <c r="I122" s="1011"/>
      <c r="J122" s="592" t="s">
        <v>1826</v>
      </c>
      <c r="K122" s="563"/>
      <c r="L122" s="798"/>
      <c r="M122" s="799"/>
      <c r="N122" s="547"/>
      <c r="O122" s="801"/>
      <c r="P122" s="1013"/>
      <c r="Q122" s="1013"/>
      <c r="R122" s="1013"/>
      <c r="S122" s="1013"/>
      <c r="T122" s="1013"/>
      <c r="U122" s="1047"/>
      <c r="V122" s="1049"/>
      <c r="W122" s="1049"/>
      <c r="X122" s="1049"/>
      <c r="Y122" s="1013"/>
    </row>
    <row r="123" spans="1:25" ht="16.5">
      <c r="A123" s="1011"/>
      <c r="B123" s="494"/>
      <c r="C123" s="908">
        <v>0</v>
      </c>
      <c r="D123" s="908">
        <v>0</v>
      </c>
      <c r="E123" s="908">
        <v>0</v>
      </c>
      <c r="F123" s="908">
        <v>0</v>
      </c>
      <c r="G123" s="1035"/>
      <c r="H123" s="1035"/>
      <c r="I123" s="1011"/>
      <c r="J123" s="593" t="s">
        <v>1827</v>
      </c>
      <c r="K123" s="539"/>
      <c r="L123" s="914">
        <v>16600.105</v>
      </c>
      <c r="M123" s="988">
        <v>80747</v>
      </c>
      <c r="N123" s="713"/>
      <c r="O123" s="922">
        <v>706</v>
      </c>
      <c r="P123" s="1013"/>
      <c r="Q123" s="1013"/>
      <c r="R123" s="1013"/>
      <c r="S123" s="1013"/>
      <c r="T123" s="1013"/>
      <c r="U123" s="1047"/>
      <c r="V123" s="1049"/>
      <c r="W123" s="1049"/>
      <c r="X123" s="1049"/>
      <c r="Y123" s="1013"/>
    </row>
    <row r="124" spans="1:25" ht="16.5">
      <c r="A124" s="1011"/>
      <c r="B124" s="495"/>
      <c r="C124" s="904">
        <v>0</v>
      </c>
      <c r="D124" s="904">
        <v>0</v>
      </c>
      <c r="E124" s="904">
        <v>0</v>
      </c>
      <c r="F124" s="904">
        <v>0</v>
      </c>
      <c r="G124" s="1035"/>
      <c r="H124" s="1035"/>
      <c r="I124" s="1011"/>
      <c r="J124" s="591" t="s">
        <v>1828</v>
      </c>
      <c r="K124" s="479"/>
      <c r="L124" s="910">
        <v>0</v>
      </c>
      <c r="M124" s="988">
        <v>0</v>
      </c>
      <c r="N124" s="579"/>
      <c r="O124" s="907">
        <v>0</v>
      </c>
      <c r="P124" s="1013"/>
      <c r="Q124" s="1062"/>
      <c r="R124" s="1013"/>
      <c r="S124" s="1013"/>
      <c r="T124" s="1013"/>
      <c r="U124" s="1047"/>
      <c r="V124" s="1049"/>
      <c r="W124" s="1049"/>
      <c r="X124" s="1049"/>
      <c r="Y124" s="1013"/>
    </row>
    <row r="125" spans="1:25" ht="15">
      <c r="A125" s="1011"/>
      <c r="B125" s="495"/>
      <c r="C125" s="904">
        <v>0</v>
      </c>
      <c r="D125" s="904">
        <v>0</v>
      </c>
      <c r="E125" s="904">
        <v>0</v>
      </c>
      <c r="F125" s="904">
        <v>0</v>
      </c>
      <c r="G125" s="1029"/>
      <c r="H125" s="1029"/>
      <c r="I125" s="1011"/>
      <c r="J125" s="591" t="s">
        <v>1838</v>
      </c>
      <c r="K125" s="479"/>
      <c r="L125" s="988">
        <v>9481.227000000003</v>
      </c>
      <c r="M125" s="988">
        <v>130730</v>
      </c>
      <c r="N125" s="714"/>
      <c r="O125" s="907">
        <v>364</v>
      </c>
      <c r="P125" s="986">
        <f>SUM(O123:O126)</f>
        <v>1414</v>
      </c>
      <c r="Q125" s="1013"/>
      <c r="R125" s="1062" t="s">
        <v>2121</v>
      </c>
      <c r="S125" s="1013"/>
      <c r="T125" s="1013"/>
      <c r="U125" s="1047"/>
      <c r="V125" s="1049"/>
      <c r="W125" s="1049"/>
      <c r="X125" s="1049"/>
      <c r="Y125" s="1013"/>
    </row>
    <row r="126" spans="1:25" ht="16.5" customHeight="1">
      <c r="A126" s="1011"/>
      <c r="B126" s="495"/>
      <c r="C126" s="904">
        <v>0</v>
      </c>
      <c r="D126" s="904">
        <v>0</v>
      </c>
      <c r="E126" s="904">
        <v>0</v>
      </c>
      <c r="F126" s="904">
        <v>0</v>
      </c>
      <c r="G126" s="1029"/>
      <c r="H126" s="1029"/>
      <c r="I126" s="1011"/>
      <c r="J126" s="592" t="s">
        <v>170</v>
      </c>
      <c r="K126" s="581"/>
      <c r="L126" s="911">
        <v>16057.048000000017</v>
      </c>
      <c r="M126" s="911">
        <v>124249</v>
      </c>
      <c r="N126" s="547"/>
      <c r="O126" s="913">
        <v>344</v>
      </c>
      <c r="P126" s="1047"/>
      <c r="Q126" s="1013"/>
      <c r="R126" s="1144" t="s">
        <v>2105</v>
      </c>
      <c r="S126" s="1145" t="s">
        <v>2107</v>
      </c>
      <c r="T126" s="1146" t="s">
        <v>2106</v>
      </c>
      <c r="U126" s="1047"/>
      <c r="V126" s="1049"/>
      <c r="W126" s="1049"/>
      <c r="X126" s="1049"/>
      <c r="Y126" s="1013"/>
    </row>
    <row r="127" spans="1:25" ht="16.5" customHeight="1">
      <c r="A127" s="1011"/>
      <c r="B127" s="495"/>
      <c r="C127" s="920">
        <v>0</v>
      </c>
      <c r="D127" s="920">
        <v>0</v>
      </c>
      <c r="E127" s="920">
        <v>0</v>
      </c>
      <c r="F127" s="920">
        <v>0</v>
      </c>
      <c r="G127" s="1029"/>
      <c r="H127" s="1029"/>
      <c r="I127" s="1011"/>
      <c r="J127" s="591" t="s">
        <v>1728</v>
      </c>
      <c r="K127" s="479"/>
      <c r="L127" s="988">
        <v>31595.40399999999</v>
      </c>
      <c r="M127" s="910">
        <v>435682</v>
      </c>
      <c r="N127" s="579"/>
      <c r="O127" s="907">
        <v>1211.80462711052</v>
      </c>
      <c r="P127" s="1047"/>
      <c r="Q127" s="1013"/>
      <c r="R127" s="1149">
        <v>2060</v>
      </c>
      <c r="S127" s="1147">
        <f>R127*(M127/(M$127+M$128))</f>
        <v>1211.80462711052</v>
      </c>
      <c r="T127" s="1147">
        <f>R127*(M128/(M$127+M$128))</f>
        <v>848.1953728894799</v>
      </c>
      <c r="U127" s="1047"/>
      <c r="V127" s="1049"/>
      <c r="W127" s="1049"/>
      <c r="X127" s="1049"/>
      <c r="Y127" s="1013"/>
    </row>
    <row r="128" spans="1:25" ht="15">
      <c r="A128" s="1011"/>
      <c r="B128" s="496"/>
      <c r="C128" s="547">
        <f>SUM(C123:C127)</f>
        <v>0</v>
      </c>
      <c r="D128" s="547">
        <f>SUM(D123:D127)</f>
        <v>0</v>
      </c>
      <c r="E128" s="547">
        <f>SUM(E123:E127)</f>
        <v>0</v>
      </c>
      <c r="F128" s="547">
        <f>SUM(F123:F127)</f>
        <v>0</v>
      </c>
      <c r="G128" s="1011"/>
      <c r="H128" s="1029"/>
      <c r="I128" s="1011"/>
      <c r="J128" s="591" t="s">
        <v>1838</v>
      </c>
      <c r="K128" s="479"/>
      <c r="L128" s="988">
        <v>22116.14600000003</v>
      </c>
      <c r="M128" s="910">
        <v>304953</v>
      </c>
      <c r="N128" s="579"/>
      <c r="O128" s="907">
        <v>848.1953728894799</v>
      </c>
      <c r="P128" s="1047"/>
      <c r="Q128" s="1013"/>
      <c r="R128" s="1150">
        <v>1951</v>
      </c>
      <c r="S128" s="1148">
        <f>R128*(M129/(M$129+M$130))</f>
        <v>1147.6504817552252</v>
      </c>
      <c r="T128" s="1148">
        <f>R128*(M130/(M$129+M$130))</f>
        <v>803.3495182447748</v>
      </c>
      <c r="U128" s="1047"/>
      <c r="V128" s="1049"/>
      <c r="W128" s="1049"/>
      <c r="X128" s="1049"/>
      <c r="Y128" s="1013"/>
    </row>
    <row r="129" spans="2:25" ht="15">
      <c r="B129" s="443"/>
      <c r="C129" s="473"/>
      <c r="D129" s="473"/>
      <c r="E129" s="1063"/>
      <c r="F129" s="1063"/>
      <c r="G129" s="1029"/>
      <c r="H129" s="1029"/>
      <c r="I129" s="1011"/>
      <c r="J129" s="591" t="s">
        <v>1729</v>
      </c>
      <c r="K129" s="479"/>
      <c r="L129" s="988">
        <v>53523.92899999995</v>
      </c>
      <c r="M129" s="910">
        <v>414173</v>
      </c>
      <c r="N129" s="579"/>
      <c r="O129" s="910">
        <v>1147.6504817552252</v>
      </c>
      <c r="P129" s="1047"/>
      <c r="Q129" s="1013"/>
      <c r="R129" s="1141"/>
      <c r="S129" s="1049"/>
      <c r="T129" s="1049"/>
      <c r="U129" s="1047"/>
      <c r="V129" s="1072"/>
      <c r="W129" s="1072"/>
      <c r="X129" s="1049"/>
      <c r="Y129" s="1013"/>
    </row>
    <row r="130" spans="1:25" ht="15">
      <c r="A130" s="503"/>
      <c r="B130" s="641" t="s">
        <v>729</v>
      </c>
      <c r="C130" s="1013"/>
      <c r="D130" s="503" t="s">
        <v>1458</v>
      </c>
      <c r="E130" s="1013"/>
      <c r="F130" s="1013"/>
      <c r="G130" s="1029"/>
      <c r="H130" s="1029"/>
      <c r="I130" s="1011"/>
      <c r="J130" s="591" t="s">
        <v>170</v>
      </c>
      <c r="K130" s="479"/>
      <c r="L130" s="988">
        <v>37465.796000000024</v>
      </c>
      <c r="M130" s="910">
        <v>289919</v>
      </c>
      <c r="N130" s="579"/>
      <c r="O130" s="910">
        <v>803.3495182447748</v>
      </c>
      <c r="P130" s="1013" t="s">
        <v>1013</v>
      </c>
      <c r="Q130" s="1013"/>
      <c r="R130" s="1049"/>
      <c r="S130" s="1013"/>
      <c r="T130" s="1013"/>
      <c r="U130" s="1047"/>
      <c r="V130" s="1047"/>
      <c r="W130" s="1047"/>
      <c r="X130" s="1049"/>
      <c r="Y130" s="1013"/>
    </row>
    <row r="131" spans="1:25" ht="16.5" customHeight="1">
      <c r="A131" s="456"/>
      <c r="B131" s="637" t="s">
        <v>1225</v>
      </c>
      <c r="C131" s="613" t="s">
        <v>1486</v>
      </c>
      <c r="D131" s="456"/>
      <c r="E131" s="613" t="s">
        <v>1485</v>
      </c>
      <c r="F131" s="613" t="s">
        <v>1486</v>
      </c>
      <c r="G131" s="1029"/>
      <c r="H131" s="1029"/>
      <c r="I131" s="1011"/>
      <c r="J131" s="591" t="s">
        <v>1829</v>
      </c>
      <c r="K131" s="479"/>
      <c r="L131" s="910">
        <v>0</v>
      </c>
      <c r="M131" s="988">
        <v>0</v>
      </c>
      <c r="N131" s="579"/>
      <c r="O131" s="907">
        <v>0</v>
      </c>
      <c r="P131" s="1013"/>
      <c r="Q131" s="1013"/>
      <c r="R131" s="1063"/>
      <c r="S131" s="1013"/>
      <c r="T131" s="1013"/>
      <c r="U131" s="1047"/>
      <c r="V131" s="1072"/>
      <c r="W131" s="1072"/>
      <c r="X131" s="1049"/>
      <c r="Y131" s="1013"/>
    </row>
    <row r="132" spans="1:25" ht="16.5" customHeight="1">
      <c r="A132" s="508"/>
      <c r="B132" s="921">
        <v>0</v>
      </c>
      <c r="C132" s="922">
        <v>0</v>
      </c>
      <c r="D132" s="504"/>
      <c r="E132" s="908">
        <v>0</v>
      </c>
      <c r="F132" s="908">
        <v>0</v>
      </c>
      <c r="G132" s="1029"/>
      <c r="H132" s="1029"/>
      <c r="I132" s="1011"/>
      <c r="J132" s="591" t="s">
        <v>1830</v>
      </c>
      <c r="K132" s="479"/>
      <c r="L132" s="910">
        <v>0</v>
      </c>
      <c r="M132" s="988">
        <v>0</v>
      </c>
      <c r="N132" s="579"/>
      <c r="O132" s="907">
        <v>0</v>
      </c>
      <c r="P132" s="1013"/>
      <c r="Q132" s="1013"/>
      <c r="R132" s="1013"/>
      <c r="S132" s="1013"/>
      <c r="T132" s="1013"/>
      <c r="U132" s="1047"/>
      <c r="V132" s="1072"/>
      <c r="W132" s="1072"/>
      <c r="X132" s="1049"/>
      <c r="Y132" s="1013"/>
    </row>
    <row r="133" spans="1:25" ht="51">
      <c r="A133" s="726"/>
      <c r="B133" s="921">
        <v>0</v>
      </c>
      <c r="C133" s="907">
        <v>0</v>
      </c>
      <c r="D133" s="505"/>
      <c r="E133" s="904">
        <v>0</v>
      </c>
      <c r="F133" s="904">
        <v>0</v>
      </c>
      <c r="G133" s="1011"/>
      <c r="H133" s="1011"/>
      <c r="I133" s="1011"/>
      <c r="J133" s="591" t="s">
        <v>1831</v>
      </c>
      <c r="K133" s="479"/>
      <c r="L133" s="910">
        <v>1764.3600000000004</v>
      </c>
      <c r="M133" s="988">
        <v>47241</v>
      </c>
      <c r="N133" s="579"/>
      <c r="O133" s="907">
        <v>264</v>
      </c>
      <c r="P133" s="986">
        <f>SUM(O127:O134)+R130</f>
        <v>6238</v>
      </c>
      <c r="Q133" s="443"/>
      <c r="R133" s="1013"/>
      <c r="S133" s="1131" t="s">
        <v>2145</v>
      </c>
      <c r="T133" s="1062"/>
      <c r="U133" s="1047"/>
      <c r="V133" s="1049"/>
      <c r="W133" s="1049"/>
      <c r="X133" s="1049"/>
      <c r="Y133" s="1013"/>
    </row>
    <row r="134" spans="1:25" ht="16.5">
      <c r="A134" s="726"/>
      <c r="B134" s="921">
        <v>0</v>
      </c>
      <c r="C134" s="907">
        <v>0</v>
      </c>
      <c r="D134" s="505"/>
      <c r="E134" s="904">
        <v>0</v>
      </c>
      <c r="F134" s="904">
        <v>0</v>
      </c>
      <c r="G134" s="1035"/>
      <c r="H134" s="1035"/>
      <c r="I134" s="1011"/>
      <c r="J134" s="592" t="s">
        <v>1731</v>
      </c>
      <c r="K134" s="581"/>
      <c r="L134" s="911">
        <v>15569.104999999994</v>
      </c>
      <c r="M134" s="989">
        <v>270332</v>
      </c>
      <c r="N134" s="547"/>
      <c r="O134" s="913">
        <v>1963</v>
      </c>
      <c r="P134" s="1013"/>
      <c r="Q134" s="1013"/>
      <c r="R134" s="443"/>
      <c r="S134" s="851" t="s">
        <v>1674</v>
      </c>
      <c r="T134" s="852"/>
      <c r="U134" s="852"/>
      <c r="V134" s="852"/>
      <c r="W134" s="453"/>
      <c r="X134" s="1049"/>
      <c r="Y134" s="1013"/>
    </row>
    <row r="135" spans="1:25" ht="16.5">
      <c r="A135" s="726"/>
      <c r="B135" s="921">
        <v>0</v>
      </c>
      <c r="C135" s="907">
        <v>0</v>
      </c>
      <c r="D135" s="505"/>
      <c r="E135" s="904">
        <v>0</v>
      </c>
      <c r="F135" s="904">
        <v>0</v>
      </c>
      <c r="G135" s="1035"/>
      <c r="H135" s="1035"/>
      <c r="I135" s="1011"/>
      <c r="J135" s="591" t="s">
        <v>1812</v>
      </c>
      <c r="K135" s="479"/>
      <c r="L135" s="992">
        <v>31630.101000000115</v>
      </c>
      <c r="M135" s="993">
        <v>303754</v>
      </c>
      <c r="N135" s="579"/>
      <c r="O135" s="906">
        <v>91</v>
      </c>
      <c r="P135" s="1013"/>
      <c r="Q135" s="1013"/>
      <c r="R135" s="1013"/>
      <c r="S135" s="452" t="s">
        <v>429</v>
      </c>
      <c r="T135" s="446"/>
      <c r="U135" s="453" t="s">
        <v>430</v>
      </c>
      <c r="V135" s="599"/>
      <c r="W135" s="600" t="s">
        <v>1675</v>
      </c>
      <c r="X135" s="1049"/>
      <c r="Y135" s="1013"/>
    </row>
    <row r="136" spans="1:25" ht="15">
      <c r="A136" s="727"/>
      <c r="B136" s="923">
        <v>0</v>
      </c>
      <c r="C136" s="913">
        <v>0</v>
      </c>
      <c r="D136" s="483"/>
      <c r="E136" s="920">
        <v>0</v>
      </c>
      <c r="F136" s="920">
        <v>0</v>
      </c>
      <c r="G136" s="1045"/>
      <c r="H136" s="1045"/>
      <c r="I136" s="1011"/>
      <c r="J136" s="591" t="s">
        <v>1604</v>
      </c>
      <c r="K136" s="479"/>
      <c r="L136" s="910">
        <v>0</v>
      </c>
      <c r="M136" s="988">
        <v>0</v>
      </c>
      <c r="N136" s="579"/>
      <c r="O136" s="907">
        <v>0</v>
      </c>
      <c r="P136" s="1013"/>
      <c r="Q136" s="1013"/>
      <c r="R136" s="452" t="s">
        <v>1605</v>
      </c>
      <c r="S136" s="1003">
        <f>L137</f>
        <v>2265.0070000000005</v>
      </c>
      <c r="T136" s="595"/>
      <c r="U136" s="1004">
        <v>383144</v>
      </c>
      <c r="V136" s="447"/>
      <c r="W136" s="1005">
        <v>344</v>
      </c>
      <c r="X136" s="1049"/>
      <c r="Y136" s="1013"/>
    </row>
    <row r="137" spans="1:25" ht="15">
      <c r="A137" s="483"/>
      <c r="B137" s="547">
        <f>SUM(B132:B136)</f>
        <v>0</v>
      </c>
      <c r="C137" s="547">
        <f>SUM(C132:C136)</f>
        <v>0</v>
      </c>
      <c r="D137" s="483"/>
      <c r="E137" s="547">
        <f>SUM(E132:E136)</f>
        <v>0</v>
      </c>
      <c r="F137" s="547">
        <f>SUM(F132:F136)</f>
        <v>0</v>
      </c>
      <c r="G137" s="1045"/>
      <c r="H137" s="1045"/>
      <c r="I137" s="1011"/>
      <c r="J137" s="591" t="s">
        <v>1605</v>
      </c>
      <c r="K137" s="479"/>
      <c r="L137" s="910">
        <v>2265.0070000000005</v>
      </c>
      <c r="M137" s="988">
        <v>11642</v>
      </c>
      <c r="N137" s="579"/>
      <c r="O137" s="906">
        <f>W140</f>
        <v>2.03360200864427</v>
      </c>
      <c r="P137" s="1013"/>
      <c r="Q137" s="1013"/>
      <c r="R137" s="596" t="s">
        <v>1839</v>
      </c>
      <c r="S137" s="1003">
        <f>L138</f>
        <v>3019.3419999999987</v>
      </c>
      <c r="T137" s="596"/>
      <c r="U137" s="1004">
        <v>89482</v>
      </c>
      <c r="V137" s="448"/>
      <c r="W137" s="1005">
        <v>39</v>
      </c>
      <c r="X137" s="1049"/>
      <c r="Y137" s="1013"/>
    </row>
    <row r="138" spans="1:25" ht="15">
      <c r="A138" s="497" t="s">
        <v>544</v>
      </c>
      <c r="B138" s="506"/>
      <c r="C138" s="499"/>
      <c r="D138" s="499"/>
      <c r="E138" s="499"/>
      <c r="F138" s="500"/>
      <c r="G138" s="1045"/>
      <c r="H138" s="1045"/>
      <c r="I138" s="1011"/>
      <c r="J138" s="591" t="s">
        <v>1839</v>
      </c>
      <c r="K138" s="479"/>
      <c r="L138" s="910">
        <v>3019.3419999999987</v>
      </c>
      <c r="M138" s="988">
        <v>12135</v>
      </c>
      <c r="N138" s="579"/>
      <c r="O138" s="906">
        <f>W141</f>
        <v>1.315955588833508</v>
      </c>
      <c r="P138" s="1013"/>
      <c r="Q138" s="1013"/>
      <c r="R138" s="1073"/>
      <c r="S138" s="1074" t="s">
        <v>1676</v>
      </c>
      <c r="T138" s="1075"/>
      <c r="U138" s="1075"/>
      <c r="V138" s="1075"/>
      <c r="W138" s="1076"/>
      <c r="X138" s="1049"/>
      <c r="Y138" s="1013"/>
    </row>
    <row r="139" spans="1:25" ht="15">
      <c r="A139" s="504"/>
      <c r="B139" s="924">
        <v>0</v>
      </c>
      <c r="C139" s="905">
        <v>0</v>
      </c>
      <c r="D139" s="505"/>
      <c r="E139" s="924">
        <v>0</v>
      </c>
      <c r="F139" s="908">
        <v>0</v>
      </c>
      <c r="G139" s="1045"/>
      <c r="H139" s="1045"/>
      <c r="I139" s="1011"/>
      <c r="J139" s="591" t="s">
        <v>674</v>
      </c>
      <c r="K139" s="479"/>
      <c r="L139" s="653"/>
      <c r="M139" s="654"/>
      <c r="N139" s="579"/>
      <c r="O139" s="544"/>
      <c r="P139" s="1013"/>
      <c r="Q139" s="1013"/>
      <c r="R139" s="1058"/>
      <c r="S139" s="452" t="s">
        <v>429</v>
      </c>
      <c r="T139" s="446"/>
      <c r="U139" s="600" t="s">
        <v>1624</v>
      </c>
      <c r="V139" s="446"/>
      <c r="W139" s="452" t="s">
        <v>1675</v>
      </c>
      <c r="X139" s="1049"/>
      <c r="Y139" s="1013"/>
    </row>
    <row r="140" spans="1:25" ht="15">
      <c r="A140" s="505"/>
      <c r="B140" s="924">
        <v>0</v>
      </c>
      <c r="C140" s="905">
        <v>0</v>
      </c>
      <c r="D140" s="505"/>
      <c r="E140" s="924">
        <v>0</v>
      </c>
      <c r="F140" s="904">
        <v>0</v>
      </c>
      <c r="G140" s="1045"/>
      <c r="H140" s="1045"/>
      <c r="I140" s="1011"/>
      <c r="J140" s="591" t="s">
        <v>675</v>
      </c>
      <c r="K140" s="479"/>
      <c r="L140" s="653"/>
      <c r="M140" s="654"/>
      <c r="N140" s="579"/>
      <c r="O140" s="544"/>
      <c r="P140" s="1013"/>
      <c r="Q140" s="1013"/>
      <c r="R140" s="452" t="s">
        <v>1605</v>
      </c>
      <c r="S140" s="825">
        <f>S136</f>
        <v>2265.0070000000005</v>
      </c>
      <c r="T140" s="826"/>
      <c r="U140" s="825">
        <f>U136-S136</f>
        <v>380878.993</v>
      </c>
      <c r="V140" s="447"/>
      <c r="W140" s="601">
        <f>IF(ISNUMBER(W136*(S136/U136)),W136*(S136/U136),0)</f>
        <v>2.03360200864427</v>
      </c>
      <c r="X140" s="1049"/>
      <c r="Y140" s="1013"/>
    </row>
    <row r="141" spans="1:25" ht="16.5">
      <c r="A141" s="505"/>
      <c r="B141" s="924">
        <v>0</v>
      </c>
      <c r="C141" s="905">
        <v>0</v>
      </c>
      <c r="D141" s="505"/>
      <c r="E141" s="924">
        <v>0</v>
      </c>
      <c r="F141" s="904">
        <v>0</v>
      </c>
      <c r="G141" s="1035"/>
      <c r="H141" s="1029"/>
      <c r="I141" s="1011"/>
      <c r="J141" s="591" t="s">
        <v>676</v>
      </c>
      <c r="K141" s="479"/>
      <c r="L141" s="910">
        <v>1034.915</v>
      </c>
      <c r="M141" s="988">
        <v>27729</v>
      </c>
      <c r="N141" s="579"/>
      <c r="O141" s="907">
        <v>580</v>
      </c>
      <c r="P141" s="1013"/>
      <c r="Q141" s="1013"/>
      <c r="R141" s="452" t="s">
        <v>1839</v>
      </c>
      <c r="S141" s="825">
        <f>S137</f>
        <v>3019.3419999999987</v>
      </c>
      <c r="T141" s="827"/>
      <c r="U141" s="825">
        <f>U137-S137</f>
        <v>86462.658</v>
      </c>
      <c r="V141" s="448"/>
      <c r="W141" s="601">
        <f>IF(ISNUMBER(W137*(S137/U137)),W137*(S137/U137),0)</f>
        <v>1.315955588833508</v>
      </c>
      <c r="X141" s="1049"/>
      <c r="Y141" s="1013"/>
    </row>
    <row r="142" spans="1:25" ht="16.5">
      <c r="A142" s="505"/>
      <c r="B142" s="924">
        <v>0</v>
      </c>
      <c r="C142" s="905">
        <v>0</v>
      </c>
      <c r="D142" s="505"/>
      <c r="E142" s="924">
        <v>0</v>
      </c>
      <c r="F142" s="904">
        <v>0</v>
      </c>
      <c r="G142" s="1035"/>
      <c r="H142" s="1029"/>
      <c r="I142" s="1011"/>
      <c r="J142" s="591" t="s">
        <v>677</v>
      </c>
      <c r="K142" s="479"/>
      <c r="L142" s="910">
        <v>232</v>
      </c>
      <c r="M142" s="988">
        <v>58265</v>
      </c>
      <c r="N142" s="579"/>
      <c r="O142" s="907">
        <v>55</v>
      </c>
      <c r="P142" s="1013"/>
      <c r="Q142" s="1013"/>
      <c r="R142" s="1013"/>
      <c r="S142" s="1013"/>
      <c r="T142" s="1013"/>
      <c r="U142" s="1013"/>
      <c r="V142" s="1049"/>
      <c r="W142" s="1049"/>
      <c r="X142" s="1049"/>
      <c r="Y142" s="1013"/>
    </row>
    <row r="143" spans="1:25" ht="15">
      <c r="A143" s="483"/>
      <c r="B143" s="924">
        <v>0</v>
      </c>
      <c r="C143" s="905">
        <v>0</v>
      </c>
      <c r="D143" s="483"/>
      <c r="E143" s="920">
        <v>0</v>
      </c>
      <c r="F143" s="920">
        <v>0</v>
      </c>
      <c r="G143" s="1011"/>
      <c r="H143" s="1046"/>
      <c r="I143" s="1011"/>
      <c r="J143" s="591" t="s">
        <v>1832</v>
      </c>
      <c r="K143" s="479"/>
      <c r="L143" s="910">
        <v>29211.250999999993</v>
      </c>
      <c r="M143" s="988">
        <v>109374</v>
      </c>
      <c r="N143" s="579"/>
      <c r="O143" s="907">
        <v>119</v>
      </c>
      <c r="P143" s="1013"/>
      <c r="Q143" s="1013"/>
      <c r="R143" s="1013"/>
      <c r="S143" s="1013"/>
      <c r="T143" s="1013"/>
      <c r="U143" s="1013"/>
      <c r="V143" s="1049"/>
      <c r="W143" s="1049"/>
      <c r="X143" s="1049"/>
      <c r="Y143" s="1013"/>
    </row>
    <row r="144" spans="1:25" ht="15">
      <c r="A144" s="483"/>
      <c r="B144" s="652">
        <f>SUM(B139:B143)</f>
        <v>0</v>
      </c>
      <c r="C144" s="550">
        <f>SUM(C139:C143)</f>
        <v>0</v>
      </c>
      <c r="D144" s="483"/>
      <c r="E144" s="548">
        <f>SUM(E139:E143)</f>
        <v>0</v>
      </c>
      <c r="F144" s="547">
        <f>SUM(F139:F143)</f>
        <v>0</v>
      </c>
      <c r="G144" s="1011"/>
      <c r="H144" s="1029"/>
      <c r="I144" s="1011"/>
      <c r="J144" s="591" t="s">
        <v>1833</v>
      </c>
      <c r="K144" s="479"/>
      <c r="L144" s="910">
        <v>4684.283000000001</v>
      </c>
      <c r="M144" s="988">
        <v>22571</v>
      </c>
      <c r="N144" s="579"/>
      <c r="O144" s="907">
        <v>22</v>
      </c>
      <c r="P144" s="1013"/>
      <c r="Q144" s="1013"/>
      <c r="R144" s="1013"/>
      <c r="S144" s="1013"/>
      <c r="T144" s="1013"/>
      <c r="U144" s="1013"/>
      <c r="V144" s="1049"/>
      <c r="W144" s="1049"/>
      <c r="X144" s="1049"/>
      <c r="Y144" s="1013"/>
    </row>
    <row r="145" spans="1:25" ht="15">
      <c r="A145" s="443"/>
      <c r="B145" s="443"/>
      <c r="C145" s="443"/>
      <c r="E145" s="471"/>
      <c r="F145" s="471"/>
      <c r="H145" s="1029"/>
      <c r="I145" s="1011"/>
      <c r="J145" s="591" t="s">
        <v>643</v>
      </c>
      <c r="K145" s="479"/>
      <c r="L145" s="988">
        <v>0</v>
      </c>
      <c r="M145" s="909">
        <v>0</v>
      </c>
      <c r="N145" s="579"/>
      <c r="O145" s="907">
        <v>0</v>
      </c>
      <c r="P145" s="1013"/>
      <c r="Q145" s="1013"/>
      <c r="R145" s="1013"/>
      <c r="S145" s="1013"/>
      <c r="T145" s="1013"/>
      <c r="U145" s="1047"/>
      <c r="V145" s="1011"/>
      <c r="W145" s="1011"/>
      <c r="X145" s="1049"/>
      <c r="Y145" s="1013"/>
    </row>
    <row r="146" spans="1:25" ht="30">
      <c r="A146" s="636" t="s">
        <v>1155</v>
      </c>
      <c r="B146" s="635"/>
      <c r="C146" s="637" t="s">
        <v>1156</v>
      </c>
      <c r="D146" s="638" t="s">
        <v>1483</v>
      </c>
      <c r="E146" s="638" t="s">
        <v>1484</v>
      </c>
      <c r="F146" s="638" t="s">
        <v>1224</v>
      </c>
      <c r="G146" s="648" t="s">
        <v>325</v>
      </c>
      <c r="H146" s="1029"/>
      <c r="I146" s="1011"/>
      <c r="J146" s="591" t="s">
        <v>644</v>
      </c>
      <c r="K146" s="479"/>
      <c r="L146" s="988">
        <v>0</v>
      </c>
      <c r="M146" s="909">
        <v>0</v>
      </c>
      <c r="N146" s="579"/>
      <c r="O146" s="907">
        <v>0</v>
      </c>
      <c r="P146" s="1013"/>
      <c r="Q146" s="1013"/>
      <c r="R146" s="1013"/>
      <c r="S146" s="1013"/>
      <c r="T146" s="1013"/>
      <c r="U146" s="1047"/>
      <c r="V146" s="1011"/>
      <c r="W146" s="1011"/>
      <c r="X146" s="1049"/>
      <c r="Y146" s="1013"/>
    </row>
    <row r="147" spans="1:25" ht="15">
      <c r="A147" s="642" t="s">
        <v>732</v>
      </c>
      <c r="B147" s="494" t="s">
        <v>926</v>
      </c>
      <c r="C147" s="925">
        <v>1178.17</v>
      </c>
      <c r="D147" s="905">
        <v>23366</v>
      </c>
      <c r="E147" s="914">
        <v>-34272</v>
      </c>
      <c r="F147" s="928">
        <v>0</v>
      </c>
      <c r="G147" s="925">
        <v>2005.16</v>
      </c>
      <c r="H147" s="1029"/>
      <c r="I147" s="1011"/>
      <c r="J147" s="591" t="s">
        <v>645</v>
      </c>
      <c r="K147" s="479"/>
      <c r="L147" s="988">
        <v>0</v>
      </c>
      <c r="M147" s="909">
        <v>0</v>
      </c>
      <c r="N147" s="579"/>
      <c r="O147" s="907">
        <v>0</v>
      </c>
      <c r="P147" s="1013"/>
      <c r="Q147" s="1013"/>
      <c r="R147" s="1013"/>
      <c r="S147" s="1013"/>
      <c r="T147" s="1013"/>
      <c r="U147" s="1047"/>
      <c r="V147" s="1011"/>
      <c r="W147" s="1011"/>
      <c r="X147" s="1049"/>
      <c r="Y147" s="1063"/>
    </row>
    <row r="148" spans="1:25" ht="15">
      <c r="A148" s="446"/>
      <c r="B148" s="495" t="s">
        <v>927</v>
      </c>
      <c r="C148" s="926">
        <v>247.41</v>
      </c>
      <c r="D148" s="905">
        <v>4907</v>
      </c>
      <c r="E148" s="910">
        <v>-7197</v>
      </c>
      <c r="F148" s="909">
        <v>0</v>
      </c>
      <c r="G148" s="926">
        <v>421.08</v>
      </c>
      <c r="H148" s="1029"/>
      <c r="I148" s="1011"/>
      <c r="J148" s="591" t="s">
        <v>646</v>
      </c>
      <c r="K148" s="479"/>
      <c r="L148" s="988">
        <v>0</v>
      </c>
      <c r="M148" s="909">
        <v>0</v>
      </c>
      <c r="N148" s="579"/>
      <c r="O148" s="907">
        <v>0</v>
      </c>
      <c r="P148" s="1013"/>
      <c r="Q148" s="1013"/>
      <c r="R148" s="1013"/>
      <c r="S148" s="1013"/>
      <c r="T148" s="1013"/>
      <c r="U148" s="1047"/>
      <c r="V148" s="1011"/>
      <c r="W148" s="1011"/>
      <c r="X148" s="1049"/>
      <c r="Y148" s="1063"/>
    </row>
    <row r="149" spans="1:25" ht="15">
      <c r="A149" s="447"/>
      <c r="B149" s="495" t="s">
        <v>928</v>
      </c>
      <c r="C149" s="926">
        <v>786.28</v>
      </c>
      <c r="D149" s="905">
        <v>15594</v>
      </c>
      <c r="E149" s="910">
        <v>-22872</v>
      </c>
      <c r="F149" s="909">
        <v>0</v>
      </c>
      <c r="G149" s="926">
        <v>1338.18</v>
      </c>
      <c r="H149" s="1029"/>
      <c r="I149" s="1011"/>
      <c r="J149" s="591" t="s">
        <v>647</v>
      </c>
      <c r="K149" s="479"/>
      <c r="L149" s="988">
        <v>0</v>
      </c>
      <c r="M149" s="909">
        <v>0</v>
      </c>
      <c r="N149" s="579"/>
      <c r="O149" s="907">
        <v>0</v>
      </c>
      <c r="P149" s="1013"/>
      <c r="Q149" s="1013"/>
      <c r="R149" s="1013"/>
      <c r="S149" s="1013"/>
      <c r="T149" s="1013"/>
      <c r="U149" s="1047"/>
      <c r="V149" s="1011"/>
      <c r="W149" s="1011"/>
      <c r="X149" s="1049"/>
      <c r="Y149" s="1013"/>
    </row>
    <row r="150" spans="1:25" ht="15">
      <c r="A150" s="447"/>
      <c r="B150" s="495" t="s">
        <v>929</v>
      </c>
      <c r="C150" s="926">
        <v>1648.49</v>
      </c>
      <c r="D150" s="905">
        <v>32694</v>
      </c>
      <c r="E150" s="910">
        <v>-47953</v>
      </c>
      <c r="F150" s="910">
        <v>0</v>
      </c>
      <c r="G150" s="926">
        <v>2805.58</v>
      </c>
      <c r="H150" s="1029"/>
      <c r="I150" s="1011"/>
      <c r="J150" s="591" t="s">
        <v>648</v>
      </c>
      <c r="K150" s="479"/>
      <c r="L150" s="988">
        <v>0</v>
      </c>
      <c r="M150" s="909">
        <v>0</v>
      </c>
      <c r="N150" s="579"/>
      <c r="O150" s="907">
        <v>0</v>
      </c>
      <c r="P150" s="532" t="s">
        <v>734</v>
      </c>
      <c r="Q150" s="443"/>
      <c r="R150" s="1013"/>
      <c r="S150" s="1013"/>
      <c r="T150" s="1013"/>
      <c r="U150" s="1047"/>
      <c r="V150" s="1011"/>
      <c r="W150" s="1011"/>
      <c r="X150" s="1013"/>
      <c r="Y150" s="1013"/>
    </row>
    <row r="151" spans="1:25" ht="15">
      <c r="A151" s="447"/>
      <c r="B151" s="495" t="s">
        <v>1754</v>
      </c>
      <c r="C151" s="927">
        <v>0</v>
      </c>
      <c r="D151" s="905">
        <v>0</v>
      </c>
      <c r="E151" s="911">
        <v>0</v>
      </c>
      <c r="F151" s="911">
        <v>0</v>
      </c>
      <c r="G151" s="927">
        <v>0</v>
      </c>
      <c r="H151" s="1029"/>
      <c r="I151" s="1011"/>
      <c r="J151" s="591" t="s">
        <v>1606</v>
      </c>
      <c r="K151" s="479"/>
      <c r="L151" s="910">
        <v>76834.60899999994</v>
      </c>
      <c r="M151" s="988">
        <v>817309</v>
      </c>
      <c r="N151" s="579"/>
      <c r="O151" s="906">
        <v>1157</v>
      </c>
      <c r="P151" s="1013"/>
      <c r="Q151" s="1013"/>
      <c r="R151" s="1013"/>
      <c r="S151" s="1013"/>
      <c r="T151" s="1013"/>
      <c r="U151" s="1047"/>
      <c r="V151" s="1011"/>
      <c r="W151" s="1011"/>
      <c r="X151" s="1013"/>
      <c r="Y151" s="1013"/>
    </row>
    <row r="152" spans="1:25" ht="15">
      <c r="A152" s="447"/>
      <c r="B152" s="496" t="s">
        <v>543</v>
      </c>
      <c r="C152" s="468">
        <f>SUM(C147:C151)</f>
        <v>3860.3500000000004</v>
      </c>
      <c r="D152" s="468">
        <f>SUM(D147:D151)</f>
        <v>76561</v>
      </c>
      <c r="E152" s="468">
        <f>SUM(E147:E151)</f>
        <v>-112294</v>
      </c>
      <c r="F152" s="468">
        <f>SUM(F147:F151)</f>
        <v>0</v>
      </c>
      <c r="G152" s="468">
        <f>SUM(G147:G151)</f>
        <v>6570</v>
      </c>
      <c r="H152" s="1029"/>
      <c r="I152" s="1011"/>
      <c r="J152" s="591" t="s">
        <v>1607</v>
      </c>
      <c r="K152" s="479"/>
      <c r="L152" s="910">
        <v>81977.60200000003</v>
      </c>
      <c r="M152" s="988">
        <v>839258</v>
      </c>
      <c r="N152" s="579"/>
      <c r="O152" s="906">
        <v>683</v>
      </c>
      <c r="P152" s="1062" t="s">
        <v>734</v>
      </c>
      <c r="Q152" s="1013"/>
      <c r="R152" s="1013"/>
      <c r="S152" s="1013"/>
      <c r="T152" s="1013"/>
      <c r="U152" s="1047"/>
      <c r="V152" s="1011"/>
      <c r="W152" s="1011"/>
      <c r="X152" s="1047"/>
      <c r="Y152" s="1013"/>
    </row>
    <row r="153" spans="1:25" ht="15">
      <c r="A153" s="447"/>
      <c r="B153" s="497" t="s">
        <v>544</v>
      </c>
      <c r="C153" s="508"/>
      <c r="D153" s="468"/>
      <c r="E153" s="499"/>
      <c r="F153" s="529"/>
      <c r="G153" s="639"/>
      <c r="H153" s="1029"/>
      <c r="I153" s="1011"/>
      <c r="J153" s="591" t="s">
        <v>1608</v>
      </c>
      <c r="K153" s="479"/>
      <c r="L153" s="910">
        <v>4456.456999999999</v>
      </c>
      <c r="M153" s="988">
        <v>73697</v>
      </c>
      <c r="N153" s="579"/>
      <c r="O153" s="906">
        <v>759</v>
      </c>
      <c r="P153" s="1013"/>
      <c r="Q153" s="1013"/>
      <c r="R153" s="1013"/>
      <c r="S153" s="1013"/>
      <c r="T153" s="1013"/>
      <c r="U153" s="1047"/>
      <c r="V153" s="1013"/>
      <c r="W153" s="1049"/>
      <c r="X153" s="1049"/>
      <c r="Y153" s="1013"/>
    </row>
    <row r="154" spans="1:25" ht="15">
      <c r="A154" s="447"/>
      <c r="B154" s="502" t="s">
        <v>926</v>
      </c>
      <c r="C154" s="929">
        <v>1178.17</v>
      </c>
      <c r="D154" s="908">
        <v>23321.67</v>
      </c>
      <c r="E154" s="930">
        <v>-34039.08</v>
      </c>
      <c r="F154" s="925">
        <v>0</v>
      </c>
      <c r="G154" s="931">
        <v>2005.16</v>
      </c>
      <c r="H154" s="1029"/>
      <c r="I154" s="1011"/>
      <c r="J154" s="591" t="s">
        <v>1609</v>
      </c>
      <c r="K154" s="479"/>
      <c r="L154" s="910">
        <v>468</v>
      </c>
      <c r="M154" s="988">
        <v>3619</v>
      </c>
      <c r="N154" s="579"/>
      <c r="O154" s="906">
        <v>36</v>
      </c>
      <c r="P154" s="986">
        <f>SUM(O135:O177)-O137-O138</f>
        <v>11093.999999999998</v>
      </c>
      <c r="Q154" s="443"/>
      <c r="R154" s="1013"/>
      <c r="S154" s="1013"/>
      <c r="T154" s="1013"/>
      <c r="U154" s="1047"/>
      <c r="V154" s="1013"/>
      <c r="W154" s="1049"/>
      <c r="X154" s="1049"/>
      <c r="Y154" s="1013"/>
    </row>
    <row r="155" spans="1:25" ht="15">
      <c r="A155" s="447"/>
      <c r="B155" s="478" t="s">
        <v>927</v>
      </c>
      <c r="C155" s="932">
        <v>247.41</v>
      </c>
      <c r="D155" s="904">
        <v>4897.45</v>
      </c>
      <c r="E155" s="905">
        <v>-7148.05</v>
      </c>
      <c r="F155" s="926">
        <v>0</v>
      </c>
      <c r="G155" s="933">
        <v>421.08</v>
      </c>
      <c r="H155" s="1029"/>
      <c r="I155" s="1011"/>
      <c r="J155" s="591" t="s">
        <v>1610</v>
      </c>
      <c r="K155" s="479"/>
      <c r="L155" s="910">
        <v>4043.749</v>
      </c>
      <c r="M155" s="988">
        <v>83110</v>
      </c>
      <c r="N155" s="579"/>
      <c r="O155" s="906">
        <v>844</v>
      </c>
      <c r="P155" s="1013"/>
      <c r="Q155" s="1013"/>
      <c r="R155" s="1013"/>
      <c r="S155" s="1013"/>
      <c r="T155" s="1013"/>
      <c r="U155" s="1047"/>
      <c r="V155" s="1013"/>
      <c r="W155" s="1049"/>
      <c r="X155" s="1049"/>
      <c r="Y155" s="1013"/>
    </row>
    <row r="156" spans="1:25" ht="15">
      <c r="A156" s="447"/>
      <c r="B156" s="495" t="s">
        <v>928</v>
      </c>
      <c r="C156" s="932">
        <v>786.28</v>
      </c>
      <c r="D156" s="904">
        <v>15564.02</v>
      </c>
      <c r="E156" s="905">
        <v>-22716.28</v>
      </c>
      <c r="F156" s="926">
        <v>0</v>
      </c>
      <c r="G156" s="933">
        <v>1338.18</v>
      </c>
      <c r="H156" s="1029"/>
      <c r="I156" s="1011"/>
      <c r="J156" s="591" t="s">
        <v>1252</v>
      </c>
      <c r="K156" s="479"/>
      <c r="L156" s="910">
        <v>20639.306000000015</v>
      </c>
      <c r="M156" s="988">
        <v>345457</v>
      </c>
      <c r="N156" s="579"/>
      <c r="O156" s="907">
        <v>0</v>
      </c>
      <c r="P156" s="1013"/>
      <c r="Q156" s="1013"/>
      <c r="R156" s="1013"/>
      <c r="S156" s="1013"/>
      <c r="T156" s="1013"/>
      <c r="U156" s="1047"/>
      <c r="V156" s="1049"/>
      <c r="W156" s="1049"/>
      <c r="X156" s="1049"/>
      <c r="Y156" s="1013"/>
    </row>
    <row r="157" spans="1:25" ht="15">
      <c r="A157" s="447"/>
      <c r="B157" s="495" t="s">
        <v>929</v>
      </c>
      <c r="C157" s="932">
        <v>1648.49</v>
      </c>
      <c r="D157" s="904">
        <v>32631.63</v>
      </c>
      <c r="E157" s="905">
        <v>-47627.65</v>
      </c>
      <c r="F157" s="926">
        <v>0</v>
      </c>
      <c r="G157" s="933">
        <v>2805.58</v>
      </c>
      <c r="H157" s="1029"/>
      <c r="I157" s="1011"/>
      <c r="J157" s="591" t="s">
        <v>1253</v>
      </c>
      <c r="K157" s="479"/>
      <c r="L157" s="910">
        <v>21624.067000000006</v>
      </c>
      <c r="M157" s="988">
        <v>346562</v>
      </c>
      <c r="N157" s="579"/>
      <c r="O157" s="907">
        <v>0</v>
      </c>
      <c r="P157" s="1013"/>
      <c r="Q157" s="1013"/>
      <c r="R157" s="1013"/>
      <c r="S157" s="1013"/>
      <c r="T157" s="1013"/>
      <c r="U157" s="1047"/>
      <c r="V157" s="1049"/>
      <c r="W157" s="1013"/>
      <c r="X157" s="1013"/>
      <c r="Y157" s="1013"/>
    </row>
    <row r="158" spans="1:25" ht="15">
      <c r="A158" s="447"/>
      <c r="B158" s="478" t="s">
        <v>1754</v>
      </c>
      <c r="C158" s="932">
        <v>0</v>
      </c>
      <c r="D158" s="920">
        <v>0</v>
      </c>
      <c r="E158" s="934">
        <v>0</v>
      </c>
      <c r="F158" s="927">
        <v>0</v>
      </c>
      <c r="G158" s="935">
        <v>0</v>
      </c>
      <c r="H158" s="1029"/>
      <c r="I158" s="1011"/>
      <c r="J158" s="591" t="s">
        <v>1611</v>
      </c>
      <c r="K158" s="479"/>
      <c r="L158" s="910">
        <v>35660.75900000002</v>
      </c>
      <c r="M158" s="988">
        <v>272617</v>
      </c>
      <c r="N158" s="579"/>
      <c r="O158" s="906">
        <v>103</v>
      </c>
      <c r="P158" s="1013"/>
      <c r="Q158" s="1013"/>
      <c r="R158" s="1013"/>
      <c r="S158" s="1013"/>
      <c r="T158" s="1013"/>
      <c r="U158" s="1047"/>
      <c r="V158" s="1049"/>
      <c r="W158" s="1049"/>
      <c r="X158" s="1049"/>
      <c r="Y158" s="1013"/>
    </row>
    <row r="159" spans="1:25" ht="15">
      <c r="A159" s="448"/>
      <c r="B159" s="509" t="s">
        <v>543</v>
      </c>
      <c r="C159" s="468">
        <f>SUM(C154:C158)</f>
        <v>3860.3500000000004</v>
      </c>
      <c r="D159" s="468">
        <f>SUM(D154:D158)</f>
        <v>76414.77</v>
      </c>
      <c r="E159" s="468">
        <f>SUM(E154:E158)</f>
        <v>-111531.06</v>
      </c>
      <c r="F159" s="483">
        <f>SUM(F154:F158)</f>
        <v>0</v>
      </c>
      <c r="G159" s="468">
        <f>SUM(G154:G158)</f>
        <v>6570</v>
      </c>
      <c r="H159" s="1029"/>
      <c r="I159" s="1011"/>
      <c r="J159" s="591" t="s">
        <v>1612</v>
      </c>
      <c r="K159" s="479"/>
      <c r="L159" s="910">
        <v>41675.09200000003</v>
      </c>
      <c r="M159" s="988">
        <v>260414</v>
      </c>
      <c r="N159" s="579"/>
      <c r="O159" s="906">
        <v>188</v>
      </c>
      <c r="P159" s="1013"/>
      <c r="Q159" s="1013"/>
      <c r="R159" s="1013"/>
      <c r="S159" s="1013"/>
      <c r="T159" s="1013"/>
      <c r="U159" s="1047"/>
      <c r="V159" s="1049"/>
      <c r="W159" s="1013"/>
      <c r="X159" s="1013"/>
      <c r="Y159" s="1013"/>
    </row>
    <row r="160" spans="1:25" ht="15">
      <c r="A160" s="1013"/>
      <c r="B160" s="475"/>
      <c r="C160" s="472"/>
      <c r="D160" s="472"/>
      <c r="E160" s="472"/>
      <c r="F160" s="1047"/>
      <c r="G160" s="1029"/>
      <c r="H160" s="1029"/>
      <c r="I160" s="1011"/>
      <c r="J160" s="591" t="s">
        <v>1613</v>
      </c>
      <c r="K160" s="479"/>
      <c r="L160" s="910">
        <v>6080.496000000001</v>
      </c>
      <c r="M160" s="988">
        <v>41555</v>
      </c>
      <c r="N160" s="579"/>
      <c r="O160" s="906">
        <v>1106</v>
      </c>
      <c r="P160" s="1013"/>
      <c r="Q160" s="1013"/>
      <c r="R160" s="1013"/>
      <c r="S160" s="1013"/>
      <c r="T160" s="1013"/>
      <c r="U160" s="1047"/>
      <c r="V160" s="1049"/>
      <c r="W160" s="1049"/>
      <c r="X160" s="1049"/>
      <c r="Y160" s="1013"/>
    </row>
    <row r="161" spans="1:25" ht="25.5">
      <c r="A161" s="1119" t="s">
        <v>523</v>
      </c>
      <c r="B161" s="642" t="s">
        <v>581</v>
      </c>
      <c r="C161" s="510" t="s">
        <v>1727</v>
      </c>
      <c r="D161" s="510" t="s">
        <v>1727</v>
      </c>
      <c r="E161" s="510" t="s">
        <v>1727</v>
      </c>
      <c r="F161" s="1047"/>
      <c r="G161" s="1029"/>
      <c r="H161" s="1029"/>
      <c r="I161" s="1011"/>
      <c r="J161" s="591" t="s">
        <v>1614</v>
      </c>
      <c r="K161" s="479"/>
      <c r="L161" s="910">
        <v>12250.104000000007</v>
      </c>
      <c r="M161" s="988">
        <v>48276</v>
      </c>
      <c r="N161" s="579"/>
      <c r="O161" s="906">
        <v>1357</v>
      </c>
      <c r="P161" s="1013"/>
      <c r="Q161" s="1013"/>
      <c r="R161" s="1013"/>
      <c r="S161" s="1013"/>
      <c r="T161" s="1013"/>
      <c r="U161" s="1047"/>
      <c r="V161" s="1072"/>
      <c r="W161" s="1072"/>
      <c r="X161" s="1049"/>
      <c r="Y161" s="1013"/>
    </row>
    <row r="162" spans="1:25" ht="15">
      <c r="A162" s="1013"/>
      <c r="B162" s="503" t="s">
        <v>539</v>
      </c>
      <c r="C162" s="503">
        <v>5550.099</v>
      </c>
      <c r="D162" s="503">
        <v>4470.143</v>
      </c>
      <c r="E162" s="503">
        <v>4470.082</v>
      </c>
      <c r="F162" s="1013"/>
      <c r="G162" s="1029"/>
      <c r="H162" s="1029"/>
      <c r="I162" s="1011"/>
      <c r="J162" s="591" t="s">
        <v>1615</v>
      </c>
      <c r="K162" s="479"/>
      <c r="L162" s="910">
        <v>16247.211000000001</v>
      </c>
      <c r="M162" s="988">
        <v>45751</v>
      </c>
      <c r="N162" s="579"/>
      <c r="O162" s="906">
        <v>1245</v>
      </c>
      <c r="P162" s="1013"/>
      <c r="Q162" s="1013"/>
      <c r="R162" s="1013"/>
      <c r="S162" s="1013"/>
      <c r="T162" s="1013"/>
      <c r="U162" s="1047"/>
      <c r="V162" s="1049"/>
      <c r="W162" s="1049"/>
      <c r="X162" s="1049"/>
      <c r="Y162" s="1013"/>
    </row>
    <row r="163" spans="1:25" ht="15">
      <c r="A163" s="1013"/>
      <c r="B163" s="494" t="s">
        <v>926</v>
      </c>
      <c r="C163" s="908">
        <v>397485.7</v>
      </c>
      <c r="D163" s="908">
        <v>9923.16</v>
      </c>
      <c r="E163" s="908">
        <v>-1503214.0899999992</v>
      </c>
      <c r="F163" s="1011"/>
      <c r="G163" s="1029"/>
      <c r="H163" s="1029"/>
      <c r="I163" s="1011"/>
      <c r="J163" s="591" t="s">
        <v>672</v>
      </c>
      <c r="K163" s="479"/>
      <c r="L163" s="910">
        <v>25534.800999999985</v>
      </c>
      <c r="M163" s="988">
        <v>95818</v>
      </c>
      <c r="N163" s="579"/>
      <c r="O163" s="906">
        <v>2625</v>
      </c>
      <c r="P163" s="1013"/>
      <c r="Q163" s="1013"/>
      <c r="R163" s="1013"/>
      <c r="S163" s="1013"/>
      <c r="T163" s="1013"/>
      <c r="U163" s="1047"/>
      <c r="V163" s="1072"/>
      <c r="W163" s="1072"/>
      <c r="X163" s="1049"/>
      <c r="Y163" s="1013"/>
    </row>
    <row r="164" spans="1:25" ht="15">
      <c r="A164" s="1013"/>
      <c r="B164" s="495" t="s">
        <v>927</v>
      </c>
      <c r="C164" s="904">
        <v>83469.35</v>
      </c>
      <c r="D164" s="904">
        <v>2083.8</v>
      </c>
      <c r="E164" s="904">
        <v>-315665.32999999926</v>
      </c>
      <c r="F164" s="1047"/>
      <c r="G164" s="1029"/>
      <c r="H164" s="1029"/>
      <c r="I164" s="1011"/>
      <c r="J164" s="591" t="s">
        <v>673</v>
      </c>
      <c r="K164" s="479"/>
      <c r="L164" s="910">
        <v>0</v>
      </c>
      <c r="M164" s="988">
        <v>0</v>
      </c>
      <c r="N164" s="579"/>
      <c r="O164" s="906">
        <v>0</v>
      </c>
      <c r="P164" s="1013"/>
      <c r="Q164" s="1013"/>
      <c r="R164" s="1013"/>
      <c r="S164" s="1013"/>
      <c r="T164" s="1013"/>
      <c r="U164" s="1047"/>
      <c r="V164" s="1049"/>
      <c r="W164" s="1049"/>
      <c r="X164" s="1049"/>
      <c r="Y164" s="1013"/>
    </row>
    <row r="165" spans="1:25" ht="15">
      <c r="A165" s="1013"/>
      <c r="B165" s="495" t="s">
        <v>928</v>
      </c>
      <c r="C165" s="904">
        <v>265268.28</v>
      </c>
      <c r="D165" s="904">
        <v>6622.37</v>
      </c>
      <c r="E165" s="904">
        <v>-1003193.5199999998</v>
      </c>
      <c r="F165" s="1047"/>
      <c r="G165" s="1029"/>
      <c r="H165" s="1029"/>
      <c r="I165" s="1011"/>
      <c r="J165" s="591" t="s">
        <v>678</v>
      </c>
      <c r="K165" s="479"/>
      <c r="L165" s="910">
        <v>0</v>
      </c>
      <c r="M165" s="988">
        <v>0</v>
      </c>
      <c r="N165" s="579"/>
      <c r="O165" s="906">
        <v>0</v>
      </c>
      <c r="P165" s="1013"/>
      <c r="Q165" s="1013"/>
      <c r="R165" s="1013"/>
      <c r="S165" s="1013"/>
      <c r="T165" s="1013"/>
      <c r="U165" s="1047"/>
      <c r="V165" s="1047"/>
      <c r="W165" s="1047"/>
      <c r="X165" s="1049"/>
      <c r="Y165" s="1013"/>
    </row>
    <row r="166" spans="1:25" ht="15">
      <c r="A166" s="1013"/>
      <c r="B166" s="495" t="s">
        <v>929</v>
      </c>
      <c r="C166" s="904">
        <v>556154.45</v>
      </c>
      <c r="D166" s="904">
        <v>13884.29</v>
      </c>
      <c r="E166" s="904">
        <v>-2103268.412773117</v>
      </c>
      <c r="F166" s="1047"/>
      <c r="G166" s="1029"/>
      <c r="H166" s="1029"/>
      <c r="I166" s="1011"/>
      <c r="J166" s="591" t="s">
        <v>1822</v>
      </c>
      <c r="K166" s="479"/>
      <c r="L166" s="796"/>
      <c r="M166" s="802"/>
      <c r="N166" s="579"/>
      <c r="O166" s="800"/>
      <c r="P166" s="1013"/>
      <c r="Q166" s="1013"/>
      <c r="R166" s="1013"/>
      <c r="S166" s="1013"/>
      <c r="T166" s="1013"/>
      <c r="U166" s="1047"/>
      <c r="V166" s="1049"/>
      <c r="W166" s="1049"/>
      <c r="X166" s="1049"/>
      <c r="Y166" s="1013"/>
    </row>
    <row r="167" spans="1:25" ht="15">
      <c r="A167" s="1013"/>
      <c r="B167" s="495" t="s">
        <v>1754</v>
      </c>
      <c r="C167" s="920">
        <v>0</v>
      </c>
      <c r="D167" s="920">
        <v>0</v>
      </c>
      <c r="E167" s="920">
        <v>0</v>
      </c>
      <c r="F167" s="1047"/>
      <c r="G167" s="1029"/>
      <c r="H167" s="1029"/>
      <c r="I167" s="1011"/>
      <c r="J167" s="591" t="s">
        <v>1823</v>
      </c>
      <c r="K167" s="479"/>
      <c r="L167" s="910">
        <v>2057.652</v>
      </c>
      <c r="M167" s="988">
        <v>44893</v>
      </c>
      <c r="N167" s="579"/>
      <c r="O167" s="906">
        <v>317</v>
      </c>
      <c r="P167" s="1013"/>
      <c r="Q167" s="1013"/>
      <c r="R167" s="1013"/>
      <c r="S167" s="1013"/>
      <c r="T167" s="1013"/>
      <c r="U167" s="1047"/>
      <c r="V167" s="1049"/>
      <c r="W167" s="1049"/>
      <c r="X167" s="1049"/>
      <c r="Y167" s="1013"/>
    </row>
    <row r="168" spans="1:25" ht="15">
      <c r="A168" s="1013"/>
      <c r="B168" s="496" t="s">
        <v>543</v>
      </c>
      <c r="C168" s="547">
        <f>SUM(C163:C167)</f>
        <v>1302377.78</v>
      </c>
      <c r="D168" s="547">
        <f>SUM(D163:D167)</f>
        <v>32513.62</v>
      </c>
      <c r="E168" s="547">
        <f>SUM(E163:E167)</f>
        <v>-4925341.352773115</v>
      </c>
      <c r="F168" s="1047"/>
      <c r="G168" s="1029"/>
      <c r="H168" s="1029"/>
      <c r="I168" s="1011"/>
      <c r="J168" s="591" t="s">
        <v>1824</v>
      </c>
      <c r="K168" s="479"/>
      <c r="L168" s="796"/>
      <c r="M168" s="802"/>
      <c r="N168" s="579"/>
      <c r="O168" s="800"/>
      <c r="P168" s="1013"/>
      <c r="Q168" s="1013"/>
      <c r="R168" s="1013"/>
      <c r="S168" s="1013"/>
      <c r="T168" s="1013"/>
      <c r="U168" s="1047"/>
      <c r="V168" s="1049"/>
      <c r="W168" s="1049"/>
      <c r="X168" s="1049"/>
      <c r="Y168" s="1013"/>
    </row>
    <row r="169" spans="1:25" ht="15">
      <c r="A169" s="1013"/>
      <c r="B169" s="497" t="s">
        <v>544</v>
      </c>
      <c r="C169" s="468"/>
      <c r="D169" s="468"/>
      <c r="E169" s="468"/>
      <c r="F169" s="1047"/>
      <c r="G169" s="1029"/>
      <c r="H169" s="1029"/>
      <c r="I169" s="1011"/>
      <c r="J169" s="591" t="s">
        <v>1825</v>
      </c>
      <c r="K169" s="479"/>
      <c r="L169" s="910">
        <v>0</v>
      </c>
      <c r="M169" s="988">
        <v>0</v>
      </c>
      <c r="N169" s="579"/>
      <c r="O169" s="906">
        <v>0</v>
      </c>
      <c r="P169" s="1013"/>
      <c r="Q169" s="1013"/>
      <c r="R169" s="1013"/>
      <c r="S169" s="1013"/>
      <c r="T169" s="1013"/>
      <c r="U169" s="1047"/>
      <c r="V169" s="1049"/>
      <c r="W169" s="1049"/>
      <c r="X169" s="1049"/>
      <c r="Y169" s="1013"/>
    </row>
    <row r="170" spans="1:25" ht="15">
      <c r="A170" s="1013"/>
      <c r="B170" s="494" t="s">
        <v>926</v>
      </c>
      <c r="C170" s="908">
        <v>397171.75</v>
      </c>
      <c r="D170" s="936">
        <v>9923.16</v>
      </c>
      <c r="E170" s="937">
        <v>-1500983.09</v>
      </c>
      <c r="F170" s="1081"/>
      <c r="G170" s="1029"/>
      <c r="H170" s="1029"/>
      <c r="I170" s="1011"/>
      <c r="J170" s="592" t="s">
        <v>1826</v>
      </c>
      <c r="K170" s="581"/>
      <c r="L170" s="911">
        <v>0</v>
      </c>
      <c r="M170" s="989">
        <v>0</v>
      </c>
      <c r="N170" s="547"/>
      <c r="O170" s="913">
        <v>0</v>
      </c>
      <c r="P170" s="1013"/>
      <c r="Q170" s="1013"/>
      <c r="R170" s="1013"/>
      <c r="S170" s="1013"/>
      <c r="T170" s="1013"/>
      <c r="U170" s="1047"/>
      <c r="V170" s="1049"/>
      <c r="W170" s="1049"/>
      <c r="X170" s="1049"/>
      <c r="Y170" s="1013"/>
    </row>
    <row r="171" spans="1:25" ht="15">
      <c r="A171" s="1013"/>
      <c r="B171" s="495" t="s">
        <v>927</v>
      </c>
      <c r="C171" s="904">
        <v>83403.43</v>
      </c>
      <c r="D171" s="938">
        <v>2083.8</v>
      </c>
      <c r="E171" s="939">
        <v>-315196.84</v>
      </c>
      <c r="F171" s="1047"/>
      <c r="G171" s="1029"/>
      <c r="H171" s="1029"/>
      <c r="I171" s="1011"/>
      <c r="J171" s="591" t="s">
        <v>679</v>
      </c>
      <c r="K171" s="479"/>
      <c r="L171" s="910">
        <v>12014.079</v>
      </c>
      <c r="M171" s="988">
        <v>66854</v>
      </c>
      <c r="N171" s="579"/>
      <c r="O171" s="907">
        <v>39</v>
      </c>
      <c r="P171" s="1013"/>
      <c r="Q171" s="1013"/>
      <c r="R171" s="1013"/>
      <c r="S171" s="1013"/>
      <c r="T171" s="1013"/>
      <c r="U171" s="1047"/>
      <c r="V171" s="1049"/>
      <c r="W171" s="1049"/>
      <c r="X171" s="1049"/>
      <c r="Y171" s="1013"/>
    </row>
    <row r="172" spans="1:25" ht="15">
      <c r="A172" s="1013"/>
      <c r="B172" s="495" t="s">
        <v>1482</v>
      </c>
      <c r="C172" s="904">
        <v>265058.76</v>
      </c>
      <c r="D172" s="938">
        <v>6622.37</v>
      </c>
      <c r="E172" s="939">
        <v>-1001704.61</v>
      </c>
      <c r="F172" s="1047"/>
      <c r="G172" s="1029"/>
      <c r="H172" s="1029"/>
      <c r="I172" s="1011"/>
      <c r="J172" s="591" t="s">
        <v>157</v>
      </c>
      <c r="K172" s="479"/>
      <c r="L172" s="910">
        <v>15720.154999999999</v>
      </c>
      <c r="M172" s="988">
        <v>75402</v>
      </c>
      <c r="N172" s="579"/>
      <c r="O172" s="907">
        <v>45</v>
      </c>
      <c r="P172" s="1013"/>
      <c r="Q172" s="1013"/>
      <c r="R172" s="1013"/>
      <c r="S172" s="1013"/>
      <c r="T172" s="1013"/>
      <c r="U172" s="1047"/>
      <c r="V172" s="1049"/>
      <c r="W172" s="1049"/>
      <c r="X172" s="1049"/>
      <c r="Y172" s="1013"/>
    </row>
    <row r="173" spans="1:25" ht="15">
      <c r="A173" s="1013"/>
      <c r="B173" s="495" t="s">
        <v>929</v>
      </c>
      <c r="C173" s="904">
        <v>555715.17</v>
      </c>
      <c r="D173" s="938">
        <v>13884.29</v>
      </c>
      <c r="E173" s="939">
        <v>-2100146.8</v>
      </c>
      <c r="F173" s="1047"/>
      <c r="G173" s="1029"/>
      <c r="H173" s="1029"/>
      <c r="I173" s="1011"/>
      <c r="J173" s="591" t="s">
        <v>158</v>
      </c>
      <c r="K173" s="479"/>
      <c r="L173" s="910">
        <v>0</v>
      </c>
      <c r="M173" s="988">
        <v>0</v>
      </c>
      <c r="N173" s="579"/>
      <c r="O173" s="907">
        <v>24</v>
      </c>
      <c r="P173" s="1013"/>
      <c r="Q173" s="1013"/>
      <c r="R173" s="1013"/>
      <c r="S173" s="1013"/>
      <c r="T173" s="1013"/>
      <c r="U173" s="1047"/>
      <c r="V173" s="1049"/>
      <c r="W173" s="1049"/>
      <c r="X173" s="1049"/>
      <c r="Y173" s="1013"/>
    </row>
    <row r="174" spans="1:25" ht="16.5">
      <c r="A174" s="1013"/>
      <c r="B174" s="495" t="s">
        <v>1754</v>
      </c>
      <c r="C174" s="920">
        <v>0</v>
      </c>
      <c r="D174" s="940">
        <v>0</v>
      </c>
      <c r="E174" s="941">
        <v>0</v>
      </c>
      <c r="F174" s="1047"/>
      <c r="G174" s="1082"/>
      <c r="H174" s="1083"/>
      <c r="I174" s="1011"/>
      <c r="J174" s="591" t="s">
        <v>162</v>
      </c>
      <c r="K174" s="479"/>
      <c r="L174" s="910">
        <v>5586</v>
      </c>
      <c r="M174" s="988">
        <v>64369</v>
      </c>
      <c r="N174" s="579"/>
      <c r="O174" s="907">
        <v>39</v>
      </c>
      <c r="P174" s="1013"/>
      <c r="Q174" s="1013"/>
      <c r="R174" s="1013"/>
      <c r="S174" s="1013"/>
      <c r="T174" s="1013"/>
      <c r="U174" s="1047"/>
      <c r="V174" s="1049"/>
      <c r="W174" s="1049"/>
      <c r="X174" s="1049"/>
      <c r="Y174" s="1013"/>
    </row>
    <row r="175" spans="1:25" ht="15">
      <c r="A175" s="1013"/>
      <c r="B175" s="496" t="s">
        <v>543</v>
      </c>
      <c r="C175" s="547">
        <f>SUM(C170:C174)</f>
        <v>1301349.1099999999</v>
      </c>
      <c r="D175" s="547">
        <f>SUM(D170:D174)</f>
        <v>32513.62</v>
      </c>
      <c r="E175" s="547">
        <f>SUM(E170:E174)</f>
        <v>-4918031.34</v>
      </c>
      <c r="F175" s="1047"/>
      <c r="G175" s="1011"/>
      <c r="H175" s="1011"/>
      <c r="I175" s="1011"/>
      <c r="J175" s="591" t="s">
        <v>2127</v>
      </c>
      <c r="K175" s="479"/>
      <c r="L175" s="910">
        <v>9381.298000000003</v>
      </c>
      <c r="M175" s="988">
        <v>20306</v>
      </c>
      <c r="N175" s="578"/>
      <c r="O175" s="907">
        <v>-316</v>
      </c>
      <c r="P175" s="1013"/>
      <c r="Q175" s="1013"/>
      <c r="R175" s="1013"/>
      <c r="S175" s="1013"/>
      <c r="T175" s="1013"/>
      <c r="U175" s="1049"/>
      <c r="V175" s="1049"/>
      <c r="W175" s="1049"/>
      <c r="X175" s="1049"/>
      <c r="Y175" s="1013"/>
    </row>
    <row r="176" spans="1:25" ht="15.75" thickBot="1">
      <c r="A176" s="1120"/>
      <c r="B176" s="443"/>
      <c r="C176" s="443"/>
      <c r="D176" s="443"/>
      <c r="E176" s="443"/>
      <c r="F176" s="1011"/>
      <c r="I176" s="1011"/>
      <c r="J176" s="591" t="s">
        <v>1492</v>
      </c>
      <c r="K176" s="479"/>
      <c r="L176" s="910">
        <v>10670.141</v>
      </c>
      <c r="M176" s="988">
        <v>429045</v>
      </c>
      <c r="N176" s="579"/>
      <c r="O176" s="907">
        <v>0</v>
      </c>
      <c r="P176" s="986"/>
      <c r="Q176" s="443"/>
      <c r="R176" s="1077" t="s">
        <v>1799</v>
      </c>
      <c r="S176" s="1013"/>
      <c r="T176" s="1013"/>
      <c r="U176" s="1013"/>
      <c r="V176" s="1049"/>
      <c r="W176" s="1049"/>
      <c r="X176" s="1049"/>
      <c r="Y176" s="1013"/>
    </row>
    <row r="177" spans="1:25" ht="15">
      <c r="A177" s="642"/>
      <c r="B177" s="646"/>
      <c r="C177" s="515" t="s">
        <v>2027</v>
      </c>
      <c r="D177" s="515"/>
      <c r="E177" s="730"/>
      <c r="F177" s="731"/>
      <c r="G177" s="732"/>
      <c r="H177" s="449"/>
      <c r="I177" s="1011"/>
      <c r="J177" s="592" t="s">
        <v>1836</v>
      </c>
      <c r="K177" s="581"/>
      <c r="L177" s="911">
        <v>44390.11400000001</v>
      </c>
      <c r="M177" s="989">
        <v>161237</v>
      </c>
      <c r="N177" s="547"/>
      <c r="O177" s="913">
        <v>-24</v>
      </c>
      <c r="P177" s="1013"/>
      <c r="Q177" s="1013"/>
      <c r="R177" s="1077" t="s">
        <v>1799</v>
      </c>
      <c r="S177" s="1013"/>
      <c r="T177" s="1013"/>
      <c r="U177" s="1013"/>
      <c r="V177" s="1049"/>
      <c r="W177" s="1049"/>
      <c r="X177" s="1049"/>
      <c r="Y177" s="1013"/>
    </row>
    <row r="178" spans="1:25" ht="16.5">
      <c r="A178" s="484" t="s">
        <v>524</v>
      </c>
      <c r="B178" s="484" t="s">
        <v>525</v>
      </c>
      <c r="C178" s="511" t="s">
        <v>1703</v>
      </c>
      <c r="D178" s="484" t="s">
        <v>1703</v>
      </c>
      <c r="E178" s="484" t="s">
        <v>1703</v>
      </c>
      <c r="F178" s="484" t="s">
        <v>1703</v>
      </c>
      <c r="G178" s="484" t="s">
        <v>1703</v>
      </c>
      <c r="H178" s="512" t="s">
        <v>934</v>
      </c>
      <c r="I178" s="1011"/>
      <c r="J178" s="593" t="s">
        <v>891</v>
      </c>
      <c r="K178" s="539"/>
      <c r="L178" s="988">
        <v>0</v>
      </c>
      <c r="M178" s="928">
        <v>0</v>
      </c>
      <c r="N178" s="578"/>
      <c r="O178" s="1045"/>
      <c r="P178" s="1013"/>
      <c r="Q178" s="1013"/>
      <c r="R178" s="1013"/>
      <c r="S178" s="1013"/>
      <c r="T178" s="1013"/>
      <c r="U178" s="1013"/>
      <c r="V178" s="1049"/>
      <c r="W178" s="1049"/>
      <c r="X178" s="1049"/>
      <c r="Y178" s="1013"/>
    </row>
    <row r="179" spans="1:25" ht="16.5">
      <c r="A179" s="490">
        <v>5550.001</v>
      </c>
      <c r="B179" s="490">
        <v>5550.001</v>
      </c>
      <c r="C179" s="513">
        <v>5550.035</v>
      </c>
      <c r="D179" s="490">
        <v>5550.099</v>
      </c>
      <c r="E179" s="490">
        <v>4470.131</v>
      </c>
      <c r="F179" s="490">
        <v>4470.112</v>
      </c>
      <c r="G179" s="647">
        <v>4470.17</v>
      </c>
      <c r="H179" s="514">
        <v>5570.007</v>
      </c>
      <c r="I179" s="1011"/>
      <c r="J179" s="591" t="s">
        <v>1605</v>
      </c>
      <c r="K179" s="479"/>
      <c r="L179" s="992">
        <v>0</v>
      </c>
      <c r="M179" s="735"/>
      <c r="N179" s="579"/>
      <c r="O179" s="1047" t="s">
        <v>1424</v>
      </c>
      <c r="P179" s="1013"/>
      <c r="Q179" s="1013"/>
      <c r="R179" s="1013"/>
      <c r="S179" s="1013"/>
      <c r="T179" s="1013"/>
      <c r="U179" s="1013"/>
      <c r="V179" s="1049"/>
      <c r="W179" s="1049"/>
      <c r="X179" s="1049"/>
      <c r="Y179" s="1013"/>
    </row>
    <row r="180" spans="1:25" ht="15">
      <c r="A180" s="942">
        <v>0</v>
      </c>
      <c r="B180" s="942">
        <v>0</v>
      </c>
      <c r="C180" s="942">
        <v>0</v>
      </c>
      <c r="D180" s="904">
        <v>84462.818</v>
      </c>
      <c r="E180" s="904">
        <v>259.42</v>
      </c>
      <c r="F180" s="905">
        <v>2506.42</v>
      </c>
      <c r="G180" s="905">
        <v>85637</v>
      </c>
      <c r="H180" s="943">
        <v>58945.99</v>
      </c>
      <c r="I180" s="1011"/>
      <c r="J180" s="591" t="s">
        <v>1839</v>
      </c>
      <c r="K180" s="479"/>
      <c r="L180" s="992">
        <v>0</v>
      </c>
      <c r="M180" s="735"/>
      <c r="N180" s="604"/>
      <c r="O180" s="1047" t="s">
        <v>1424</v>
      </c>
      <c r="P180" s="1013"/>
      <c r="Q180" s="1013"/>
      <c r="R180" s="1013"/>
      <c r="S180" s="1013"/>
      <c r="T180" s="1013"/>
      <c r="U180" s="1013"/>
      <c r="V180" s="1049"/>
      <c r="W180" s="1049"/>
      <c r="X180" s="1013"/>
      <c r="Y180" s="1013"/>
    </row>
    <row r="181" spans="1:25" ht="15">
      <c r="A181" s="944">
        <v>0</v>
      </c>
      <c r="B181" s="944">
        <v>0</v>
      </c>
      <c r="C181" s="944">
        <v>0</v>
      </c>
      <c r="D181" s="904">
        <v>17739.388</v>
      </c>
      <c r="E181" s="904">
        <v>54.476499999999994</v>
      </c>
      <c r="F181" s="905">
        <v>537.4765</v>
      </c>
      <c r="G181" s="905">
        <v>17984</v>
      </c>
      <c r="H181" s="943">
        <v>12378.279999999999</v>
      </c>
      <c r="I181" s="1011"/>
      <c r="J181" s="591" t="s">
        <v>892</v>
      </c>
      <c r="K181" s="479"/>
      <c r="L181" s="992">
        <v>0</v>
      </c>
      <c r="M181" s="909">
        <v>762762</v>
      </c>
      <c r="N181" s="604"/>
      <c r="O181" s="1065"/>
      <c r="P181" s="1013"/>
      <c r="Q181" s="1013"/>
      <c r="R181" s="1063" t="s">
        <v>1172</v>
      </c>
      <c r="S181" s="1013" t="s">
        <v>1173</v>
      </c>
      <c r="T181" s="1013"/>
      <c r="U181" s="1013"/>
      <c r="V181" s="1049"/>
      <c r="W181" s="1049"/>
      <c r="X181" s="1013"/>
      <c r="Y181" s="1013"/>
    </row>
    <row r="182" spans="1:27" ht="15">
      <c r="A182" s="944">
        <v>0</v>
      </c>
      <c r="B182" s="944">
        <v>0</v>
      </c>
      <c r="C182" s="944">
        <v>0</v>
      </c>
      <c r="D182" s="904">
        <v>56365.425</v>
      </c>
      <c r="E182" s="904">
        <v>173.128</v>
      </c>
      <c r="F182" s="905">
        <v>1685.128</v>
      </c>
      <c r="G182" s="905">
        <v>57151</v>
      </c>
      <c r="H182" s="943">
        <v>39338.52</v>
      </c>
      <c r="I182" s="1011"/>
      <c r="J182" s="591" t="s">
        <v>893</v>
      </c>
      <c r="K182" s="479"/>
      <c r="L182" s="994">
        <v>0</v>
      </c>
      <c r="M182" s="1006">
        <v>772502</v>
      </c>
      <c r="N182" s="604"/>
      <c r="O182" s="1065"/>
      <c r="P182" s="1013"/>
      <c r="Q182" s="1013"/>
      <c r="R182" s="1078">
        <f>M184</f>
        <v>9946386</v>
      </c>
      <c r="S182" s="1078">
        <f>L184</f>
        <v>944232.3920000002</v>
      </c>
      <c r="T182" s="1013"/>
      <c r="U182" s="1013"/>
      <c r="V182" s="1049"/>
      <c r="W182" s="1049"/>
      <c r="X182" s="1013"/>
      <c r="Y182" s="1013"/>
      <c r="Z182" s="2"/>
      <c r="AA182" s="2"/>
    </row>
    <row r="183" spans="1:25" ht="15">
      <c r="A183" s="944">
        <v>0</v>
      </c>
      <c r="B183" s="944">
        <v>0</v>
      </c>
      <c r="C183" s="944">
        <v>0</v>
      </c>
      <c r="D183" s="904">
        <v>118143.496</v>
      </c>
      <c r="E183" s="945">
        <v>362.9755</v>
      </c>
      <c r="F183" s="905">
        <v>3512.9755</v>
      </c>
      <c r="G183" s="905">
        <v>119820</v>
      </c>
      <c r="H183" s="943">
        <v>82476.11</v>
      </c>
      <c r="I183" s="1011"/>
      <c r="J183" s="592" t="s">
        <v>1422</v>
      </c>
      <c r="K183" s="581"/>
      <c r="L183" s="1008">
        <v>21160</v>
      </c>
      <c r="M183" s="1007">
        <v>21203</v>
      </c>
      <c r="N183" s="603"/>
      <c r="O183" s="1079"/>
      <c r="P183" s="1080"/>
      <c r="Q183" s="1013"/>
      <c r="R183" s="1078">
        <v>9946386</v>
      </c>
      <c r="S183" s="1078">
        <v>944232.3650000023</v>
      </c>
      <c r="T183" s="1013"/>
      <c r="U183" s="1013"/>
      <c r="V183" s="1049"/>
      <c r="W183" s="1049"/>
      <c r="X183" s="1013"/>
      <c r="Y183" s="1013"/>
    </row>
    <row r="184" spans="1:29" ht="15">
      <c r="A184" s="946">
        <v>0</v>
      </c>
      <c r="B184" s="946">
        <v>0</v>
      </c>
      <c r="C184" s="946">
        <v>0</v>
      </c>
      <c r="D184" s="920">
        <v>0</v>
      </c>
      <c r="E184" s="920">
        <v>0</v>
      </c>
      <c r="F184" s="934">
        <v>0</v>
      </c>
      <c r="G184" s="934">
        <v>0</v>
      </c>
      <c r="H184" s="947">
        <v>0</v>
      </c>
      <c r="I184" s="1011"/>
      <c r="J184" s="1013" t="s">
        <v>1423</v>
      </c>
      <c r="K184" s="1049"/>
      <c r="L184" s="1091">
        <f>SUM(L99:L183)</f>
        <v>944232.3920000002</v>
      </c>
      <c r="M184" s="1091">
        <f>SUM(M99:M183)</f>
        <v>9946386</v>
      </c>
      <c r="N184" s="1013"/>
      <c r="O184" s="1013"/>
      <c r="P184" s="443"/>
      <c r="Q184" s="1013"/>
      <c r="R184" s="1009">
        <f>R182-R183</f>
        <v>0</v>
      </c>
      <c r="S184" s="1009">
        <f>S182-S183</f>
        <v>0.026999997906386852</v>
      </c>
      <c r="T184" s="1013"/>
      <c r="U184" s="1013"/>
      <c r="V184" s="1049"/>
      <c r="W184" s="1049"/>
      <c r="X184" s="1013"/>
      <c r="Y184" s="1013"/>
      <c r="AB184" s="2"/>
      <c r="AC184" s="2"/>
    </row>
    <row r="185" spans="1:29" s="2" customFormat="1" ht="15">
      <c r="A185" s="550">
        <f aca="true" t="shared" si="3" ref="A185:H185">SUM(A180:A184)</f>
        <v>0</v>
      </c>
      <c r="B185" s="556">
        <f t="shared" si="3"/>
        <v>0</v>
      </c>
      <c r="C185" s="557">
        <f t="shared" si="3"/>
        <v>0</v>
      </c>
      <c r="D185" s="550">
        <f t="shared" si="3"/>
        <v>276711.127</v>
      </c>
      <c r="E185" s="550">
        <f t="shared" si="3"/>
        <v>850</v>
      </c>
      <c r="F185" s="550">
        <f t="shared" si="3"/>
        <v>8242</v>
      </c>
      <c r="G185" s="556">
        <f t="shared" si="3"/>
        <v>280592</v>
      </c>
      <c r="H185" s="556">
        <f t="shared" si="3"/>
        <v>193138.89999999997</v>
      </c>
      <c r="I185" s="1011"/>
      <c r="J185" s="1155"/>
      <c r="K185" s="1155"/>
      <c r="L185" s="1155"/>
      <c r="M185" s="1092"/>
      <c r="N185" s="1013"/>
      <c r="O185" s="443" t="s">
        <v>611</v>
      </c>
      <c r="P185" s="1013"/>
      <c r="Q185" s="1013"/>
      <c r="R185" s="1013"/>
      <c r="S185" s="1013"/>
      <c r="T185" s="1013"/>
      <c r="U185" s="1013"/>
      <c r="V185" s="1047"/>
      <c r="W185" s="1047"/>
      <c r="X185" s="1013"/>
      <c r="Y185" s="1013"/>
      <c r="Z185" s="3"/>
      <c r="AA185" s="3"/>
      <c r="AB185" s="3"/>
      <c r="AC185" s="3"/>
    </row>
    <row r="186" spans="1:25" ht="16.5">
      <c r="A186" s="517" t="s">
        <v>544</v>
      </c>
      <c r="B186" s="517"/>
      <c r="C186" s="518"/>
      <c r="D186" s="450"/>
      <c r="E186" s="517"/>
      <c r="F186" s="499"/>
      <c r="G186" s="519"/>
      <c r="H186" s="516"/>
      <c r="I186" s="1011"/>
      <c r="J186" s="445" t="s">
        <v>294</v>
      </c>
      <c r="K186" s="465"/>
      <c r="L186" s="465"/>
      <c r="M186" s="465"/>
      <c r="N186" s="465"/>
      <c r="O186" s="450"/>
      <c r="P186" s="1013"/>
      <c r="Q186" s="1013"/>
      <c r="R186" s="1049"/>
      <c r="S186" s="1049"/>
      <c r="T186" s="1049"/>
      <c r="U186" s="1049"/>
      <c r="V186" s="1049"/>
      <c r="W186" s="1049"/>
      <c r="X186" s="1013"/>
      <c r="Y186" s="1013"/>
    </row>
    <row r="187" spans="1:25" ht="15">
      <c r="A187" s="942">
        <v>0</v>
      </c>
      <c r="B187" s="942">
        <v>0</v>
      </c>
      <c r="C187" s="942">
        <v>0</v>
      </c>
      <c r="D187" s="904">
        <v>84462.82</v>
      </c>
      <c r="E187" s="904">
        <v>259.42</v>
      </c>
      <c r="F187" s="905">
        <v>2506.42</v>
      </c>
      <c r="G187" s="905">
        <v>85869</v>
      </c>
      <c r="H187" s="943">
        <v>58945.99</v>
      </c>
      <c r="I187" s="1011"/>
      <c r="J187" s="487" t="s">
        <v>2001</v>
      </c>
      <c r="K187" s="447"/>
      <c r="L187" s="602" t="s">
        <v>2002</v>
      </c>
      <c r="M187" s="489" t="s">
        <v>538</v>
      </c>
      <c r="N187" s="446"/>
      <c r="O187" s="510" t="s">
        <v>1994</v>
      </c>
      <c r="P187" s="1013"/>
      <c r="Q187" s="1013"/>
      <c r="R187" s="1049"/>
      <c r="S187" s="1049"/>
      <c r="T187" s="1049"/>
      <c r="U187" s="1049"/>
      <c r="V187" s="1013"/>
      <c r="W187" s="1013"/>
      <c r="X187" s="1013"/>
      <c r="Y187" s="1013"/>
    </row>
    <row r="188" spans="1:25" ht="15">
      <c r="A188" s="944">
        <v>0</v>
      </c>
      <c r="B188" s="944">
        <v>0</v>
      </c>
      <c r="C188" s="944">
        <v>0</v>
      </c>
      <c r="D188" s="904">
        <v>17739.39</v>
      </c>
      <c r="E188" s="904">
        <v>54.48</v>
      </c>
      <c r="F188" s="905">
        <v>537.48</v>
      </c>
      <c r="G188" s="905">
        <v>18032</v>
      </c>
      <c r="H188" s="943">
        <v>12378.28</v>
      </c>
      <c r="I188" s="1011"/>
      <c r="J188" s="481" t="s">
        <v>1292</v>
      </c>
      <c r="K188" s="466"/>
      <c r="L188" s="466" t="s">
        <v>1292</v>
      </c>
      <c r="M188" s="467" t="s">
        <v>1293</v>
      </c>
      <c r="N188" s="447"/>
      <c r="O188" s="466" t="s">
        <v>466</v>
      </c>
      <c r="P188" s="1013"/>
      <c r="Q188" s="1013"/>
      <c r="R188" s="1049"/>
      <c r="S188" s="1049"/>
      <c r="T188" s="1049"/>
      <c r="U188" s="1049"/>
      <c r="V188" s="1013"/>
      <c r="W188" s="1013"/>
      <c r="X188" s="1013"/>
      <c r="Y188" s="1013"/>
    </row>
    <row r="189" spans="1:25" ht="15">
      <c r="A189" s="944">
        <v>0</v>
      </c>
      <c r="B189" s="944">
        <v>0</v>
      </c>
      <c r="C189" s="944">
        <v>0</v>
      </c>
      <c r="D189" s="904">
        <v>56365.43</v>
      </c>
      <c r="E189" s="904">
        <v>173.13</v>
      </c>
      <c r="F189" s="905">
        <v>1685.13</v>
      </c>
      <c r="G189" s="905">
        <v>57307</v>
      </c>
      <c r="H189" s="943">
        <v>39338.52</v>
      </c>
      <c r="I189" s="1011"/>
      <c r="J189" s="909">
        <v>248.67800000000184</v>
      </c>
      <c r="K189" s="579"/>
      <c r="L189" s="904">
        <v>2534.821000000026</v>
      </c>
      <c r="M189" s="907">
        <v>17467036</v>
      </c>
      <c r="N189" s="604"/>
      <c r="O189" s="904">
        <v>0</v>
      </c>
      <c r="P189" s="1013"/>
      <c r="Q189" s="1013"/>
      <c r="R189" s="1049"/>
      <c r="S189" s="1049"/>
      <c r="T189" s="1049"/>
      <c r="U189" s="1049"/>
      <c r="V189" s="1013"/>
      <c r="W189" s="1013"/>
      <c r="X189" s="1013"/>
      <c r="Y189" s="1013"/>
    </row>
    <row r="190" spans="1:25" ht="15">
      <c r="A190" s="944">
        <v>0</v>
      </c>
      <c r="B190" s="944">
        <v>0</v>
      </c>
      <c r="C190" s="944">
        <v>0</v>
      </c>
      <c r="D190" s="904">
        <v>118143.5</v>
      </c>
      <c r="E190" s="904">
        <v>362.98</v>
      </c>
      <c r="F190" s="905">
        <v>3512.98</v>
      </c>
      <c r="G190" s="905">
        <v>120146</v>
      </c>
      <c r="H190" s="943">
        <v>82476.11</v>
      </c>
      <c r="I190" s="1011"/>
      <c r="J190" s="909">
        <v>566.3249999999979</v>
      </c>
      <c r="K190" s="579"/>
      <c r="L190" s="904">
        <v>2963.9410000000053</v>
      </c>
      <c r="M190" s="907">
        <v>1485676</v>
      </c>
      <c r="N190" s="604"/>
      <c r="O190" s="904">
        <v>860.1326456100016</v>
      </c>
      <c r="P190" s="1013"/>
      <c r="Q190" s="1013"/>
      <c r="R190" s="1049"/>
      <c r="S190" s="1049"/>
      <c r="T190" s="1049"/>
      <c r="U190" s="1049"/>
      <c r="V190" s="1013"/>
      <c r="W190" s="1013"/>
      <c r="X190" s="1013"/>
      <c r="Y190" s="1013"/>
    </row>
    <row r="191" spans="1:25" ht="15">
      <c r="A191" s="946">
        <v>0</v>
      </c>
      <c r="B191" s="946">
        <v>0</v>
      </c>
      <c r="C191" s="946">
        <v>0</v>
      </c>
      <c r="D191" s="920">
        <v>0</v>
      </c>
      <c r="E191" s="920">
        <v>0</v>
      </c>
      <c r="F191" s="934">
        <v>0</v>
      </c>
      <c r="G191" s="934">
        <v>0</v>
      </c>
      <c r="H191" s="947">
        <v>0</v>
      </c>
      <c r="I191" s="1011"/>
      <c r="J191" s="909">
        <v>1391.7749999999965</v>
      </c>
      <c r="K191" s="579"/>
      <c r="L191" s="904">
        <v>8784.891000000009</v>
      </c>
      <c r="M191" s="907">
        <v>9517479</v>
      </c>
      <c r="N191" s="604"/>
      <c r="O191" s="904">
        <v>6848.75161963998</v>
      </c>
      <c r="P191" s="1013"/>
      <c r="Q191" s="1013"/>
      <c r="R191" s="1049"/>
      <c r="S191" s="1049"/>
      <c r="T191" s="1049"/>
      <c r="U191" s="1049"/>
      <c r="V191" s="1013"/>
      <c r="W191" s="1013"/>
      <c r="X191" s="1013"/>
      <c r="Y191" s="1013"/>
    </row>
    <row r="192" spans="1:25" ht="15">
      <c r="A192" s="550">
        <f aca="true" t="shared" si="4" ref="A192:H192">SUM(A187:A191)</f>
        <v>0</v>
      </c>
      <c r="B192" s="550">
        <f t="shared" si="4"/>
        <v>0</v>
      </c>
      <c r="C192" s="550">
        <f t="shared" si="4"/>
        <v>0</v>
      </c>
      <c r="D192" s="550">
        <f t="shared" si="4"/>
        <v>276711.14</v>
      </c>
      <c r="E192" s="550">
        <f t="shared" si="4"/>
        <v>850.01</v>
      </c>
      <c r="F192" s="550">
        <f t="shared" si="4"/>
        <v>8242.01</v>
      </c>
      <c r="G192" s="550">
        <f t="shared" si="4"/>
        <v>281354</v>
      </c>
      <c r="H192" s="550">
        <f t="shared" si="4"/>
        <v>193138.90000000002</v>
      </c>
      <c r="I192" s="1011"/>
      <c r="J192" s="909">
        <v>5020.877000000162</v>
      </c>
      <c r="K192" s="579"/>
      <c r="L192" s="904">
        <v>15744.309999999672</v>
      </c>
      <c r="M192" s="907">
        <v>22030398</v>
      </c>
      <c r="N192" s="604"/>
      <c r="O192" s="904">
        <v>-66438.27703675581</v>
      </c>
      <c r="P192" s="1013"/>
      <c r="Q192" s="1013"/>
      <c r="R192" s="1049"/>
      <c r="S192" s="1049"/>
      <c r="T192" s="1049"/>
      <c r="U192" s="1049"/>
      <c r="V192" s="1013"/>
      <c r="W192" s="1013"/>
      <c r="X192" s="1013"/>
      <c r="Y192" s="1013"/>
    </row>
    <row r="193" spans="1:25" ht="15">
      <c r="A193" s="443"/>
      <c r="B193" s="476"/>
      <c r="C193" s="476"/>
      <c r="D193" s="476"/>
      <c r="E193" s="476"/>
      <c r="F193" s="472"/>
      <c r="I193" s="1011"/>
      <c r="J193" s="949">
        <v>0</v>
      </c>
      <c r="K193" s="579"/>
      <c r="L193" s="920">
        <v>0</v>
      </c>
      <c r="M193" s="913">
        <v>0</v>
      </c>
      <c r="N193" s="604"/>
      <c r="O193" s="920">
        <v>0</v>
      </c>
      <c r="P193" s="1097"/>
      <c r="Q193" s="1013"/>
      <c r="R193" s="1013"/>
      <c r="S193" s="1013"/>
      <c r="T193" s="1013"/>
      <c r="U193" s="1013"/>
      <c r="V193" s="1013"/>
      <c r="W193" s="1013"/>
      <c r="X193" s="1013"/>
      <c r="Y193" s="1013"/>
    </row>
    <row r="194" spans="1:25" ht="16.5">
      <c r="A194" s="520" t="s">
        <v>2052</v>
      </c>
      <c r="B194" s="520"/>
      <c r="C194" s="520"/>
      <c r="D194" s="520"/>
      <c r="E194" s="520"/>
      <c r="F194" s="520"/>
      <c r="G194" s="470"/>
      <c r="H194" s="710"/>
      <c r="I194" s="1011"/>
      <c r="J194" s="546">
        <f>SUM(J189:J193)</f>
        <v>7227.655000000159</v>
      </c>
      <c r="K194" s="547"/>
      <c r="L194" s="547">
        <f>SUM(L189:L193)</f>
        <v>30027.962999999712</v>
      </c>
      <c r="M194" s="548">
        <f>SUM(M189:M193)</f>
        <v>50500589</v>
      </c>
      <c r="N194" s="603"/>
      <c r="O194" s="548">
        <f>SUM(O189:O193)</f>
        <v>-58729.39277150583</v>
      </c>
      <c r="P194" s="1095"/>
      <c r="Q194" s="1013"/>
      <c r="R194" s="1013"/>
      <c r="S194" s="1013"/>
      <c r="T194" s="1013"/>
      <c r="U194" s="1013"/>
      <c r="V194" s="1013"/>
      <c r="W194" s="1013"/>
      <c r="X194" s="1013"/>
      <c r="Y194" s="1013"/>
    </row>
    <row r="195" spans="1:25" ht="17.25">
      <c r="A195" s="485" t="s">
        <v>2050</v>
      </c>
      <c r="B195" s="522" t="s">
        <v>2050</v>
      </c>
      <c r="C195" s="522" t="s">
        <v>2050</v>
      </c>
      <c r="D195" s="522" t="s">
        <v>2050</v>
      </c>
      <c r="E195" s="485" t="s">
        <v>2050</v>
      </c>
      <c r="F195" s="522" t="s">
        <v>2050</v>
      </c>
      <c r="G195" s="501" t="s">
        <v>2050</v>
      </c>
      <c r="H195" s="523" t="s">
        <v>2050</v>
      </c>
      <c r="I195" s="1011"/>
      <c r="J195" s="1093"/>
      <c r="K195" s="1047"/>
      <c r="L195" s="1047"/>
      <c r="M195" s="1094"/>
      <c r="N195" s="1013"/>
      <c r="O195" s="1013"/>
      <c r="P195" s="1095"/>
      <c r="Q195" s="1013"/>
      <c r="R195" s="1013"/>
      <c r="S195" s="1013"/>
      <c r="T195" s="1013"/>
      <c r="U195" s="1013"/>
      <c r="V195" s="1013"/>
      <c r="W195" s="1013"/>
      <c r="X195" s="1013"/>
      <c r="Y195" s="1013"/>
    </row>
    <row r="196" spans="1:25" ht="17.25">
      <c r="A196" s="492">
        <v>5550.088</v>
      </c>
      <c r="B196" s="524">
        <v>5550.023</v>
      </c>
      <c r="C196" s="524">
        <v>5550.099</v>
      </c>
      <c r="D196" s="525">
        <v>5550.1</v>
      </c>
      <c r="E196" s="492">
        <v>5550.107</v>
      </c>
      <c r="F196" s="524">
        <v>5614.008</v>
      </c>
      <c r="G196" s="526">
        <v>4470.131</v>
      </c>
      <c r="H196" s="527">
        <v>4470.099</v>
      </c>
      <c r="I196" s="1011"/>
      <c r="J196" s="1161"/>
      <c r="K196" s="1096"/>
      <c r="L196" s="1096"/>
      <c r="M196" s="1092"/>
      <c r="N196" s="1013"/>
      <c r="O196" s="1013"/>
      <c r="P196" s="1030"/>
      <c r="Q196" s="1013"/>
      <c r="R196" s="1013"/>
      <c r="S196" s="1013"/>
      <c r="T196" s="1013"/>
      <c r="U196" s="1013"/>
      <c r="V196" s="1013"/>
      <c r="W196" s="1013"/>
      <c r="X196" s="1013"/>
      <c r="Y196" s="1013"/>
    </row>
    <row r="197" spans="1:25" ht="16.5">
      <c r="A197" s="910">
        <v>0</v>
      </c>
      <c r="B197" s="948">
        <v>297570</v>
      </c>
      <c r="C197" s="909">
        <v>3500982.57</v>
      </c>
      <c r="D197" s="928">
        <v>92721.90681774399</v>
      </c>
      <c r="E197" s="910">
        <v>324400.023062256</v>
      </c>
      <c r="F197" s="908">
        <v>0</v>
      </c>
      <c r="G197" s="908">
        <v>6436.40336948</v>
      </c>
      <c r="H197" s="908">
        <v>-271330.56</v>
      </c>
      <c r="I197" s="1011"/>
      <c r="J197" s="445" t="s">
        <v>778</v>
      </c>
      <c r="K197" s="465"/>
      <c r="L197" s="450"/>
      <c r="M197" s="1013"/>
      <c r="N197" s="1013"/>
      <c r="O197" s="1013"/>
      <c r="P197" s="1028"/>
      <c r="Q197" s="1013"/>
      <c r="R197" s="1013"/>
      <c r="S197" s="1013"/>
      <c r="T197" s="1013"/>
      <c r="U197" s="1013"/>
      <c r="V197" s="1049"/>
      <c r="W197" s="1049"/>
      <c r="X197" s="1049"/>
      <c r="Y197" s="1013"/>
    </row>
    <row r="198" spans="1:25" ht="15">
      <c r="A198" s="910">
        <v>0</v>
      </c>
      <c r="B198" s="948">
        <v>62487.75</v>
      </c>
      <c r="C198" s="909">
        <v>735184.6999999991</v>
      </c>
      <c r="D198" s="909">
        <v>19471.027528994797</v>
      </c>
      <c r="E198" s="910">
        <v>68121.8942420052</v>
      </c>
      <c r="F198" s="904">
        <v>0</v>
      </c>
      <c r="G198" s="904">
        <v>1351.6028985909998</v>
      </c>
      <c r="H198" s="904">
        <v>-56977.67</v>
      </c>
      <c r="I198" s="1011"/>
      <c r="J198" s="517" t="s">
        <v>1725</v>
      </c>
      <c r="K198" s="465"/>
      <c r="L198" s="450"/>
      <c r="M198" s="1013"/>
      <c r="N198" s="1013"/>
      <c r="O198" s="1013"/>
      <c r="P198" s="1013"/>
      <c r="Q198" s="1013"/>
      <c r="R198" s="1013"/>
      <c r="S198" s="1013"/>
      <c r="T198" s="1013"/>
      <c r="U198" s="1013"/>
      <c r="V198" s="1049"/>
      <c r="W198" s="1049"/>
      <c r="X198" s="1049"/>
      <c r="Y198" s="1013"/>
    </row>
    <row r="199" spans="1:25" ht="15">
      <c r="A199" s="910">
        <v>0</v>
      </c>
      <c r="B199" s="948">
        <v>198588</v>
      </c>
      <c r="C199" s="909">
        <v>2336436.4299999997</v>
      </c>
      <c r="D199" s="909">
        <v>61879.428169849605</v>
      </c>
      <c r="E199" s="910">
        <v>216493.3888221504</v>
      </c>
      <c r="F199" s="904">
        <v>0</v>
      </c>
      <c r="G199" s="904">
        <v>4295.430539632</v>
      </c>
      <c r="H199" s="904">
        <v>-181076.61000000004</v>
      </c>
      <c r="I199" s="1011"/>
      <c r="J199" s="487" t="s">
        <v>1125</v>
      </c>
      <c r="K199" s="447"/>
      <c r="L199" s="602" t="s">
        <v>1077</v>
      </c>
      <c r="M199" s="1013"/>
      <c r="N199" s="1013"/>
      <c r="O199" s="1062"/>
      <c r="P199" s="1013"/>
      <c r="Q199" s="1013"/>
      <c r="R199" s="1013"/>
      <c r="S199" s="1013"/>
      <c r="T199" s="1013"/>
      <c r="U199" s="1013"/>
      <c r="V199" s="1049"/>
      <c r="W199" s="1049"/>
      <c r="X199" s="1049"/>
      <c r="Y199" s="1013"/>
    </row>
    <row r="200" spans="1:25" ht="15">
      <c r="A200" s="910">
        <v>0</v>
      </c>
      <c r="B200" s="948">
        <v>416354.25</v>
      </c>
      <c r="C200" s="909">
        <v>4898507.31</v>
      </c>
      <c r="D200" s="910">
        <v>129734.66320341159</v>
      </c>
      <c r="E200" s="906">
        <v>453894.28815358836</v>
      </c>
      <c r="F200" s="904">
        <v>0</v>
      </c>
      <c r="G200" s="904">
        <v>9005.683092297</v>
      </c>
      <c r="H200" s="904">
        <v>-379640.94</v>
      </c>
      <c r="I200" s="1011"/>
      <c r="J200" s="466" t="s">
        <v>1600</v>
      </c>
      <c r="K200" s="466"/>
      <c r="L200" s="466" t="s">
        <v>1600</v>
      </c>
      <c r="M200" s="1013"/>
      <c r="N200" s="1013"/>
      <c r="O200" s="1013"/>
      <c r="P200" s="1013"/>
      <c r="Q200" s="1013"/>
      <c r="R200" s="1013"/>
      <c r="S200" s="1013"/>
      <c r="T200" s="1013"/>
      <c r="U200" s="1013"/>
      <c r="V200" s="1049"/>
      <c r="W200" s="1049"/>
      <c r="X200" s="1049"/>
      <c r="Y200" s="1013"/>
    </row>
    <row r="201" spans="1:25" ht="15">
      <c r="A201" s="911">
        <v>0</v>
      </c>
      <c r="B201" s="948">
        <v>0</v>
      </c>
      <c r="C201" s="949">
        <v>0</v>
      </c>
      <c r="D201" s="910">
        <v>0</v>
      </c>
      <c r="E201" s="911">
        <v>0</v>
      </c>
      <c r="F201" s="920">
        <v>0</v>
      </c>
      <c r="G201" s="920">
        <v>0</v>
      </c>
      <c r="H201" s="920">
        <v>0</v>
      </c>
      <c r="I201" s="1011"/>
      <c r="J201" s="936">
        <v>3345939.0977868754</v>
      </c>
      <c r="K201" s="544"/>
      <c r="L201" s="936">
        <v>2704082.93</v>
      </c>
      <c r="M201" s="1013"/>
      <c r="N201" s="1013"/>
      <c r="O201" s="1013"/>
      <c r="P201" s="1013"/>
      <c r="Q201" s="1013"/>
      <c r="R201" s="1013"/>
      <c r="S201" s="1013"/>
      <c r="T201" s="1013"/>
      <c r="U201" s="1013"/>
      <c r="V201" s="1049"/>
      <c r="W201" s="1049"/>
      <c r="X201" s="1049"/>
      <c r="Y201" s="1013"/>
    </row>
    <row r="202" spans="1:25" ht="15">
      <c r="A202" s="550">
        <f aca="true" t="shared" si="5" ref="A202:H202">SUM(A197:A201)</f>
        <v>0</v>
      </c>
      <c r="B202" s="550">
        <f t="shared" si="5"/>
        <v>975000</v>
      </c>
      <c r="C202" s="550">
        <f t="shared" si="5"/>
        <v>11471111.009999998</v>
      </c>
      <c r="D202" s="550">
        <f t="shared" si="5"/>
        <v>303807.02572000003</v>
      </c>
      <c r="E202" s="550">
        <f t="shared" si="5"/>
        <v>1062909.5942799998</v>
      </c>
      <c r="F202" s="550">
        <f t="shared" si="5"/>
        <v>0</v>
      </c>
      <c r="G202" s="550">
        <f t="shared" si="5"/>
        <v>21089.119899999998</v>
      </c>
      <c r="H202" s="550">
        <f t="shared" si="5"/>
        <v>-889025.78</v>
      </c>
      <c r="I202" s="1011"/>
      <c r="J202" s="938">
        <v>684753.7930370705</v>
      </c>
      <c r="K202" s="544"/>
      <c r="L202" s="938">
        <v>567960.8999999993</v>
      </c>
      <c r="M202" s="1013"/>
      <c r="N202" s="1013"/>
      <c r="O202" s="1013"/>
      <c r="P202" s="1013"/>
      <c r="Q202" s="1013"/>
      <c r="R202" s="1013"/>
      <c r="S202" s="1013"/>
      <c r="T202" s="1013"/>
      <c r="U202" s="1013"/>
      <c r="V202" s="1049"/>
      <c r="W202" s="1049"/>
      <c r="X202" s="1049"/>
      <c r="Y202" s="1013"/>
    </row>
    <row r="203" spans="1:25" ht="15">
      <c r="A203" s="499" t="s">
        <v>544</v>
      </c>
      <c r="B203" s="499"/>
      <c r="C203" s="499"/>
      <c r="D203" s="499"/>
      <c r="E203" s="499"/>
      <c r="F203" s="528"/>
      <c r="G203" s="529"/>
      <c r="H203" s="530"/>
      <c r="I203" s="1011"/>
      <c r="J203" s="938">
        <v>2168532.0727566713</v>
      </c>
      <c r="K203" s="544"/>
      <c r="L203" s="938">
        <v>1805107.79</v>
      </c>
      <c r="M203" s="1013"/>
      <c r="N203" s="1013"/>
      <c r="O203" s="1013"/>
      <c r="P203" s="1013"/>
      <c r="Q203" s="1013"/>
      <c r="R203" s="1013"/>
      <c r="S203" s="1013"/>
      <c r="T203" s="1013"/>
      <c r="U203" s="1013"/>
      <c r="V203" s="1049"/>
      <c r="W203" s="1049"/>
      <c r="X203" s="1049"/>
      <c r="Y203" s="1013"/>
    </row>
    <row r="204" spans="1:25" ht="15">
      <c r="A204" s="910">
        <v>0</v>
      </c>
      <c r="B204" s="948">
        <v>297570</v>
      </c>
      <c r="C204" s="936">
        <v>3492914.73</v>
      </c>
      <c r="D204" s="936">
        <v>92725.14</v>
      </c>
      <c r="E204" s="942">
        <v>324402.44</v>
      </c>
      <c r="F204" s="936">
        <v>0</v>
      </c>
      <c r="G204" s="936">
        <v>6425.83</v>
      </c>
      <c r="H204" s="936">
        <v>-271339.26</v>
      </c>
      <c r="I204" s="1011"/>
      <c r="J204" s="938">
        <v>-5639304.006439901</v>
      </c>
      <c r="K204" s="544"/>
      <c r="L204" s="938">
        <v>3784030.23</v>
      </c>
      <c r="M204" s="1013"/>
      <c r="N204" s="1013"/>
      <c r="O204" s="1013"/>
      <c r="P204" s="1013"/>
      <c r="Q204" s="1013"/>
      <c r="R204" s="1013"/>
      <c r="S204" s="1013"/>
      <c r="T204" s="1013"/>
      <c r="U204" s="1013"/>
      <c r="V204" s="1013"/>
      <c r="W204" s="1013"/>
      <c r="X204" s="1013"/>
      <c r="Y204" s="1013"/>
    </row>
    <row r="205" spans="1:25" ht="15">
      <c r="A205" s="910">
        <v>0</v>
      </c>
      <c r="B205" s="948">
        <v>62487.75</v>
      </c>
      <c r="C205" s="938">
        <v>733490.95</v>
      </c>
      <c r="D205" s="938">
        <v>19471.71</v>
      </c>
      <c r="E205" s="944">
        <v>68122.4</v>
      </c>
      <c r="F205" s="938">
        <v>0</v>
      </c>
      <c r="G205" s="938">
        <v>1349.38</v>
      </c>
      <c r="H205" s="938">
        <v>-56979.5</v>
      </c>
      <c r="I205" s="1011"/>
      <c r="J205" s="940">
        <v>0</v>
      </c>
      <c r="K205" s="544"/>
      <c r="L205" s="940">
        <v>0</v>
      </c>
      <c r="M205" s="1013"/>
      <c r="N205" s="1013"/>
      <c r="O205" s="1013"/>
      <c r="P205" s="1013"/>
      <c r="Q205" s="1013"/>
      <c r="R205" s="1013"/>
      <c r="S205" s="1013"/>
      <c r="T205" s="1013"/>
      <c r="U205" s="1013"/>
      <c r="V205" s="1013"/>
      <c r="W205" s="1013"/>
      <c r="X205" s="1013"/>
      <c r="Y205" s="1013"/>
    </row>
    <row r="206" spans="1:25" ht="15">
      <c r="A206" s="910">
        <v>0</v>
      </c>
      <c r="B206" s="948">
        <v>198588</v>
      </c>
      <c r="C206" s="938">
        <v>2331055.11</v>
      </c>
      <c r="D206" s="938">
        <v>61881.59</v>
      </c>
      <c r="E206" s="944">
        <v>216495</v>
      </c>
      <c r="F206" s="938">
        <v>0</v>
      </c>
      <c r="G206" s="938">
        <v>4288.38</v>
      </c>
      <c r="H206" s="938">
        <v>-181082.41</v>
      </c>
      <c r="I206" s="1011"/>
      <c r="J206" s="546">
        <f>SUM(J201:J205)</f>
        <v>559920.9571407167</v>
      </c>
      <c r="K206" s="547"/>
      <c r="L206" s="547">
        <f>SUM(L201:L205)</f>
        <v>8861181.85</v>
      </c>
      <c r="M206" s="1104"/>
      <c r="N206" s="1013"/>
      <c r="O206" s="1013"/>
      <c r="P206" s="1013"/>
      <c r="Q206" s="1013"/>
      <c r="R206" s="1013"/>
      <c r="S206" s="1013"/>
      <c r="T206" s="1013"/>
      <c r="U206" s="1013"/>
      <c r="V206" s="1013"/>
      <c r="W206" s="1013"/>
      <c r="X206" s="1013"/>
      <c r="Y206" s="1013"/>
    </row>
    <row r="207" spans="1:25" ht="15">
      <c r="A207" s="910">
        <v>0</v>
      </c>
      <c r="B207" s="948">
        <v>416354.25</v>
      </c>
      <c r="C207" s="938">
        <v>4887039.58</v>
      </c>
      <c r="D207" s="938">
        <v>129739.17</v>
      </c>
      <c r="E207" s="944">
        <v>453897.67</v>
      </c>
      <c r="F207" s="938">
        <v>0</v>
      </c>
      <c r="G207" s="938">
        <v>8990.9</v>
      </c>
      <c r="H207" s="938">
        <v>-379653.11</v>
      </c>
      <c r="I207" s="1011"/>
      <c r="J207" s="443"/>
      <c r="K207" s="443"/>
      <c r="L207" s="443"/>
      <c r="M207" s="1013"/>
      <c r="N207" s="1013"/>
      <c r="O207" s="1013"/>
      <c r="P207" s="1013"/>
      <c r="Q207" s="1013"/>
      <c r="R207" s="1013"/>
      <c r="S207" s="1013"/>
      <c r="T207" s="1013"/>
      <c r="U207" s="1013"/>
      <c r="V207" s="1013"/>
      <c r="W207" s="1013"/>
      <c r="X207" s="1013"/>
      <c r="Y207" s="1013"/>
    </row>
    <row r="208" spans="1:25" ht="16.5">
      <c r="A208" s="911">
        <v>0</v>
      </c>
      <c r="B208" s="950">
        <v>0</v>
      </c>
      <c r="C208" s="940">
        <v>0</v>
      </c>
      <c r="D208" s="940">
        <v>0</v>
      </c>
      <c r="E208" s="946">
        <v>0</v>
      </c>
      <c r="F208" s="940">
        <v>0</v>
      </c>
      <c r="G208" s="940">
        <v>0</v>
      </c>
      <c r="H208" s="940">
        <v>0</v>
      </c>
      <c r="I208" s="1011"/>
      <c r="J208" s="445" t="s">
        <v>778</v>
      </c>
      <c r="K208" s="465"/>
      <c r="L208" s="450"/>
      <c r="M208" s="1013"/>
      <c r="N208" s="1013"/>
      <c r="O208" s="1013"/>
      <c r="P208" s="1013"/>
      <c r="Q208" s="1013"/>
      <c r="R208" s="1013"/>
      <c r="S208" s="1013"/>
      <c r="T208" s="1013"/>
      <c r="U208" s="1013"/>
      <c r="V208" s="1013"/>
      <c r="W208" s="1013"/>
      <c r="X208" s="1013"/>
      <c r="Y208" s="1013"/>
    </row>
    <row r="209" spans="1:25" ht="15">
      <c r="A209" s="547">
        <f aca="true" t="shared" si="6" ref="A209:H209">SUM(A204:A208)</f>
        <v>0</v>
      </c>
      <c r="B209" s="547">
        <f t="shared" si="6"/>
        <v>975000</v>
      </c>
      <c r="C209" s="547">
        <f t="shared" si="6"/>
        <v>11444500.37</v>
      </c>
      <c r="D209" s="547">
        <f t="shared" si="6"/>
        <v>303817.61</v>
      </c>
      <c r="E209" s="547">
        <f t="shared" si="6"/>
        <v>1062917.51</v>
      </c>
      <c r="F209" s="547">
        <f t="shared" si="6"/>
        <v>0</v>
      </c>
      <c r="G209" s="547">
        <f t="shared" si="6"/>
        <v>21054.489999999998</v>
      </c>
      <c r="H209" s="547">
        <f t="shared" si="6"/>
        <v>-889054.28</v>
      </c>
      <c r="I209" s="1011"/>
      <c r="J209" s="517" t="s">
        <v>1725</v>
      </c>
      <c r="K209" s="465"/>
      <c r="L209" s="450"/>
      <c r="M209" s="1013"/>
      <c r="N209" s="1013"/>
      <c r="O209" s="1013"/>
      <c r="P209" s="1013"/>
      <c r="Q209" s="1013"/>
      <c r="R209" s="1013" t="s">
        <v>923</v>
      </c>
      <c r="S209" s="1013"/>
      <c r="T209" s="1013"/>
      <c r="U209" s="1013"/>
      <c r="V209" s="1013"/>
      <c r="W209" s="1013"/>
      <c r="X209" s="1013"/>
      <c r="Y209" s="1013"/>
    </row>
    <row r="210" spans="1:25" ht="16.5">
      <c r="A210" s="472"/>
      <c r="B210" s="472"/>
      <c r="C210" s="472"/>
      <c r="D210" s="472"/>
      <c r="E210" s="1047"/>
      <c r="F210" s="1047"/>
      <c r="G210" s="1027"/>
      <c r="H210" s="1027"/>
      <c r="I210" s="1011"/>
      <c r="J210" s="487" t="s">
        <v>1125</v>
      </c>
      <c r="K210" s="447"/>
      <c r="L210" s="602" t="s">
        <v>1601</v>
      </c>
      <c r="M210" s="1013"/>
      <c r="N210" s="1013"/>
      <c r="O210" s="1013"/>
      <c r="P210" s="1013"/>
      <c r="Q210" s="1013"/>
      <c r="R210" s="1013"/>
      <c r="S210" s="1013"/>
      <c r="T210" s="1013"/>
      <c r="U210" s="1013"/>
      <c r="V210" s="1013"/>
      <c r="W210" s="1013"/>
      <c r="X210" s="1013"/>
      <c r="Y210" s="1013"/>
    </row>
    <row r="211" spans="1:25" ht="16.5">
      <c r="A211" s="521"/>
      <c r="B211" s="520"/>
      <c r="C211" s="470"/>
      <c r="D211" s="470"/>
      <c r="E211" s="1047"/>
      <c r="F211" s="1047"/>
      <c r="G211" s="1027"/>
      <c r="H211" s="1028"/>
      <c r="I211" s="1011"/>
      <c r="J211" s="481" t="s">
        <v>1602</v>
      </c>
      <c r="K211" s="466"/>
      <c r="L211" s="466" t="s">
        <v>1048</v>
      </c>
      <c r="M211" s="1013"/>
      <c r="N211" s="1013"/>
      <c r="O211" s="1013"/>
      <c r="P211" s="1013"/>
      <c r="Q211" s="1013"/>
      <c r="R211" s="1013"/>
      <c r="S211" s="1013"/>
      <c r="T211" s="1013"/>
      <c r="U211" s="1013"/>
      <c r="V211" s="1013"/>
      <c r="W211" s="1013"/>
      <c r="X211" s="1013"/>
      <c r="Y211" s="1013"/>
    </row>
    <row r="212" spans="1:25" ht="16.5">
      <c r="A212" s="523" t="s">
        <v>2051</v>
      </c>
      <c r="B212" s="501" t="s">
        <v>2051</v>
      </c>
      <c r="C212" s="501" t="s">
        <v>2051</v>
      </c>
      <c r="D212" s="501" t="s">
        <v>2050</v>
      </c>
      <c r="E212" s="1047"/>
      <c r="F212" s="1047"/>
      <c r="G212" s="1027"/>
      <c r="H212" s="1029"/>
      <c r="I212" s="1011"/>
      <c r="J212" s="938">
        <v>-3219120.5</v>
      </c>
      <c r="K212" s="579"/>
      <c r="L212" s="908">
        <v>0</v>
      </c>
      <c r="M212" s="1013"/>
      <c r="N212" s="1047"/>
      <c r="O212" s="1013"/>
      <c r="P212" s="1013"/>
      <c r="Q212" s="1013"/>
      <c r="R212" s="1013"/>
      <c r="S212" s="1013"/>
      <c r="T212" s="1013"/>
      <c r="U212" s="1013"/>
      <c r="V212" s="1013"/>
      <c r="W212" s="1013"/>
      <c r="X212" s="1013"/>
      <c r="Y212" s="1013"/>
    </row>
    <row r="213" spans="1:25" ht="16.5">
      <c r="A213" s="527">
        <v>4470.112</v>
      </c>
      <c r="B213" s="662">
        <v>4470.17</v>
      </c>
      <c r="C213" s="526">
        <v>4470.167</v>
      </c>
      <c r="D213" s="821">
        <v>5650.002</v>
      </c>
      <c r="E213" s="1047"/>
      <c r="F213" s="1047"/>
      <c r="G213" s="1027"/>
      <c r="H213" s="1032"/>
      <c r="I213" s="1011"/>
      <c r="J213" s="938">
        <v>-676115.73</v>
      </c>
      <c r="K213" s="579"/>
      <c r="L213" s="904">
        <v>0</v>
      </c>
      <c r="M213" s="1013"/>
      <c r="N213" s="1047"/>
      <c r="O213" s="1013"/>
      <c r="P213" s="1013"/>
      <c r="Q213" s="1013"/>
      <c r="R213" s="1013"/>
      <c r="S213" s="1013"/>
      <c r="T213" s="1013"/>
      <c r="U213" s="1013"/>
      <c r="V213" s="1013"/>
      <c r="W213" s="1013"/>
      <c r="X213" s="1013"/>
      <c r="Y213" s="1013"/>
    </row>
    <row r="214" spans="1:25" ht="16.5">
      <c r="A214" s="908">
        <v>83903.5204</v>
      </c>
      <c r="B214" s="904">
        <v>4725756.359999999</v>
      </c>
      <c r="C214" s="908">
        <v>0</v>
      </c>
      <c r="D214" s="937">
        <v>0</v>
      </c>
      <c r="E214" s="1047"/>
      <c r="F214" s="1047"/>
      <c r="G214" s="1027"/>
      <c r="H214" s="1027"/>
      <c r="I214" s="1011"/>
      <c r="J214" s="938">
        <v>-2148826.38</v>
      </c>
      <c r="K214" s="579"/>
      <c r="L214" s="904">
        <v>0</v>
      </c>
      <c r="M214" s="1013"/>
      <c r="N214" s="1047"/>
      <c r="O214" s="1013"/>
      <c r="P214" s="1013"/>
      <c r="Q214" s="1013"/>
      <c r="R214" s="1013"/>
      <c r="S214" s="1013"/>
      <c r="T214" s="1013"/>
      <c r="U214" s="1013"/>
      <c r="V214" s="1013"/>
      <c r="W214" s="1013"/>
      <c r="X214" s="1013"/>
      <c r="Y214" s="1013"/>
    </row>
    <row r="215" spans="1:25" ht="16.5">
      <c r="A215" s="904">
        <v>17619.085180000002</v>
      </c>
      <c r="B215" s="904">
        <v>992377.8699999999</v>
      </c>
      <c r="C215" s="904">
        <v>0</v>
      </c>
      <c r="D215" s="939">
        <v>0</v>
      </c>
      <c r="E215" s="1047"/>
      <c r="F215" s="1047"/>
      <c r="G215" s="1027"/>
      <c r="H215" s="1027"/>
      <c r="I215" s="1011"/>
      <c r="J215" s="938">
        <v>-4504660.73</v>
      </c>
      <c r="K215" s="579"/>
      <c r="L215" s="904">
        <v>0</v>
      </c>
      <c r="M215" s="1013"/>
      <c r="N215" s="1047"/>
      <c r="O215" s="1013"/>
      <c r="P215" s="1013"/>
      <c r="Q215" s="1013"/>
      <c r="R215" s="1013"/>
      <c r="S215" s="1013"/>
      <c r="T215" s="1013"/>
      <c r="U215" s="1013"/>
      <c r="V215" s="1013"/>
      <c r="W215" s="1013"/>
      <c r="X215" s="1013"/>
      <c r="Y215" s="1013"/>
    </row>
    <row r="216" spans="1:25" ht="16.5">
      <c r="A216" s="904">
        <v>55994.25136</v>
      </c>
      <c r="B216" s="904">
        <v>3153807.5100000007</v>
      </c>
      <c r="C216" s="904">
        <v>0</v>
      </c>
      <c r="D216" s="939">
        <v>0</v>
      </c>
      <c r="E216" s="1047"/>
      <c r="F216" s="1047"/>
      <c r="G216" s="1027"/>
      <c r="H216" s="1027"/>
      <c r="I216" s="1011"/>
      <c r="J216" s="940">
        <v>0</v>
      </c>
      <c r="K216" s="579"/>
      <c r="L216" s="920">
        <v>0</v>
      </c>
      <c r="M216" s="1013"/>
      <c r="N216" s="1047"/>
      <c r="O216" s="1013"/>
      <c r="P216" s="1013"/>
      <c r="Q216" s="1013"/>
      <c r="R216" s="1013"/>
      <c r="S216" s="1013"/>
      <c r="T216" s="1013"/>
      <c r="U216" s="1013"/>
      <c r="V216" s="1013"/>
      <c r="W216" s="1013"/>
      <c r="X216" s="1013"/>
      <c r="Y216" s="1013"/>
    </row>
    <row r="217" spans="1:25" ht="16.5">
      <c r="A217" s="904">
        <v>117396.34306</v>
      </c>
      <c r="B217" s="904">
        <v>6612187.85</v>
      </c>
      <c r="C217" s="904">
        <v>0</v>
      </c>
      <c r="D217" s="939">
        <v>0</v>
      </c>
      <c r="E217" s="1040"/>
      <c r="F217" s="1040"/>
      <c r="G217" s="1027"/>
      <c r="H217" s="1027"/>
      <c r="I217" s="1011"/>
      <c r="J217" s="546">
        <f>SUM(J212:J216)</f>
        <v>-10548723.34</v>
      </c>
      <c r="K217" s="547"/>
      <c r="L217" s="547">
        <f>SUM(L212:L216)</f>
        <v>0</v>
      </c>
      <c r="M217" s="1013"/>
      <c r="N217" s="1013"/>
      <c r="O217" s="1013"/>
      <c r="P217" s="1011"/>
      <c r="Q217" s="1011"/>
      <c r="R217" s="1011"/>
      <c r="S217" s="1011"/>
      <c r="T217" s="1011"/>
      <c r="U217" s="1011"/>
      <c r="V217" s="1013"/>
      <c r="W217" s="1013"/>
      <c r="X217" s="1013"/>
      <c r="Y217" s="1013"/>
    </row>
    <row r="218" spans="1:25" ht="16.5">
      <c r="A218" s="920">
        <v>0</v>
      </c>
      <c r="B218" s="920">
        <v>0</v>
      </c>
      <c r="C218" s="920">
        <v>0</v>
      </c>
      <c r="D218" s="941">
        <v>0</v>
      </c>
      <c r="E218" s="1040"/>
      <c r="F218" s="1040"/>
      <c r="G218" s="1027"/>
      <c r="H218" s="1027"/>
      <c r="I218" s="1011"/>
      <c r="J218" s="1011"/>
      <c r="K218" s="1011"/>
      <c r="L218" s="1011"/>
      <c r="M218" s="1011"/>
      <c r="N218" s="1011"/>
      <c r="O218" s="1011"/>
      <c r="P218" s="1011"/>
      <c r="Q218" s="1011"/>
      <c r="R218" s="1011"/>
      <c r="S218" s="1011"/>
      <c r="T218" s="1011"/>
      <c r="U218" s="1011"/>
      <c r="V218" s="1013"/>
      <c r="W218" s="1013"/>
      <c r="X218" s="1013"/>
      <c r="Y218" s="1013"/>
    </row>
    <row r="219" spans="1:25" ht="16.5">
      <c r="A219" s="550">
        <f>SUM(A214:A218)</f>
        <v>274913.2</v>
      </c>
      <c r="B219" s="550">
        <f>SUM(B214:B218)</f>
        <v>15484129.59</v>
      </c>
      <c r="C219" s="550">
        <f>SUM(C214:C218)</f>
        <v>0</v>
      </c>
      <c r="D219" s="550">
        <f>SUM(D214:D218)</f>
        <v>0</v>
      </c>
      <c r="E219" s="1040"/>
      <c r="F219" s="1040"/>
      <c r="G219" s="1027"/>
      <c r="H219" s="1027"/>
      <c r="I219" s="1011"/>
      <c r="J219" s="1011"/>
      <c r="K219" s="1011"/>
      <c r="L219" s="1011"/>
      <c r="M219" s="1011"/>
      <c r="N219" s="1011"/>
      <c r="O219" s="1011"/>
      <c r="P219" s="1011"/>
      <c r="Q219" s="1011"/>
      <c r="R219" s="1011"/>
      <c r="S219" s="1011"/>
      <c r="T219" s="1011"/>
      <c r="U219" s="1011"/>
      <c r="V219" s="1013"/>
      <c r="W219" s="1013"/>
      <c r="X219" s="1013"/>
      <c r="Y219" s="1013"/>
    </row>
    <row r="220" spans="1:25" ht="16.5">
      <c r="A220" s="530"/>
      <c r="B220" s="499"/>
      <c r="C220" s="529"/>
      <c r="D220" s="529"/>
      <c r="E220" s="1040"/>
      <c r="F220" s="1040"/>
      <c r="G220" s="1027"/>
      <c r="H220" s="1027"/>
      <c r="I220" s="1011"/>
      <c r="J220" s="1011"/>
      <c r="K220" s="1011"/>
      <c r="L220" s="1011"/>
      <c r="M220" s="1011"/>
      <c r="N220" s="1011"/>
      <c r="O220" s="1011"/>
      <c r="P220" s="1011"/>
      <c r="Q220" s="1011"/>
      <c r="R220" s="1011"/>
      <c r="S220" s="1011"/>
      <c r="T220" s="1011"/>
      <c r="U220" s="1011"/>
      <c r="V220" s="1013"/>
      <c r="W220" s="1013"/>
      <c r="X220" s="1013"/>
      <c r="Y220" s="1013"/>
    </row>
    <row r="221" spans="1:25" ht="16.5">
      <c r="A221" s="908">
        <v>83903.52</v>
      </c>
      <c r="B221" s="904">
        <v>4740068.38</v>
      </c>
      <c r="C221" s="908">
        <v>0</v>
      </c>
      <c r="D221" s="937">
        <v>0</v>
      </c>
      <c r="E221" s="1040"/>
      <c r="F221" s="1040"/>
      <c r="G221" s="1027"/>
      <c r="H221" s="1027"/>
      <c r="I221" s="1011"/>
      <c r="J221" s="1011"/>
      <c r="K221" s="1011"/>
      <c r="L221" s="1011"/>
      <c r="M221" s="1011"/>
      <c r="N221" s="1011"/>
      <c r="O221" s="1011"/>
      <c r="P221" s="1011"/>
      <c r="Q221" s="1011"/>
      <c r="R221" s="1011"/>
      <c r="S221" s="1011"/>
      <c r="T221" s="1011"/>
      <c r="U221" s="1011"/>
      <c r="V221" s="1013"/>
      <c r="W221" s="1013"/>
      <c r="X221" s="1013"/>
      <c r="Y221" s="1013"/>
    </row>
    <row r="222" spans="1:25" ht="16.5">
      <c r="A222" s="904">
        <v>17619.09</v>
      </c>
      <c r="B222" s="904">
        <v>995383.3</v>
      </c>
      <c r="C222" s="904">
        <v>0</v>
      </c>
      <c r="D222" s="939">
        <v>0</v>
      </c>
      <c r="E222" s="1040"/>
      <c r="F222" s="1040"/>
      <c r="G222" s="1027"/>
      <c r="H222" s="1027"/>
      <c r="I222" s="1011"/>
      <c r="J222" s="1011"/>
      <c r="K222" s="1011"/>
      <c r="L222" s="1011"/>
      <c r="M222" s="1011"/>
      <c r="N222" s="1011"/>
      <c r="O222" s="1011"/>
      <c r="P222" s="1011"/>
      <c r="Q222" s="1011"/>
      <c r="R222" s="1011"/>
      <c r="S222" s="1011"/>
      <c r="T222" s="1011"/>
      <c r="U222" s="1011"/>
      <c r="V222" s="1013"/>
      <c r="W222" s="1013"/>
      <c r="X222" s="1013"/>
      <c r="Y222" s="1013"/>
    </row>
    <row r="223" spans="1:25" ht="16.5">
      <c r="A223" s="904">
        <v>55994.25</v>
      </c>
      <c r="B223" s="904">
        <v>3163358.87</v>
      </c>
      <c r="C223" s="904">
        <v>0</v>
      </c>
      <c r="D223" s="939">
        <v>0</v>
      </c>
      <c r="E223" s="1040"/>
      <c r="F223" s="1040"/>
      <c r="G223" s="1027"/>
      <c r="H223" s="1027"/>
      <c r="I223" s="1011"/>
      <c r="J223" s="1011"/>
      <c r="K223" s="1011"/>
      <c r="L223" s="1011"/>
      <c r="M223" s="1011"/>
      <c r="N223" s="1011"/>
      <c r="O223" s="1011"/>
      <c r="P223" s="1011"/>
      <c r="Q223" s="1011"/>
      <c r="R223" s="1011"/>
      <c r="S223" s="1011"/>
      <c r="T223" s="1011"/>
      <c r="U223" s="1011"/>
      <c r="V223" s="1013"/>
      <c r="W223" s="1013"/>
      <c r="X223" s="1013"/>
      <c r="Y223" s="1013"/>
    </row>
    <row r="224" spans="1:25" ht="16.5">
      <c r="A224" s="904">
        <v>117396.34</v>
      </c>
      <c r="B224" s="904">
        <v>6632212.97</v>
      </c>
      <c r="C224" s="904">
        <v>0</v>
      </c>
      <c r="D224" s="939">
        <v>0</v>
      </c>
      <c r="E224" s="1011"/>
      <c r="F224" s="1011"/>
      <c r="G224" s="1027"/>
      <c r="H224" s="1027"/>
      <c r="I224" s="1011"/>
      <c r="J224" s="1011"/>
      <c r="K224" s="1011"/>
      <c r="L224" s="1011"/>
      <c r="M224" s="1011"/>
      <c r="N224" s="1011"/>
      <c r="O224" s="1011"/>
      <c r="P224" s="1011"/>
      <c r="Q224" s="1011"/>
      <c r="R224" s="1011"/>
      <c r="S224" s="1011"/>
      <c r="T224" s="1011"/>
      <c r="U224" s="1011"/>
      <c r="V224" s="1013"/>
      <c r="W224" s="1013"/>
      <c r="X224" s="1013"/>
      <c r="Y224" s="1013"/>
    </row>
    <row r="225" spans="1:25" ht="16.5">
      <c r="A225" s="920">
        <v>0</v>
      </c>
      <c r="B225" s="920">
        <v>0</v>
      </c>
      <c r="C225" s="920">
        <v>0</v>
      </c>
      <c r="D225" s="941">
        <v>0</v>
      </c>
      <c r="E225" s="1011"/>
      <c r="F225" s="1011"/>
      <c r="G225" s="1041"/>
      <c r="H225" s="1027"/>
      <c r="I225" s="1011"/>
      <c r="J225" s="1011"/>
      <c r="K225" s="1011"/>
      <c r="L225" s="1011"/>
      <c r="M225" s="1011"/>
      <c r="N225" s="1011"/>
      <c r="O225" s="1011"/>
      <c r="P225" s="1011"/>
      <c r="Q225" s="1011"/>
      <c r="R225" s="1011"/>
      <c r="S225" s="1011"/>
      <c r="T225" s="1011"/>
      <c r="U225" s="1011"/>
      <c r="V225" s="1013"/>
      <c r="W225" s="1013"/>
      <c r="X225" s="1013"/>
      <c r="Y225" s="1013"/>
    </row>
    <row r="226" spans="1:25" ht="16.5">
      <c r="A226" s="550">
        <f>SUM(A221:A225)</f>
        <v>274913.19999999995</v>
      </c>
      <c r="B226" s="547">
        <f>SUM(B221:B225)</f>
        <v>15531023.52</v>
      </c>
      <c r="C226" s="550">
        <f>SUM(C221:C225)</f>
        <v>0</v>
      </c>
      <c r="D226" s="550">
        <f>SUM(D221:D225)</f>
        <v>0</v>
      </c>
      <c r="E226" s="1011"/>
      <c r="F226" s="1011"/>
      <c r="G226" s="6"/>
      <c r="H226" s="11"/>
      <c r="I226" s="1011"/>
      <c r="J226" s="1011"/>
      <c r="K226" s="1011"/>
      <c r="L226" s="1011"/>
      <c r="M226" s="1011"/>
      <c r="N226" s="1011"/>
      <c r="O226" s="1011"/>
      <c r="P226" s="1011"/>
      <c r="Q226" s="1011"/>
      <c r="R226" s="1011"/>
      <c r="S226" s="1011"/>
      <c r="T226" s="1011"/>
      <c r="U226" s="1011"/>
      <c r="V226" s="1013"/>
      <c r="W226" s="1013"/>
      <c r="X226" s="1013"/>
      <c r="Y226" s="1013"/>
    </row>
    <row r="227" spans="1:25" ht="16.5">
      <c r="A227" s="472"/>
      <c r="B227" s="477"/>
      <c r="C227" s="472"/>
      <c r="D227" s="472"/>
      <c r="E227" s="2"/>
      <c r="F227" s="2"/>
      <c r="G227" s="6"/>
      <c r="H227" s="305"/>
      <c r="J227" s="1090"/>
      <c r="K227" s="1011"/>
      <c r="L227" s="1011"/>
      <c r="M227" s="1011"/>
      <c r="N227" s="1011"/>
      <c r="O227" s="1011"/>
      <c r="P227" s="1011"/>
      <c r="Q227" s="1011"/>
      <c r="R227" s="1011"/>
      <c r="S227" s="1011"/>
      <c r="T227" s="1011"/>
      <c r="U227" s="1011"/>
      <c r="V227" s="1013"/>
      <c r="W227" s="1013"/>
      <c r="X227" s="1013"/>
      <c r="Y227" s="1013"/>
    </row>
    <row r="228" spans="1:15" ht="15">
      <c r="A228" s="443"/>
      <c r="D228" s="75"/>
      <c r="E228" s="2"/>
      <c r="F228" s="2"/>
      <c r="G228" s="6"/>
      <c r="H228" s="6"/>
      <c r="J228" s="2"/>
      <c r="K228" s="2"/>
      <c r="L228" s="2"/>
      <c r="M228" s="1011"/>
      <c r="N228" s="1011"/>
      <c r="O228" s="1011"/>
    </row>
    <row r="229" spans="1:8" ht="15">
      <c r="A229" s="443"/>
      <c r="E229" s="2"/>
      <c r="F229" s="2"/>
      <c r="G229" s="6"/>
      <c r="H229" s="6"/>
    </row>
    <row r="230" spans="1:8" ht="15">
      <c r="A230" s="443"/>
      <c r="B230" s="2"/>
      <c r="E230" s="2"/>
      <c r="F230" s="2"/>
      <c r="G230" s="6"/>
      <c r="H230" s="6"/>
    </row>
    <row r="231" spans="1:8" ht="15">
      <c r="A231" s="443"/>
      <c r="E231" s="2"/>
      <c r="F231" s="2"/>
      <c r="G231" s="6"/>
      <c r="H231" s="6"/>
    </row>
    <row r="232" spans="1:8" ht="15">
      <c r="A232" s="443"/>
      <c r="E232" s="2"/>
      <c r="F232" s="2"/>
      <c r="G232" s="6"/>
      <c r="H232" s="6"/>
    </row>
    <row r="233" spans="1:8" ht="15">
      <c r="A233" s="443"/>
      <c r="E233" s="2"/>
      <c r="F233" s="2"/>
      <c r="G233" s="6"/>
      <c r="H233" s="6"/>
    </row>
    <row r="234" spans="1:10" ht="15">
      <c r="A234" s="443"/>
      <c r="E234" s="2"/>
      <c r="F234" s="2"/>
      <c r="G234" s="2"/>
      <c r="H234" s="6"/>
      <c r="J234" s="605"/>
    </row>
    <row r="235" spans="1:8" ht="16.5">
      <c r="A235" s="443"/>
      <c r="E235" s="2"/>
      <c r="F235" s="2"/>
      <c r="G235" s="303"/>
      <c r="H235" s="6"/>
    </row>
    <row r="236" spans="1:8" ht="16.5">
      <c r="A236" s="443"/>
      <c r="E236" s="2"/>
      <c r="F236" s="2"/>
      <c r="G236" s="304"/>
      <c r="H236" s="2"/>
    </row>
    <row r="237" spans="1:8" ht="16.5">
      <c r="A237" s="443"/>
      <c r="E237" s="2"/>
      <c r="F237" s="2"/>
      <c r="G237" s="6"/>
      <c r="H237" s="303"/>
    </row>
    <row r="238" spans="1:8" ht="16.5">
      <c r="A238" s="443"/>
      <c r="E238" s="2"/>
      <c r="F238" s="2"/>
      <c r="G238" s="6"/>
      <c r="H238" s="304"/>
    </row>
    <row r="239" spans="1:8" ht="15">
      <c r="A239" s="443"/>
      <c r="E239" s="2"/>
      <c r="F239" s="2"/>
      <c r="G239" s="6"/>
      <c r="H239" s="630"/>
    </row>
    <row r="240" spans="1:8" ht="15">
      <c r="A240" s="443"/>
      <c r="E240" s="2"/>
      <c r="F240" s="2"/>
      <c r="G240" s="6"/>
      <c r="H240" s="6"/>
    </row>
    <row r="241" spans="1:8" ht="15">
      <c r="A241" s="443"/>
      <c r="E241" s="2"/>
      <c r="F241" s="2"/>
      <c r="G241" s="6"/>
      <c r="H241" s="6"/>
    </row>
    <row r="242" spans="1:8" ht="15">
      <c r="A242" s="443"/>
      <c r="E242" s="2"/>
      <c r="F242" s="2"/>
      <c r="G242" s="6"/>
      <c r="H242" s="6"/>
    </row>
    <row r="243" spans="1:8" ht="15">
      <c r="A243" s="443"/>
      <c r="E243" s="2"/>
      <c r="F243" s="2"/>
      <c r="G243" s="6"/>
      <c r="H243" s="6"/>
    </row>
    <row r="244" spans="1:8" ht="15">
      <c r="A244" s="443"/>
      <c r="E244" s="2"/>
      <c r="F244" s="2"/>
      <c r="G244" s="6"/>
      <c r="H244" s="6"/>
    </row>
    <row r="245" spans="1:8" ht="15">
      <c r="A245" s="443"/>
      <c r="E245" s="2"/>
      <c r="F245" s="2"/>
      <c r="G245" s="2"/>
      <c r="H245" s="6"/>
    </row>
    <row r="246" spans="1:8" ht="16.5">
      <c r="A246" s="443"/>
      <c r="E246" s="2"/>
      <c r="F246" s="2"/>
      <c r="G246" s="303"/>
      <c r="H246" s="6"/>
    </row>
    <row r="247" spans="1:8" ht="16.5">
      <c r="A247" s="443"/>
      <c r="E247" s="2"/>
      <c r="F247" s="2"/>
      <c r="G247" s="304"/>
      <c r="H247" s="2"/>
    </row>
    <row r="248" spans="1:8" ht="16.5">
      <c r="A248" s="443"/>
      <c r="E248" s="2"/>
      <c r="F248" s="2"/>
      <c r="G248" s="6"/>
      <c r="H248" s="303"/>
    </row>
    <row r="249" spans="1:8" ht="16.5">
      <c r="A249" s="443"/>
      <c r="E249" s="2"/>
      <c r="F249" s="2"/>
      <c r="G249" s="6"/>
      <c r="H249" s="304"/>
    </row>
    <row r="250" spans="1:8" ht="15">
      <c r="A250" s="443"/>
      <c r="E250" s="2"/>
      <c r="F250" s="2"/>
      <c r="G250" s="6"/>
      <c r="H250" s="6"/>
    </row>
    <row r="251" spans="1:8" ht="15">
      <c r="A251" s="443"/>
      <c r="E251" s="2"/>
      <c r="F251" s="2"/>
      <c r="G251" s="6"/>
      <c r="H251" s="6"/>
    </row>
    <row r="252" spans="1:8" ht="15">
      <c r="A252" s="443"/>
      <c r="E252" s="2"/>
      <c r="F252" s="2"/>
      <c r="G252" s="6"/>
      <c r="H252" s="6"/>
    </row>
    <row r="253" spans="1:8" ht="15">
      <c r="A253" s="443"/>
      <c r="E253" s="2"/>
      <c r="F253" s="2"/>
      <c r="G253" s="6"/>
      <c r="H253" s="6"/>
    </row>
    <row r="254" spans="1:8" ht="15">
      <c r="A254" s="443"/>
      <c r="E254" s="2"/>
      <c r="F254" s="2"/>
      <c r="G254" s="6"/>
      <c r="H254" s="6"/>
    </row>
    <row r="255" spans="1:8" ht="15">
      <c r="A255" s="443"/>
      <c r="E255" s="2"/>
      <c r="F255" s="2"/>
      <c r="G255" s="6"/>
      <c r="H255" s="6"/>
    </row>
    <row r="256" spans="1:8" ht="15">
      <c r="A256" s="443"/>
      <c r="E256" s="2"/>
      <c r="F256" s="2"/>
      <c r="G256" s="2"/>
      <c r="H256" s="6"/>
    </row>
    <row r="257" spans="1:8" ht="16.5">
      <c r="A257" s="443"/>
      <c r="E257" s="2"/>
      <c r="F257" s="2"/>
      <c r="G257" s="11"/>
      <c r="H257" s="6"/>
    </row>
    <row r="258" spans="1:8" ht="16.5">
      <c r="A258" s="443"/>
      <c r="E258" s="2"/>
      <c r="F258" s="2"/>
      <c r="G258" s="11"/>
      <c r="H258" s="2"/>
    </row>
    <row r="259" spans="1:8" ht="16.5">
      <c r="A259" s="443"/>
      <c r="E259" s="2"/>
      <c r="F259" s="2"/>
      <c r="G259" s="305"/>
      <c r="H259" s="11"/>
    </row>
    <row r="260" spans="1:8" ht="16.5">
      <c r="A260" s="471"/>
      <c r="E260" s="2"/>
      <c r="F260" s="2"/>
      <c r="G260" s="6"/>
      <c r="H260" s="11"/>
    </row>
    <row r="261" spans="1:8" ht="16.5">
      <c r="A261" s="443"/>
      <c r="E261" s="2"/>
      <c r="F261" s="2"/>
      <c r="G261" s="6"/>
      <c r="H261" s="305"/>
    </row>
    <row r="262" spans="1:8" ht="15">
      <c r="A262" s="443"/>
      <c r="E262" s="2"/>
      <c r="F262" s="2"/>
      <c r="G262" s="6"/>
      <c r="H262" s="6"/>
    </row>
    <row r="263" spans="1:8" ht="15">
      <c r="A263" s="443"/>
      <c r="E263" s="2"/>
      <c r="F263" s="2"/>
      <c r="G263" s="6"/>
      <c r="H263" s="6"/>
    </row>
    <row r="264" spans="1:8" ht="15">
      <c r="A264" s="443"/>
      <c r="E264" s="2"/>
      <c r="F264" s="2"/>
      <c r="G264" s="6"/>
      <c r="H264" s="6"/>
    </row>
    <row r="265" spans="1:8" ht="15">
      <c r="A265" s="443"/>
      <c r="E265" s="2"/>
      <c r="F265" s="2"/>
      <c r="G265" s="6"/>
      <c r="H265" s="6"/>
    </row>
    <row r="266" spans="1:8" ht="15">
      <c r="A266" s="443"/>
      <c r="E266" s="2"/>
      <c r="F266" s="2"/>
      <c r="G266" s="6"/>
      <c r="H266" s="6"/>
    </row>
    <row r="267" spans="1:8" ht="15">
      <c r="A267" s="443"/>
      <c r="E267" s="2"/>
      <c r="F267" s="2"/>
      <c r="G267" s="6"/>
      <c r="H267" s="6"/>
    </row>
    <row r="268" spans="1:8" ht="15">
      <c r="A268" s="443"/>
      <c r="E268" s="2"/>
      <c r="F268" s="2"/>
      <c r="G268" s="2"/>
      <c r="H268" s="6"/>
    </row>
    <row r="269" spans="1:8" ht="16.5">
      <c r="A269" s="443"/>
      <c r="E269" s="2"/>
      <c r="F269" s="2"/>
      <c r="G269" s="11"/>
      <c r="H269" s="6"/>
    </row>
    <row r="270" spans="1:8" ht="16.5">
      <c r="A270" s="443"/>
      <c r="E270" s="2"/>
      <c r="F270" s="2"/>
      <c r="G270" s="11"/>
      <c r="H270" s="2"/>
    </row>
    <row r="271" spans="1:8" ht="16.5">
      <c r="A271" s="443"/>
      <c r="E271" s="2"/>
      <c r="F271" s="2"/>
      <c r="G271" s="305"/>
      <c r="H271" s="11"/>
    </row>
    <row r="272" spans="1:8" ht="16.5">
      <c r="A272" s="443"/>
      <c r="E272" s="2"/>
      <c r="F272" s="2"/>
      <c r="G272" s="6"/>
      <c r="H272" s="11"/>
    </row>
    <row r="273" spans="1:8" ht="16.5">
      <c r="A273" s="443"/>
      <c r="E273" s="2"/>
      <c r="F273" s="2"/>
      <c r="G273" s="6"/>
      <c r="H273" s="305"/>
    </row>
    <row r="274" spans="1:8" ht="15">
      <c r="A274" s="443"/>
      <c r="E274" s="2"/>
      <c r="F274" s="2"/>
      <c r="G274" s="6"/>
      <c r="H274" s="6"/>
    </row>
    <row r="275" spans="1:8" ht="15">
      <c r="A275" s="443"/>
      <c r="E275" s="2"/>
      <c r="F275" s="2"/>
      <c r="G275" s="6"/>
      <c r="H275" s="6"/>
    </row>
    <row r="276" spans="1:8" ht="15">
      <c r="A276" s="443"/>
      <c r="E276" s="2"/>
      <c r="F276" s="2"/>
      <c r="G276" s="6"/>
      <c r="H276" s="6"/>
    </row>
    <row r="277" spans="1:8" ht="15">
      <c r="A277" s="443"/>
      <c r="E277" s="2"/>
      <c r="F277" s="2"/>
      <c r="G277" s="6"/>
      <c r="H277" s="6"/>
    </row>
    <row r="278" spans="1:8" ht="15">
      <c r="A278" s="443"/>
      <c r="E278" s="2"/>
      <c r="F278" s="2"/>
      <c r="G278" s="6"/>
      <c r="H278" s="6"/>
    </row>
    <row r="279" spans="1:8" ht="15">
      <c r="A279" s="443"/>
      <c r="E279" s="2"/>
      <c r="F279" s="2"/>
      <c r="G279" s="6"/>
      <c r="H279" s="6"/>
    </row>
    <row r="280" spans="1:8" ht="15">
      <c r="A280" s="443"/>
      <c r="E280" s="2"/>
      <c r="F280" s="2"/>
      <c r="G280" s="2"/>
      <c r="H280" s="6"/>
    </row>
    <row r="281" spans="1:8" ht="15">
      <c r="A281" s="443"/>
      <c r="E281" s="2"/>
      <c r="F281" s="2"/>
      <c r="G281" s="2"/>
      <c r="H281" s="6"/>
    </row>
    <row r="282" spans="1:8" ht="15">
      <c r="A282" s="443"/>
      <c r="E282" s="2"/>
      <c r="F282" s="2"/>
      <c r="G282" s="2"/>
      <c r="H282" s="2"/>
    </row>
    <row r="283" spans="1:8" ht="15">
      <c r="A283" s="443"/>
      <c r="E283" s="2"/>
      <c r="F283" s="2"/>
      <c r="G283" s="2"/>
      <c r="H283" s="2"/>
    </row>
    <row r="284" spans="5:8" ht="15">
      <c r="E284" s="2"/>
      <c r="F284" s="2"/>
      <c r="G284" s="2"/>
      <c r="H284" s="2"/>
    </row>
    <row r="285" spans="5:8" ht="15">
      <c r="E285" s="2"/>
      <c r="F285" s="2"/>
      <c r="G285" s="2"/>
      <c r="H285" s="2"/>
    </row>
    <row r="286" spans="5:8" ht="15">
      <c r="E286" s="2"/>
      <c r="F286" s="2"/>
      <c r="G286" s="2"/>
      <c r="H286" s="2"/>
    </row>
    <row r="287" spans="5:8" ht="15">
      <c r="E287" s="2"/>
      <c r="F287" s="2"/>
      <c r="G287" s="2"/>
      <c r="H287" s="2"/>
    </row>
    <row r="288" spans="5:8" ht="15">
      <c r="E288" s="2"/>
      <c r="F288" s="2"/>
      <c r="G288" s="2"/>
      <c r="H288" s="2"/>
    </row>
    <row r="289" spans="5:8" ht="15">
      <c r="E289" s="2"/>
      <c r="F289" s="2"/>
      <c r="G289" s="2"/>
      <c r="H289" s="2"/>
    </row>
    <row r="290" spans="5:8" ht="15">
      <c r="E290" s="2"/>
      <c r="F290" s="2"/>
      <c r="G290" s="2"/>
      <c r="H290" s="2"/>
    </row>
    <row r="291" spans="5:8" ht="15">
      <c r="E291" s="2"/>
      <c r="F291" s="2"/>
      <c r="G291" s="2"/>
      <c r="H291" s="2"/>
    </row>
    <row r="292" spans="5:8" ht="15">
      <c r="E292" s="2"/>
      <c r="F292" s="2"/>
      <c r="G292" s="2"/>
      <c r="H292" s="2"/>
    </row>
    <row r="293" spans="5:8" ht="15">
      <c r="E293" s="2"/>
      <c r="F293" s="2"/>
      <c r="G293" s="2"/>
      <c r="H293" s="2"/>
    </row>
    <row r="294" spans="5:8" ht="15">
      <c r="E294" s="2"/>
      <c r="F294" s="2"/>
      <c r="G294" s="2"/>
      <c r="H294" s="2"/>
    </row>
    <row r="295" spans="5:8" ht="15">
      <c r="E295" s="2"/>
      <c r="F295" s="2"/>
      <c r="G295" s="2"/>
      <c r="H295" s="2"/>
    </row>
    <row r="296" spans="5:8" ht="15">
      <c r="E296" s="2"/>
      <c r="F296" s="2"/>
      <c r="G296" s="2"/>
      <c r="H296" s="2"/>
    </row>
    <row r="297" spans="5:8" ht="15">
      <c r="E297" s="2"/>
      <c r="F297" s="2"/>
      <c r="G297" s="2"/>
      <c r="H297" s="2"/>
    </row>
    <row r="298" spans="5:8" ht="15">
      <c r="E298" s="2"/>
      <c r="F298" s="2"/>
      <c r="G298" s="2"/>
      <c r="H298" s="2"/>
    </row>
    <row r="299" spans="5:8" ht="15">
      <c r="E299" s="2"/>
      <c r="F299" s="2"/>
      <c r="G299" s="2"/>
      <c r="H299" s="2"/>
    </row>
    <row r="300" spans="5:8" ht="15">
      <c r="E300" s="2"/>
      <c r="F300" s="2"/>
      <c r="G300" s="2"/>
      <c r="H300" s="2"/>
    </row>
    <row r="301" spans="5:8" ht="15">
      <c r="E301" s="2"/>
      <c r="F301" s="2"/>
      <c r="G301" s="2"/>
      <c r="H301" s="2"/>
    </row>
    <row r="302" spans="5:8" ht="15">
      <c r="E302" s="2"/>
      <c r="F302" s="2"/>
      <c r="G302" s="2"/>
      <c r="H302" s="2"/>
    </row>
    <row r="303" spans="5:8" ht="15">
      <c r="E303" s="2"/>
      <c r="F303" s="2"/>
      <c r="G303" s="2"/>
      <c r="H303" s="2"/>
    </row>
    <row r="304" spans="5:8" ht="15">
      <c r="E304" s="2"/>
      <c r="F304" s="2"/>
      <c r="G304" s="2"/>
      <c r="H304" s="2"/>
    </row>
    <row r="305" spans="5:8" ht="15">
      <c r="E305" s="2"/>
      <c r="F305" s="2"/>
      <c r="G305" s="2"/>
      <c r="H305" s="2"/>
    </row>
    <row r="306" spans="5:8" ht="15">
      <c r="E306" s="2"/>
      <c r="F306" s="2"/>
      <c r="G306" s="2"/>
      <c r="H306" s="2"/>
    </row>
    <row r="307" spans="5:8" ht="15">
      <c r="E307" s="2"/>
      <c r="F307" s="2"/>
      <c r="G307" s="2"/>
      <c r="H307" s="2"/>
    </row>
    <row r="308" spans="5:8" ht="15">
      <c r="E308" s="2"/>
      <c r="F308" s="2"/>
      <c r="G308" s="2"/>
      <c r="H308" s="2"/>
    </row>
    <row r="309" spans="5:8" ht="15">
      <c r="E309" s="2"/>
      <c r="F309" s="2"/>
      <c r="G309" s="2"/>
      <c r="H309" s="2"/>
    </row>
    <row r="310" spans="5:8" ht="15">
      <c r="E310" s="2"/>
      <c r="F310" s="2"/>
      <c r="G310" s="2"/>
      <c r="H310" s="2"/>
    </row>
    <row r="311" spans="5:8" ht="15">
      <c r="E311" s="2"/>
      <c r="F311" s="2"/>
      <c r="G311" s="2"/>
      <c r="H311" s="2"/>
    </row>
    <row r="312" spans="5:8" ht="15">
      <c r="E312" s="2"/>
      <c r="F312" s="2"/>
      <c r="G312" s="2"/>
      <c r="H312" s="2"/>
    </row>
    <row r="313" spans="5:8" ht="15">
      <c r="E313" s="2"/>
      <c r="F313" s="2"/>
      <c r="G313" s="2"/>
      <c r="H313" s="2"/>
    </row>
    <row r="314" spans="5:8" ht="15">
      <c r="E314" s="2"/>
      <c r="F314" s="2"/>
      <c r="G314" s="2"/>
      <c r="H314" s="2"/>
    </row>
    <row r="315" spans="5:8" ht="15">
      <c r="E315" s="2"/>
      <c r="F315" s="2"/>
      <c r="G315" s="2"/>
      <c r="H315" s="2"/>
    </row>
    <row r="316" spans="5:8" ht="15">
      <c r="E316" s="2"/>
      <c r="F316" s="2"/>
      <c r="G316" s="2"/>
      <c r="H316" s="2"/>
    </row>
    <row r="317" spans="5:8" ht="15">
      <c r="E317" s="2"/>
      <c r="F317" s="2"/>
      <c r="G317" s="2"/>
      <c r="H317" s="2"/>
    </row>
    <row r="318" spans="5:8" ht="15">
      <c r="E318" s="2"/>
      <c r="F318" s="2"/>
      <c r="G318" s="2"/>
      <c r="H318" s="2"/>
    </row>
    <row r="319" spans="5:8" ht="15">
      <c r="E319" s="2"/>
      <c r="F319" s="2"/>
      <c r="G319" s="2"/>
      <c r="H319" s="2"/>
    </row>
    <row r="320" spans="5:8" ht="15">
      <c r="E320" s="2"/>
      <c r="F320" s="2"/>
      <c r="G320" s="2"/>
      <c r="H320" s="2"/>
    </row>
    <row r="321" spans="5:8" ht="15">
      <c r="E321" s="2"/>
      <c r="F321" s="2"/>
      <c r="G321" s="2"/>
      <c r="H321" s="2"/>
    </row>
    <row r="322" spans="5:8" ht="15">
      <c r="E322" s="2"/>
      <c r="F322" s="2"/>
      <c r="G322" s="2"/>
      <c r="H322" s="2"/>
    </row>
    <row r="323" spans="5:8" ht="15">
      <c r="E323" s="2"/>
      <c r="F323" s="2"/>
      <c r="G323" s="2"/>
      <c r="H323" s="2"/>
    </row>
    <row r="324" spans="5:8" ht="15">
      <c r="E324" s="2"/>
      <c r="F324" s="2"/>
      <c r="G324" s="2"/>
      <c r="H324" s="2"/>
    </row>
    <row r="325" spans="5:8" ht="15">
      <c r="E325" s="2"/>
      <c r="F325" s="2"/>
      <c r="G325" s="2"/>
      <c r="H325" s="2"/>
    </row>
    <row r="326" spans="5:8" ht="15">
      <c r="E326" s="2"/>
      <c r="F326" s="2"/>
      <c r="G326" s="2"/>
      <c r="H326" s="2"/>
    </row>
    <row r="327" spans="5:8" ht="15">
      <c r="E327" s="2"/>
      <c r="F327" s="2"/>
      <c r="G327" s="2"/>
      <c r="H327" s="2"/>
    </row>
    <row r="328" spans="5:8" ht="15">
      <c r="E328" s="2"/>
      <c r="F328" s="2"/>
      <c r="G328" s="2"/>
      <c r="H328" s="2"/>
    </row>
    <row r="329" spans="5:8" ht="15">
      <c r="E329" s="2"/>
      <c r="F329" s="2"/>
      <c r="G329" s="2"/>
      <c r="H329" s="2"/>
    </row>
    <row r="330" spans="5:8" ht="15">
      <c r="E330" s="2"/>
      <c r="F330" s="2"/>
      <c r="G330" s="2"/>
      <c r="H330" s="2"/>
    </row>
    <row r="331" spans="5:8" ht="15">
      <c r="E331" s="2"/>
      <c r="F331" s="2"/>
      <c r="G331" s="2"/>
      <c r="H331" s="2"/>
    </row>
    <row r="332" spans="5:8" ht="15">
      <c r="E332" s="2"/>
      <c r="F332" s="2"/>
      <c r="G332" s="2"/>
      <c r="H332" s="2"/>
    </row>
    <row r="333" spans="5:8" ht="15">
      <c r="E333" s="2"/>
      <c r="F333" s="2"/>
      <c r="G333" s="2"/>
      <c r="H333" s="2"/>
    </row>
    <row r="334" spans="5:8" ht="15">
      <c r="E334" s="2"/>
      <c r="F334" s="2"/>
      <c r="G334" s="2"/>
      <c r="H334" s="2"/>
    </row>
    <row r="335" spans="5:8" ht="15">
      <c r="E335" s="2"/>
      <c r="F335" s="2"/>
      <c r="G335" s="2"/>
      <c r="H335" s="2"/>
    </row>
    <row r="336" spans="5:8" ht="15">
      <c r="E336" s="2"/>
      <c r="F336" s="2"/>
      <c r="G336" s="2"/>
      <c r="H336" s="2"/>
    </row>
    <row r="337" spans="5:8" ht="15">
      <c r="E337" s="2"/>
      <c r="F337" s="2"/>
      <c r="G337" s="2"/>
      <c r="H337" s="2"/>
    </row>
    <row r="338" spans="5:8" ht="15">
      <c r="E338" s="2"/>
      <c r="F338" s="2"/>
      <c r="G338" s="2"/>
      <c r="H338" s="2"/>
    </row>
    <row r="339" spans="5:8" ht="15">
      <c r="E339" s="2"/>
      <c r="F339" s="2"/>
      <c r="G339" s="2"/>
      <c r="H339" s="2"/>
    </row>
    <row r="340" spans="5:8" ht="15">
      <c r="E340" s="2"/>
      <c r="F340" s="2"/>
      <c r="G340" s="2"/>
      <c r="H340" s="2"/>
    </row>
    <row r="341" spans="5:8" ht="15">
      <c r="E341" s="2"/>
      <c r="F341" s="2"/>
      <c r="G341" s="2"/>
      <c r="H341" s="2"/>
    </row>
    <row r="342" spans="5:8" ht="15">
      <c r="E342" s="2"/>
      <c r="F342" s="2"/>
      <c r="G342" s="2"/>
      <c r="H342" s="2"/>
    </row>
    <row r="343" spans="5:8" ht="15">
      <c r="E343" s="2"/>
      <c r="F343" s="2"/>
      <c r="G343" s="2"/>
      <c r="H343" s="2"/>
    </row>
    <row r="344" spans="5:8" ht="15">
      <c r="E344" s="2"/>
      <c r="F344" s="2"/>
      <c r="G344" s="2"/>
      <c r="H344" s="2"/>
    </row>
    <row r="345" spans="5:8" ht="15">
      <c r="E345" s="2"/>
      <c r="F345" s="2"/>
      <c r="G345" s="2"/>
      <c r="H345" s="2"/>
    </row>
    <row r="346" spans="5:8" ht="15">
      <c r="E346" s="2"/>
      <c r="F346" s="2"/>
      <c r="G346" s="2"/>
      <c r="H346" s="2"/>
    </row>
    <row r="347" spans="5:8" ht="15">
      <c r="E347" s="2"/>
      <c r="F347" s="2"/>
      <c r="G347" s="2"/>
      <c r="H347" s="2"/>
    </row>
    <row r="348" spans="5:8" ht="15">
      <c r="E348" s="2"/>
      <c r="F348" s="2"/>
      <c r="G348" s="2"/>
      <c r="H348" s="2"/>
    </row>
    <row r="349" spans="5:8" ht="15">
      <c r="E349" s="2"/>
      <c r="F349" s="2"/>
      <c r="G349" s="2"/>
      <c r="H349" s="2"/>
    </row>
    <row r="350" spans="5:8" ht="15">
      <c r="E350" s="2"/>
      <c r="F350" s="2"/>
      <c r="G350" s="2"/>
      <c r="H350" s="2"/>
    </row>
    <row r="351" spans="5:8" ht="15">
      <c r="E351" s="2"/>
      <c r="F351" s="2"/>
      <c r="G351" s="2"/>
      <c r="H351" s="2"/>
    </row>
    <row r="352" spans="5:8" ht="15">
      <c r="E352" s="2"/>
      <c r="F352" s="2"/>
      <c r="G352" s="2"/>
      <c r="H352" s="2"/>
    </row>
    <row r="353" spans="5:8" ht="15">
      <c r="E353" s="2"/>
      <c r="F353" s="2"/>
      <c r="G353" s="2"/>
      <c r="H353" s="2"/>
    </row>
    <row r="354" spans="5:8" ht="15">
      <c r="E354" s="2"/>
      <c r="F354" s="2"/>
      <c r="G354" s="2"/>
      <c r="H354" s="2"/>
    </row>
    <row r="355" spans="5:8" ht="15">
      <c r="E355" s="2"/>
      <c r="F355" s="2"/>
      <c r="G355" s="2"/>
      <c r="H355" s="2"/>
    </row>
    <row r="356" spans="5:8" ht="15">
      <c r="E356" s="2"/>
      <c r="F356" s="2"/>
      <c r="G356" s="2"/>
      <c r="H356" s="2"/>
    </row>
    <row r="357" spans="5:8" ht="15">
      <c r="E357" s="2"/>
      <c r="F357" s="2"/>
      <c r="G357" s="2"/>
      <c r="H357" s="2"/>
    </row>
    <row r="358" spans="5:8" ht="15">
      <c r="E358" s="2"/>
      <c r="F358" s="2"/>
      <c r="G358" s="2"/>
      <c r="H358" s="2"/>
    </row>
    <row r="359" spans="5:8" ht="15">
      <c r="E359" s="2"/>
      <c r="F359" s="2"/>
      <c r="G359" s="2"/>
      <c r="H359" s="2"/>
    </row>
    <row r="360" spans="5:8" ht="15">
      <c r="E360" s="2"/>
      <c r="F360" s="2"/>
      <c r="G360" s="2"/>
      <c r="H360" s="2"/>
    </row>
    <row r="361" spans="5:8" ht="15">
      <c r="E361" s="2"/>
      <c r="F361" s="2"/>
      <c r="G361" s="2"/>
      <c r="H361" s="2"/>
    </row>
    <row r="362" spans="5:8" ht="15">
      <c r="E362" s="2"/>
      <c r="F362" s="2"/>
      <c r="G362" s="2"/>
      <c r="H362" s="2"/>
    </row>
    <row r="363" spans="5:8" ht="15">
      <c r="E363" s="2"/>
      <c r="F363" s="2"/>
      <c r="G363" s="2"/>
      <c r="H363" s="2"/>
    </row>
    <row r="364" spans="5:8" ht="15">
      <c r="E364" s="2"/>
      <c r="F364" s="2"/>
      <c r="G364" s="2"/>
      <c r="H364" s="2"/>
    </row>
    <row r="365" spans="5:8" ht="15">
      <c r="E365" s="2"/>
      <c r="F365" s="2"/>
      <c r="G365" s="2"/>
      <c r="H365" s="2"/>
    </row>
    <row r="366" spans="5:8" ht="15">
      <c r="E366" s="2"/>
      <c r="F366" s="2"/>
      <c r="G366" s="2"/>
      <c r="H366" s="2"/>
    </row>
    <row r="367" spans="5:8" ht="15">
      <c r="E367" s="2"/>
      <c r="F367" s="2"/>
      <c r="G367" s="2"/>
      <c r="H367" s="2"/>
    </row>
    <row r="368" spans="5:8" ht="15">
      <c r="E368" s="2"/>
      <c r="F368" s="2"/>
      <c r="G368" s="2"/>
      <c r="H368" s="2"/>
    </row>
    <row r="369" spans="5:8" ht="15">
      <c r="E369" s="2"/>
      <c r="F369" s="2"/>
      <c r="G369" s="2"/>
      <c r="H369" s="2"/>
    </row>
    <row r="370" spans="5:8" ht="15">
      <c r="E370" s="2"/>
      <c r="F370" s="2"/>
      <c r="G370" s="2"/>
      <c r="H370" s="2"/>
    </row>
    <row r="371" spans="5:8" ht="15">
      <c r="E371" s="2"/>
      <c r="F371" s="2"/>
      <c r="G371" s="2"/>
      <c r="H371" s="2"/>
    </row>
    <row r="372" spans="5:8" ht="15">
      <c r="E372" s="2"/>
      <c r="F372" s="2"/>
      <c r="G372" s="2"/>
      <c r="H372" s="2"/>
    </row>
    <row r="373" spans="5:8" ht="15">
      <c r="E373" s="2"/>
      <c r="F373" s="2"/>
      <c r="G373" s="2"/>
      <c r="H373" s="2"/>
    </row>
    <row r="374" spans="5:8" ht="15">
      <c r="E374" s="2"/>
      <c r="F374" s="2"/>
      <c r="G374" s="2"/>
      <c r="H374" s="2"/>
    </row>
    <row r="375" spans="5:8" ht="15">
      <c r="E375" s="2"/>
      <c r="F375" s="2"/>
      <c r="G375" s="2"/>
      <c r="H375" s="2"/>
    </row>
    <row r="376" spans="5:8" ht="15">
      <c r="E376" s="2"/>
      <c r="F376" s="2"/>
      <c r="G376" s="2"/>
      <c r="H376" s="2"/>
    </row>
    <row r="377" spans="5:8" ht="15">
      <c r="E377" s="2"/>
      <c r="F377" s="2"/>
      <c r="G377" s="2"/>
      <c r="H377" s="2"/>
    </row>
    <row r="378" spans="5:8" ht="15">
      <c r="E378" s="2"/>
      <c r="F378" s="2"/>
      <c r="G378" s="2"/>
      <c r="H378" s="2"/>
    </row>
    <row r="379" spans="5:8" ht="15">
      <c r="E379" s="2"/>
      <c r="F379" s="2"/>
      <c r="G379" s="2"/>
      <c r="H379" s="2"/>
    </row>
    <row r="380" spans="5:8" ht="15">
      <c r="E380" s="2"/>
      <c r="F380" s="2"/>
      <c r="G380" s="2"/>
      <c r="H380" s="2"/>
    </row>
    <row r="381" spans="5:8" ht="15">
      <c r="E381" s="2"/>
      <c r="F381" s="2"/>
      <c r="G381" s="2"/>
      <c r="H381" s="2"/>
    </row>
    <row r="382" spans="5:8" ht="15">
      <c r="E382" s="2"/>
      <c r="F382" s="2"/>
      <c r="G382" s="2"/>
      <c r="H382" s="2"/>
    </row>
    <row r="383" spans="5:8" ht="15">
      <c r="E383" s="2"/>
      <c r="F383" s="2"/>
      <c r="G383" s="2"/>
      <c r="H383" s="2"/>
    </row>
    <row r="384" spans="5:8" ht="15">
      <c r="E384" s="2"/>
      <c r="F384" s="2"/>
      <c r="G384" s="2"/>
      <c r="H384" s="2"/>
    </row>
    <row r="385" spans="5:8" ht="15">
      <c r="E385" s="2"/>
      <c r="F385" s="2"/>
      <c r="G385" s="2"/>
      <c r="H385" s="2"/>
    </row>
    <row r="386" spans="5:8" ht="15">
      <c r="E386" s="2"/>
      <c r="F386" s="2"/>
      <c r="G386" s="2"/>
      <c r="H386" s="2"/>
    </row>
    <row r="387" spans="5:8" ht="15">
      <c r="E387" s="2"/>
      <c r="F387" s="2"/>
      <c r="G387" s="2"/>
      <c r="H387" s="2"/>
    </row>
    <row r="388" spans="5:8" ht="15">
      <c r="E388" s="2"/>
      <c r="F388" s="2"/>
      <c r="G388" s="2"/>
      <c r="H388" s="2"/>
    </row>
    <row r="389" spans="5:8" ht="15">
      <c r="E389" s="2"/>
      <c r="F389" s="2"/>
      <c r="G389" s="2"/>
      <c r="H389" s="2"/>
    </row>
    <row r="390" spans="5:8" ht="15">
      <c r="E390" s="2"/>
      <c r="F390" s="2"/>
      <c r="G390" s="2"/>
      <c r="H390" s="2"/>
    </row>
    <row r="391" spans="5:8" ht="15">
      <c r="E391" s="2"/>
      <c r="F391" s="2"/>
      <c r="G391" s="2"/>
      <c r="H391" s="2"/>
    </row>
    <row r="392" spans="5:8" ht="15">
      <c r="E392" s="2"/>
      <c r="F392" s="2"/>
      <c r="G392" s="2"/>
      <c r="H392" s="2"/>
    </row>
    <row r="393" spans="5:8" ht="15">
      <c r="E393" s="2"/>
      <c r="F393" s="2"/>
      <c r="G393" s="2"/>
      <c r="H393" s="2"/>
    </row>
    <row r="394" spans="5:8" ht="15">
      <c r="E394" s="2"/>
      <c r="F394" s="2"/>
      <c r="G394" s="2"/>
      <c r="H394" s="2"/>
    </row>
    <row r="395" spans="5:8" ht="15">
      <c r="E395" s="2"/>
      <c r="F395" s="2"/>
      <c r="G395" s="2"/>
      <c r="H395" s="2"/>
    </row>
    <row r="396" spans="5:8" ht="15">
      <c r="E396" s="2"/>
      <c r="F396" s="2"/>
      <c r="G396" s="2"/>
      <c r="H396" s="2"/>
    </row>
    <row r="397" spans="5:8" ht="15">
      <c r="E397" s="2"/>
      <c r="F397" s="2"/>
      <c r="G397" s="2"/>
      <c r="H397" s="2"/>
    </row>
    <row r="398" spans="5:8" ht="15">
      <c r="E398" s="2"/>
      <c r="F398" s="2"/>
      <c r="G398" s="2"/>
      <c r="H398" s="2"/>
    </row>
    <row r="399" spans="5:8" ht="15">
      <c r="E399" s="2"/>
      <c r="F399" s="2"/>
      <c r="G399" s="2"/>
      <c r="H399" s="2"/>
    </row>
    <row r="400" spans="5:8" ht="15">
      <c r="E400" s="2"/>
      <c r="F400" s="2"/>
      <c r="G400" s="2"/>
      <c r="H400" s="2"/>
    </row>
    <row r="401" spans="5:8" ht="15">
      <c r="E401" s="2"/>
      <c r="F401" s="2"/>
      <c r="G401" s="2"/>
      <c r="H401" s="2"/>
    </row>
    <row r="402" spans="5:8" ht="15">
      <c r="E402" s="2"/>
      <c r="F402" s="2"/>
      <c r="G402" s="2"/>
      <c r="H402" s="2"/>
    </row>
    <row r="403" spans="5:8" ht="15">
      <c r="E403" s="2"/>
      <c r="F403" s="2"/>
      <c r="G403" s="2"/>
      <c r="H403" s="2"/>
    </row>
    <row r="404" spans="5:8" ht="15">
      <c r="E404" s="2"/>
      <c r="F404" s="2"/>
      <c r="G404" s="2"/>
      <c r="H404" s="2"/>
    </row>
    <row r="405" spans="5:8" ht="15">
      <c r="E405" s="2"/>
      <c r="F405" s="2"/>
      <c r="G405" s="2"/>
      <c r="H405" s="2"/>
    </row>
    <row r="406" spans="5:8" ht="15">
      <c r="E406" s="2"/>
      <c r="F406" s="2"/>
      <c r="G406" s="2"/>
      <c r="H406" s="2"/>
    </row>
    <row r="407" spans="5:8" ht="15">
      <c r="E407" s="2"/>
      <c r="F407" s="2"/>
      <c r="G407" s="2"/>
      <c r="H407" s="2"/>
    </row>
    <row r="408" spans="5:8" ht="15">
      <c r="E408" s="2"/>
      <c r="F408" s="2"/>
      <c r="G408" s="2"/>
      <c r="H408" s="2"/>
    </row>
    <row r="409" spans="5:8" ht="15">
      <c r="E409" s="2"/>
      <c r="F409" s="2"/>
      <c r="G409" s="2"/>
      <c r="H409" s="2"/>
    </row>
    <row r="410" spans="5:8" ht="15">
      <c r="E410" s="2"/>
      <c r="F410" s="2"/>
      <c r="G410" s="2"/>
      <c r="H410" s="2"/>
    </row>
    <row r="411" spans="5:8" ht="15">
      <c r="E411" s="2"/>
      <c r="F411" s="2"/>
      <c r="G411" s="2"/>
      <c r="H411" s="2"/>
    </row>
    <row r="412" spans="5:8" ht="15">
      <c r="E412" s="2"/>
      <c r="F412" s="2"/>
      <c r="G412" s="2"/>
      <c r="H412" s="2"/>
    </row>
    <row r="413" spans="5:8" ht="15">
      <c r="E413" s="2"/>
      <c r="F413" s="2"/>
      <c r="G413" s="2"/>
      <c r="H413" s="2"/>
    </row>
    <row r="414" spans="5:8" ht="15">
      <c r="E414" s="2"/>
      <c r="F414" s="2"/>
      <c r="G414" s="2"/>
      <c r="H414" s="2"/>
    </row>
    <row r="415" spans="5:8" ht="15">
      <c r="E415" s="2"/>
      <c r="F415" s="2"/>
      <c r="G415" s="2"/>
      <c r="H415" s="2"/>
    </row>
    <row r="416" spans="5:8" ht="15">
      <c r="E416" s="2"/>
      <c r="F416" s="2"/>
      <c r="G416" s="2"/>
      <c r="H416" s="2"/>
    </row>
    <row r="417" spans="5:8" ht="15">
      <c r="E417" s="2"/>
      <c r="F417" s="2"/>
      <c r="G417" s="2"/>
      <c r="H417" s="2"/>
    </row>
    <row r="418" spans="5:8" ht="15">
      <c r="E418" s="2"/>
      <c r="F418" s="2"/>
      <c r="G418" s="2"/>
      <c r="H418" s="2"/>
    </row>
    <row r="419" spans="5:8" ht="15">
      <c r="E419" s="2"/>
      <c r="F419" s="2"/>
      <c r="G419" s="2"/>
      <c r="H419" s="2"/>
    </row>
    <row r="420" spans="5:8" ht="15">
      <c r="E420" s="2"/>
      <c r="F420" s="2"/>
      <c r="G420" s="2"/>
      <c r="H420" s="2"/>
    </row>
    <row r="421" spans="5:8" ht="15">
      <c r="E421" s="2"/>
      <c r="F421" s="2"/>
      <c r="G421" s="2"/>
      <c r="H421" s="2"/>
    </row>
    <row r="422" spans="5:8" ht="15">
      <c r="E422" s="2"/>
      <c r="F422" s="2"/>
      <c r="G422" s="2"/>
      <c r="H422" s="2"/>
    </row>
    <row r="423" spans="5:8" ht="15">
      <c r="E423" s="2"/>
      <c r="F423" s="2"/>
      <c r="G423" s="2"/>
      <c r="H423" s="2"/>
    </row>
    <row r="424" spans="5:8" ht="15">
      <c r="E424" s="2"/>
      <c r="F424" s="2"/>
      <c r="G424" s="2"/>
      <c r="H424" s="2"/>
    </row>
    <row r="425" spans="5:8" ht="15">
      <c r="E425" s="2"/>
      <c r="F425" s="2"/>
      <c r="G425" s="2"/>
      <c r="H425" s="2"/>
    </row>
    <row r="426" spans="5:8" ht="15">
      <c r="E426" s="2"/>
      <c r="F426" s="2"/>
      <c r="G426" s="2"/>
      <c r="H426" s="2"/>
    </row>
    <row r="427" spans="5:8" ht="15">
      <c r="E427" s="2"/>
      <c r="F427" s="2"/>
      <c r="G427" s="2"/>
      <c r="H427" s="2"/>
    </row>
    <row r="428" spans="5:8" ht="15">
      <c r="E428" s="2"/>
      <c r="F428" s="2"/>
      <c r="G428" s="2"/>
      <c r="H428" s="2"/>
    </row>
    <row r="429" spans="5:8" ht="15">
      <c r="E429" s="2"/>
      <c r="F429" s="2"/>
      <c r="G429" s="2"/>
      <c r="H429" s="2"/>
    </row>
    <row r="430" spans="5:8" ht="15">
      <c r="E430" s="2"/>
      <c r="F430" s="2"/>
      <c r="G430" s="2"/>
      <c r="H430" s="2"/>
    </row>
    <row r="431" spans="5:8" ht="15">
      <c r="E431" s="2"/>
      <c r="F431" s="2"/>
      <c r="G431" s="2"/>
      <c r="H431" s="2"/>
    </row>
    <row r="432" spans="5:8" ht="15">
      <c r="E432" s="2"/>
      <c r="F432" s="2"/>
      <c r="G432" s="2"/>
      <c r="H432" s="2"/>
    </row>
    <row r="433" spans="5:8" ht="15">
      <c r="E433" s="2"/>
      <c r="F433" s="2"/>
      <c r="G433" s="2"/>
      <c r="H433" s="2"/>
    </row>
    <row r="434" spans="5:8" ht="15">
      <c r="E434" s="2"/>
      <c r="F434" s="2"/>
      <c r="G434" s="2"/>
      <c r="H434" s="2"/>
    </row>
    <row r="435" spans="5:8" ht="15">
      <c r="E435" s="2"/>
      <c r="F435" s="2"/>
      <c r="G435" s="2"/>
      <c r="H435" s="2"/>
    </row>
    <row r="436" spans="5:8" ht="15">
      <c r="E436" s="2"/>
      <c r="F436" s="2"/>
      <c r="G436" s="2"/>
      <c r="H436" s="2"/>
    </row>
    <row r="437" spans="5:8" ht="15">
      <c r="E437" s="2"/>
      <c r="F437" s="2"/>
      <c r="G437" s="2"/>
      <c r="H437" s="2"/>
    </row>
    <row r="438" spans="5:8" ht="15">
      <c r="E438" s="2"/>
      <c r="F438" s="2"/>
      <c r="G438" s="2"/>
      <c r="H438" s="2"/>
    </row>
    <row r="439" spans="5:8" ht="15">
      <c r="E439" s="2"/>
      <c r="F439" s="2"/>
      <c r="G439" s="2"/>
      <c r="H439" s="2"/>
    </row>
    <row r="440" spans="5:8" ht="15">
      <c r="E440" s="2"/>
      <c r="F440" s="2"/>
      <c r="G440" s="2"/>
      <c r="H440" s="2"/>
    </row>
    <row r="441" spans="5:8" ht="15">
      <c r="E441" s="2"/>
      <c r="F441" s="2"/>
      <c r="G441" s="2"/>
      <c r="H441" s="2"/>
    </row>
    <row r="442" spans="5:8" ht="15">
      <c r="E442" s="2"/>
      <c r="F442" s="2"/>
      <c r="G442" s="2"/>
      <c r="H442" s="2"/>
    </row>
    <row r="443" spans="5:8" ht="15">
      <c r="E443" s="2"/>
      <c r="F443" s="2"/>
      <c r="G443" s="2"/>
      <c r="H443" s="2"/>
    </row>
    <row r="444" spans="5:8" ht="15">
      <c r="E444" s="2"/>
      <c r="F444" s="2"/>
      <c r="G444" s="2"/>
      <c r="H444" s="2"/>
    </row>
    <row r="445" spans="5:8" ht="15">
      <c r="E445" s="2"/>
      <c r="F445" s="2"/>
      <c r="G445" s="2"/>
      <c r="H445" s="2"/>
    </row>
    <row r="446" spans="5:8" ht="15">
      <c r="E446" s="2"/>
      <c r="F446" s="2"/>
      <c r="G446" s="2"/>
      <c r="H446" s="2"/>
    </row>
    <row r="447" spans="5:8" ht="15">
      <c r="E447" s="2"/>
      <c r="F447" s="2"/>
      <c r="G447" s="2"/>
      <c r="H447" s="2"/>
    </row>
    <row r="448" spans="5:8" ht="15">
      <c r="E448" s="2"/>
      <c r="F448" s="2"/>
      <c r="G448" s="2"/>
      <c r="H448" s="2"/>
    </row>
    <row r="449" spans="5:8" ht="15">
      <c r="E449" s="2"/>
      <c r="F449" s="2"/>
      <c r="G449" s="2"/>
      <c r="H449" s="2"/>
    </row>
    <row r="450" spans="5:8" ht="15">
      <c r="E450" s="2"/>
      <c r="F450" s="2"/>
      <c r="G450" s="2"/>
      <c r="H450" s="2"/>
    </row>
    <row r="451" spans="5:8" ht="15">
      <c r="E451" s="2"/>
      <c r="F451" s="2"/>
      <c r="G451" s="2"/>
      <c r="H451" s="2"/>
    </row>
    <row r="452" spans="5:8" ht="15">
      <c r="E452" s="2"/>
      <c r="F452" s="2"/>
      <c r="G452" s="2"/>
      <c r="H452" s="2"/>
    </row>
    <row r="453" spans="5:8" ht="15">
      <c r="E453" s="2"/>
      <c r="F453" s="2"/>
      <c r="G453" s="2"/>
      <c r="H453" s="2"/>
    </row>
    <row r="454" spans="5:8" ht="15">
      <c r="E454" s="2"/>
      <c r="F454" s="2"/>
      <c r="G454" s="2"/>
      <c r="H454" s="2"/>
    </row>
    <row r="455" spans="5:8" ht="15">
      <c r="E455" s="2"/>
      <c r="F455" s="2"/>
      <c r="G455" s="2"/>
      <c r="H455" s="2"/>
    </row>
    <row r="456" spans="5:8" ht="15">
      <c r="E456" s="2"/>
      <c r="F456" s="2"/>
      <c r="G456" s="2"/>
      <c r="H456" s="2"/>
    </row>
    <row r="457" spans="5:8" ht="15">
      <c r="E457" s="2"/>
      <c r="F457" s="2"/>
      <c r="G457" s="2"/>
      <c r="H457" s="2"/>
    </row>
    <row r="458" spans="5:8" ht="15">
      <c r="E458" s="2"/>
      <c r="F458" s="2"/>
      <c r="G458" s="2"/>
      <c r="H458" s="2"/>
    </row>
    <row r="459" spans="5:8" ht="15">
      <c r="E459" s="2"/>
      <c r="F459" s="2"/>
      <c r="G459" s="2"/>
      <c r="H459" s="2"/>
    </row>
    <row r="460" spans="5:8" ht="15">
      <c r="E460" s="2"/>
      <c r="F460" s="2"/>
      <c r="G460" s="2"/>
      <c r="H460" s="2"/>
    </row>
    <row r="461" spans="5:8" ht="15">
      <c r="E461" s="2"/>
      <c r="F461" s="2"/>
      <c r="G461" s="2"/>
      <c r="H461" s="2"/>
    </row>
    <row r="462" spans="5:8" ht="15">
      <c r="E462" s="2"/>
      <c r="F462" s="2"/>
      <c r="G462" s="2"/>
      <c r="H462" s="2"/>
    </row>
    <row r="463" spans="5:8" ht="15">
      <c r="E463" s="2"/>
      <c r="F463" s="2"/>
      <c r="G463" s="2"/>
      <c r="H463" s="2"/>
    </row>
    <row r="464" spans="5:8" ht="15">
      <c r="E464" s="2"/>
      <c r="F464" s="2"/>
      <c r="G464" s="2"/>
      <c r="H464" s="2"/>
    </row>
    <row r="465" spans="5:8" ht="15">
      <c r="E465" s="2"/>
      <c r="F465" s="2"/>
      <c r="G465" s="2"/>
      <c r="H465" s="2"/>
    </row>
    <row r="466" spans="5:8" ht="15">
      <c r="E466" s="2"/>
      <c r="F466" s="2"/>
      <c r="G466" s="2"/>
      <c r="H466" s="2"/>
    </row>
    <row r="467" spans="5:8" ht="15">
      <c r="E467" s="2"/>
      <c r="F467" s="2"/>
      <c r="G467" s="2"/>
      <c r="H467" s="2"/>
    </row>
    <row r="468" spans="5:8" ht="15">
      <c r="E468" s="2"/>
      <c r="F468" s="2"/>
      <c r="G468" s="2"/>
      <c r="H468" s="2"/>
    </row>
    <row r="469" spans="5:8" ht="15">
      <c r="E469" s="2"/>
      <c r="F469" s="2"/>
      <c r="G469" s="2"/>
      <c r="H469" s="2"/>
    </row>
    <row r="470" spans="5:8" ht="15">
      <c r="E470" s="2"/>
      <c r="F470" s="2"/>
      <c r="G470" s="2"/>
      <c r="H470" s="2"/>
    </row>
    <row r="471" spans="5:8" ht="15">
      <c r="E471" s="2"/>
      <c r="F471" s="2"/>
      <c r="G471" s="2"/>
      <c r="H471" s="2"/>
    </row>
    <row r="472" spans="5:8" ht="15">
      <c r="E472" s="2"/>
      <c r="F472" s="2"/>
      <c r="G472" s="2"/>
      <c r="H472" s="2"/>
    </row>
    <row r="473" spans="5:8" ht="15">
      <c r="E473" s="2"/>
      <c r="F473" s="2"/>
      <c r="G473" s="2"/>
      <c r="H473" s="2"/>
    </row>
    <row r="474" spans="5:8" ht="15">
      <c r="E474" s="2"/>
      <c r="F474" s="2"/>
      <c r="G474" s="2"/>
      <c r="H474" s="2"/>
    </row>
    <row r="475" spans="5:8" ht="15">
      <c r="E475" s="2"/>
      <c r="F475" s="2"/>
      <c r="G475" s="2"/>
      <c r="H475" s="2"/>
    </row>
    <row r="476" spans="5:8" ht="15">
      <c r="E476" s="2"/>
      <c r="F476" s="2"/>
      <c r="G476" s="2"/>
      <c r="H476" s="2"/>
    </row>
    <row r="477" spans="5:8" ht="15">
      <c r="E477" s="2"/>
      <c r="F477" s="2"/>
      <c r="G477" s="2"/>
      <c r="H477" s="2"/>
    </row>
    <row r="478" spans="5:8" ht="15">
      <c r="E478" s="2"/>
      <c r="F478" s="2"/>
      <c r="G478" s="2"/>
      <c r="H478" s="2"/>
    </row>
    <row r="479" spans="5:8" ht="15">
      <c r="E479" s="2"/>
      <c r="F479" s="2"/>
      <c r="G479" s="2"/>
      <c r="H479" s="2"/>
    </row>
    <row r="480" spans="5:8" ht="15">
      <c r="E480" s="2"/>
      <c r="F480" s="2"/>
      <c r="G480" s="2"/>
      <c r="H480" s="2"/>
    </row>
    <row r="481" spans="5:8" ht="15">
      <c r="E481" s="2"/>
      <c r="F481" s="2"/>
      <c r="G481" s="2"/>
      <c r="H481" s="2"/>
    </row>
    <row r="482" spans="5:8" ht="15">
      <c r="E482" s="2"/>
      <c r="F482" s="2"/>
      <c r="G482" s="2"/>
      <c r="H482" s="2"/>
    </row>
    <row r="483" spans="5:8" ht="15">
      <c r="E483" s="2"/>
      <c r="F483" s="2"/>
      <c r="G483" s="2"/>
      <c r="H483" s="2"/>
    </row>
    <row r="484" spans="5:8" ht="15">
      <c r="E484" s="2"/>
      <c r="F484" s="2"/>
      <c r="G484" s="2"/>
      <c r="H484" s="2"/>
    </row>
    <row r="485" spans="5:8" ht="15">
      <c r="E485" s="2"/>
      <c r="F485" s="2"/>
      <c r="G485" s="2"/>
      <c r="H485" s="2"/>
    </row>
    <row r="486" spans="5:8" ht="15">
      <c r="E486" s="2"/>
      <c r="F486" s="2"/>
      <c r="G486" s="2"/>
      <c r="H486" s="2"/>
    </row>
    <row r="487" spans="5:8" ht="15">
      <c r="E487" s="2"/>
      <c r="F487" s="2"/>
      <c r="G487" s="2"/>
      <c r="H487" s="2"/>
    </row>
    <row r="488" spans="5:8" ht="15">
      <c r="E488" s="2"/>
      <c r="F488" s="2"/>
      <c r="G488" s="2"/>
      <c r="H488" s="2"/>
    </row>
    <row r="489" spans="5:8" ht="15">
      <c r="E489" s="2"/>
      <c r="F489" s="2"/>
      <c r="G489" s="2"/>
      <c r="H489" s="2"/>
    </row>
    <row r="490" spans="5:8" ht="15">
      <c r="E490" s="2"/>
      <c r="F490" s="2"/>
      <c r="G490" s="2"/>
      <c r="H490" s="2"/>
    </row>
    <row r="491" spans="5:8" ht="15">
      <c r="E491" s="2"/>
      <c r="F491" s="2"/>
      <c r="G491" s="2"/>
      <c r="H491" s="2"/>
    </row>
    <row r="492" spans="5:8" ht="15">
      <c r="E492" s="2"/>
      <c r="F492" s="2"/>
      <c r="G492" s="2"/>
      <c r="H492" s="2"/>
    </row>
    <row r="493" spans="5:8" ht="15">
      <c r="E493" s="2"/>
      <c r="F493" s="2"/>
      <c r="G493" s="2"/>
      <c r="H493" s="2"/>
    </row>
    <row r="494" spans="5:8" ht="15">
      <c r="E494" s="2"/>
      <c r="F494" s="2"/>
      <c r="G494" s="2"/>
      <c r="H494" s="2"/>
    </row>
    <row r="495" spans="5:8" ht="15">
      <c r="E495" s="2"/>
      <c r="F495" s="2"/>
      <c r="G495" s="2"/>
      <c r="H495" s="2"/>
    </row>
    <row r="496" spans="5:8" ht="15">
      <c r="E496" s="2"/>
      <c r="F496" s="2"/>
      <c r="G496" s="2"/>
      <c r="H496" s="2"/>
    </row>
    <row r="497" spans="5:8" ht="15">
      <c r="E497" s="2"/>
      <c r="F497" s="2"/>
      <c r="G497" s="2"/>
      <c r="H497" s="2"/>
    </row>
    <row r="498" spans="5:8" ht="15">
      <c r="E498" s="2"/>
      <c r="F498" s="2"/>
      <c r="G498" s="2"/>
      <c r="H498" s="2"/>
    </row>
    <row r="499" spans="5:8" ht="15">
      <c r="E499" s="2"/>
      <c r="F499" s="2"/>
      <c r="G499" s="2"/>
      <c r="H499" s="2"/>
    </row>
    <row r="500" spans="5:8" ht="15">
      <c r="E500" s="2"/>
      <c r="F500" s="2"/>
      <c r="G500" s="2"/>
      <c r="H500" s="2"/>
    </row>
    <row r="501" spans="5:8" ht="15">
      <c r="E501" s="2"/>
      <c r="F501" s="2"/>
      <c r="G501" s="2"/>
      <c r="H501" s="2"/>
    </row>
    <row r="502" spans="5:8" ht="15">
      <c r="E502" s="2"/>
      <c r="F502" s="2"/>
      <c r="G502" s="2"/>
      <c r="H502" s="2"/>
    </row>
    <row r="503" spans="5:8" ht="15">
      <c r="E503" s="2"/>
      <c r="F503" s="2"/>
      <c r="G503" s="2"/>
      <c r="H503" s="2"/>
    </row>
    <row r="504" spans="5:8" ht="15">
      <c r="E504" s="2"/>
      <c r="F504" s="2"/>
      <c r="G504" s="2"/>
      <c r="H504" s="2"/>
    </row>
    <row r="505" spans="5:8" ht="15">
      <c r="E505" s="2"/>
      <c r="F505" s="2"/>
      <c r="G505" s="2"/>
      <c r="H505" s="2"/>
    </row>
    <row r="506" spans="5:8" ht="15">
      <c r="E506" s="2"/>
      <c r="F506" s="2"/>
      <c r="G506" s="2"/>
      <c r="H506" s="2"/>
    </row>
    <row r="507" spans="5:8" ht="15">
      <c r="E507" s="2"/>
      <c r="F507" s="2"/>
      <c r="G507" s="2"/>
      <c r="H507" s="2"/>
    </row>
    <row r="508" spans="5:8" ht="15">
      <c r="E508" s="2"/>
      <c r="F508" s="2"/>
      <c r="G508" s="2"/>
      <c r="H508" s="2"/>
    </row>
    <row r="509" spans="5:8" ht="15">
      <c r="E509" s="2"/>
      <c r="F509" s="2"/>
      <c r="G509" s="2"/>
      <c r="H509" s="2"/>
    </row>
    <row r="510" spans="5:8" ht="15">
      <c r="E510" s="2"/>
      <c r="F510" s="2"/>
      <c r="G510" s="2"/>
      <c r="H510" s="2"/>
    </row>
    <row r="511" spans="5:8" ht="15">
      <c r="E511" s="2"/>
      <c r="F511" s="2"/>
      <c r="G511" s="2"/>
      <c r="H511" s="2"/>
    </row>
    <row r="512" spans="5:8" ht="15">
      <c r="E512" s="2"/>
      <c r="F512" s="2"/>
      <c r="G512" s="2"/>
      <c r="H512" s="2"/>
    </row>
    <row r="513" spans="5:8" ht="15">
      <c r="E513" s="2"/>
      <c r="F513" s="2"/>
      <c r="G513" s="2"/>
      <c r="H513" s="2"/>
    </row>
    <row r="514" spans="5:8" ht="15">
      <c r="E514" s="2"/>
      <c r="F514" s="2"/>
      <c r="G514" s="2"/>
      <c r="H514" s="2"/>
    </row>
    <row r="515" spans="5:8" ht="15">
      <c r="E515" s="2"/>
      <c r="F515" s="2"/>
      <c r="G515" s="2"/>
      <c r="H515" s="2"/>
    </row>
    <row r="516" spans="5:8" ht="15">
      <c r="E516" s="2"/>
      <c r="F516" s="2"/>
      <c r="G516" s="2"/>
      <c r="H516" s="2"/>
    </row>
    <row r="517" spans="5:8" ht="15">
      <c r="E517" s="2"/>
      <c r="F517" s="2"/>
      <c r="G517" s="2"/>
      <c r="H517" s="2"/>
    </row>
    <row r="518" spans="5:8" ht="15">
      <c r="E518" s="2"/>
      <c r="F518" s="2"/>
      <c r="G518" s="2"/>
      <c r="H518" s="2"/>
    </row>
    <row r="519" spans="5:8" ht="15">
      <c r="E519" s="2"/>
      <c r="F519" s="2"/>
      <c r="G519" s="2"/>
      <c r="H519" s="2"/>
    </row>
    <row r="520" spans="5:8" ht="15">
      <c r="E520" s="2"/>
      <c r="F520" s="2"/>
      <c r="G520" s="2"/>
      <c r="H520" s="2"/>
    </row>
    <row r="521" spans="5:8" ht="15">
      <c r="E521" s="2"/>
      <c r="F521" s="2"/>
      <c r="G521" s="2"/>
      <c r="H521" s="2"/>
    </row>
    <row r="522" spans="5:8" ht="15">
      <c r="E522" s="2"/>
      <c r="F522" s="2"/>
      <c r="G522" s="2"/>
      <c r="H522" s="2"/>
    </row>
    <row r="523" spans="5:8" ht="15">
      <c r="E523" s="2"/>
      <c r="F523" s="2"/>
      <c r="G523" s="2"/>
      <c r="H523" s="2"/>
    </row>
    <row r="524" spans="5:8" ht="15">
      <c r="E524" s="2"/>
      <c r="F524" s="2"/>
      <c r="G524" s="2"/>
      <c r="H524" s="2"/>
    </row>
    <row r="525" spans="5:8" ht="15">
      <c r="E525" s="2"/>
      <c r="F525" s="2"/>
      <c r="G525" s="2"/>
      <c r="H525" s="2"/>
    </row>
    <row r="526" spans="5:8" ht="15">
      <c r="E526" s="2"/>
      <c r="F526" s="2"/>
      <c r="G526" s="2"/>
      <c r="H526" s="2"/>
    </row>
    <row r="527" spans="5:8" ht="15">
      <c r="E527" s="2"/>
      <c r="F527" s="2"/>
      <c r="G527" s="2"/>
      <c r="H527" s="2"/>
    </row>
    <row r="528" spans="5:8" ht="15">
      <c r="E528" s="2"/>
      <c r="F528" s="2"/>
      <c r="G528" s="2"/>
      <c r="H528" s="2"/>
    </row>
    <row r="529" spans="5:8" ht="15">
      <c r="E529" s="2"/>
      <c r="F529" s="2"/>
      <c r="G529" s="2"/>
      <c r="H529" s="2"/>
    </row>
    <row r="530" spans="5:8" ht="15">
      <c r="E530" s="2"/>
      <c r="F530" s="2"/>
      <c r="G530" s="2"/>
      <c r="H530" s="2"/>
    </row>
    <row r="531" spans="5:8" ht="15">
      <c r="E531" s="2"/>
      <c r="F531" s="2"/>
      <c r="G531" s="2"/>
      <c r="H531" s="2"/>
    </row>
    <row r="532" spans="5:8" ht="15">
      <c r="E532" s="2"/>
      <c r="F532" s="2"/>
      <c r="G532" s="2"/>
      <c r="H532" s="2"/>
    </row>
    <row r="533" spans="5:8" ht="15">
      <c r="E533" s="2"/>
      <c r="F533" s="2"/>
      <c r="G533" s="2"/>
      <c r="H533" s="2"/>
    </row>
    <row r="534" spans="5:8" ht="15">
      <c r="E534" s="2"/>
      <c r="F534" s="2"/>
      <c r="G534" s="2"/>
      <c r="H534" s="2"/>
    </row>
    <row r="535" spans="5:8" ht="15">
      <c r="E535" s="2"/>
      <c r="F535" s="2"/>
      <c r="G535" s="2"/>
      <c r="H535" s="2"/>
    </row>
    <row r="536" spans="5:8" ht="15">
      <c r="E536" s="2"/>
      <c r="F536" s="2"/>
      <c r="G536" s="2"/>
      <c r="H536" s="2"/>
    </row>
    <row r="537" spans="5:8" ht="15">
      <c r="E537" s="2"/>
      <c r="F537" s="2"/>
      <c r="G537" s="2"/>
      <c r="H537" s="2"/>
    </row>
    <row r="538" spans="5:8" ht="15">
      <c r="E538" s="2"/>
      <c r="F538" s="2"/>
      <c r="G538" s="2"/>
      <c r="H538" s="2"/>
    </row>
    <row r="539" spans="5:8" ht="15">
      <c r="E539" s="2"/>
      <c r="F539" s="2"/>
      <c r="G539" s="2"/>
      <c r="H539" s="2"/>
    </row>
    <row r="540" spans="5:8" ht="15">
      <c r="E540" s="2"/>
      <c r="F540" s="2"/>
      <c r="G540" s="2"/>
      <c r="H540" s="2"/>
    </row>
    <row r="541" spans="5:8" ht="15">
      <c r="E541" s="2"/>
      <c r="F541" s="2"/>
      <c r="G541" s="2"/>
      <c r="H541" s="2"/>
    </row>
    <row r="542" spans="5:8" ht="15">
      <c r="E542" s="2"/>
      <c r="F542" s="2"/>
      <c r="G542" s="2"/>
      <c r="H542" s="2"/>
    </row>
    <row r="543" spans="5:8" ht="15">
      <c r="E543" s="2"/>
      <c r="F543" s="2"/>
      <c r="G543" s="2"/>
      <c r="H543" s="2"/>
    </row>
    <row r="544" spans="5:8" ht="15">
      <c r="E544" s="2"/>
      <c r="F544" s="2"/>
      <c r="G544" s="2"/>
      <c r="H544" s="2"/>
    </row>
    <row r="545" spans="5:8" ht="15">
      <c r="E545" s="2"/>
      <c r="F545" s="2"/>
      <c r="G545" s="2"/>
      <c r="H545" s="2"/>
    </row>
    <row r="546" spans="5:8" ht="15">
      <c r="E546" s="2"/>
      <c r="F546" s="2"/>
      <c r="G546" s="2"/>
      <c r="H546" s="2"/>
    </row>
    <row r="547" spans="5:8" ht="15">
      <c r="E547" s="2"/>
      <c r="F547" s="2"/>
      <c r="G547" s="2"/>
      <c r="H547" s="2"/>
    </row>
    <row r="548" spans="5:8" ht="15">
      <c r="E548" s="2"/>
      <c r="F548" s="2"/>
      <c r="G548" s="2"/>
      <c r="H548" s="2"/>
    </row>
    <row r="549" spans="5:8" ht="15">
      <c r="E549" s="2"/>
      <c r="F549" s="2"/>
      <c r="G549" s="2"/>
      <c r="H549" s="2"/>
    </row>
    <row r="550" spans="5:8" ht="15">
      <c r="E550" s="2"/>
      <c r="F550" s="2"/>
      <c r="G550" s="2"/>
      <c r="H550" s="2"/>
    </row>
    <row r="551" spans="5:8" ht="15">
      <c r="E551" s="2"/>
      <c r="F551" s="2"/>
      <c r="G551" s="2"/>
      <c r="H551" s="2"/>
    </row>
    <row r="552" spans="5:8" ht="15">
      <c r="E552" s="2"/>
      <c r="F552" s="2"/>
      <c r="G552" s="2"/>
      <c r="H552" s="2"/>
    </row>
    <row r="553" spans="5:8" ht="15">
      <c r="E553" s="2"/>
      <c r="F553" s="2"/>
      <c r="G553" s="2"/>
      <c r="H553" s="2"/>
    </row>
    <row r="554" spans="5:8" ht="15">
      <c r="E554" s="2"/>
      <c r="F554" s="2"/>
      <c r="G554" s="2"/>
      <c r="H554" s="2"/>
    </row>
    <row r="555" spans="5:8" ht="15">
      <c r="E555" s="2"/>
      <c r="F555" s="2"/>
      <c r="G555" s="2"/>
      <c r="H555" s="2"/>
    </row>
    <row r="556" spans="5:8" ht="15">
      <c r="E556" s="2"/>
      <c r="F556" s="2"/>
      <c r="G556" s="2"/>
      <c r="H556" s="2"/>
    </row>
    <row r="557" spans="5:8" ht="15">
      <c r="E557" s="2"/>
      <c r="F557" s="2"/>
      <c r="G557" s="2"/>
      <c r="H557" s="2"/>
    </row>
    <row r="558" spans="5:8" ht="15">
      <c r="E558" s="2"/>
      <c r="F558" s="2"/>
      <c r="G558" s="2"/>
      <c r="H558" s="2"/>
    </row>
    <row r="559" spans="5:8" ht="15">
      <c r="E559" s="2"/>
      <c r="F559" s="2"/>
      <c r="G559" s="2"/>
      <c r="H559" s="2"/>
    </row>
    <row r="560" spans="5:8" ht="15">
      <c r="E560" s="2"/>
      <c r="F560" s="2"/>
      <c r="G560" s="2"/>
      <c r="H560" s="2"/>
    </row>
    <row r="561" spans="5:8" ht="15">
      <c r="E561" s="2"/>
      <c r="F561" s="2"/>
      <c r="G561" s="2"/>
      <c r="H561" s="2"/>
    </row>
    <row r="562" spans="5:8" ht="15">
      <c r="E562" s="2"/>
      <c r="F562" s="2"/>
      <c r="G562" s="2"/>
      <c r="H562" s="2"/>
    </row>
    <row r="563" spans="5:8" ht="15">
      <c r="E563" s="2"/>
      <c r="F563" s="2"/>
      <c r="G563" s="2"/>
      <c r="H563" s="2"/>
    </row>
    <row r="564" spans="5:8" ht="15">
      <c r="E564" s="2"/>
      <c r="F564" s="2"/>
      <c r="G564" s="2"/>
      <c r="H564" s="2"/>
    </row>
    <row r="565" spans="5:8" ht="15">
      <c r="E565" s="2"/>
      <c r="F565" s="2"/>
      <c r="G565" s="2"/>
      <c r="H565" s="2"/>
    </row>
    <row r="566" spans="5:8" ht="15">
      <c r="E566" s="2"/>
      <c r="F566" s="2"/>
      <c r="G566" s="2"/>
      <c r="H566" s="2"/>
    </row>
    <row r="567" spans="5:8" ht="15">
      <c r="E567" s="2"/>
      <c r="F567" s="2"/>
      <c r="G567" s="2"/>
      <c r="H567" s="2"/>
    </row>
    <row r="568" spans="5:8" ht="15">
      <c r="E568" s="2"/>
      <c r="F568" s="2"/>
      <c r="G568" s="2"/>
      <c r="H568" s="2"/>
    </row>
    <row r="569" spans="5:8" ht="15">
      <c r="E569" s="2"/>
      <c r="F569" s="2"/>
      <c r="G569" s="2"/>
      <c r="H569" s="2"/>
    </row>
    <row r="570" spans="5:8" ht="15">
      <c r="E570" s="2"/>
      <c r="F570" s="2"/>
      <c r="G570" s="2"/>
      <c r="H570" s="2"/>
    </row>
    <row r="571" spans="5:8" ht="15">
      <c r="E571" s="2"/>
      <c r="F571" s="2"/>
      <c r="G571" s="2"/>
      <c r="H571" s="2"/>
    </row>
    <row r="572" spans="5:8" ht="15">
      <c r="E572" s="2"/>
      <c r="F572" s="2"/>
      <c r="G572" s="2"/>
      <c r="H572" s="2"/>
    </row>
    <row r="573" spans="5:8" ht="15">
      <c r="E573" s="2"/>
      <c r="F573" s="2"/>
      <c r="G573" s="2"/>
      <c r="H573" s="2"/>
    </row>
    <row r="574" spans="5:8" ht="15">
      <c r="E574" s="2"/>
      <c r="F574" s="2"/>
      <c r="G574" s="2"/>
      <c r="H574" s="2"/>
    </row>
    <row r="575" spans="5:8" ht="15">
      <c r="E575" s="2"/>
      <c r="F575" s="2"/>
      <c r="G575" s="2"/>
      <c r="H575" s="2"/>
    </row>
    <row r="576" spans="5:8" ht="15">
      <c r="E576" s="2"/>
      <c r="F576" s="2"/>
      <c r="G576" s="2"/>
      <c r="H576" s="2"/>
    </row>
    <row r="577" spans="5:8" ht="15">
      <c r="E577" s="2"/>
      <c r="F577" s="2"/>
      <c r="G577" s="2"/>
      <c r="H577" s="2"/>
    </row>
    <row r="578" spans="5:8" ht="15">
      <c r="E578" s="2"/>
      <c r="F578" s="2"/>
      <c r="G578" s="2"/>
      <c r="H578" s="2"/>
    </row>
    <row r="579" spans="5:8" ht="15">
      <c r="E579" s="2"/>
      <c r="F579" s="2"/>
      <c r="G579" s="2"/>
      <c r="H579" s="2"/>
    </row>
    <row r="580" spans="5:8" ht="15">
      <c r="E580" s="2"/>
      <c r="F580" s="2"/>
      <c r="G580" s="2"/>
      <c r="H580" s="2"/>
    </row>
    <row r="581" spans="5:8" ht="15">
      <c r="E581" s="2"/>
      <c r="F581" s="2"/>
      <c r="G581" s="2"/>
      <c r="H581" s="2"/>
    </row>
    <row r="582" spans="5:8" ht="15">
      <c r="E582" s="2"/>
      <c r="F582" s="2"/>
      <c r="G582" s="2"/>
      <c r="H582" s="2"/>
    </row>
    <row r="583" spans="5:8" ht="15">
      <c r="E583" s="2"/>
      <c r="F583" s="2"/>
      <c r="G583" s="2"/>
      <c r="H583" s="2"/>
    </row>
    <row r="584" spans="5:8" ht="15">
      <c r="E584" s="2"/>
      <c r="F584" s="2"/>
      <c r="G584" s="2"/>
      <c r="H584" s="2"/>
    </row>
    <row r="585" spans="5:8" ht="15">
      <c r="E585" s="2"/>
      <c r="F585" s="2"/>
      <c r="G585" s="2"/>
      <c r="H585" s="2"/>
    </row>
    <row r="586" spans="5:8" ht="15">
      <c r="E586" s="2"/>
      <c r="F586" s="2"/>
      <c r="G586" s="2"/>
      <c r="H586" s="2"/>
    </row>
    <row r="587" spans="5:8" ht="15">
      <c r="E587" s="2"/>
      <c r="F587" s="2"/>
      <c r="G587" s="2"/>
      <c r="H587" s="2"/>
    </row>
    <row r="588" spans="5:8" ht="15">
      <c r="E588" s="2"/>
      <c r="F588" s="2"/>
      <c r="G588" s="2"/>
      <c r="H588" s="2"/>
    </row>
    <row r="589" spans="5:8" ht="15">
      <c r="E589" s="2"/>
      <c r="F589" s="2"/>
      <c r="G589" s="2"/>
      <c r="H589" s="2"/>
    </row>
    <row r="590" spans="5:8" ht="15">
      <c r="E590" s="2"/>
      <c r="F590" s="2"/>
      <c r="G590" s="2"/>
      <c r="H590" s="2"/>
    </row>
    <row r="591" spans="5:8" ht="15">
      <c r="E591" s="2"/>
      <c r="F591" s="2"/>
      <c r="G591" s="2"/>
      <c r="H591" s="2"/>
    </row>
    <row r="592" spans="5:8" ht="15">
      <c r="E592" s="2"/>
      <c r="F592" s="2"/>
      <c r="G592" s="2"/>
      <c r="H592" s="2"/>
    </row>
    <row r="593" spans="5:8" ht="15">
      <c r="E593" s="2"/>
      <c r="F593" s="2"/>
      <c r="G593" s="2"/>
      <c r="H593" s="2"/>
    </row>
    <row r="594" spans="5:8" ht="15">
      <c r="E594" s="2"/>
      <c r="F594" s="2"/>
      <c r="G594" s="2"/>
      <c r="H594" s="2"/>
    </row>
    <row r="595" spans="5:8" ht="15">
      <c r="E595" s="2"/>
      <c r="F595" s="2"/>
      <c r="G595" s="2"/>
      <c r="H595" s="2"/>
    </row>
    <row r="596" spans="5:8" ht="15">
      <c r="E596" s="2"/>
      <c r="F596" s="2"/>
      <c r="G596" s="2"/>
      <c r="H596" s="2"/>
    </row>
    <row r="597" spans="5:8" ht="15">
      <c r="E597" s="2"/>
      <c r="F597" s="2"/>
      <c r="G597" s="2"/>
      <c r="H597" s="2"/>
    </row>
    <row r="598" spans="5:8" ht="15">
      <c r="E598" s="2"/>
      <c r="F598" s="2"/>
      <c r="G598" s="2"/>
      <c r="H598" s="2"/>
    </row>
    <row r="599" spans="5:8" ht="15">
      <c r="E599" s="2"/>
      <c r="F599" s="2"/>
      <c r="G599" s="2"/>
      <c r="H599" s="2"/>
    </row>
    <row r="600" spans="5:8" ht="15">
      <c r="E600" s="2"/>
      <c r="F600" s="2"/>
      <c r="G600" s="2"/>
      <c r="H600" s="2"/>
    </row>
    <row r="601" spans="5:8" ht="15">
      <c r="E601" s="2"/>
      <c r="F601" s="2"/>
      <c r="G601" s="2"/>
      <c r="H601" s="2"/>
    </row>
    <row r="602" spans="5:8" ht="15">
      <c r="E602" s="2"/>
      <c r="F602" s="2"/>
      <c r="G602" s="2"/>
      <c r="H602" s="2"/>
    </row>
    <row r="603" spans="5:8" ht="15">
      <c r="E603" s="2"/>
      <c r="F603" s="2"/>
      <c r="G603" s="2"/>
      <c r="H603" s="2"/>
    </row>
    <row r="604" spans="5:8" ht="15">
      <c r="E604" s="2"/>
      <c r="F604" s="2"/>
      <c r="G604" s="2"/>
      <c r="H604" s="2"/>
    </row>
    <row r="605" spans="5:8" ht="15">
      <c r="E605" s="2"/>
      <c r="F605" s="2"/>
      <c r="G605" s="2"/>
      <c r="H605" s="2"/>
    </row>
    <row r="606" spans="5:8" ht="15">
      <c r="E606" s="2"/>
      <c r="F606" s="2"/>
      <c r="G606" s="2"/>
      <c r="H606" s="2"/>
    </row>
    <row r="607" spans="5:8" ht="15">
      <c r="E607" s="2"/>
      <c r="F607" s="2"/>
      <c r="G607" s="2"/>
      <c r="H607" s="2"/>
    </row>
    <row r="608" spans="5:8" ht="15">
      <c r="E608" s="2"/>
      <c r="F608" s="2"/>
      <c r="G608" s="2"/>
      <c r="H608" s="2"/>
    </row>
    <row r="609" spans="5:8" ht="15">
      <c r="E609" s="2"/>
      <c r="F609" s="2"/>
      <c r="G609" s="2"/>
      <c r="H609" s="2"/>
    </row>
    <row r="610" spans="5:8" ht="15">
      <c r="E610" s="2"/>
      <c r="F610" s="2"/>
      <c r="G610" s="2"/>
      <c r="H610" s="2"/>
    </row>
    <row r="611" spans="5:8" ht="15">
      <c r="E611" s="2"/>
      <c r="F611" s="2"/>
      <c r="G611" s="2"/>
      <c r="H611" s="2"/>
    </row>
    <row r="612" spans="5:8" ht="15">
      <c r="E612" s="2"/>
      <c r="F612" s="2"/>
      <c r="G612" s="2"/>
      <c r="H612" s="2"/>
    </row>
    <row r="613" spans="5:8" ht="15">
      <c r="E613" s="2"/>
      <c r="F613" s="2"/>
      <c r="G613" s="2"/>
      <c r="H613" s="2"/>
    </row>
    <row r="614" spans="5:8" ht="15">
      <c r="E614" s="2"/>
      <c r="F614" s="2"/>
      <c r="G614" s="2"/>
      <c r="H614" s="2"/>
    </row>
    <row r="615" spans="5:8" ht="15">
      <c r="E615" s="2"/>
      <c r="F615" s="2"/>
      <c r="G615" s="2"/>
      <c r="H615" s="2"/>
    </row>
    <row r="616" spans="5:8" ht="15">
      <c r="E616" s="2"/>
      <c r="F616" s="2"/>
      <c r="G616" s="2"/>
      <c r="H616" s="2"/>
    </row>
    <row r="617" spans="5:8" ht="15">
      <c r="E617" s="2"/>
      <c r="F617" s="2"/>
      <c r="G617" s="2"/>
      <c r="H617" s="2"/>
    </row>
    <row r="618" spans="5:8" ht="15">
      <c r="E618" s="2"/>
      <c r="F618" s="2"/>
      <c r="G618" s="2"/>
      <c r="H618" s="2"/>
    </row>
    <row r="619" spans="5:8" ht="15">
      <c r="E619" s="2"/>
      <c r="F619" s="2"/>
      <c r="G619" s="2"/>
      <c r="H619" s="2"/>
    </row>
    <row r="620" spans="5:8" ht="15">
      <c r="E620" s="2"/>
      <c r="F620" s="2"/>
      <c r="G620" s="2"/>
      <c r="H620" s="2"/>
    </row>
    <row r="621" spans="5:8" ht="15">
      <c r="E621" s="2"/>
      <c r="F621" s="2"/>
      <c r="G621" s="2"/>
      <c r="H621" s="2"/>
    </row>
    <row r="622" spans="5:8" ht="15">
      <c r="E622" s="2"/>
      <c r="F622" s="2"/>
      <c r="G622" s="2"/>
      <c r="H622" s="2"/>
    </row>
    <row r="623" spans="5:8" ht="15">
      <c r="E623" s="2"/>
      <c r="F623" s="2"/>
      <c r="G623" s="2"/>
      <c r="H623" s="2"/>
    </row>
    <row r="624" spans="5:8" ht="15">
      <c r="E624" s="2"/>
      <c r="F624" s="2"/>
      <c r="G624" s="2"/>
      <c r="H624" s="2"/>
    </row>
    <row r="625" spans="5:8" ht="15">
      <c r="E625" s="2"/>
      <c r="F625" s="2"/>
      <c r="G625" s="2"/>
      <c r="H625" s="2"/>
    </row>
    <row r="626" spans="5:8" ht="15">
      <c r="E626" s="2"/>
      <c r="F626" s="2"/>
      <c r="G626" s="2"/>
      <c r="H626" s="2"/>
    </row>
    <row r="627" spans="5:8" ht="15">
      <c r="E627" s="2"/>
      <c r="F627" s="2"/>
      <c r="G627" s="2"/>
      <c r="H627" s="2"/>
    </row>
    <row r="628" spans="5:8" ht="15">
      <c r="E628" s="2"/>
      <c r="F628" s="2"/>
      <c r="G628" s="2"/>
      <c r="H628" s="2"/>
    </row>
    <row r="629" spans="5:8" ht="15">
      <c r="E629" s="2"/>
      <c r="F629" s="2"/>
      <c r="G629" s="2"/>
      <c r="H629" s="2"/>
    </row>
    <row r="630" spans="5:8" ht="15">
      <c r="E630" s="2"/>
      <c r="F630" s="2"/>
      <c r="G630" s="2"/>
      <c r="H630" s="2"/>
    </row>
    <row r="631" spans="5:8" ht="15">
      <c r="E631" s="2"/>
      <c r="F631" s="2"/>
      <c r="G631" s="2"/>
      <c r="H631" s="2"/>
    </row>
    <row r="632" spans="5:8" ht="15">
      <c r="E632" s="2"/>
      <c r="F632" s="2"/>
      <c r="G632" s="2"/>
      <c r="H632" s="2"/>
    </row>
    <row r="633" spans="5:8" ht="15">
      <c r="E633" s="2"/>
      <c r="F633" s="2"/>
      <c r="G633" s="2"/>
      <c r="H633" s="2"/>
    </row>
    <row r="634" spans="5:8" ht="15">
      <c r="E634" s="2"/>
      <c r="F634" s="2"/>
      <c r="G634" s="2"/>
      <c r="H634" s="2"/>
    </row>
    <row r="635" spans="5:8" ht="15">
      <c r="E635" s="2"/>
      <c r="F635" s="2"/>
      <c r="G635" s="2"/>
      <c r="H635" s="2"/>
    </row>
    <row r="636" spans="5:8" ht="15">
      <c r="E636" s="2"/>
      <c r="F636" s="2"/>
      <c r="G636" s="2"/>
      <c r="H636" s="2"/>
    </row>
    <row r="637" spans="5:8" ht="15">
      <c r="E637" s="2"/>
      <c r="F637" s="2"/>
      <c r="G637" s="2"/>
      <c r="H637" s="2"/>
    </row>
    <row r="638" spans="5:8" ht="15">
      <c r="E638" s="2"/>
      <c r="F638" s="2"/>
      <c r="G638" s="2"/>
      <c r="H638" s="2"/>
    </row>
    <row r="639" spans="5:8" ht="15">
      <c r="E639" s="2"/>
      <c r="F639" s="2"/>
      <c r="G639" s="2"/>
      <c r="H639" s="2"/>
    </row>
    <row r="640" spans="5:8" ht="15">
      <c r="E640" s="2"/>
      <c r="F640" s="2"/>
      <c r="G640" s="2"/>
      <c r="H640" s="2"/>
    </row>
    <row r="641" spans="5:8" ht="15">
      <c r="E641" s="2"/>
      <c r="F641" s="2"/>
      <c r="G641" s="2"/>
      <c r="H641" s="2"/>
    </row>
    <row r="642" spans="5:8" ht="15">
      <c r="E642" s="2"/>
      <c r="F642" s="2"/>
      <c r="G642" s="2"/>
      <c r="H642" s="2"/>
    </row>
    <row r="643" spans="5:8" ht="15">
      <c r="E643" s="2"/>
      <c r="F643" s="2"/>
      <c r="G643" s="2"/>
      <c r="H643" s="2"/>
    </row>
    <row r="644" spans="5:8" ht="15">
      <c r="E644" s="2"/>
      <c r="F644" s="2"/>
      <c r="G644" s="2"/>
      <c r="H644" s="2"/>
    </row>
    <row r="645" spans="5:8" ht="15">
      <c r="E645" s="2"/>
      <c r="F645" s="2"/>
      <c r="G645" s="2"/>
      <c r="H645" s="2"/>
    </row>
    <row r="646" spans="5:8" ht="15">
      <c r="E646" s="2"/>
      <c r="F646" s="2"/>
      <c r="G646" s="2"/>
      <c r="H646" s="2"/>
    </row>
    <row r="647" spans="5:8" ht="15">
      <c r="E647" s="2"/>
      <c r="F647" s="2"/>
      <c r="G647" s="2"/>
      <c r="H647" s="2"/>
    </row>
    <row r="648" spans="5:8" ht="15">
      <c r="E648" s="2"/>
      <c r="F648" s="2"/>
      <c r="G648" s="2"/>
      <c r="H648" s="2"/>
    </row>
    <row r="649" spans="5:8" ht="15">
      <c r="E649" s="2"/>
      <c r="F649" s="2"/>
      <c r="G649" s="2"/>
      <c r="H649" s="2"/>
    </row>
    <row r="650" spans="5:8" ht="15">
      <c r="E650" s="2"/>
      <c r="F650" s="2"/>
      <c r="G650" s="2"/>
      <c r="H650" s="2"/>
    </row>
    <row r="651" spans="5:8" ht="15">
      <c r="E651" s="2"/>
      <c r="F651" s="2"/>
      <c r="G651" s="2"/>
      <c r="H651" s="2"/>
    </row>
    <row r="652" spans="5:8" ht="15">
      <c r="E652" s="2"/>
      <c r="F652" s="2"/>
      <c r="G652" s="2"/>
      <c r="H652" s="2"/>
    </row>
    <row r="653" spans="5:8" ht="15">
      <c r="E653" s="2"/>
      <c r="F653" s="2"/>
      <c r="G653" s="2"/>
      <c r="H653" s="2"/>
    </row>
    <row r="654" spans="5:8" ht="15">
      <c r="E654" s="2"/>
      <c r="F654" s="2"/>
      <c r="G654" s="2"/>
      <c r="H654" s="2"/>
    </row>
    <row r="655" spans="5:8" ht="15">
      <c r="E655" s="2"/>
      <c r="F655" s="2"/>
      <c r="G655" s="2"/>
      <c r="H655" s="2"/>
    </row>
    <row r="656" spans="5:8" ht="15">
      <c r="E656" s="2"/>
      <c r="F656" s="2"/>
      <c r="G656" s="2"/>
      <c r="H656" s="2"/>
    </row>
    <row r="657" spans="5:8" ht="15">
      <c r="E657" s="2"/>
      <c r="F657" s="2"/>
      <c r="G657" s="2"/>
      <c r="H657" s="2"/>
    </row>
    <row r="658" spans="5:8" ht="15">
      <c r="E658" s="2"/>
      <c r="F658" s="2"/>
      <c r="G658" s="2"/>
      <c r="H658" s="2"/>
    </row>
    <row r="659" spans="5:8" ht="15">
      <c r="E659" s="2"/>
      <c r="F659" s="2"/>
      <c r="G659" s="2"/>
      <c r="H659" s="2"/>
    </row>
    <row r="660" spans="5:8" ht="15">
      <c r="E660" s="2"/>
      <c r="F660" s="2"/>
      <c r="G660" s="2"/>
      <c r="H660" s="2"/>
    </row>
    <row r="661" spans="5:8" ht="15">
      <c r="E661" s="2"/>
      <c r="F661" s="2"/>
      <c r="G661" s="2"/>
      <c r="H661" s="2"/>
    </row>
    <row r="662" spans="5:8" ht="15">
      <c r="E662" s="2"/>
      <c r="F662" s="2"/>
      <c r="G662" s="2"/>
      <c r="H662" s="2"/>
    </row>
    <row r="663" spans="5:8" ht="15">
      <c r="E663" s="2"/>
      <c r="F663" s="2"/>
      <c r="G663" s="2"/>
      <c r="H663" s="2"/>
    </row>
    <row r="664" spans="5:8" ht="15">
      <c r="E664" s="2"/>
      <c r="F664" s="2"/>
      <c r="G664" s="2"/>
      <c r="H664" s="2"/>
    </row>
    <row r="665" spans="5:8" ht="15">
      <c r="E665" s="2"/>
      <c r="F665" s="2"/>
      <c r="G665" s="2"/>
      <c r="H665" s="2"/>
    </row>
    <row r="666" spans="5:8" ht="15">
      <c r="E666" s="2"/>
      <c r="F666" s="2"/>
      <c r="G666" s="2"/>
      <c r="H666" s="2"/>
    </row>
    <row r="667" spans="5:8" ht="15">
      <c r="E667" s="2"/>
      <c r="F667" s="2"/>
      <c r="G667" s="2"/>
      <c r="H667" s="2"/>
    </row>
    <row r="668" spans="5:8" ht="15">
      <c r="E668" s="2"/>
      <c r="F668" s="2"/>
      <c r="G668" s="2"/>
      <c r="H668" s="2"/>
    </row>
    <row r="669" spans="5:8" ht="15">
      <c r="E669" s="2"/>
      <c r="F669" s="2"/>
      <c r="G669" s="2"/>
      <c r="H669" s="2"/>
    </row>
    <row r="670" spans="5:8" ht="15">
      <c r="E670" s="2"/>
      <c r="F670" s="2"/>
      <c r="G670" s="2"/>
      <c r="H670" s="2"/>
    </row>
    <row r="671" spans="5:8" ht="15">
      <c r="E671" s="2"/>
      <c r="F671" s="2"/>
      <c r="G671" s="2"/>
      <c r="H671" s="2"/>
    </row>
    <row r="672" spans="5:8" ht="15">
      <c r="E672" s="2"/>
      <c r="F672" s="2"/>
      <c r="G672" s="2"/>
      <c r="H672" s="2"/>
    </row>
    <row r="673" spans="5:8" ht="15">
      <c r="E673" s="2"/>
      <c r="F673" s="2"/>
      <c r="G673" s="2"/>
      <c r="H673" s="2"/>
    </row>
    <row r="674" spans="5:8" ht="15">
      <c r="E674" s="2"/>
      <c r="F674" s="2"/>
      <c r="G674" s="2"/>
      <c r="H674" s="2"/>
    </row>
    <row r="675" spans="5:8" ht="15">
      <c r="E675" s="2"/>
      <c r="F675" s="2"/>
      <c r="G675" s="2"/>
      <c r="H675" s="2"/>
    </row>
    <row r="676" spans="5:8" ht="15">
      <c r="E676" s="2"/>
      <c r="F676" s="2"/>
      <c r="G676" s="2"/>
      <c r="H676" s="2"/>
    </row>
    <row r="677" spans="5:8" ht="15">
      <c r="E677" s="2"/>
      <c r="F677" s="2"/>
      <c r="G677" s="2"/>
      <c r="H677" s="2"/>
    </row>
    <row r="678" spans="5:8" ht="15">
      <c r="E678" s="2"/>
      <c r="F678" s="2"/>
      <c r="G678" s="2"/>
      <c r="H678" s="2"/>
    </row>
    <row r="679" spans="5:8" ht="15">
      <c r="E679" s="2"/>
      <c r="F679" s="2"/>
      <c r="G679" s="2"/>
      <c r="H679" s="2"/>
    </row>
    <row r="680" spans="5:8" ht="15">
      <c r="E680" s="2"/>
      <c r="F680" s="2"/>
      <c r="G680" s="2"/>
      <c r="H680" s="2"/>
    </row>
    <row r="681" spans="5:8" ht="15">
      <c r="E681" s="2"/>
      <c r="F681" s="2"/>
      <c r="G681" s="2"/>
      <c r="H681" s="2"/>
    </row>
    <row r="682" spans="5:8" ht="15">
      <c r="E682" s="2"/>
      <c r="F682" s="2"/>
      <c r="G682" s="2"/>
      <c r="H682" s="2"/>
    </row>
    <row r="683" spans="5:8" ht="15">
      <c r="E683" s="2"/>
      <c r="F683" s="2"/>
      <c r="G683" s="2"/>
      <c r="H683" s="2"/>
    </row>
    <row r="684" spans="5:8" ht="15">
      <c r="E684" s="2"/>
      <c r="F684" s="2"/>
      <c r="G684" s="2"/>
      <c r="H684" s="2"/>
    </row>
    <row r="685" spans="5:8" ht="15">
      <c r="E685" s="2"/>
      <c r="F685" s="2"/>
      <c r="G685" s="2"/>
      <c r="H685" s="2"/>
    </row>
    <row r="686" spans="5:8" ht="15">
      <c r="E686" s="2"/>
      <c r="F686" s="2"/>
      <c r="G686" s="2"/>
      <c r="H686" s="2"/>
    </row>
    <row r="687" spans="5:8" ht="15">
      <c r="E687" s="2"/>
      <c r="F687" s="2"/>
      <c r="G687" s="2"/>
      <c r="H687" s="2"/>
    </row>
    <row r="688" spans="5:8" ht="15">
      <c r="E688" s="2"/>
      <c r="F688" s="2"/>
      <c r="G688" s="2"/>
      <c r="H688" s="2"/>
    </row>
    <row r="689" spans="5:8" ht="15">
      <c r="E689" s="2"/>
      <c r="F689" s="2"/>
      <c r="G689" s="2"/>
      <c r="H689" s="2"/>
    </row>
    <row r="690" spans="5:8" ht="15">
      <c r="E690" s="2"/>
      <c r="F690" s="2"/>
      <c r="G690" s="2"/>
      <c r="H690" s="2"/>
    </row>
    <row r="691" spans="5:8" ht="15">
      <c r="E691" s="2"/>
      <c r="F691" s="2"/>
      <c r="G691" s="2"/>
      <c r="H691" s="2"/>
    </row>
    <row r="692" spans="5:8" ht="15">
      <c r="E692" s="2"/>
      <c r="F692" s="2"/>
      <c r="G692" s="2"/>
      <c r="H692" s="2"/>
    </row>
    <row r="693" spans="5:8" ht="15">
      <c r="E693" s="2"/>
      <c r="F693" s="2"/>
      <c r="G693" s="2"/>
      <c r="H693" s="2"/>
    </row>
    <row r="694" spans="5:8" ht="15">
      <c r="E694" s="2"/>
      <c r="F694" s="2"/>
      <c r="G694" s="2"/>
      <c r="H694" s="2"/>
    </row>
    <row r="695" spans="5:8" ht="15">
      <c r="E695" s="2"/>
      <c r="F695" s="2"/>
      <c r="G695" s="2"/>
      <c r="H695" s="2"/>
    </row>
    <row r="696" spans="5:8" ht="15">
      <c r="E696" s="2"/>
      <c r="F696" s="2"/>
      <c r="G696" s="2"/>
      <c r="H696" s="2"/>
    </row>
    <row r="697" spans="5:8" ht="15">
      <c r="E697" s="2"/>
      <c r="F697" s="2"/>
      <c r="G697" s="2"/>
      <c r="H697" s="2"/>
    </row>
    <row r="698" spans="5:8" ht="15">
      <c r="E698" s="2"/>
      <c r="F698" s="2"/>
      <c r="G698" s="2"/>
      <c r="H698" s="2"/>
    </row>
    <row r="699" spans="5:8" ht="15">
      <c r="E699" s="2"/>
      <c r="F699" s="2"/>
      <c r="G699" s="2"/>
      <c r="H699" s="2"/>
    </row>
    <row r="700" spans="5:8" ht="15">
      <c r="E700" s="2"/>
      <c r="F700" s="2"/>
      <c r="G700" s="2"/>
      <c r="H700" s="2"/>
    </row>
    <row r="701" spans="5:8" ht="15">
      <c r="E701" s="2"/>
      <c r="F701" s="2"/>
      <c r="G701" s="2"/>
      <c r="H701" s="2"/>
    </row>
    <row r="702" spans="5:8" ht="15">
      <c r="E702" s="2"/>
      <c r="F702" s="2"/>
      <c r="G702" s="2"/>
      <c r="H702" s="2"/>
    </row>
    <row r="703" spans="5:8" ht="15">
      <c r="E703" s="2"/>
      <c r="F703" s="2"/>
      <c r="G703" s="2"/>
      <c r="H703" s="2"/>
    </row>
    <row r="704" spans="5:8" ht="15">
      <c r="E704" s="2"/>
      <c r="F704" s="2"/>
      <c r="G704" s="2"/>
      <c r="H704" s="2"/>
    </row>
    <row r="705" spans="5:8" ht="15">
      <c r="E705" s="2"/>
      <c r="F705" s="2"/>
      <c r="G705" s="2"/>
      <c r="H705" s="2"/>
    </row>
    <row r="706" spans="5:8" ht="15">
      <c r="E706" s="2"/>
      <c r="F706" s="2"/>
      <c r="G706" s="2"/>
      <c r="H706" s="2"/>
    </row>
    <row r="707" spans="5:8" ht="15">
      <c r="E707" s="2"/>
      <c r="F707" s="2"/>
      <c r="G707" s="2"/>
      <c r="H707" s="2"/>
    </row>
    <row r="708" spans="5:8" ht="15">
      <c r="E708" s="2"/>
      <c r="F708" s="2"/>
      <c r="G708" s="2"/>
      <c r="H708" s="2"/>
    </row>
    <row r="709" spans="5:8" ht="15">
      <c r="E709" s="2"/>
      <c r="F709" s="2"/>
      <c r="G709" s="2"/>
      <c r="H709" s="2"/>
    </row>
    <row r="710" spans="5:8" ht="15">
      <c r="E710" s="2"/>
      <c r="F710" s="2"/>
      <c r="G710" s="2"/>
      <c r="H710" s="2"/>
    </row>
    <row r="711" spans="5:8" ht="15">
      <c r="E711" s="2"/>
      <c r="F711" s="2"/>
      <c r="G711" s="2"/>
      <c r="H711" s="2"/>
    </row>
    <row r="712" spans="5:8" ht="15">
      <c r="E712" s="2"/>
      <c r="F712" s="2"/>
      <c r="G712" s="2"/>
      <c r="H712" s="2"/>
    </row>
    <row r="713" spans="5:8" ht="15">
      <c r="E713" s="2"/>
      <c r="F713" s="2"/>
      <c r="G713" s="2"/>
      <c r="H713" s="2"/>
    </row>
    <row r="714" spans="5:8" ht="15">
      <c r="E714" s="2"/>
      <c r="F714" s="2"/>
      <c r="G714" s="2"/>
      <c r="H714" s="2"/>
    </row>
    <row r="715" spans="5:8" ht="15">
      <c r="E715" s="2"/>
      <c r="F715" s="2"/>
      <c r="G715" s="2"/>
      <c r="H715" s="2"/>
    </row>
    <row r="716" spans="5:8" ht="15">
      <c r="E716" s="2"/>
      <c r="F716" s="2"/>
      <c r="G716" s="2"/>
      <c r="H716" s="2"/>
    </row>
    <row r="717" spans="5:8" ht="15">
      <c r="E717" s="2"/>
      <c r="F717" s="2"/>
      <c r="G717" s="2"/>
      <c r="H717" s="2"/>
    </row>
    <row r="718" spans="5:8" ht="15">
      <c r="E718" s="2"/>
      <c r="F718" s="2"/>
      <c r="G718" s="2"/>
      <c r="H718" s="2"/>
    </row>
    <row r="719" spans="5:8" ht="15">
      <c r="E719" s="2"/>
      <c r="F719" s="2"/>
      <c r="G719" s="2"/>
      <c r="H719" s="2"/>
    </row>
    <row r="720" spans="5:8" ht="15">
      <c r="E720" s="2"/>
      <c r="F720" s="2"/>
      <c r="G720" s="2"/>
      <c r="H720" s="2"/>
    </row>
    <row r="721" spans="5:8" ht="15">
      <c r="E721" s="2"/>
      <c r="F721" s="2"/>
      <c r="G721" s="2"/>
      <c r="H721" s="2"/>
    </row>
    <row r="722" spans="5:8" ht="15">
      <c r="E722" s="2"/>
      <c r="F722" s="2"/>
      <c r="G722" s="2"/>
      <c r="H722" s="2"/>
    </row>
    <row r="723" spans="5:8" ht="15">
      <c r="E723" s="2"/>
      <c r="F723" s="2"/>
      <c r="G723" s="2"/>
      <c r="H723" s="2"/>
    </row>
    <row r="724" spans="5:8" ht="15">
      <c r="E724" s="2"/>
      <c r="F724" s="2"/>
      <c r="G724" s="2"/>
      <c r="H724" s="2"/>
    </row>
    <row r="725" spans="5:8" ht="15">
      <c r="E725" s="2"/>
      <c r="F725" s="2"/>
      <c r="G725" s="2"/>
      <c r="H725" s="2"/>
    </row>
    <row r="726" spans="5:8" ht="15">
      <c r="E726" s="2"/>
      <c r="F726" s="2"/>
      <c r="G726" s="2"/>
      <c r="H726" s="2"/>
    </row>
    <row r="727" spans="5:8" ht="15">
      <c r="E727" s="2"/>
      <c r="F727" s="2"/>
      <c r="G727" s="2"/>
      <c r="H727" s="2"/>
    </row>
    <row r="728" spans="5:8" ht="15">
      <c r="E728" s="2"/>
      <c r="F728" s="2"/>
      <c r="G728" s="2"/>
      <c r="H728" s="2"/>
    </row>
    <row r="729" spans="5:8" ht="15">
      <c r="E729" s="2"/>
      <c r="F729" s="2"/>
      <c r="G729" s="2"/>
      <c r="H729" s="2"/>
    </row>
    <row r="730" spans="5:8" ht="15">
      <c r="E730" s="2"/>
      <c r="F730" s="2"/>
      <c r="G730" s="2"/>
      <c r="H730" s="2"/>
    </row>
    <row r="731" spans="5:8" ht="15">
      <c r="E731" s="2"/>
      <c r="F731" s="2"/>
      <c r="G731" s="2"/>
      <c r="H731" s="2"/>
    </row>
    <row r="732" spans="5:8" ht="15">
      <c r="E732" s="2"/>
      <c r="F732" s="2"/>
      <c r="G732" s="2"/>
      <c r="H732" s="2"/>
    </row>
    <row r="733" spans="5:8" ht="15">
      <c r="E733" s="2"/>
      <c r="F733" s="2"/>
      <c r="G733" s="2"/>
      <c r="H733" s="2"/>
    </row>
    <row r="734" spans="5:8" ht="15">
      <c r="E734" s="2"/>
      <c r="F734" s="2"/>
      <c r="G734" s="2"/>
      <c r="H734" s="2"/>
    </row>
    <row r="735" spans="5:8" ht="15">
      <c r="E735" s="2"/>
      <c r="F735" s="2"/>
      <c r="G735" s="2"/>
      <c r="H735" s="2"/>
    </row>
    <row r="736" spans="5:8" ht="15">
      <c r="E736" s="2"/>
      <c r="F736" s="2"/>
      <c r="G736" s="2"/>
      <c r="H736" s="2"/>
    </row>
    <row r="737" spans="5:8" ht="15">
      <c r="E737" s="2"/>
      <c r="F737" s="2"/>
      <c r="G737" s="2"/>
      <c r="H737" s="2"/>
    </row>
    <row r="738" spans="5:8" ht="15">
      <c r="E738" s="2"/>
      <c r="F738" s="2"/>
      <c r="G738" s="2"/>
      <c r="H738" s="2"/>
    </row>
    <row r="739" spans="5:8" ht="15">
      <c r="E739" s="2"/>
      <c r="F739" s="2"/>
      <c r="G739" s="2"/>
      <c r="H739" s="2"/>
    </row>
    <row r="740" spans="5:8" ht="15">
      <c r="E740" s="2"/>
      <c r="F740" s="2"/>
      <c r="G740" s="2"/>
      <c r="H740" s="2"/>
    </row>
    <row r="741" spans="5:8" ht="15">
      <c r="E741" s="2"/>
      <c r="F741" s="2"/>
      <c r="G741" s="2"/>
      <c r="H741" s="2"/>
    </row>
    <row r="742" spans="5:8" ht="15">
      <c r="E742" s="2"/>
      <c r="F742" s="2"/>
      <c r="G742" s="2"/>
      <c r="H742" s="2"/>
    </row>
    <row r="743" spans="5:8" ht="15">
      <c r="E743" s="2"/>
      <c r="F743" s="2"/>
      <c r="G743" s="2"/>
      <c r="H743" s="2"/>
    </row>
    <row r="744" spans="5:8" ht="15">
      <c r="E744" s="2"/>
      <c r="F744" s="2"/>
      <c r="G744" s="2"/>
      <c r="H744" s="2"/>
    </row>
    <row r="745" spans="5:8" ht="15">
      <c r="E745" s="2"/>
      <c r="F745" s="2"/>
      <c r="G745" s="2"/>
      <c r="H745" s="2"/>
    </row>
    <row r="746" spans="5:8" ht="15">
      <c r="E746" s="2"/>
      <c r="F746" s="2"/>
      <c r="G746" s="2"/>
      <c r="H746" s="2"/>
    </row>
    <row r="747" spans="5:8" ht="15">
      <c r="E747" s="2"/>
      <c r="F747" s="2"/>
      <c r="G747" s="2"/>
      <c r="H747" s="2"/>
    </row>
    <row r="748" spans="5:8" ht="15">
      <c r="E748" s="2"/>
      <c r="F748" s="2"/>
      <c r="G748" s="2"/>
      <c r="H748" s="2"/>
    </row>
    <row r="749" spans="5:8" ht="15">
      <c r="E749" s="2"/>
      <c r="F749" s="2"/>
      <c r="G749" s="2"/>
      <c r="H749" s="2"/>
    </row>
    <row r="750" spans="5:8" ht="15">
      <c r="E750" s="2"/>
      <c r="F750" s="2"/>
      <c r="G750" s="2"/>
      <c r="H750" s="2"/>
    </row>
    <row r="751" spans="5:8" ht="15">
      <c r="E751" s="2"/>
      <c r="F751" s="2"/>
      <c r="G751" s="2"/>
      <c r="H751" s="2"/>
    </row>
    <row r="752" spans="5:8" ht="15">
      <c r="E752" s="2"/>
      <c r="F752" s="2"/>
      <c r="G752" s="2"/>
      <c r="H752" s="2"/>
    </row>
    <row r="753" spans="5:8" ht="15">
      <c r="E753" s="2"/>
      <c r="F753" s="2"/>
      <c r="G753" s="2"/>
      <c r="H753" s="2"/>
    </row>
    <row r="754" spans="5:8" ht="15">
      <c r="E754" s="2"/>
      <c r="F754" s="2"/>
      <c r="G754" s="2"/>
      <c r="H754" s="2"/>
    </row>
    <row r="755" spans="5:8" ht="15">
      <c r="E755" s="2"/>
      <c r="F755" s="2"/>
      <c r="G755" s="2"/>
      <c r="H755" s="2"/>
    </row>
    <row r="756" spans="5:8" ht="15">
      <c r="E756" s="2"/>
      <c r="F756" s="2"/>
      <c r="G756" s="2"/>
      <c r="H756" s="2"/>
    </row>
    <row r="757" spans="5:8" ht="15">
      <c r="E757" s="2"/>
      <c r="F757" s="2"/>
      <c r="G757" s="2"/>
      <c r="H757" s="2"/>
    </row>
    <row r="758" spans="5:8" ht="15">
      <c r="E758" s="2"/>
      <c r="F758" s="2"/>
      <c r="G758" s="2"/>
      <c r="H758" s="2"/>
    </row>
    <row r="759" spans="5:8" ht="15">
      <c r="E759" s="2"/>
      <c r="F759" s="2"/>
      <c r="G759" s="2"/>
      <c r="H759" s="2"/>
    </row>
    <row r="760" spans="5:8" ht="15">
      <c r="E760" s="2"/>
      <c r="F760" s="2"/>
      <c r="G760" s="2"/>
      <c r="H760" s="2"/>
    </row>
    <row r="761" spans="5:8" ht="15">
      <c r="E761" s="2"/>
      <c r="F761" s="2"/>
      <c r="G761" s="2"/>
      <c r="H761" s="2"/>
    </row>
    <row r="762" spans="5:8" ht="15">
      <c r="E762" s="2"/>
      <c r="F762" s="2"/>
      <c r="G762" s="2"/>
      <c r="H762" s="2"/>
    </row>
    <row r="763" spans="5:8" ht="15">
      <c r="E763" s="2"/>
      <c r="F763" s="2"/>
      <c r="G763" s="2"/>
      <c r="H763" s="2"/>
    </row>
    <row r="764" spans="5:8" ht="15">
      <c r="E764" s="2"/>
      <c r="F764" s="2"/>
      <c r="G764" s="2"/>
      <c r="H764" s="2"/>
    </row>
    <row r="765" spans="5:8" ht="15">
      <c r="E765" s="2"/>
      <c r="F765" s="2"/>
      <c r="G765" s="2"/>
      <c r="H765" s="2"/>
    </row>
    <row r="766" spans="5:8" ht="15">
      <c r="E766" s="2"/>
      <c r="F766" s="2"/>
      <c r="G766" s="2"/>
      <c r="H766" s="2"/>
    </row>
    <row r="767" spans="5:8" ht="15">
      <c r="E767" s="2"/>
      <c r="F767" s="2"/>
      <c r="G767" s="2"/>
      <c r="H767" s="2"/>
    </row>
    <row r="768" spans="5:8" ht="15">
      <c r="E768" s="2"/>
      <c r="F768" s="2"/>
      <c r="G768" s="2"/>
      <c r="H768" s="2"/>
    </row>
    <row r="769" spans="5:8" ht="15">
      <c r="E769" s="2"/>
      <c r="F769" s="2"/>
      <c r="G769" s="2"/>
      <c r="H769" s="2"/>
    </row>
    <row r="770" spans="5:8" ht="15">
      <c r="E770" s="2"/>
      <c r="F770" s="2"/>
      <c r="G770" s="2"/>
      <c r="H770" s="2"/>
    </row>
    <row r="771" spans="5:8" ht="15">
      <c r="E771" s="2"/>
      <c r="F771" s="2"/>
      <c r="G771" s="2"/>
      <c r="H771" s="2"/>
    </row>
    <row r="772" spans="5:8" ht="15">
      <c r="E772" s="2"/>
      <c r="F772" s="2"/>
      <c r="G772" s="2"/>
      <c r="H772" s="2"/>
    </row>
    <row r="773" spans="5:8" ht="15">
      <c r="E773" s="2"/>
      <c r="F773" s="2"/>
      <c r="G773" s="2"/>
      <c r="H773" s="2"/>
    </row>
    <row r="774" spans="5:8" ht="15">
      <c r="E774" s="2"/>
      <c r="F774" s="2"/>
      <c r="G774" s="2"/>
      <c r="H774" s="2"/>
    </row>
    <row r="775" spans="5:8" ht="15">
      <c r="E775" s="2"/>
      <c r="F775" s="2"/>
      <c r="G775" s="2"/>
      <c r="H775" s="2"/>
    </row>
    <row r="776" spans="5:8" ht="15">
      <c r="E776" s="2"/>
      <c r="F776" s="2"/>
      <c r="G776" s="2"/>
      <c r="H776" s="2"/>
    </row>
    <row r="777" spans="5:8" ht="15">
      <c r="E777" s="2"/>
      <c r="F777" s="2"/>
      <c r="G777" s="2"/>
      <c r="H777" s="2"/>
    </row>
    <row r="778" spans="5:8" ht="15">
      <c r="E778" s="2"/>
      <c r="F778" s="2"/>
      <c r="G778" s="2"/>
      <c r="H778" s="2"/>
    </row>
    <row r="779" spans="5:8" ht="15">
      <c r="E779" s="2"/>
      <c r="F779" s="2"/>
      <c r="G779" s="2"/>
      <c r="H779" s="2"/>
    </row>
    <row r="780" spans="5:8" ht="15">
      <c r="E780" s="2"/>
      <c r="F780" s="2"/>
      <c r="G780" s="2"/>
      <c r="H780" s="2"/>
    </row>
    <row r="781" spans="5:8" ht="15">
      <c r="E781" s="2"/>
      <c r="F781" s="2"/>
      <c r="G781" s="2"/>
      <c r="H781" s="2"/>
    </row>
    <row r="782" spans="5:8" ht="15">
      <c r="E782" s="2"/>
      <c r="F782" s="2"/>
      <c r="G782" s="2"/>
      <c r="H782" s="2"/>
    </row>
    <row r="783" spans="5:8" ht="15">
      <c r="E783" s="2"/>
      <c r="F783" s="2"/>
      <c r="G783" s="2"/>
      <c r="H783" s="2"/>
    </row>
    <row r="784" spans="5:8" ht="15">
      <c r="E784" s="2"/>
      <c r="F784" s="2"/>
      <c r="G784" s="2"/>
      <c r="H784" s="2"/>
    </row>
    <row r="785" spans="5:8" ht="15">
      <c r="E785" s="2"/>
      <c r="F785" s="2"/>
      <c r="G785" s="2"/>
      <c r="H785" s="2"/>
    </row>
    <row r="786" spans="5:8" ht="15">
      <c r="E786" s="2"/>
      <c r="F786" s="2"/>
      <c r="G786" s="2"/>
      <c r="H786" s="2"/>
    </row>
    <row r="787" spans="5:8" ht="15">
      <c r="E787" s="2"/>
      <c r="F787" s="2"/>
      <c r="G787" s="2"/>
      <c r="H787" s="2"/>
    </row>
    <row r="788" spans="5:8" ht="15">
      <c r="E788" s="2"/>
      <c r="F788" s="2"/>
      <c r="G788" s="2"/>
      <c r="H788" s="2"/>
    </row>
    <row r="789" spans="5:8" ht="15">
      <c r="E789" s="2"/>
      <c r="F789" s="2"/>
      <c r="G789" s="2"/>
      <c r="H789" s="2"/>
    </row>
    <row r="790" spans="5:8" ht="15">
      <c r="E790" s="2"/>
      <c r="F790" s="2"/>
      <c r="G790" s="2"/>
      <c r="H790" s="2"/>
    </row>
    <row r="791" spans="5:8" ht="15">
      <c r="E791" s="2"/>
      <c r="F791" s="2"/>
      <c r="G791" s="2"/>
      <c r="H791" s="2"/>
    </row>
    <row r="792" spans="5:8" ht="15">
      <c r="E792" s="2"/>
      <c r="F792" s="2"/>
      <c r="G792" s="2"/>
      <c r="H792" s="2"/>
    </row>
    <row r="793" spans="5:8" ht="15">
      <c r="E793" s="2"/>
      <c r="F793" s="2"/>
      <c r="G793" s="2"/>
      <c r="H793" s="2"/>
    </row>
    <row r="794" spans="5:8" ht="15">
      <c r="E794" s="2"/>
      <c r="F794" s="2"/>
      <c r="G794" s="2"/>
      <c r="H794" s="2"/>
    </row>
    <row r="795" spans="5:8" ht="15">
      <c r="E795" s="2"/>
      <c r="F795" s="2"/>
      <c r="G795" s="2"/>
      <c r="H795" s="2"/>
    </row>
    <row r="796" spans="5:8" ht="15">
      <c r="E796" s="2"/>
      <c r="F796" s="2"/>
      <c r="G796" s="2"/>
      <c r="H796" s="2"/>
    </row>
    <row r="797" spans="5:8" ht="15">
      <c r="E797" s="2"/>
      <c r="F797" s="2"/>
      <c r="G797" s="2"/>
      <c r="H797" s="2"/>
    </row>
    <row r="798" spans="5:8" ht="15">
      <c r="E798" s="2"/>
      <c r="F798" s="2"/>
      <c r="G798" s="2"/>
      <c r="H798" s="2"/>
    </row>
    <row r="799" spans="5:8" ht="15">
      <c r="E799" s="2"/>
      <c r="F799" s="2"/>
      <c r="G799" s="2"/>
      <c r="H799" s="2"/>
    </row>
    <row r="800" spans="5:8" ht="15">
      <c r="E800" s="2"/>
      <c r="F800" s="2"/>
      <c r="G800" s="2"/>
      <c r="H800" s="2"/>
    </row>
    <row r="801" spans="5:8" ht="15">
      <c r="E801" s="2"/>
      <c r="F801" s="2"/>
      <c r="G801" s="2"/>
      <c r="H801" s="2"/>
    </row>
    <row r="802" spans="5:8" ht="15">
      <c r="E802" s="2"/>
      <c r="F802" s="2"/>
      <c r="G802" s="2"/>
      <c r="H802" s="2"/>
    </row>
    <row r="803" spans="5:8" ht="15">
      <c r="E803" s="2"/>
      <c r="F803" s="2"/>
      <c r="G803" s="2"/>
      <c r="H803" s="2"/>
    </row>
    <row r="804" spans="5:8" ht="15">
      <c r="E804" s="2"/>
      <c r="F804" s="2"/>
      <c r="G804" s="2"/>
      <c r="H804" s="2"/>
    </row>
    <row r="805" spans="5:8" ht="15">
      <c r="E805" s="2"/>
      <c r="F805" s="2"/>
      <c r="G805" s="2"/>
      <c r="H805" s="2"/>
    </row>
    <row r="806" spans="5:8" ht="15">
      <c r="E806" s="2"/>
      <c r="F806" s="2"/>
      <c r="G806" s="2"/>
      <c r="H806" s="2"/>
    </row>
    <row r="807" spans="5:8" ht="15">
      <c r="E807" s="2"/>
      <c r="F807" s="2"/>
      <c r="G807" s="2"/>
      <c r="H807" s="2"/>
    </row>
    <row r="808" spans="5:8" ht="15">
      <c r="E808" s="2"/>
      <c r="F808" s="2"/>
      <c r="G808" s="2"/>
      <c r="H808" s="2"/>
    </row>
    <row r="809" spans="5:8" ht="15">
      <c r="E809" s="2"/>
      <c r="F809" s="2"/>
      <c r="G809" s="2"/>
      <c r="H809" s="2"/>
    </row>
    <row r="810" spans="5:8" ht="15">
      <c r="E810" s="2"/>
      <c r="F810" s="2"/>
      <c r="G810" s="2"/>
      <c r="H810" s="2"/>
    </row>
    <row r="811" spans="5:8" ht="15">
      <c r="E811" s="2"/>
      <c r="F811" s="2"/>
      <c r="G811" s="2"/>
      <c r="H811" s="2"/>
    </row>
    <row r="812" spans="5:8" ht="15">
      <c r="E812" s="2"/>
      <c r="F812" s="2"/>
      <c r="G812" s="2"/>
      <c r="H812" s="2"/>
    </row>
    <row r="813" spans="5:8" ht="15">
      <c r="E813" s="2"/>
      <c r="F813" s="2"/>
      <c r="G813" s="2"/>
      <c r="H813" s="2"/>
    </row>
    <row r="814" spans="5:8" ht="15">
      <c r="E814" s="2"/>
      <c r="F814" s="2"/>
      <c r="G814" s="2"/>
      <c r="H814" s="2"/>
    </row>
    <row r="815" spans="5:8" ht="15">
      <c r="E815" s="2"/>
      <c r="F815" s="2"/>
      <c r="G815" s="2"/>
      <c r="H815" s="2"/>
    </row>
    <row r="816" spans="5:8" ht="15">
      <c r="E816" s="2"/>
      <c r="F816" s="2"/>
      <c r="G816" s="2"/>
      <c r="H816" s="2"/>
    </row>
    <row r="817" spans="5:8" ht="15">
      <c r="E817" s="2"/>
      <c r="F817" s="2"/>
      <c r="G817" s="2"/>
      <c r="H817" s="2"/>
    </row>
    <row r="818" spans="5:8" ht="15">
      <c r="E818" s="2"/>
      <c r="F818" s="2"/>
      <c r="G818" s="2"/>
      <c r="H818" s="2"/>
    </row>
    <row r="819" spans="5:8" ht="15">
      <c r="E819" s="2"/>
      <c r="F819" s="2"/>
      <c r="G819" s="2"/>
      <c r="H819" s="2"/>
    </row>
    <row r="820" spans="5:8" ht="15">
      <c r="E820" s="2"/>
      <c r="F820" s="2"/>
      <c r="G820" s="2"/>
      <c r="H820" s="2"/>
    </row>
    <row r="821" spans="5:8" ht="15">
      <c r="E821" s="2"/>
      <c r="F821" s="2"/>
      <c r="G821" s="2"/>
      <c r="H821" s="2"/>
    </row>
    <row r="822" spans="5:8" ht="15">
      <c r="E822" s="2"/>
      <c r="F822" s="2"/>
      <c r="G822" s="2"/>
      <c r="H822" s="2"/>
    </row>
    <row r="823" spans="5:8" ht="15">
      <c r="E823" s="2"/>
      <c r="F823" s="2"/>
      <c r="G823" s="2"/>
      <c r="H823" s="2"/>
    </row>
    <row r="824" spans="5:8" ht="15">
      <c r="E824" s="2"/>
      <c r="F824" s="2"/>
      <c r="G824" s="2"/>
      <c r="H824" s="2"/>
    </row>
    <row r="825" spans="5:8" ht="15">
      <c r="E825" s="2"/>
      <c r="F825" s="2"/>
      <c r="G825" s="2"/>
      <c r="H825" s="2"/>
    </row>
    <row r="826" spans="5:8" ht="15">
      <c r="E826" s="2"/>
      <c r="F826" s="2"/>
      <c r="G826" s="2"/>
      <c r="H826" s="2"/>
    </row>
    <row r="827" spans="5:8" ht="15">
      <c r="E827" s="2"/>
      <c r="F827" s="2"/>
      <c r="G827" s="2"/>
      <c r="H827" s="2"/>
    </row>
    <row r="828" spans="5:8" ht="15">
      <c r="E828" s="2"/>
      <c r="F828" s="2"/>
      <c r="G828" s="2"/>
      <c r="H828" s="2"/>
    </row>
    <row r="829" spans="5:8" ht="15">
      <c r="E829" s="2"/>
      <c r="F829" s="2"/>
      <c r="G829" s="2"/>
      <c r="H829" s="2"/>
    </row>
    <row r="830" spans="5:8" ht="15">
      <c r="E830" s="2"/>
      <c r="F830" s="2"/>
      <c r="G830" s="2"/>
      <c r="H830" s="2"/>
    </row>
    <row r="831" spans="5:8" ht="15">
      <c r="E831" s="2"/>
      <c r="F831" s="2"/>
      <c r="G831" s="2"/>
      <c r="H831" s="2"/>
    </row>
    <row r="832" spans="5:8" ht="15">
      <c r="E832" s="2"/>
      <c r="F832" s="2"/>
      <c r="G832" s="2"/>
      <c r="H832" s="2"/>
    </row>
    <row r="833" spans="5:8" ht="15">
      <c r="E833" s="2"/>
      <c r="F833" s="2"/>
      <c r="G833" s="2"/>
      <c r="H833" s="2"/>
    </row>
    <row r="834" spans="5:8" ht="15">
      <c r="E834" s="2"/>
      <c r="F834" s="2"/>
      <c r="G834" s="2"/>
      <c r="H834" s="2"/>
    </row>
    <row r="835" spans="5:8" ht="15">
      <c r="E835" s="2"/>
      <c r="F835" s="2"/>
      <c r="G835" s="2"/>
      <c r="H835" s="2"/>
    </row>
    <row r="836" spans="5:8" ht="15">
      <c r="E836" s="2"/>
      <c r="F836" s="2"/>
      <c r="G836" s="2"/>
      <c r="H836" s="2"/>
    </row>
    <row r="837" spans="5:8" ht="15">
      <c r="E837" s="2"/>
      <c r="F837" s="2"/>
      <c r="G837" s="2"/>
      <c r="H837" s="2"/>
    </row>
    <row r="838" spans="5:8" ht="15">
      <c r="E838" s="2"/>
      <c r="F838" s="2"/>
      <c r="G838" s="2"/>
      <c r="H838" s="2"/>
    </row>
    <row r="839" spans="5:8" ht="15">
      <c r="E839" s="2"/>
      <c r="F839" s="2"/>
      <c r="G839" s="2"/>
      <c r="H839" s="2"/>
    </row>
    <row r="840" spans="5:8" ht="15">
      <c r="E840" s="2"/>
      <c r="F840" s="2"/>
      <c r="G840" s="2"/>
      <c r="H840" s="2"/>
    </row>
    <row r="841" spans="5:8" ht="15">
      <c r="E841" s="2"/>
      <c r="F841" s="2"/>
      <c r="G841" s="2"/>
      <c r="H841" s="2"/>
    </row>
    <row r="842" spans="5:8" ht="15">
      <c r="E842" s="2"/>
      <c r="F842" s="2"/>
      <c r="G842" s="2"/>
      <c r="H842" s="2"/>
    </row>
    <row r="843" spans="5:8" ht="15">
      <c r="E843" s="2"/>
      <c r="F843" s="2"/>
      <c r="G843" s="2"/>
      <c r="H843" s="2"/>
    </row>
    <row r="844" spans="5:8" ht="15">
      <c r="E844" s="2"/>
      <c r="F844" s="2"/>
      <c r="G844" s="2"/>
      <c r="H844" s="2"/>
    </row>
    <row r="845" spans="5:8" ht="15">
      <c r="E845" s="2"/>
      <c r="F845" s="2"/>
      <c r="G845" s="2"/>
      <c r="H845" s="2"/>
    </row>
    <row r="846" spans="5:8" ht="15">
      <c r="E846" s="2"/>
      <c r="F846" s="2"/>
      <c r="G846" s="2"/>
      <c r="H846" s="2"/>
    </row>
    <row r="847" spans="5:8" ht="15">
      <c r="E847" s="2"/>
      <c r="F847" s="2"/>
      <c r="G847" s="2"/>
      <c r="H847" s="2"/>
    </row>
    <row r="848" spans="5:8" ht="15">
      <c r="E848" s="2"/>
      <c r="F848" s="2"/>
      <c r="G848" s="2"/>
      <c r="H848" s="2"/>
    </row>
    <row r="849" spans="5:8" ht="15">
      <c r="E849" s="2"/>
      <c r="F849" s="2"/>
      <c r="G849" s="2"/>
      <c r="H849" s="2"/>
    </row>
    <row r="850" spans="5:8" ht="15">
      <c r="E850" s="2"/>
      <c r="F850" s="2"/>
      <c r="G850" s="2"/>
      <c r="H850" s="2"/>
    </row>
    <row r="851" spans="5:8" ht="15">
      <c r="E851" s="2"/>
      <c r="F851" s="2"/>
      <c r="G851" s="2"/>
      <c r="H851" s="2"/>
    </row>
    <row r="852" spans="5:8" ht="15">
      <c r="E852" s="2"/>
      <c r="F852" s="2"/>
      <c r="G852" s="2"/>
      <c r="H852" s="2"/>
    </row>
    <row r="853" spans="5:8" ht="15">
      <c r="E853" s="2"/>
      <c r="F853" s="2"/>
      <c r="G853" s="2"/>
      <c r="H853" s="2"/>
    </row>
    <row r="854" spans="5:8" ht="15">
      <c r="E854" s="2"/>
      <c r="F854" s="2"/>
      <c r="G854" s="2"/>
      <c r="H854" s="2"/>
    </row>
    <row r="855" spans="5:8" ht="15">
      <c r="E855" s="2"/>
      <c r="F855" s="2"/>
      <c r="G855" s="2"/>
      <c r="H855" s="2"/>
    </row>
    <row r="856" spans="5:8" ht="15">
      <c r="E856" s="2"/>
      <c r="F856" s="2"/>
      <c r="G856" s="2"/>
      <c r="H856" s="2"/>
    </row>
    <row r="857" spans="5:8" ht="15">
      <c r="E857" s="2"/>
      <c r="F857" s="2"/>
      <c r="G857" s="2"/>
      <c r="H857" s="2"/>
    </row>
    <row r="858" spans="5:8" ht="15">
      <c r="E858" s="2"/>
      <c r="F858" s="2"/>
      <c r="G858" s="2"/>
      <c r="H858" s="2"/>
    </row>
    <row r="859" spans="5:8" ht="15">
      <c r="E859" s="2"/>
      <c r="F859" s="2"/>
      <c r="G859" s="2"/>
      <c r="H859" s="2"/>
    </row>
    <row r="860" spans="5:8" ht="15">
      <c r="E860" s="2"/>
      <c r="F860" s="2"/>
      <c r="G860" s="2"/>
      <c r="H860" s="2"/>
    </row>
    <row r="861" spans="5:8" ht="15">
      <c r="E861" s="2"/>
      <c r="F861" s="2"/>
      <c r="G861" s="2"/>
      <c r="H861" s="2"/>
    </row>
    <row r="862" spans="5:8" ht="15">
      <c r="E862" s="2"/>
      <c r="F862" s="2"/>
      <c r="G862" s="2"/>
      <c r="H862" s="2"/>
    </row>
    <row r="863" spans="5:8" ht="15">
      <c r="E863" s="2"/>
      <c r="F863" s="2"/>
      <c r="G863" s="2"/>
      <c r="H863" s="2"/>
    </row>
    <row r="864" spans="5:8" ht="15">
      <c r="E864" s="2"/>
      <c r="F864" s="2"/>
      <c r="G864" s="2"/>
      <c r="H864" s="2"/>
    </row>
    <row r="865" spans="5:8" ht="15">
      <c r="E865" s="2"/>
      <c r="F865" s="2"/>
      <c r="G865" s="2"/>
      <c r="H865" s="2"/>
    </row>
    <row r="866" spans="5:8" ht="15">
      <c r="E866" s="2"/>
      <c r="F866" s="2"/>
      <c r="G866" s="2"/>
      <c r="H866" s="2"/>
    </row>
    <row r="867" spans="5:8" ht="15">
      <c r="E867" s="2"/>
      <c r="F867" s="2"/>
      <c r="G867" s="2"/>
      <c r="H867" s="2"/>
    </row>
    <row r="868" spans="5:8" ht="15">
      <c r="E868" s="2"/>
      <c r="F868" s="2"/>
      <c r="G868" s="2"/>
      <c r="H868" s="2"/>
    </row>
    <row r="869" spans="5:8" ht="15">
      <c r="E869" s="2"/>
      <c r="F869" s="2"/>
      <c r="G869" s="2"/>
      <c r="H869" s="2"/>
    </row>
    <row r="870" spans="5:8" ht="15">
      <c r="E870" s="2"/>
      <c r="F870" s="2"/>
      <c r="G870" s="2"/>
      <c r="H870" s="2"/>
    </row>
    <row r="871" spans="5:8" ht="15">
      <c r="E871" s="2"/>
      <c r="F871" s="2"/>
      <c r="G871" s="2"/>
      <c r="H871" s="2"/>
    </row>
    <row r="872" spans="5:8" ht="15">
      <c r="E872" s="2"/>
      <c r="F872" s="2"/>
      <c r="G872" s="2"/>
      <c r="H872" s="2"/>
    </row>
    <row r="873" spans="5:8" ht="15">
      <c r="E873" s="2"/>
      <c r="F873" s="2"/>
      <c r="G873" s="2"/>
      <c r="H873" s="2"/>
    </row>
    <row r="874" spans="5:8" ht="15">
      <c r="E874" s="2"/>
      <c r="F874" s="2"/>
      <c r="G874" s="2"/>
      <c r="H874" s="2"/>
    </row>
    <row r="875" spans="5:8" ht="15">
      <c r="E875" s="2"/>
      <c r="F875" s="2"/>
      <c r="G875" s="2"/>
      <c r="H875" s="2"/>
    </row>
    <row r="876" spans="5:8" ht="15">
      <c r="E876" s="2"/>
      <c r="F876" s="2"/>
      <c r="G876" s="2"/>
      <c r="H876" s="2"/>
    </row>
    <row r="877" spans="5:8" ht="15">
      <c r="E877" s="2"/>
      <c r="F877" s="2"/>
      <c r="G877" s="2"/>
      <c r="H877" s="2"/>
    </row>
    <row r="878" spans="5:8" ht="15">
      <c r="E878" s="2"/>
      <c r="F878" s="2"/>
      <c r="G878" s="2"/>
      <c r="H878" s="2"/>
    </row>
    <row r="879" spans="5:8" ht="15">
      <c r="E879" s="2"/>
      <c r="F879" s="2"/>
      <c r="G879" s="2"/>
      <c r="H879" s="2"/>
    </row>
    <row r="880" spans="5:8" ht="15">
      <c r="E880" s="2"/>
      <c r="F880" s="2"/>
      <c r="G880" s="2"/>
      <c r="H880" s="2"/>
    </row>
    <row r="881" spans="5:8" ht="15">
      <c r="E881" s="2"/>
      <c r="F881" s="2"/>
      <c r="G881" s="2"/>
      <c r="H881" s="2"/>
    </row>
    <row r="882" spans="6:8" ht="15">
      <c r="F882" s="2"/>
      <c r="G882" s="2"/>
      <c r="H882" s="2"/>
    </row>
    <row r="883" spans="6:8" ht="15">
      <c r="F883" s="2"/>
      <c r="G883" s="2"/>
      <c r="H883" s="2"/>
    </row>
    <row r="884" spans="6:8" ht="15">
      <c r="F884" s="2"/>
      <c r="G884" s="2"/>
      <c r="H884" s="2"/>
    </row>
    <row r="885" spans="6:8" ht="15">
      <c r="F885" s="2"/>
      <c r="G885" s="2"/>
      <c r="H885" s="2"/>
    </row>
    <row r="886" spans="7:8" ht="15">
      <c r="G886" s="2"/>
      <c r="H886" s="2"/>
    </row>
    <row r="887" spans="7:8" ht="15">
      <c r="G887" s="2"/>
      <c r="H887" s="2"/>
    </row>
    <row r="888" spans="7:8" ht="15">
      <c r="G888" s="2"/>
      <c r="H888" s="2"/>
    </row>
    <row r="889" spans="7:8" ht="15">
      <c r="G889" s="2"/>
      <c r="H889" s="2"/>
    </row>
    <row r="890" spans="7:8" ht="15">
      <c r="G890" s="2"/>
      <c r="H890" s="2"/>
    </row>
    <row r="891" spans="7:8" ht="15">
      <c r="G891" s="2"/>
      <c r="H891" s="2"/>
    </row>
    <row r="892" spans="7:8" ht="15">
      <c r="G892" s="2"/>
      <c r="H892" s="2"/>
    </row>
    <row r="893" spans="7:8" ht="15">
      <c r="G893" s="2"/>
      <c r="H893" s="2"/>
    </row>
    <row r="894" spans="7:8" ht="15">
      <c r="G894" s="2"/>
      <c r="H894" s="2"/>
    </row>
    <row r="895" spans="7:8" ht="15">
      <c r="G895" s="2"/>
      <c r="H895" s="2"/>
    </row>
    <row r="896" spans="7:8" ht="15">
      <c r="G896" s="2"/>
      <c r="H896" s="2"/>
    </row>
    <row r="897" spans="7:8" ht="15">
      <c r="G897" s="2"/>
      <c r="H897" s="2"/>
    </row>
    <row r="898" spans="7:8" ht="15">
      <c r="G898" s="2"/>
      <c r="H898" s="2"/>
    </row>
    <row r="899" spans="7:8" ht="15">
      <c r="G899" s="2"/>
      <c r="H899" s="2"/>
    </row>
    <row r="900" spans="7:8" ht="15">
      <c r="G900" s="2"/>
      <c r="H900" s="2"/>
    </row>
    <row r="901" spans="7:8" ht="15">
      <c r="G901" s="2"/>
      <c r="H901" s="2"/>
    </row>
    <row r="902" spans="7:8" ht="15">
      <c r="G902" s="2"/>
      <c r="H902" s="2"/>
    </row>
    <row r="903" spans="7:8" ht="15">
      <c r="G903" s="2"/>
      <c r="H903" s="2"/>
    </row>
    <row r="904" spans="7:8" ht="15">
      <c r="G904" s="2"/>
      <c r="H904" s="2"/>
    </row>
    <row r="905" spans="7:8" ht="15">
      <c r="G905" s="2"/>
      <c r="H905" s="2"/>
    </row>
    <row r="906" spans="7:8" ht="15">
      <c r="G906" s="2"/>
      <c r="H906" s="2"/>
    </row>
    <row r="907" spans="7:8" ht="15">
      <c r="G907" s="2"/>
      <c r="H907" s="2"/>
    </row>
    <row r="908" spans="7:8" ht="15">
      <c r="G908" s="2"/>
      <c r="H908" s="2"/>
    </row>
    <row r="909" spans="7:8" ht="15">
      <c r="G909" s="2"/>
      <c r="H909" s="2"/>
    </row>
    <row r="910" spans="7:8" ht="15">
      <c r="G910" s="2"/>
      <c r="H910" s="2"/>
    </row>
    <row r="911" spans="7:8" ht="15">
      <c r="G911" s="2"/>
      <c r="H911" s="2"/>
    </row>
    <row r="912" spans="7:8" ht="15">
      <c r="G912" s="2"/>
      <c r="H912" s="2"/>
    </row>
    <row r="913" spans="7:8" ht="15">
      <c r="G913" s="2"/>
      <c r="H913" s="2"/>
    </row>
    <row r="914" spans="7:8" ht="15">
      <c r="G914" s="2"/>
      <c r="H914" s="2"/>
    </row>
    <row r="915" spans="7:8" ht="15">
      <c r="G915" s="2"/>
      <c r="H915" s="2"/>
    </row>
    <row r="916" spans="7:8" ht="15">
      <c r="G916" s="2"/>
      <c r="H916" s="2"/>
    </row>
    <row r="917" spans="7:8" ht="15">
      <c r="G917" s="2"/>
      <c r="H917" s="2"/>
    </row>
    <row r="918" spans="7:8" ht="15">
      <c r="G918" s="2"/>
      <c r="H918" s="2"/>
    </row>
    <row r="919" spans="7:8" ht="15">
      <c r="G919" s="2"/>
      <c r="H919" s="2"/>
    </row>
    <row r="920" spans="7:8" ht="15">
      <c r="G920" s="2"/>
      <c r="H920" s="2"/>
    </row>
    <row r="921" spans="7:8" ht="15">
      <c r="G921" s="2"/>
      <c r="H921" s="2"/>
    </row>
    <row r="922" spans="7:8" ht="15">
      <c r="G922" s="2"/>
      <c r="H922" s="2"/>
    </row>
    <row r="923" spans="7:8" ht="15">
      <c r="G923" s="2"/>
      <c r="H923" s="2"/>
    </row>
    <row r="924" spans="7:8" ht="15">
      <c r="G924" s="2"/>
      <c r="H924" s="2"/>
    </row>
    <row r="925" spans="7:8" ht="15">
      <c r="G925" s="2"/>
      <c r="H925" s="2"/>
    </row>
    <row r="926" spans="7:8" ht="15">
      <c r="G926" s="2"/>
      <c r="H926" s="2"/>
    </row>
    <row r="927" spans="7:8" ht="15">
      <c r="G927" s="2"/>
      <c r="H927" s="2"/>
    </row>
    <row r="928" spans="7:8" ht="15">
      <c r="G928" s="2"/>
      <c r="H928" s="2"/>
    </row>
    <row r="929" spans="7:8" ht="15">
      <c r="G929" s="2"/>
      <c r="H929" s="2"/>
    </row>
    <row r="930" spans="7:8" ht="15">
      <c r="G930" s="2"/>
      <c r="H930" s="2"/>
    </row>
    <row r="931" spans="7:8" ht="15">
      <c r="G931" s="2"/>
      <c r="H931" s="2"/>
    </row>
    <row r="932" spans="7:8" ht="15">
      <c r="G932" s="2"/>
      <c r="H932" s="2"/>
    </row>
    <row r="933" spans="7:8" ht="15">
      <c r="G933" s="2"/>
      <c r="H933" s="2"/>
    </row>
    <row r="934" spans="7:8" ht="15">
      <c r="G934" s="2"/>
      <c r="H934" s="2"/>
    </row>
    <row r="935" spans="7:8" ht="15">
      <c r="G935" s="2"/>
      <c r="H935" s="2"/>
    </row>
    <row r="936" spans="7:8" ht="15">
      <c r="G936" s="2"/>
      <c r="H936" s="2"/>
    </row>
    <row r="937" spans="7:8" ht="15">
      <c r="G937" s="2"/>
      <c r="H937" s="2"/>
    </row>
    <row r="938" spans="7:8" ht="15">
      <c r="G938" s="2"/>
      <c r="H938" s="2"/>
    </row>
    <row r="939" spans="7:8" ht="15">
      <c r="G939" s="2"/>
      <c r="H939" s="2"/>
    </row>
    <row r="940" spans="7:8" ht="15">
      <c r="G940" s="2"/>
      <c r="H940" s="2"/>
    </row>
    <row r="941" spans="7:8" ht="15">
      <c r="G941" s="2"/>
      <c r="H941" s="2"/>
    </row>
    <row r="942" spans="7:8" ht="15">
      <c r="G942" s="2"/>
      <c r="H942" s="2"/>
    </row>
    <row r="943" spans="7:8" ht="15">
      <c r="G943" s="2"/>
      <c r="H943" s="2"/>
    </row>
    <row r="944" spans="7:8" ht="15">
      <c r="G944" s="2"/>
      <c r="H944" s="2"/>
    </row>
    <row r="945" spans="7:8" ht="15">
      <c r="G945" s="2"/>
      <c r="H945" s="2"/>
    </row>
    <row r="946" spans="7:8" ht="15">
      <c r="G946" s="2"/>
      <c r="H946" s="2"/>
    </row>
    <row r="947" spans="7:8" ht="15">
      <c r="G947" s="2"/>
      <c r="H947" s="2"/>
    </row>
    <row r="948" spans="7:8" ht="15">
      <c r="G948" s="2"/>
      <c r="H948" s="2"/>
    </row>
    <row r="949" spans="7:8" ht="15">
      <c r="G949" s="2"/>
      <c r="H949" s="2"/>
    </row>
    <row r="950" spans="7:8" ht="15">
      <c r="G950" s="2"/>
      <c r="H950" s="2"/>
    </row>
    <row r="951" spans="7:8" ht="15">
      <c r="G951" s="2"/>
      <c r="H951" s="2"/>
    </row>
    <row r="952" spans="7:8" ht="15">
      <c r="G952" s="2"/>
      <c r="H952" s="2"/>
    </row>
    <row r="953" spans="7:8" ht="15">
      <c r="G953" s="2"/>
      <c r="H953" s="2"/>
    </row>
    <row r="954" spans="7:8" ht="15">
      <c r="G954" s="2"/>
      <c r="H954" s="2"/>
    </row>
    <row r="955" spans="7:8" ht="15">
      <c r="G955" s="2"/>
      <c r="H955" s="2"/>
    </row>
    <row r="956" spans="7:8" ht="15">
      <c r="G956" s="2"/>
      <c r="H956" s="2"/>
    </row>
    <row r="957" spans="7:8" ht="15">
      <c r="G957" s="2"/>
      <c r="H957" s="2"/>
    </row>
    <row r="958" spans="7:8" ht="15">
      <c r="G958" s="2"/>
      <c r="H958" s="2"/>
    </row>
    <row r="959" spans="7:8" ht="15">
      <c r="G959" s="2"/>
      <c r="H959" s="2"/>
    </row>
    <row r="960" spans="7:8" ht="15">
      <c r="G960" s="2"/>
      <c r="H960" s="2"/>
    </row>
    <row r="961" spans="7:8" ht="15">
      <c r="G961" s="2"/>
      <c r="H961" s="2"/>
    </row>
    <row r="962" ht="15">
      <c r="H962" s="2"/>
    </row>
    <row r="963" ht="15">
      <c r="H963" s="2"/>
    </row>
  </sheetData>
  <sheetProtection/>
  <mergeCells count="9">
    <mergeCell ref="S58:U58"/>
    <mergeCell ref="R108:S108"/>
    <mergeCell ref="R98:U98"/>
    <mergeCell ref="U47:X47"/>
    <mergeCell ref="U48:X48"/>
    <mergeCell ref="X5:Y5"/>
    <mergeCell ref="P35:U35"/>
    <mergeCell ref="U45:X45"/>
    <mergeCell ref="U46:X46"/>
  </mergeCells>
  <conditionalFormatting sqref="W59:W63">
    <cfRule type="cellIs" priority="1" dxfId="0" operator="notEqual" stopIfTrue="1">
      <formula>U59</formula>
    </cfRule>
  </conditionalFormatting>
  <conditionalFormatting sqref="U102">
    <cfRule type="cellIs" priority="2" dxfId="0" operator="notEqual" stopIfTrue="1">
      <formula>$U$100+$U$101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2.7109375" style="3" customWidth="1"/>
    <col min="3" max="3" width="22.421875" style="3" customWidth="1"/>
    <col min="4" max="4" width="2.7109375" style="3" customWidth="1"/>
    <col min="5" max="5" width="24.8515625" style="3" customWidth="1"/>
    <col min="6" max="6" width="2.7109375" style="3" customWidth="1"/>
    <col min="7" max="7" width="20.421875" style="3" customWidth="1"/>
    <col min="8" max="8" width="2.7109375" style="3" customWidth="1"/>
    <col min="9" max="9" width="24.421875" style="3" customWidth="1"/>
    <col min="10" max="10" width="15.7109375" style="3" bestFit="1" customWidth="1"/>
    <col min="11" max="11" width="10.7109375" style="3" bestFit="1" customWidth="1"/>
    <col min="12" max="16384" width="9.140625" style="3" customWidth="1"/>
  </cols>
  <sheetData>
    <row r="1" spans="1:9" ht="16.5">
      <c r="A1" s="23" t="s">
        <v>1294</v>
      </c>
      <c r="B1" s="15" t="str">
        <f>INPUT!C1</f>
        <v>February 2012</v>
      </c>
      <c r="I1" s="14" t="s">
        <v>760</v>
      </c>
    </row>
    <row r="5" ht="16.5">
      <c r="E5" s="14" t="s">
        <v>1033</v>
      </c>
    </row>
    <row r="6" ht="16.5">
      <c r="E6" s="14" t="s">
        <v>1034</v>
      </c>
    </row>
    <row r="7" ht="16.5">
      <c r="E7" s="14" t="s">
        <v>1035</v>
      </c>
    </row>
    <row r="10" ht="16.5">
      <c r="A10" s="60" t="s">
        <v>1036</v>
      </c>
    </row>
    <row r="11" ht="16.5">
      <c r="A11" s="61" t="s">
        <v>1037</v>
      </c>
    </row>
    <row r="12" ht="16.5">
      <c r="A12" s="61"/>
    </row>
    <row r="13" ht="16.5">
      <c r="A13" s="61"/>
    </row>
    <row r="14" ht="15">
      <c r="G14" s="62" t="s">
        <v>1038</v>
      </c>
    </row>
    <row r="15" spans="3:9" ht="16.5">
      <c r="C15" s="49" t="s">
        <v>385</v>
      </c>
      <c r="E15" s="14" t="s">
        <v>1039</v>
      </c>
      <c r="G15" s="62" t="s">
        <v>1040</v>
      </c>
      <c r="I15" s="14" t="s">
        <v>1041</v>
      </c>
    </row>
    <row r="16" spans="3:9" ht="16.5">
      <c r="C16" s="56" t="s">
        <v>941</v>
      </c>
      <c r="E16" s="14" t="s">
        <v>266</v>
      </c>
      <c r="G16" s="62" t="s">
        <v>175</v>
      </c>
      <c r="I16" s="14" t="s">
        <v>1042</v>
      </c>
    </row>
    <row r="17" spans="3:9" ht="16.5">
      <c r="C17" s="50" t="s">
        <v>1296</v>
      </c>
      <c r="E17" s="18" t="s">
        <v>1296</v>
      </c>
      <c r="G17" s="63" t="s">
        <v>1296</v>
      </c>
      <c r="I17" s="18" t="s">
        <v>1296</v>
      </c>
    </row>
    <row r="18" spans="3:9" ht="15">
      <c r="C18" s="51" t="s">
        <v>119</v>
      </c>
      <c r="D18" s="52"/>
      <c r="E18" s="51" t="s">
        <v>120</v>
      </c>
      <c r="F18" s="52"/>
      <c r="G18" s="51" t="s">
        <v>121</v>
      </c>
      <c r="H18" s="52"/>
      <c r="I18" s="51" t="s">
        <v>1043</v>
      </c>
    </row>
    <row r="20" spans="1:9" ht="15">
      <c r="A20" s="3" t="s">
        <v>926</v>
      </c>
      <c r="C20" s="12">
        <f>ROUND($E$25*INPUT!C5,0)</f>
        <v>15560944</v>
      </c>
      <c r="D20" s="12"/>
      <c r="E20" s="13">
        <f>+PAGE11!I43</f>
        <v>17469083.501000002</v>
      </c>
      <c r="F20" s="12"/>
      <c r="G20" s="13">
        <f>INPUT!J49</f>
        <v>17454744.5669</v>
      </c>
      <c r="H20" s="12"/>
      <c r="I20" s="12">
        <f>+G20-C20</f>
        <v>1893800.5669</v>
      </c>
    </row>
    <row r="21" spans="1:9" ht="15">
      <c r="A21" s="3" t="s">
        <v>927</v>
      </c>
      <c r="C21" s="13">
        <f>ROUND($E$25*INPUT!C6,0)</f>
        <v>3267696</v>
      </c>
      <c r="D21" s="12"/>
      <c r="E21" s="13">
        <f>+PAGE11!I44</f>
        <v>1603354.86664561</v>
      </c>
      <c r="F21" s="12"/>
      <c r="G21" s="13">
        <f>INPUT!J50</f>
        <v>3665381.9994175</v>
      </c>
      <c r="H21" s="12"/>
      <c r="I21" s="12">
        <f>+G21-C21</f>
        <v>397685.9994175001</v>
      </c>
    </row>
    <row r="22" spans="1:9" ht="15">
      <c r="A22" s="3" t="s">
        <v>928</v>
      </c>
      <c r="C22" s="12">
        <f>ROUND($E$25*INPUT!C7,0)</f>
        <v>10384840</v>
      </c>
      <c r="D22" s="12"/>
      <c r="E22" s="13">
        <f>+PAGE11!I45</f>
        <v>9690943.08561964</v>
      </c>
      <c r="F22" s="12"/>
      <c r="G22" s="13">
        <f>INPUT!J51</f>
        <v>11648697.19796</v>
      </c>
      <c r="H22" s="12"/>
      <c r="I22" s="12">
        <f>+G22-C22</f>
        <v>1263857.1979600005</v>
      </c>
    </row>
    <row r="23" spans="1:9" ht="15">
      <c r="A23" s="3" t="s">
        <v>929</v>
      </c>
      <c r="C23" s="12">
        <f>ROUND($E$25*INPUT!C8,0)</f>
        <v>21772575</v>
      </c>
      <c r="D23" s="12"/>
      <c r="E23" s="13">
        <f>+PAGE11!I46</f>
        <v>22222674.535963245</v>
      </c>
      <c r="F23" s="12"/>
      <c r="G23" s="13">
        <f>INPUT!J52</f>
        <v>24422344.6457225</v>
      </c>
      <c r="H23" s="12"/>
      <c r="I23" s="12">
        <f>+G23-C23</f>
        <v>2649769.645722501</v>
      </c>
    </row>
    <row r="24" spans="1:9" ht="15">
      <c r="A24" s="3" t="s">
        <v>1754</v>
      </c>
      <c r="C24" s="21">
        <f>ROUND($E$25*INPUT!C9,0)</f>
        <v>0</v>
      </c>
      <c r="D24" s="12"/>
      <c r="E24" s="21">
        <f>+PAGE11!I47</f>
        <v>0</v>
      </c>
      <c r="F24" s="12"/>
      <c r="G24" s="21">
        <f>INPUT!J53</f>
        <v>0</v>
      </c>
      <c r="H24" s="12"/>
      <c r="I24" s="22">
        <f>+G24-C24</f>
        <v>0</v>
      </c>
    </row>
    <row r="25" spans="1:9" ht="15">
      <c r="A25" s="3" t="s">
        <v>543</v>
      </c>
      <c r="C25" s="12">
        <f>SUM(C20:C24)</f>
        <v>50986055</v>
      </c>
      <c r="D25" s="12"/>
      <c r="E25" s="13">
        <f>SUM(E20:E24)</f>
        <v>50986055.9892285</v>
      </c>
      <c r="F25" s="12"/>
      <c r="G25" s="13">
        <f>SUM(G20:G24)</f>
        <v>57191168.41</v>
      </c>
      <c r="H25" s="12"/>
      <c r="I25" s="13">
        <f>SUM(I20:I24)</f>
        <v>6205113.410000002</v>
      </c>
    </row>
    <row r="29" ht="15">
      <c r="C29" s="95"/>
    </row>
    <row r="30" spans="3:6" ht="16.5">
      <c r="C30" s="95"/>
      <c r="D30" s="14"/>
      <c r="E30" s="62" t="s">
        <v>1044</v>
      </c>
      <c r="F30" s="14"/>
    </row>
    <row r="31" spans="3:7" ht="16.5">
      <c r="C31" s="14" t="s">
        <v>1045</v>
      </c>
      <c r="D31" s="14"/>
      <c r="E31" s="62" t="s">
        <v>1099</v>
      </c>
      <c r="F31" s="14"/>
      <c r="G31" s="20" t="s">
        <v>1100</v>
      </c>
    </row>
    <row r="32" spans="3:7" ht="16.5">
      <c r="C32" s="14" t="s">
        <v>1101</v>
      </c>
      <c r="D32" s="14"/>
      <c r="E32" s="64" t="s">
        <v>1102</v>
      </c>
      <c r="F32" s="14"/>
      <c r="G32" s="14" t="s">
        <v>1298</v>
      </c>
    </row>
    <row r="33" spans="3:7" ht="16.5">
      <c r="C33" s="14" t="s">
        <v>1103</v>
      </c>
      <c r="D33" s="14"/>
      <c r="E33" s="62" t="s">
        <v>1010</v>
      </c>
      <c r="F33" s="14"/>
      <c r="G33" s="14" t="s">
        <v>129</v>
      </c>
    </row>
    <row r="34" spans="3:7" ht="16.5">
      <c r="C34" s="18" t="s">
        <v>1296</v>
      </c>
      <c r="D34" s="14"/>
      <c r="E34" s="63" t="s">
        <v>1296</v>
      </c>
      <c r="F34" s="14"/>
      <c r="G34" s="17" t="s">
        <v>1011</v>
      </c>
    </row>
    <row r="35" spans="3:10" ht="15">
      <c r="C35" s="51" t="s">
        <v>124</v>
      </c>
      <c r="D35" s="52"/>
      <c r="E35" s="51" t="s">
        <v>1012</v>
      </c>
      <c r="F35" s="52"/>
      <c r="G35" s="51" t="s">
        <v>125</v>
      </c>
      <c r="J35" s="1140"/>
    </row>
    <row r="37" spans="1:7" ht="15">
      <c r="A37" s="3" t="s">
        <v>926</v>
      </c>
      <c r="C37" s="13">
        <f>+INPUT!L49</f>
        <v>0</v>
      </c>
      <c r="D37" s="12"/>
      <c r="E37" s="12">
        <f>+I20-C37</f>
        <v>1893800.5669</v>
      </c>
      <c r="G37" s="53">
        <f>INPUT!C5</f>
        <v>0.3052</v>
      </c>
    </row>
    <row r="38" spans="1:7" ht="15">
      <c r="A38" s="3" t="s">
        <v>927</v>
      </c>
      <c r="C38" s="13">
        <f>+INPUT!L50</f>
        <v>0</v>
      </c>
      <c r="D38" s="12"/>
      <c r="E38" s="12">
        <f>+I21-C38</f>
        <v>397685.9994175001</v>
      </c>
      <c r="G38" s="53">
        <f>INPUT!C6</f>
        <v>0.06409</v>
      </c>
    </row>
    <row r="39" spans="1:7" ht="15">
      <c r="A39" s="3" t="s">
        <v>928</v>
      </c>
      <c r="C39" s="13">
        <f>+INPUT!L51</f>
        <v>0</v>
      </c>
      <c r="D39" s="12"/>
      <c r="E39" s="12">
        <f>+I22-C39</f>
        <v>1263857.1979600005</v>
      </c>
      <c r="G39" s="53">
        <f>INPUT!C7</f>
        <v>0.20368</v>
      </c>
    </row>
    <row r="40" spans="1:10" ht="15">
      <c r="A40" s="3" t="s">
        <v>929</v>
      </c>
      <c r="C40" s="13">
        <f>+INPUT!L52</f>
        <v>0</v>
      </c>
      <c r="D40" s="12"/>
      <c r="E40" s="12">
        <f>+I23-C40</f>
        <v>2649769.645722501</v>
      </c>
      <c r="G40" s="53">
        <f>INPUT!C8</f>
        <v>0.42703</v>
      </c>
      <c r="J40" s="12"/>
    </row>
    <row r="41" spans="1:7" ht="15">
      <c r="A41" s="3" t="s">
        <v>1754</v>
      </c>
      <c r="C41" s="21">
        <f>+INPUT!L53</f>
        <v>0</v>
      </c>
      <c r="D41" s="12"/>
      <c r="E41" s="22">
        <f>+I24-C41</f>
        <v>0</v>
      </c>
      <c r="G41" s="54">
        <f>INPUT!C9</f>
        <v>0</v>
      </c>
    </row>
    <row r="42" spans="1:11" ht="15">
      <c r="A42" s="3" t="s">
        <v>543</v>
      </c>
      <c r="C42" s="13">
        <f>SUM(C37:C41)</f>
        <v>0</v>
      </c>
      <c r="D42" s="12"/>
      <c r="E42" s="12">
        <f>SUM(E37:E41)</f>
        <v>6205113.410000002</v>
      </c>
      <c r="G42" s="53">
        <f>SUM(G37:G41)</f>
        <v>1</v>
      </c>
      <c r="I42" s="12"/>
      <c r="J42" s="12"/>
      <c r="K42" s="12"/>
    </row>
    <row r="43" ht="15">
      <c r="I43" s="12"/>
    </row>
    <row r="44" spans="1:5" ht="16.5">
      <c r="A44" s="23" t="s">
        <v>1690</v>
      </c>
      <c r="E44" s="12"/>
    </row>
    <row r="46" ht="15">
      <c r="A46" s="19" t="s">
        <v>1623</v>
      </c>
    </row>
    <row r="47" ht="15">
      <c r="A47" s="19" t="s">
        <v>1203</v>
      </c>
    </row>
    <row r="48" ht="15">
      <c r="A48" s="366" t="s">
        <v>16</v>
      </c>
    </row>
    <row r="50" spans="1:7" ht="15">
      <c r="A50" s="220" t="s">
        <v>568</v>
      </c>
      <c r="B50" s="2"/>
      <c r="C50" s="2"/>
      <c r="D50" s="2"/>
      <c r="E50" s="2"/>
      <c r="F50" s="2"/>
      <c r="G50" s="2"/>
    </row>
    <row r="55" ht="15">
      <c r="A55" s="19" t="s">
        <v>1202</v>
      </c>
    </row>
    <row r="57" ht="15">
      <c r="A57" s="19"/>
    </row>
    <row r="58" ht="15">
      <c r="A58" s="19"/>
    </row>
    <row r="59" ht="15">
      <c r="A59" s="19"/>
    </row>
    <row r="60" ht="15">
      <c r="A60" s="19"/>
    </row>
  </sheetData>
  <sheetProtection/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3" customFormat="1" ht="15">
      <c r="A1" s="124" t="s">
        <v>1294</v>
      </c>
      <c r="B1" s="125" t="str">
        <f>INPUT!C1</f>
        <v>February 2012</v>
      </c>
      <c r="C1" s="47"/>
      <c r="D1" s="47"/>
      <c r="E1" s="47"/>
      <c r="F1" s="47"/>
      <c r="G1" s="47"/>
      <c r="H1" s="47"/>
      <c r="L1" s="62" t="s">
        <v>737</v>
      </c>
    </row>
    <row r="2" spans="1:1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1191" t="s">
        <v>740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59"/>
    </row>
    <row r="7" spans="1:20" ht="16.5">
      <c r="A7" s="3"/>
      <c r="B7" s="1190" t="s">
        <v>257</v>
      </c>
      <c r="C7" s="1190"/>
      <c r="D7" s="1190"/>
      <c r="E7" s="1190"/>
      <c r="F7" s="1190"/>
      <c r="G7" s="3"/>
      <c r="H7" s="74" t="s">
        <v>229</v>
      </c>
      <c r="M7" s="3"/>
      <c r="N7" s="3"/>
      <c r="O7" s="3"/>
      <c r="P7" s="3"/>
      <c r="Q7" s="3"/>
      <c r="T7" s="59"/>
    </row>
    <row r="8" spans="1:20" ht="15">
      <c r="A8" s="3"/>
      <c r="B8" s="3"/>
      <c r="C8" s="3"/>
      <c r="D8" s="3"/>
      <c r="E8" s="3"/>
      <c r="F8" s="3"/>
      <c r="G8" s="3"/>
      <c r="H8" s="3"/>
      <c r="M8" s="3"/>
      <c r="N8" s="3"/>
      <c r="O8" s="3"/>
      <c r="P8" s="3"/>
      <c r="Q8" s="3"/>
      <c r="T8" s="215"/>
    </row>
    <row r="9" spans="1:20" ht="16.5">
      <c r="A9" s="3" t="s">
        <v>741</v>
      </c>
      <c r="B9" s="342">
        <f>'APPVIII PG 7'!E31</f>
        <v>1</v>
      </c>
      <c r="C9" s="52" t="s">
        <v>742</v>
      </c>
      <c r="D9" s="13">
        <f>'APPVIII PG 7'!E25</f>
        <v>0</v>
      </c>
      <c r="E9" s="52" t="s">
        <v>736</v>
      </c>
      <c r="F9" s="131">
        <f>ROUND(B9*D9,0)</f>
        <v>0</v>
      </c>
      <c r="H9" s="131">
        <f>F9</f>
        <v>0</v>
      </c>
      <c r="M9" s="3"/>
      <c r="N9" s="3"/>
      <c r="O9" s="3"/>
      <c r="P9" s="3"/>
      <c r="Q9" s="3"/>
      <c r="T9" s="343"/>
    </row>
    <row r="10" spans="1:20" ht="15">
      <c r="A10" s="3"/>
      <c r="B10" s="3"/>
      <c r="C10" s="52"/>
      <c r="D10" s="3"/>
      <c r="E10" s="52"/>
      <c r="F10" s="132"/>
      <c r="H10" s="126"/>
      <c r="M10" s="3"/>
      <c r="N10" s="3"/>
      <c r="O10" s="3"/>
      <c r="P10" s="3"/>
      <c r="Q10" s="3"/>
      <c r="T10" s="215"/>
    </row>
    <row r="11" spans="1:20" ht="16.5">
      <c r="A11" s="3" t="s">
        <v>735</v>
      </c>
      <c r="B11" s="342">
        <f>'APPVIII PG 7'!E32</f>
        <v>0</v>
      </c>
      <c r="C11" s="52" t="s">
        <v>742</v>
      </c>
      <c r="D11" s="13">
        <f>'APPVIII PG 7'!E25</f>
        <v>0</v>
      </c>
      <c r="E11" s="52" t="s">
        <v>736</v>
      </c>
      <c r="F11" s="131">
        <f>ROUND(B11*D11,0)</f>
        <v>0</v>
      </c>
      <c r="H11" s="222">
        <f>F11</f>
        <v>0</v>
      </c>
      <c r="M11" s="3"/>
      <c r="N11" s="3"/>
      <c r="O11" s="3"/>
      <c r="P11" s="3"/>
      <c r="Q11" s="3"/>
      <c r="T11" s="343"/>
    </row>
    <row r="12" spans="1:20" ht="16.5">
      <c r="A12" s="3"/>
      <c r="B12" s="129"/>
      <c r="C12" s="52"/>
      <c r="D12" s="12"/>
      <c r="E12" s="52"/>
      <c r="F12" s="130"/>
      <c r="G12" s="3"/>
      <c r="H12" s="132">
        <f>SUM(H9:H11)</f>
        <v>0</v>
      </c>
      <c r="M12" s="3"/>
      <c r="N12" s="3"/>
      <c r="O12" s="3"/>
      <c r="P12" s="3"/>
      <c r="Q12" s="3"/>
      <c r="T12" s="343"/>
    </row>
    <row r="13" spans="1:18" ht="16.5">
      <c r="A13" s="3"/>
      <c r="B13" s="3"/>
      <c r="C13" s="3"/>
      <c r="D13" s="3"/>
      <c r="E13" s="3"/>
      <c r="F13" s="3"/>
      <c r="G13" s="3"/>
      <c r="H13" s="129"/>
      <c r="I13" s="52"/>
      <c r="J13" s="12"/>
      <c r="K13" s="52"/>
      <c r="L13" s="130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129"/>
      <c r="I14" s="3"/>
      <c r="J14" s="12"/>
      <c r="K14" s="3"/>
      <c r="L14" s="126"/>
      <c r="M14" s="3"/>
      <c r="N14" s="3"/>
      <c r="O14" s="3"/>
      <c r="P14" s="3"/>
      <c r="Q14" s="3"/>
      <c r="R14" s="3"/>
    </row>
    <row r="15" spans="1:18" ht="15">
      <c r="A15" s="3"/>
      <c r="B15" s="55" t="s">
        <v>258</v>
      </c>
      <c r="C15" s="3"/>
      <c r="D15" s="3"/>
      <c r="E15" s="3"/>
      <c r="G15" s="3"/>
      <c r="H15" s="129"/>
      <c r="I15" s="3"/>
      <c r="J15" s="132">
        <f>'APPVIII PG 7'!E25</f>
        <v>0</v>
      </c>
      <c r="K15" s="3"/>
      <c r="L15" s="137"/>
      <c r="M15" s="19"/>
      <c r="N15" s="19"/>
      <c r="O15" s="19"/>
      <c r="P15" s="19"/>
      <c r="Q15" s="19"/>
      <c r="R15" s="3"/>
    </row>
    <row r="16" spans="1:18" ht="15">
      <c r="A16" s="3"/>
      <c r="B16" s="3" t="s">
        <v>971</v>
      </c>
      <c r="C16" s="3"/>
      <c r="D16" s="3"/>
      <c r="E16" s="3"/>
      <c r="G16" s="3"/>
      <c r="H16" s="129"/>
      <c r="I16" s="3"/>
      <c r="J16" s="343">
        <f>H9</f>
        <v>0</v>
      </c>
      <c r="K16" s="3"/>
      <c r="M16" s="19"/>
      <c r="N16" s="19"/>
      <c r="O16" s="19"/>
      <c r="P16" s="19"/>
      <c r="Q16" s="19"/>
      <c r="R16" s="3"/>
    </row>
    <row r="17" spans="1:18" ht="15">
      <c r="A17" s="3"/>
      <c r="B17" s="3" t="s">
        <v>260</v>
      </c>
      <c r="C17" s="3"/>
      <c r="D17" s="3"/>
      <c r="E17" s="3"/>
      <c r="G17" s="3"/>
      <c r="H17" s="129"/>
      <c r="I17" s="3"/>
      <c r="J17" s="343">
        <f>'APPVIII PG 7'!G16+'APPVIII PG 7'!G20+'APPVIII PG 7'!G23</f>
        <v>0</v>
      </c>
      <c r="K17" s="3"/>
      <c r="M17" s="19"/>
      <c r="N17" s="19"/>
      <c r="O17" s="19"/>
      <c r="P17" s="19"/>
      <c r="Q17" s="19"/>
      <c r="R17" s="3"/>
    </row>
    <row r="18" spans="1:18" ht="15">
      <c r="A18" s="3"/>
      <c r="B18" s="3" t="s">
        <v>259</v>
      </c>
      <c r="C18" s="3"/>
      <c r="D18" s="3"/>
      <c r="E18" s="3"/>
      <c r="G18" s="3"/>
      <c r="H18" s="129"/>
      <c r="I18" s="3"/>
      <c r="J18" s="223">
        <f>'APPVIII PG 7'!H16</f>
        <v>0</v>
      </c>
      <c r="K18" s="3"/>
      <c r="M18" s="19"/>
      <c r="N18" s="19"/>
      <c r="O18" s="19"/>
      <c r="P18" s="19"/>
      <c r="Q18" s="19"/>
      <c r="R18" s="3"/>
    </row>
    <row r="19" spans="1:18" ht="15">
      <c r="A19" s="3"/>
      <c r="B19" s="3"/>
      <c r="C19" s="3"/>
      <c r="D19" s="3"/>
      <c r="E19" s="3"/>
      <c r="G19" s="3"/>
      <c r="H19" s="129"/>
      <c r="I19" s="3"/>
      <c r="J19" s="343"/>
      <c r="K19" s="3"/>
      <c r="M19" s="19"/>
      <c r="N19" s="19"/>
      <c r="O19" s="19"/>
      <c r="P19" s="19"/>
      <c r="Q19" s="19"/>
      <c r="R19" s="3"/>
    </row>
    <row r="20" spans="1:18" ht="16.5">
      <c r="A20" s="3"/>
      <c r="B20" s="2" t="str">
        <f>"TOTAL DOLLAR TRANSFER FROM "&amp;(IF(J17&gt;0,"EASTERN AEP TO WESTERN AEP:","WESTERN AEP TO EASTERN AEP:"))</f>
        <v>TOTAL DOLLAR TRANSFER FROM WESTERN AEP TO EASTERN AEP:</v>
      </c>
      <c r="C20" s="3"/>
      <c r="E20" s="3"/>
      <c r="F20" s="3"/>
      <c r="G20" s="3"/>
      <c r="H20" s="3"/>
      <c r="I20" s="3"/>
      <c r="J20" s="132">
        <f>ABS(J17-J18)</f>
        <v>0</v>
      </c>
      <c r="K20" s="3"/>
      <c r="M20" s="3"/>
      <c r="N20" s="3"/>
      <c r="O20" s="3"/>
      <c r="P20" s="3"/>
      <c r="Q20" s="3"/>
      <c r="R20" s="23"/>
    </row>
    <row r="21" spans="1:18" s="218" customFormat="1" ht="14.25" customHeight="1">
      <c r="A21" s="286"/>
      <c r="B21" s="286"/>
      <c r="C21" s="286"/>
      <c r="D21" s="344"/>
      <c r="E21" s="286"/>
      <c r="F21" s="286"/>
      <c r="G21" s="286"/>
      <c r="H21" s="286"/>
      <c r="I21" s="286"/>
      <c r="J21" s="286"/>
      <c r="K21" s="286"/>
      <c r="L21" s="345"/>
      <c r="M21" s="2"/>
      <c r="N21" s="2"/>
      <c r="O21" s="2"/>
      <c r="P21" s="2"/>
      <c r="Q21" s="2"/>
      <c r="R21" s="2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32"/>
      <c r="M22" s="3"/>
      <c r="N22" s="3"/>
      <c r="O22" s="3"/>
      <c r="P22" s="3"/>
      <c r="Q22" s="3"/>
      <c r="R22" s="3"/>
    </row>
    <row r="23" spans="1:17" ht="16.5">
      <c r="A23" s="3"/>
      <c r="B23" s="23" t="s">
        <v>214</v>
      </c>
      <c r="C23" s="2"/>
      <c r="D23" s="218"/>
      <c r="E23" s="2"/>
      <c r="F23" s="2"/>
      <c r="G23" s="2"/>
      <c r="H23" s="2"/>
      <c r="I23" s="2"/>
      <c r="J23" s="2"/>
      <c r="K23" s="2"/>
      <c r="L23" s="346" t="s">
        <v>119</v>
      </c>
      <c r="M23" s="220"/>
      <c r="N23" s="220"/>
      <c r="O23" s="220"/>
      <c r="P23" s="220"/>
      <c r="Q23" s="220"/>
    </row>
    <row r="24" spans="1:21" ht="16.5">
      <c r="A24" s="3"/>
      <c r="B24" s="23"/>
      <c r="C24" s="2"/>
      <c r="D24" s="218"/>
      <c r="E24" s="2"/>
      <c r="F24" s="2"/>
      <c r="G24" s="2"/>
      <c r="H24" s="2"/>
      <c r="I24" s="2"/>
      <c r="J24" s="2"/>
      <c r="K24" s="2"/>
      <c r="L24" s="219"/>
      <c r="M24" s="220"/>
      <c r="N24" s="220"/>
      <c r="O24" s="220"/>
      <c r="P24" s="220"/>
      <c r="Q24" s="220"/>
      <c r="R24" s="3"/>
      <c r="U24" s="216"/>
    </row>
    <row r="25" spans="1:18" ht="16.5">
      <c r="A25" s="23" t="s">
        <v>1633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ht="16.5">
      <c r="A26" s="23"/>
      <c r="B26" s="3"/>
      <c r="C26" s="3"/>
      <c r="D26" s="3"/>
      <c r="E26" s="3"/>
      <c r="F26" s="3"/>
      <c r="G26" s="3"/>
      <c r="H26" s="49" t="s">
        <v>539</v>
      </c>
      <c r="J26" s="49" t="s">
        <v>887</v>
      </c>
      <c r="L26" s="1192" t="s">
        <v>19</v>
      </c>
      <c r="M26" s="1192"/>
      <c r="N26" s="1192"/>
      <c r="O26" s="49"/>
      <c r="P26" s="49" t="s">
        <v>1310</v>
      </c>
      <c r="R26" s="11"/>
      <c r="S26" s="75"/>
      <c r="T26" s="59"/>
      <c r="U26" s="59"/>
    </row>
    <row r="27" spans="1:17" ht="16.5">
      <c r="A27" s="3"/>
      <c r="B27" s="14" t="s">
        <v>743</v>
      </c>
      <c r="C27" s="3"/>
      <c r="D27" s="14" t="s">
        <v>743</v>
      </c>
      <c r="E27" s="3"/>
      <c r="F27" s="14" t="s">
        <v>743</v>
      </c>
      <c r="H27" s="49" t="s">
        <v>744</v>
      </c>
      <c r="J27" s="49" t="s">
        <v>1308</v>
      </c>
      <c r="K27" s="49"/>
      <c r="L27" s="14" t="s">
        <v>743</v>
      </c>
      <c r="M27" s="49"/>
      <c r="N27" s="14" t="s">
        <v>743</v>
      </c>
      <c r="O27" s="49"/>
      <c r="P27" s="49" t="s">
        <v>1313</v>
      </c>
      <c r="Q27" s="59"/>
    </row>
    <row r="28" spans="1:17" ht="16.5">
      <c r="A28" s="3"/>
      <c r="B28" s="18" t="s">
        <v>1646</v>
      </c>
      <c r="C28" s="3"/>
      <c r="D28" s="17">
        <v>4210.043</v>
      </c>
      <c r="E28" s="3"/>
      <c r="F28" s="17">
        <v>4210.044</v>
      </c>
      <c r="H28" s="282" t="s">
        <v>745</v>
      </c>
      <c r="J28" s="282" t="s">
        <v>327</v>
      </c>
      <c r="K28" s="11"/>
      <c r="L28" s="17">
        <v>4470.144</v>
      </c>
      <c r="M28" s="11"/>
      <c r="N28" s="17">
        <v>4210.043</v>
      </c>
      <c r="O28" s="11"/>
      <c r="P28" s="282" t="s">
        <v>1314</v>
      </c>
      <c r="Q28" s="59"/>
    </row>
    <row r="29" spans="1:17" ht="15">
      <c r="A29" s="3" t="s">
        <v>926</v>
      </c>
      <c r="B29" s="13">
        <f>'APPVIII PG 7'!C40</f>
        <v>0</v>
      </c>
      <c r="C29" s="13"/>
      <c r="D29" s="13">
        <f>'APPVIII PG 7'!D40</f>
        <v>0</v>
      </c>
      <c r="E29" s="13"/>
      <c r="F29" s="13">
        <f>'APPVIII PG 7'!E40</f>
        <v>0</v>
      </c>
      <c r="G29" s="218"/>
      <c r="H29" s="13">
        <f>'APPVIII PG 7'!F40</f>
        <v>0</v>
      </c>
      <c r="I29" s="218"/>
      <c r="J29" s="6">
        <f>INPUT!R49</f>
        <v>0</v>
      </c>
      <c r="K29" s="215"/>
      <c r="L29" s="6">
        <f>'APPVIII PG 6'!L12</f>
        <v>0</v>
      </c>
      <c r="M29" s="139"/>
      <c r="N29" s="6">
        <f>'APPVIII PG 6'!M12</f>
        <v>0</v>
      </c>
      <c r="O29" s="215"/>
      <c r="P29" s="55">
        <f aca="true" t="shared" si="0" ref="P29:P34">H29-J29+L29+N29</f>
        <v>0</v>
      </c>
      <c r="Q29" s="55"/>
    </row>
    <row r="30" spans="1:17" ht="15">
      <c r="A30" s="3" t="s">
        <v>927</v>
      </c>
      <c r="B30" s="13">
        <f>'APPVIII PG 7'!C41</f>
        <v>0</v>
      </c>
      <c r="C30" s="13"/>
      <c r="D30" s="13">
        <f>'APPVIII PG 7'!D41</f>
        <v>0</v>
      </c>
      <c r="E30" s="13"/>
      <c r="F30" s="13">
        <f>'APPVIII PG 7'!E41</f>
        <v>0</v>
      </c>
      <c r="G30" s="218"/>
      <c r="H30" s="13">
        <f>'APPVIII PG 7'!F41</f>
        <v>0</v>
      </c>
      <c r="I30" s="218"/>
      <c r="J30" s="6">
        <f>INPUT!R50</f>
        <v>0</v>
      </c>
      <c r="K30" s="215"/>
      <c r="L30" s="6">
        <f>'APPVIII PG 6'!L13</f>
        <v>0</v>
      </c>
      <c r="M30" s="139"/>
      <c r="N30" s="6">
        <f>'APPVIII PG 6'!M13</f>
        <v>0</v>
      </c>
      <c r="O30" s="215"/>
      <c r="P30" s="55">
        <f t="shared" si="0"/>
        <v>0</v>
      </c>
      <c r="Q30" s="55"/>
    </row>
    <row r="31" spans="1:17" ht="15">
      <c r="A31" s="3" t="s">
        <v>928</v>
      </c>
      <c r="B31" s="13">
        <f>'APPVIII PG 7'!C42</f>
        <v>0</v>
      </c>
      <c r="C31" s="13"/>
      <c r="D31" s="13">
        <f>'APPVIII PG 7'!D42</f>
        <v>0</v>
      </c>
      <c r="E31" s="13"/>
      <c r="F31" s="13">
        <f>'APPVIII PG 7'!E42</f>
        <v>0</v>
      </c>
      <c r="G31" s="218"/>
      <c r="H31" s="13">
        <f>'APPVIII PG 7'!F42</f>
        <v>0</v>
      </c>
      <c r="I31" s="218"/>
      <c r="J31" s="6">
        <f>INPUT!R51</f>
        <v>0</v>
      </c>
      <c r="K31" s="215"/>
      <c r="L31" s="6">
        <f>'APPVIII PG 6'!L14</f>
        <v>0</v>
      </c>
      <c r="M31" s="139"/>
      <c r="N31" s="6">
        <f>'APPVIII PG 6'!M14</f>
        <v>0</v>
      </c>
      <c r="O31" s="215"/>
      <c r="P31" s="55">
        <f t="shared" si="0"/>
        <v>0</v>
      </c>
      <c r="Q31" s="55"/>
    </row>
    <row r="32" spans="1:17" ht="15">
      <c r="A32" s="3" t="s">
        <v>929</v>
      </c>
      <c r="B32" s="13">
        <f>'APPVIII PG 7'!C43</f>
        <v>0</v>
      </c>
      <c r="C32" s="13"/>
      <c r="D32" s="13">
        <f>'APPVIII PG 7'!D43</f>
        <v>0</v>
      </c>
      <c r="E32" s="13"/>
      <c r="F32" s="13">
        <f>'APPVIII PG 7'!E43</f>
        <v>0</v>
      </c>
      <c r="G32" s="218"/>
      <c r="H32" s="13">
        <f>'APPVIII PG 7'!F43</f>
        <v>0</v>
      </c>
      <c r="I32" s="218"/>
      <c r="J32" s="6">
        <f>INPUT!R52</f>
        <v>0</v>
      </c>
      <c r="K32" s="215"/>
      <c r="L32" s="6">
        <f>'APPVIII PG 6'!L15</f>
        <v>0</v>
      </c>
      <c r="M32" s="139"/>
      <c r="N32" s="6">
        <f>'APPVIII PG 6'!M15</f>
        <v>0</v>
      </c>
      <c r="O32" s="215"/>
      <c r="P32" s="55">
        <f t="shared" si="0"/>
        <v>0</v>
      </c>
      <c r="Q32" s="55"/>
    </row>
    <row r="33" spans="1:17" ht="15">
      <c r="A33" s="3" t="s">
        <v>1754</v>
      </c>
      <c r="B33" s="21">
        <f>'APPVIII PG 7'!C44</f>
        <v>0</v>
      </c>
      <c r="C33" s="13"/>
      <c r="D33" s="21">
        <f>'APPVIII PG 7'!D44</f>
        <v>0</v>
      </c>
      <c r="E33" s="13"/>
      <c r="F33" s="21">
        <f>'APPVIII PG 7'!E44</f>
        <v>0</v>
      </c>
      <c r="G33" s="218"/>
      <c r="H33" s="21">
        <f>'APPVIII PG 7'!F44</f>
        <v>0</v>
      </c>
      <c r="I33" s="218"/>
      <c r="J33" s="21">
        <f>INPUT!R53</f>
        <v>0</v>
      </c>
      <c r="K33" s="215"/>
      <c r="L33" s="6">
        <f>'APPVIII PG 6'!L16</f>
        <v>0</v>
      </c>
      <c r="M33" s="139"/>
      <c r="N33" s="6">
        <f>'APPVIII PG 6'!M16</f>
        <v>0</v>
      </c>
      <c r="O33" s="215"/>
      <c r="P33" s="6">
        <f t="shared" si="0"/>
        <v>0</v>
      </c>
      <c r="Q33" s="55"/>
    </row>
    <row r="34" spans="1:17" ht="15">
      <c r="A34" s="3" t="s">
        <v>543</v>
      </c>
      <c r="B34" s="12">
        <f>SUM(B29:B33)</f>
        <v>0</v>
      </c>
      <c r="C34" s="12"/>
      <c r="D34" s="12">
        <f>SUM(D29:D33)</f>
        <v>0</v>
      </c>
      <c r="E34" s="3"/>
      <c r="F34" s="12">
        <f>SUM(F29:F33)</f>
        <v>0</v>
      </c>
      <c r="H34" s="12">
        <f>SUM(H29:H33)</f>
        <v>0</v>
      </c>
      <c r="J34" s="55">
        <f>SUM(J29:J33)</f>
        <v>0</v>
      </c>
      <c r="K34" s="215"/>
      <c r="L34" s="359">
        <f>SUM(L29:L33)</f>
        <v>0</v>
      </c>
      <c r="M34" s="215"/>
      <c r="N34" s="359">
        <f>SUM(N29:N33)</f>
        <v>0</v>
      </c>
      <c r="O34" s="215"/>
      <c r="P34" s="359">
        <f t="shared" si="0"/>
        <v>0</v>
      </c>
      <c r="Q34" s="55"/>
    </row>
    <row r="35" spans="1:17" ht="15">
      <c r="A35" s="3"/>
      <c r="B35" s="12"/>
      <c r="C35" s="12"/>
      <c r="D35" s="12"/>
      <c r="E35" s="3"/>
      <c r="F35" s="12"/>
      <c r="H35" s="12"/>
      <c r="J35" s="55"/>
      <c r="K35" s="215"/>
      <c r="L35" s="215"/>
      <c r="M35" s="215"/>
      <c r="N35" s="215"/>
      <c r="O35" s="215"/>
      <c r="P35" s="55"/>
      <c r="Q35" s="55"/>
    </row>
    <row r="36" spans="1:17" ht="16.5">
      <c r="A36" s="23" t="s">
        <v>1632</v>
      </c>
      <c r="B36" s="12"/>
      <c r="C36" s="12"/>
      <c r="D36" s="12"/>
      <c r="E36" s="3"/>
      <c r="F36" s="12"/>
      <c r="H36" s="12"/>
      <c r="J36" s="55"/>
      <c r="K36" s="215"/>
      <c r="L36" s="215"/>
      <c r="M36" s="215"/>
      <c r="N36" s="215"/>
      <c r="O36" s="215"/>
      <c r="P36" s="55"/>
      <c r="Q36" s="55"/>
    </row>
    <row r="37" spans="1:21" ht="16.5">
      <c r="A37" s="3"/>
      <c r="B37" s="12"/>
      <c r="C37" s="12"/>
      <c r="D37" s="12"/>
      <c r="E37" s="3"/>
      <c r="F37" s="12"/>
      <c r="H37" s="49" t="s">
        <v>539</v>
      </c>
      <c r="J37" s="49" t="s">
        <v>887</v>
      </c>
      <c r="K37" s="49"/>
      <c r="L37" s="1192" t="s">
        <v>20</v>
      </c>
      <c r="M37" s="1192"/>
      <c r="N37" s="1192"/>
      <c r="O37" s="49"/>
      <c r="P37" s="49" t="s">
        <v>1310</v>
      </c>
      <c r="R37" s="55"/>
      <c r="S37" s="215"/>
      <c r="T37" s="55"/>
      <c r="U37" s="12"/>
    </row>
    <row r="38" spans="1:17" ht="16.5">
      <c r="A38" s="3"/>
      <c r="B38" s="14" t="s">
        <v>743</v>
      </c>
      <c r="C38" s="3"/>
      <c r="D38" s="14" t="s">
        <v>743</v>
      </c>
      <c r="E38" s="3"/>
      <c r="F38" s="14" t="s">
        <v>743</v>
      </c>
      <c r="H38" s="49" t="s">
        <v>744</v>
      </c>
      <c r="J38" s="49" t="s">
        <v>1308</v>
      </c>
      <c r="K38" s="49"/>
      <c r="L38" s="14" t="s">
        <v>743</v>
      </c>
      <c r="M38" s="49"/>
      <c r="N38" s="14" t="s">
        <v>743</v>
      </c>
      <c r="O38" s="49"/>
      <c r="P38" s="49" t="s">
        <v>1313</v>
      </c>
      <c r="Q38" s="59"/>
    </row>
    <row r="39" spans="1:17" ht="16.5">
      <c r="A39" s="3"/>
      <c r="B39" s="18" t="s">
        <v>1646</v>
      </c>
      <c r="C39" s="3"/>
      <c r="D39" s="17">
        <v>4210.043</v>
      </c>
      <c r="E39" s="3"/>
      <c r="F39" s="17">
        <v>4210.044</v>
      </c>
      <c r="H39" s="282" t="s">
        <v>745</v>
      </c>
      <c r="J39" s="282" t="s">
        <v>327</v>
      </c>
      <c r="K39" s="11"/>
      <c r="L39" s="17">
        <v>4470.144</v>
      </c>
      <c r="M39" s="11"/>
      <c r="N39" s="17">
        <v>4470.043</v>
      </c>
      <c r="O39" s="11"/>
      <c r="P39" s="282" t="s">
        <v>1314</v>
      </c>
      <c r="Q39" s="59"/>
    </row>
    <row r="40" spans="1:17" ht="15">
      <c r="A40" s="3" t="s">
        <v>1648</v>
      </c>
      <c r="B40" s="13">
        <f>'APPVIII PG 7'!C53</f>
        <v>0</v>
      </c>
      <c r="C40" s="13"/>
      <c r="D40" s="13">
        <f>'APPVIII PG 7'!D53</f>
        <v>0</v>
      </c>
      <c r="E40" s="13"/>
      <c r="F40" s="13">
        <f>'APPVIII PG 7'!E53</f>
        <v>0</v>
      </c>
      <c r="G40" s="218"/>
      <c r="H40" s="13">
        <f>'APPVIII PG 7'!F53</f>
        <v>0</v>
      </c>
      <c r="I40" s="218"/>
      <c r="J40" s="6">
        <f>INPUT!W49</f>
        <v>0</v>
      </c>
      <c r="K40" s="215"/>
      <c r="L40" s="6">
        <f>'APPVIII PG 6'!S12</f>
        <v>0</v>
      </c>
      <c r="M40" s="139"/>
      <c r="N40" s="6">
        <f>'APPVIII PG 6'!T12</f>
        <v>0</v>
      </c>
      <c r="O40" s="215"/>
      <c r="P40" s="55">
        <f>H40-J40+L40+N40</f>
        <v>0</v>
      </c>
      <c r="Q40" s="55"/>
    </row>
    <row r="41" spans="1:17" ht="15">
      <c r="A41" s="3" t="s">
        <v>1649</v>
      </c>
      <c r="B41" s="13">
        <f>'APPVIII PG 7'!C54</f>
        <v>0</v>
      </c>
      <c r="C41" s="13"/>
      <c r="D41" s="13">
        <f>'APPVIII PG 7'!D54</f>
        <v>0</v>
      </c>
      <c r="E41" s="13"/>
      <c r="F41" s="13">
        <f>'APPVIII PG 7'!E54</f>
        <v>0</v>
      </c>
      <c r="G41" s="218"/>
      <c r="H41" s="13">
        <f>'APPVIII PG 7'!F54</f>
        <v>0</v>
      </c>
      <c r="I41" s="218"/>
      <c r="J41" s="6">
        <f>INPUT!W50</f>
        <v>0</v>
      </c>
      <c r="K41" s="215"/>
      <c r="L41" s="6">
        <f>'APPVIII PG 6'!S13</f>
        <v>0</v>
      </c>
      <c r="M41" s="139"/>
      <c r="N41" s="6">
        <f>'APPVIII PG 6'!T13</f>
        <v>0</v>
      </c>
      <c r="O41" s="215"/>
      <c r="P41" s="6">
        <f>H41-J41+L41+N41</f>
        <v>0</v>
      </c>
      <c r="Q41" s="55"/>
    </row>
    <row r="42" spans="1:17" ht="15">
      <c r="A42" s="3" t="s">
        <v>1650</v>
      </c>
      <c r="B42" s="13">
        <f>'APPVIII PG 7'!C55</f>
        <v>0</v>
      </c>
      <c r="C42" s="13"/>
      <c r="D42" s="13">
        <f>'APPVIII PG 7'!D55</f>
        <v>0</v>
      </c>
      <c r="E42" s="13"/>
      <c r="F42" s="13">
        <f>'APPVIII PG 7'!E55</f>
        <v>0</v>
      </c>
      <c r="G42" s="218"/>
      <c r="H42" s="13">
        <f>'APPVIII PG 7'!F55</f>
        <v>0</v>
      </c>
      <c r="I42" s="218"/>
      <c r="J42" s="6">
        <f>INPUT!W51</f>
        <v>0</v>
      </c>
      <c r="K42" s="215"/>
      <c r="L42" s="6">
        <f>'APPVIII PG 6'!S14</f>
        <v>0</v>
      </c>
      <c r="M42" s="139"/>
      <c r="N42" s="6">
        <f>'APPVIII PG 6'!T14</f>
        <v>0</v>
      </c>
      <c r="O42" s="215"/>
      <c r="P42" s="55">
        <f>H42-J42+L42+N42</f>
        <v>0</v>
      </c>
      <c r="Q42" s="55"/>
    </row>
    <row r="43" spans="1:17" ht="15">
      <c r="A43" s="3" t="s">
        <v>1651</v>
      </c>
      <c r="B43" s="21">
        <f>'APPVIII PG 7'!C56</f>
        <v>0</v>
      </c>
      <c r="C43" s="13"/>
      <c r="D43" s="21">
        <f>'APPVIII PG 7'!D56</f>
        <v>0</v>
      </c>
      <c r="E43" s="13"/>
      <c r="F43" s="21">
        <f>'APPVIII PG 7'!E56</f>
        <v>0</v>
      </c>
      <c r="G43" s="218"/>
      <c r="H43" s="21">
        <f>'APPVIII PG 7'!F56</f>
        <v>0</v>
      </c>
      <c r="I43" s="218"/>
      <c r="J43" s="21">
        <f>INPUT!W52</f>
        <v>0</v>
      </c>
      <c r="K43" s="215"/>
      <c r="L43" s="6">
        <f>'APPVIII PG 6'!S15</f>
        <v>0</v>
      </c>
      <c r="M43" s="139"/>
      <c r="N43" s="6">
        <f>'APPVIII PG 6'!T15</f>
        <v>0</v>
      </c>
      <c r="O43" s="215"/>
      <c r="P43" s="55">
        <f>H43-J43+L43+N43</f>
        <v>0</v>
      </c>
      <c r="Q43" s="55"/>
    </row>
    <row r="44" spans="1:17" ht="15">
      <c r="A44" s="3" t="s">
        <v>543</v>
      </c>
      <c r="B44" s="12">
        <f>SUM(B40:B43)</f>
        <v>0</v>
      </c>
      <c r="C44" s="12"/>
      <c r="D44" s="12">
        <f>SUM(D40:D43)</f>
        <v>0</v>
      </c>
      <c r="E44" s="3"/>
      <c r="F44" s="12">
        <f>SUM(F40:F43)</f>
        <v>0</v>
      </c>
      <c r="H44" s="12">
        <f>SUM(H40:H43)</f>
        <v>0</v>
      </c>
      <c r="J44" s="55">
        <f>SUM(J40:J43)</f>
        <v>0</v>
      </c>
      <c r="K44" s="215"/>
      <c r="L44" s="359">
        <f>SUM(L40:L43)</f>
        <v>0</v>
      </c>
      <c r="M44" s="215"/>
      <c r="N44" s="359">
        <f>SUM(N40:N43)</f>
        <v>0</v>
      </c>
      <c r="O44" s="215"/>
      <c r="P44" s="359">
        <f>H44-J44+L44+N44</f>
        <v>0</v>
      </c>
      <c r="Q44" s="55"/>
    </row>
    <row r="45" spans="1:20" ht="15">
      <c r="A45" s="128"/>
      <c r="C45" s="127"/>
      <c r="D45" s="127"/>
      <c r="E45" s="127"/>
      <c r="F45" s="127"/>
      <c r="G45" s="127"/>
      <c r="H45" s="127"/>
      <c r="I45" s="127"/>
      <c r="J45" s="3"/>
      <c r="K45" s="3"/>
      <c r="T45" s="208"/>
    </row>
    <row r="46" spans="1:20" ht="15">
      <c r="A46" s="68" t="s">
        <v>1071</v>
      </c>
      <c r="B46" s="19" t="s">
        <v>197</v>
      </c>
      <c r="C46" s="127"/>
      <c r="D46" s="127"/>
      <c r="E46" s="127"/>
      <c r="F46" s="127"/>
      <c r="G46" s="127"/>
      <c r="H46" s="127"/>
      <c r="I46" s="127"/>
      <c r="L46" s="218"/>
      <c r="M46" s="218"/>
      <c r="N46" s="218"/>
      <c r="O46" s="218"/>
      <c r="P46" s="218"/>
      <c r="Q46" s="218"/>
      <c r="R46" s="218"/>
      <c r="T46" s="208"/>
    </row>
    <row r="47" spans="1:20" s="218" customFormat="1" ht="15">
      <c r="A47" s="246"/>
      <c r="B47" s="220"/>
      <c r="C47" s="238"/>
      <c r="D47" s="238"/>
      <c r="E47" s="238"/>
      <c r="F47" s="238"/>
      <c r="G47" s="238"/>
      <c r="H47" s="238"/>
      <c r="I47" s="238"/>
      <c r="L47"/>
      <c r="M47"/>
      <c r="N47"/>
      <c r="O47"/>
      <c r="P47"/>
      <c r="Q47"/>
      <c r="R47"/>
      <c r="T47" s="347"/>
    </row>
    <row r="48" spans="2:20" ht="15">
      <c r="B48" s="2"/>
      <c r="C48" s="127"/>
      <c r="D48" s="127"/>
      <c r="E48" s="127"/>
      <c r="F48" s="127"/>
      <c r="G48" s="127"/>
      <c r="H48" s="127"/>
      <c r="I48" s="127"/>
      <c r="J48" s="127"/>
      <c r="T48" s="208"/>
    </row>
    <row r="49" ht="14.25">
      <c r="B49" s="238"/>
    </row>
  </sheetData>
  <sheetProtection/>
  <mergeCells count="4">
    <mergeCell ref="B7:F7"/>
    <mergeCell ref="A4:L4"/>
    <mergeCell ref="L26:N26"/>
    <mergeCell ref="L37:N37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10.57421875" style="3" bestFit="1" customWidth="1"/>
    <col min="4" max="4" width="5.7109375" style="3" customWidth="1"/>
    <col min="5" max="5" width="11.7109375" style="3" bestFit="1" customWidth="1"/>
    <col min="6" max="6" width="5.7109375" style="3" customWidth="1"/>
    <col min="7" max="7" width="14.00390625" style="3" customWidth="1"/>
    <col min="8" max="8" width="5.7109375" style="3" customWidth="1"/>
    <col min="9" max="9" width="10.57421875" style="3" bestFit="1" customWidth="1"/>
    <col min="10" max="10" width="5.7109375" style="3" customWidth="1"/>
    <col min="11" max="11" width="12.7109375" style="3" bestFit="1" customWidth="1"/>
    <col min="12" max="16384" width="9.140625" style="3" customWidth="1"/>
  </cols>
  <sheetData>
    <row r="1" spans="1:11" ht="16.5">
      <c r="A1" s="23" t="s">
        <v>1294</v>
      </c>
      <c r="B1" s="15" t="str">
        <f>INPUT!C1</f>
        <v>February 2012</v>
      </c>
      <c r="K1" s="14" t="s">
        <v>1014</v>
      </c>
    </row>
    <row r="3" ht="16.5">
      <c r="F3" s="14" t="s">
        <v>1015</v>
      </c>
    </row>
    <row r="4" ht="16.5">
      <c r="F4" s="14" t="s">
        <v>1046</v>
      </c>
    </row>
    <row r="6" ht="16.5">
      <c r="A6" s="23" t="s">
        <v>1047</v>
      </c>
    </row>
    <row r="7" spans="5:11" ht="16.5">
      <c r="E7" s="14" t="s">
        <v>1385</v>
      </c>
      <c r="G7" s="14" t="s">
        <v>1386</v>
      </c>
      <c r="I7" s="16"/>
      <c r="J7" s="17" t="s">
        <v>1310</v>
      </c>
      <c r="K7" s="16"/>
    </row>
    <row r="8" spans="3:11" ht="16.5">
      <c r="C8" s="17" t="s">
        <v>189</v>
      </c>
      <c r="E8" s="18" t="s">
        <v>1296</v>
      </c>
      <c r="G8" s="18" t="s">
        <v>130</v>
      </c>
      <c r="I8" s="17" t="s">
        <v>189</v>
      </c>
      <c r="K8" s="17" t="s">
        <v>1387</v>
      </c>
    </row>
    <row r="10" spans="1:11" ht="15">
      <c r="A10" s="3" t="s">
        <v>926</v>
      </c>
      <c r="C10" s="13">
        <f>INPUT!J59</f>
        <v>220671</v>
      </c>
      <c r="E10" s="13">
        <f>+INPUT!L59+PAGE11!I19+PAGE11!I30</f>
        <v>6040405.500999999</v>
      </c>
      <c r="G10" s="53">
        <f>INPUT!C5</f>
        <v>0.3052</v>
      </c>
      <c r="I10" s="12">
        <f>ROUND(C10*G10,)</f>
        <v>67349</v>
      </c>
      <c r="K10" s="12">
        <f>ROUND(E10*G10,0)</f>
        <v>1843532</v>
      </c>
    </row>
    <row r="11" spans="1:11" ht="15">
      <c r="A11" s="3" t="s">
        <v>927</v>
      </c>
      <c r="C11" s="13">
        <f>INPUT!J60</f>
        <v>42138</v>
      </c>
      <c r="E11" s="13">
        <f>+INPUT!L60+PAGE11!I20+PAGE11!I31</f>
        <v>1117654.86664561</v>
      </c>
      <c r="G11" s="53">
        <f>INPUT!C6</f>
        <v>0.06409</v>
      </c>
      <c r="I11" s="12">
        <f>ROUND(C11*G11,)</f>
        <v>2701</v>
      </c>
      <c r="K11" s="12">
        <f>ROUND(E11*G11,0)</f>
        <v>71631</v>
      </c>
    </row>
    <row r="12" spans="1:11" ht="15">
      <c r="A12" s="3" t="s">
        <v>928</v>
      </c>
      <c r="C12" s="13">
        <f>INPUT!J61</f>
        <v>162035</v>
      </c>
      <c r="E12" s="13">
        <f>+INPUT!L61+PAGE11!I21+PAGE11!I32</f>
        <v>3586723.08561964</v>
      </c>
      <c r="G12" s="53">
        <f>INPUT!C7</f>
        <v>0.20368</v>
      </c>
      <c r="I12" s="12">
        <f>ROUND(C12*G12,)</f>
        <v>33003</v>
      </c>
      <c r="K12" s="13">
        <f>ROUND(E12*G12,0)</f>
        <v>730544</v>
      </c>
    </row>
    <row r="13" spans="1:11" ht="15">
      <c r="A13" s="3" t="s">
        <v>929</v>
      </c>
      <c r="C13" s="13">
        <f>INPUT!J62</f>
        <v>519389</v>
      </c>
      <c r="E13" s="13">
        <f>+INPUT!L62+PAGE11!I22+PAGE11!I33</f>
        <v>14363172.535963245</v>
      </c>
      <c r="G13" s="53">
        <f>INPUT!C8</f>
        <v>0.42703</v>
      </c>
      <c r="I13" s="12">
        <f>ROUND(C13*G13,)</f>
        <v>221795</v>
      </c>
      <c r="K13" s="12">
        <f>ROUND(E13*G13,0)</f>
        <v>6133506</v>
      </c>
    </row>
    <row r="14" spans="1:11" ht="15">
      <c r="A14" s="3" t="s">
        <v>1754</v>
      </c>
      <c r="C14" s="21">
        <f>INPUT!J63</f>
        <v>0</v>
      </c>
      <c r="E14" s="21">
        <f>+INPUT!L63+PAGE11!I23+PAGE11!I34</f>
        <v>0</v>
      </c>
      <c r="G14" s="54">
        <f>INPUT!C9</f>
        <v>0</v>
      </c>
      <c r="I14" s="22">
        <f>ROUND(C14*G14,)</f>
        <v>0</v>
      </c>
      <c r="K14" s="22">
        <f>ROUND(E14*G14,0)</f>
        <v>0</v>
      </c>
    </row>
    <row r="15" spans="1:11" ht="15">
      <c r="A15" s="3" t="s">
        <v>543</v>
      </c>
      <c r="C15" s="13">
        <f>SUM(C10:C14)</f>
        <v>944233</v>
      </c>
      <c r="E15" s="13">
        <f>SUM(E10:E14)</f>
        <v>25107955.989228494</v>
      </c>
      <c r="G15" s="53">
        <f>SUM(G10:G14)</f>
        <v>1</v>
      </c>
      <c r="I15" s="12">
        <f>SUM(I10:I14)</f>
        <v>324848</v>
      </c>
      <c r="K15" s="12">
        <f>SUM(K10:K14)</f>
        <v>8779213</v>
      </c>
    </row>
    <row r="17" ht="16.5">
      <c r="A17" s="23" t="s">
        <v>569</v>
      </c>
    </row>
    <row r="18" spans="5:11" ht="16.5">
      <c r="E18" s="14" t="s">
        <v>1388</v>
      </c>
      <c r="G18" s="14" t="s">
        <v>1386</v>
      </c>
      <c r="I18" s="16"/>
      <c r="J18" s="17" t="s">
        <v>1310</v>
      </c>
      <c r="K18" s="16"/>
    </row>
    <row r="19" spans="3:11" ht="16.5">
      <c r="C19" s="17" t="s">
        <v>189</v>
      </c>
      <c r="E19" s="18" t="s">
        <v>1296</v>
      </c>
      <c r="G19" s="18" t="s">
        <v>130</v>
      </c>
      <c r="I19" s="17" t="s">
        <v>189</v>
      </c>
      <c r="K19" s="17" t="s">
        <v>1387</v>
      </c>
    </row>
    <row r="21" spans="1:11" ht="15">
      <c r="A21" s="3" t="s">
        <v>926</v>
      </c>
      <c r="C21" s="13">
        <f>INPUT!M59</f>
        <v>123846</v>
      </c>
      <c r="D21" s="2"/>
      <c r="E21" s="13">
        <f>INPUT!O59</f>
        <v>9115750</v>
      </c>
      <c r="G21" s="53">
        <f>INPUT!C5</f>
        <v>0.3052</v>
      </c>
      <c r="I21" s="12">
        <f>ROUND(C21*G21,)</f>
        <v>37798</v>
      </c>
      <c r="K21" s="12">
        <f>ROUND(E21*G21,0)</f>
        <v>2782127</v>
      </c>
    </row>
    <row r="22" spans="1:11" ht="15">
      <c r="A22" s="3" t="s">
        <v>927</v>
      </c>
      <c r="C22" s="13">
        <f>INPUT!M60</f>
        <v>0</v>
      </c>
      <c r="D22" s="2"/>
      <c r="E22" s="13">
        <f>INPUT!O60</f>
        <v>0</v>
      </c>
      <c r="G22" s="53">
        <f>INPUT!C6</f>
        <v>0.06409</v>
      </c>
      <c r="I22" s="12">
        <f>ROUND(C22*G22,)</f>
        <v>0</v>
      </c>
      <c r="K22" s="12">
        <f>ROUND(E22*G22,0)</f>
        <v>0</v>
      </c>
    </row>
    <row r="23" spans="1:11" ht="15">
      <c r="A23" s="3" t="s">
        <v>928</v>
      </c>
      <c r="C23" s="13">
        <f>INPUT!M61</f>
        <v>61961</v>
      </c>
      <c r="D23" s="2"/>
      <c r="E23" s="13">
        <f>INPUT!O61</f>
        <v>4560651</v>
      </c>
      <c r="G23" s="53">
        <f>INPUT!C7</f>
        <v>0.20368</v>
      </c>
      <c r="I23" s="12">
        <f>ROUND(C23*G23,)</f>
        <v>12620</v>
      </c>
      <c r="K23" s="12">
        <f>ROUND(E23*G23,0)</f>
        <v>928913</v>
      </c>
    </row>
    <row r="24" spans="1:11" ht="15">
      <c r="A24" s="3" t="s">
        <v>929</v>
      </c>
      <c r="C24" s="13">
        <f>INPUT!M62</f>
        <v>154213</v>
      </c>
      <c r="D24" s="2"/>
      <c r="E24" s="13">
        <f>INPUT!O62</f>
        <v>4623297</v>
      </c>
      <c r="G24" s="53">
        <f>INPUT!C8</f>
        <v>0.42703</v>
      </c>
      <c r="I24" s="12">
        <f>ROUND(C24*G24,)</f>
        <v>65854</v>
      </c>
      <c r="K24" s="12">
        <f>ROUND(E24*G24,0)</f>
        <v>1974287</v>
      </c>
    </row>
    <row r="25" spans="1:11" ht="15">
      <c r="A25" s="3" t="s">
        <v>1754</v>
      </c>
      <c r="C25" s="21">
        <f>INPUT!M63</f>
        <v>0</v>
      </c>
      <c r="D25" s="2"/>
      <c r="E25" s="21">
        <f>INPUT!O63</f>
        <v>0</v>
      </c>
      <c r="G25" s="54">
        <f>INPUT!C9</f>
        <v>0</v>
      </c>
      <c r="I25" s="22">
        <f>ROUND(C25*G25,)</f>
        <v>0</v>
      </c>
      <c r="K25" s="22">
        <f>ROUND(E25*G25,0)</f>
        <v>0</v>
      </c>
    </row>
    <row r="26" spans="1:11" ht="15">
      <c r="A26" s="3" t="s">
        <v>543</v>
      </c>
      <c r="C26" s="13">
        <f>SUM(C21:C25)</f>
        <v>340020</v>
      </c>
      <c r="D26" s="2"/>
      <c r="E26" s="13">
        <f>SUM(E21:E25)</f>
        <v>18299698</v>
      </c>
      <c r="G26" s="53">
        <f>SUM(G21:G25)</f>
        <v>1</v>
      </c>
      <c r="I26" s="12">
        <f>SUM(I21:I25)</f>
        <v>116272</v>
      </c>
      <c r="K26" s="12">
        <f>SUM(K21:K25)</f>
        <v>5685327</v>
      </c>
    </row>
    <row r="28" ht="16.5">
      <c r="A28" s="23" t="s">
        <v>238</v>
      </c>
    </row>
    <row r="29" spans="9:11" ht="16.5">
      <c r="I29" s="16"/>
      <c r="J29" s="17" t="s">
        <v>239</v>
      </c>
      <c r="K29" s="16"/>
    </row>
    <row r="30" spans="9:11" ht="16.5">
      <c r="I30" s="17" t="s">
        <v>189</v>
      </c>
      <c r="K30" s="17" t="s">
        <v>1387</v>
      </c>
    </row>
    <row r="32" spans="1:11" ht="15">
      <c r="A32" s="3" t="s">
        <v>926</v>
      </c>
      <c r="I32" s="13">
        <f>INPUT!P59-PAGE7!C21</f>
        <v>80458</v>
      </c>
      <c r="J32" s="2"/>
      <c r="K32" s="13">
        <f>INPUT!R59-PAGE7!E21</f>
        <v>2312928</v>
      </c>
    </row>
    <row r="33" spans="1:11" ht="15">
      <c r="A33" s="3" t="s">
        <v>927</v>
      </c>
      <c r="I33" s="13">
        <f>INPUT!P60-PAGE7!C22</f>
        <v>16896</v>
      </c>
      <c r="J33" s="2"/>
      <c r="K33" s="13">
        <f>INPUT!R60-PAGE7!E22</f>
        <v>485700</v>
      </c>
    </row>
    <row r="34" spans="1:11" ht="15">
      <c r="A34" s="3" t="s">
        <v>928</v>
      </c>
      <c r="I34" s="13">
        <f>INPUT!P61-PAGE7!C23</f>
        <v>53695</v>
      </c>
      <c r="J34" s="2"/>
      <c r="K34" s="13">
        <f>INPUT!R61-PAGE7!E23</f>
        <v>1543569</v>
      </c>
    </row>
    <row r="35" spans="1:11" ht="15">
      <c r="A35" s="3" t="s">
        <v>929</v>
      </c>
      <c r="I35" s="13">
        <f>INPUT!P62-PAGE7!C24</f>
        <v>112576</v>
      </c>
      <c r="J35" s="2"/>
      <c r="K35" s="13">
        <f>INPUT!R62-PAGE7!E24</f>
        <v>3236205</v>
      </c>
    </row>
    <row r="36" spans="1:11" ht="15">
      <c r="A36" s="3" t="s">
        <v>1754</v>
      </c>
      <c r="I36" s="21">
        <f>INPUT!P63-PAGE7!C25</f>
        <v>0</v>
      </c>
      <c r="J36" s="2"/>
      <c r="K36" s="21">
        <f>INPUT!R63-PAGE7!E25</f>
        <v>0</v>
      </c>
    </row>
    <row r="37" spans="1:11" ht="15">
      <c r="A37" s="3" t="s">
        <v>543</v>
      </c>
      <c r="I37" s="13">
        <f>SUM(I32:I36)</f>
        <v>263625</v>
      </c>
      <c r="J37" s="2"/>
      <c r="K37" s="13">
        <f>SUM(K32:K36)</f>
        <v>7578402</v>
      </c>
    </row>
    <row r="39" ht="16.5">
      <c r="A39" s="23" t="s">
        <v>240</v>
      </c>
    </row>
    <row r="40" spans="1:10" ht="16.5">
      <c r="A40" s="23"/>
      <c r="J40" s="14" t="s">
        <v>241</v>
      </c>
    </row>
    <row r="41" spans="9:11" ht="16.5">
      <c r="I41" s="16"/>
      <c r="J41" s="17" t="s">
        <v>242</v>
      </c>
      <c r="K41" s="16"/>
    </row>
    <row r="42" spans="9:11" ht="16.5">
      <c r="I42" s="17" t="s">
        <v>189</v>
      </c>
      <c r="K42" s="17" t="s">
        <v>1387</v>
      </c>
    </row>
    <row r="44" spans="1:11" ht="15">
      <c r="A44" s="3" t="s">
        <v>926</v>
      </c>
      <c r="I44" s="12">
        <f>+I10+I21+I32</f>
        <v>185605</v>
      </c>
      <c r="K44" s="12">
        <f>+K10+K21+K32</f>
        <v>6938587</v>
      </c>
    </row>
    <row r="45" spans="1:11" ht="15">
      <c r="A45" s="3" t="s">
        <v>927</v>
      </c>
      <c r="I45" s="12">
        <f>+I11+I22+I33</f>
        <v>19597</v>
      </c>
      <c r="K45" s="12">
        <f>+K11+K22+K33</f>
        <v>557331</v>
      </c>
    </row>
    <row r="46" spans="1:11" ht="15">
      <c r="A46" s="3" t="s">
        <v>928</v>
      </c>
      <c r="I46" s="12">
        <f>+I12+I23+I34</f>
        <v>99318</v>
      </c>
      <c r="K46" s="12">
        <f>+K12+K23+K34</f>
        <v>3203026</v>
      </c>
    </row>
    <row r="47" spans="1:11" ht="15">
      <c r="A47" s="3" t="s">
        <v>929</v>
      </c>
      <c r="I47" s="12">
        <f>+I13+I24+I35</f>
        <v>400225</v>
      </c>
      <c r="K47" s="12">
        <f>+K13+K24+K35</f>
        <v>11343998</v>
      </c>
    </row>
    <row r="48" spans="1:11" ht="15">
      <c r="A48" s="3" t="s">
        <v>1754</v>
      </c>
      <c r="I48" s="22">
        <f>+I14+I25+I36</f>
        <v>0</v>
      </c>
      <c r="K48" s="22">
        <f>+K14+K25+K36</f>
        <v>0</v>
      </c>
    </row>
    <row r="49" spans="1:11" ht="15">
      <c r="A49" s="3" t="s">
        <v>543</v>
      </c>
      <c r="I49" s="12">
        <f>SUM(I44:I48)</f>
        <v>704745</v>
      </c>
      <c r="K49" s="12">
        <f>SUM(K44:K48)</f>
        <v>22042942</v>
      </c>
    </row>
    <row r="51" ht="16.5">
      <c r="A51" s="23" t="s">
        <v>1690</v>
      </c>
    </row>
    <row r="52" spans="1:10" ht="15">
      <c r="A52" s="220" t="s">
        <v>571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20" t="s">
        <v>570</v>
      </c>
      <c r="B53" s="2"/>
      <c r="C53" s="2"/>
      <c r="D53" s="2"/>
      <c r="E53" s="2"/>
      <c r="F53" s="2"/>
      <c r="G53" s="2"/>
      <c r="H53" s="2"/>
      <c r="I53" s="2"/>
      <c r="J53" s="2"/>
    </row>
    <row r="54" ht="15">
      <c r="A54" s="19" t="s">
        <v>243</v>
      </c>
    </row>
    <row r="55" spans="1:8" ht="15">
      <c r="A55" s="220" t="s">
        <v>559</v>
      </c>
      <c r="B55" s="2"/>
      <c r="C55" s="2"/>
      <c r="D55" s="2"/>
      <c r="E55" s="2"/>
      <c r="F55" s="2"/>
      <c r="G55" s="2"/>
      <c r="H55" s="2"/>
    </row>
  </sheetData>
  <sheetProtection/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32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4.7109375" style="3" hidden="1" customWidth="1"/>
    <col min="2" max="2" width="14.28125" style="3" customWidth="1"/>
    <col min="3" max="4" width="9.140625" style="3" customWidth="1"/>
    <col min="5" max="5" width="10.8515625" style="3" bestFit="1" customWidth="1"/>
    <col min="6" max="6" width="9.140625" style="3" customWidth="1"/>
    <col min="7" max="7" width="9.28125" style="3" customWidth="1"/>
    <col min="8" max="8" width="9.140625" style="3" customWidth="1"/>
    <col min="9" max="9" width="12.00390625" style="3" customWidth="1"/>
    <col min="10" max="10" width="3.57421875" style="3" bestFit="1" customWidth="1"/>
    <col min="11" max="11" width="9.140625" style="3" customWidth="1"/>
    <col min="12" max="12" width="8.00390625" style="3" bestFit="1" customWidth="1"/>
    <col min="13" max="13" width="12.421875" style="3" bestFit="1" customWidth="1"/>
    <col min="14" max="14" width="1.7109375" style="3" customWidth="1"/>
    <col min="15" max="15" width="8.421875" style="3" bestFit="1" customWidth="1"/>
    <col min="16" max="16" width="12.00390625" style="3" bestFit="1" customWidth="1"/>
    <col min="17" max="16384" width="9.140625" style="3" customWidth="1"/>
  </cols>
  <sheetData>
    <row r="1" spans="2:9" ht="16.5">
      <c r="B1" s="23" t="s">
        <v>1294</v>
      </c>
      <c r="C1" s="15" t="str">
        <f>INPUT!C1</f>
        <v>February 2012</v>
      </c>
      <c r="I1" s="14" t="s">
        <v>244</v>
      </c>
    </row>
    <row r="3" ht="16.5">
      <c r="D3" s="14" t="s">
        <v>245</v>
      </c>
    </row>
    <row r="4" spans="7:9" ht="16.5">
      <c r="G4" s="16"/>
      <c r="H4" s="17" t="s">
        <v>246</v>
      </c>
      <c r="I4" s="16"/>
    </row>
    <row r="5" spans="2:9" ht="16.5">
      <c r="B5" s="14" t="s">
        <v>247</v>
      </c>
      <c r="C5" s="14"/>
      <c r="D5" s="14"/>
      <c r="E5" s="14"/>
      <c r="F5" s="14"/>
      <c r="G5" s="14" t="s">
        <v>923</v>
      </c>
      <c r="H5" s="14"/>
      <c r="I5" s="14" t="s">
        <v>922</v>
      </c>
    </row>
    <row r="6" spans="2:9" ht="16.5">
      <c r="B6" s="17" t="s">
        <v>1298</v>
      </c>
      <c r="C6" s="14"/>
      <c r="D6" s="14"/>
      <c r="E6" s="17" t="s">
        <v>189</v>
      </c>
      <c r="F6" s="14"/>
      <c r="G6" s="17" t="s">
        <v>248</v>
      </c>
      <c r="H6" s="14"/>
      <c r="I6" s="18" t="s">
        <v>1296</v>
      </c>
    </row>
    <row r="8" spans="1:9" ht="15">
      <c r="A8" s="65" t="s">
        <v>249</v>
      </c>
      <c r="B8" s="3" t="s">
        <v>926</v>
      </c>
      <c r="E8" s="13">
        <f>INPUT!L68</f>
        <v>1485963.158</v>
      </c>
      <c r="G8" s="872">
        <f>IF(E8=0,0,I8/E8)</f>
        <v>20.797376687720007</v>
      </c>
      <c r="I8" s="13">
        <f>INPUT!M68</f>
        <v>30904135.541</v>
      </c>
    </row>
    <row r="9" spans="1:10" ht="15">
      <c r="A9" s="65" t="s">
        <v>250</v>
      </c>
      <c r="B9" s="3" t="s">
        <v>927</v>
      </c>
      <c r="E9" s="13">
        <f>INPUT!L69</f>
        <v>334607.92</v>
      </c>
      <c r="G9" s="872">
        <f>IF(E9=0,0,I9/E9)</f>
        <v>20.941163496667983</v>
      </c>
      <c r="I9" s="13">
        <f>INPUT!M69</f>
        <v>7007079.16</v>
      </c>
      <c r="J9" s="19"/>
    </row>
    <row r="10" spans="1:9" ht="15">
      <c r="A10" s="65" t="s">
        <v>251</v>
      </c>
      <c r="B10" s="3" t="s">
        <v>928</v>
      </c>
      <c r="E10" s="13">
        <f>INPUT!L70</f>
        <v>0</v>
      </c>
      <c r="G10" s="872">
        <f>IF(E10=0,0,I10/E10)</f>
        <v>0</v>
      </c>
      <c r="I10" s="13">
        <f>INPUT!M70</f>
        <v>0</v>
      </c>
    </row>
    <row r="11" spans="1:9" ht="15">
      <c r="A11" s="65" t="s">
        <v>252</v>
      </c>
      <c r="B11" s="3" t="s">
        <v>929</v>
      </c>
      <c r="E11" s="6">
        <f>INPUT!L71</f>
        <v>1491.821</v>
      </c>
      <c r="G11" s="872">
        <f>IF(E11=0,0,I11/E11)</f>
        <v>17.553003342894357</v>
      </c>
      <c r="I11" s="13">
        <f>INPUT!M71</f>
        <v>26185.939</v>
      </c>
    </row>
    <row r="12" spans="1:9" ht="15">
      <c r="A12" s="65" t="s">
        <v>253</v>
      </c>
      <c r="B12" s="3" t="s">
        <v>1754</v>
      </c>
      <c r="E12" s="21">
        <f>INPUT!L72</f>
        <v>0</v>
      </c>
      <c r="G12" s="72">
        <f>IF(E12=0,0,I12/E12)</f>
        <v>0</v>
      </c>
      <c r="I12" s="21">
        <f>INPUT!M72</f>
        <v>0</v>
      </c>
    </row>
    <row r="13" spans="1:9" ht="15">
      <c r="A13" s="65"/>
      <c r="E13" s="12"/>
      <c r="G13" s="2"/>
      <c r="I13" s="12"/>
    </row>
    <row r="14" spans="1:9" ht="16.5">
      <c r="A14" s="65" t="s">
        <v>989</v>
      </c>
      <c r="B14" s="23" t="s">
        <v>990</v>
      </c>
      <c r="E14" s="12">
        <f>SUM(E8:E12)</f>
        <v>1822062.899</v>
      </c>
      <c r="G14" s="69">
        <f>IF(E14=0,0,I14/E14)</f>
        <v>20.821125692653712</v>
      </c>
      <c r="I14" s="12">
        <f>SUM(I8:I12)</f>
        <v>37937400.64000001</v>
      </c>
    </row>
    <row r="15" spans="1:9" ht="16.5">
      <c r="A15" s="65"/>
      <c r="B15" s="23"/>
      <c r="E15" s="12"/>
      <c r="G15" s="69"/>
      <c r="I15" s="12"/>
    </row>
    <row r="16" spans="1:5" ht="15">
      <c r="A16" s="68"/>
      <c r="E16" s="12"/>
    </row>
    <row r="17" spans="1:9" ht="16.5">
      <c r="A17" s="68"/>
      <c r="B17" s="14" t="s">
        <v>543</v>
      </c>
      <c r="E17" s="12"/>
      <c r="G17" s="16"/>
      <c r="H17" s="17" t="s">
        <v>991</v>
      </c>
      <c r="I17" s="16"/>
    </row>
    <row r="18" spans="1:16" ht="16.5">
      <c r="A18" s="68"/>
      <c r="B18" s="14" t="s">
        <v>1705</v>
      </c>
      <c r="E18" s="12"/>
      <c r="G18" s="14" t="s">
        <v>923</v>
      </c>
      <c r="I18" s="14" t="s">
        <v>924</v>
      </c>
      <c r="L18" s="14" t="s">
        <v>248</v>
      </c>
      <c r="M18" s="14" t="s">
        <v>935</v>
      </c>
      <c r="N18" s="14"/>
      <c r="O18" s="14" t="s">
        <v>248</v>
      </c>
      <c r="P18" s="14" t="s">
        <v>935</v>
      </c>
    </row>
    <row r="19" spans="1:16" ht="16.5">
      <c r="A19" s="68"/>
      <c r="B19" s="17" t="s">
        <v>992</v>
      </c>
      <c r="E19" s="71" t="s">
        <v>189</v>
      </c>
      <c r="G19" s="17" t="s">
        <v>248</v>
      </c>
      <c r="I19" s="18" t="s">
        <v>1296</v>
      </c>
      <c r="L19" s="17" t="s">
        <v>936</v>
      </c>
      <c r="M19" s="17" t="s">
        <v>936</v>
      </c>
      <c r="N19" s="14"/>
      <c r="O19" s="17" t="s">
        <v>937</v>
      </c>
      <c r="P19" s="17" t="s">
        <v>937</v>
      </c>
    </row>
    <row r="20" spans="1:13" ht="16.5">
      <c r="A20" s="68"/>
      <c r="E20" s="12"/>
      <c r="M20" s="14"/>
    </row>
    <row r="21" spans="1:16" ht="15">
      <c r="A21" s="65" t="s">
        <v>374</v>
      </c>
      <c r="B21" s="3" t="s">
        <v>926</v>
      </c>
      <c r="E21" s="12">
        <f>INPUT!L76</f>
        <v>0</v>
      </c>
      <c r="G21" s="69">
        <f>IF(E21=0,0,APPV!J30)</f>
        <v>0</v>
      </c>
      <c r="I21" s="12">
        <f>INPUT!M76</f>
        <v>0</v>
      </c>
      <c r="L21" s="95">
        <f>IF(E21=0,0,I21/E21)</f>
        <v>0</v>
      </c>
      <c r="M21" s="262">
        <f>E21*G21</f>
        <v>0</v>
      </c>
      <c r="O21" s="66">
        <f>G21-L21</f>
        <v>0</v>
      </c>
      <c r="P21" s="396">
        <f>I21-M21</f>
        <v>0</v>
      </c>
    </row>
    <row r="22" spans="1:16" ht="15">
      <c r="A22" s="65" t="s">
        <v>377</v>
      </c>
      <c r="B22" s="3" t="s">
        <v>927</v>
      </c>
      <c r="E22" s="12">
        <f>INPUT!L77</f>
        <v>0</v>
      </c>
      <c r="G22" s="69">
        <f>IF(E22=0,0,APPV!J31)</f>
        <v>0</v>
      </c>
      <c r="I22" s="12">
        <f>INPUT!M77</f>
        <v>0</v>
      </c>
      <c r="L22" s="95">
        <f>IF(E22=0,0,I22/E22)</f>
        <v>0</v>
      </c>
      <c r="M22" s="262">
        <f>E22*G22</f>
        <v>0</v>
      </c>
      <c r="O22" s="66">
        <f>G22-L22</f>
        <v>0</v>
      </c>
      <c r="P22" s="396">
        <f>I22-M22</f>
        <v>0</v>
      </c>
    </row>
    <row r="23" spans="1:16" ht="15">
      <c r="A23" s="65" t="s">
        <v>5</v>
      </c>
      <c r="B23" s="3" t="s">
        <v>928</v>
      </c>
      <c r="E23" s="12">
        <f>INPUT!L78</f>
        <v>1187419.601</v>
      </c>
      <c r="G23" s="69">
        <f>IF(E23=0,0,APPV!J32)</f>
        <v>17.553</v>
      </c>
      <c r="I23" s="12">
        <f>INPUT!M78</f>
        <v>20843356.16</v>
      </c>
      <c r="L23" s="95">
        <f>IF(E23=0,0,I23/E23)</f>
        <v>17.553488372978272</v>
      </c>
      <c r="M23" s="262">
        <f>E23*G23</f>
        <v>20842776.256353002</v>
      </c>
      <c r="O23" s="66">
        <f>G23-L23</f>
        <v>-0.000488372978271201</v>
      </c>
      <c r="P23" s="396">
        <f>I23-M23</f>
        <v>579.9036469981074</v>
      </c>
    </row>
    <row r="24" spans="1:16" ht="15">
      <c r="A24" s="65" t="s">
        <v>6</v>
      </c>
      <c r="B24" s="3" t="s">
        <v>929</v>
      </c>
      <c r="E24" s="12">
        <f>INPUT!L79</f>
        <v>634643.282</v>
      </c>
      <c r="G24" s="69">
        <f>IF(E24=0,0,APPV!J33)</f>
        <v>26.935</v>
      </c>
      <c r="I24" s="12">
        <f>INPUT!M79</f>
        <v>17094044.474</v>
      </c>
      <c r="L24" s="751">
        <f>IF(E24=0,0,I24/E24)</f>
        <v>26.93488603571163</v>
      </c>
      <c r="M24" s="267">
        <f>E24*G24</f>
        <v>17094116.800669998</v>
      </c>
      <c r="N24" s="2"/>
      <c r="O24" s="69">
        <f>G24-L24</f>
        <v>0.00011396428836718542</v>
      </c>
      <c r="P24" s="752">
        <f>I24-M24</f>
        <v>-72.32666999846697</v>
      </c>
    </row>
    <row r="25" spans="1:16" ht="15">
      <c r="A25" s="65" t="s">
        <v>7</v>
      </c>
      <c r="B25" s="3" t="s">
        <v>1754</v>
      </c>
      <c r="E25" s="22">
        <f>INPUT!L80</f>
        <v>0</v>
      </c>
      <c r="G25" s="72">
        <f>IF(E25=0,0,APPV!J34)</f>
        <v>0</v>
      </c>
      <c r="I25" s="22">
        <f>INPUT!M80</f>
        <v>0</v>
      </c>
      <c r="L25" s="95">
        <f>IF(E25=0,0,I25/E25)</f>
        <v>0</v>
      </c>
      <c r="M25" s="262">
        <f>E25*G25</f>
        <v>0</v>
      </c>
      <c r="O25" s="66">
        <f>G25-L25</f>
        <v>0</v>
      </c>
      <c r="P25" s="396">
        <f>I25-M25</f>
        <v>0</v>
      </c>
    </row>
    <row r="26" spans="1:9" ht="15">
      <c r="A26" s="65"/>
      <c r="E26" s="12"/>
      <c r="I26" s="12"/>
    </row>
    <row r="27" spans="1:9" ht="16.5">
      <c r="A27" s="65" t="s">
        <v>8</v>
      </c>
      <c r="B27" s="23" t="s">
        <v>9</v>
      </c>
      <c r="E27" s="12">
        <f>SUM(E21:E25)</f>
        <v>1822062.883</v>
      </c>
      <c r="G27" s="69">
        <f>IF(E27=0,0,I27/E27)</f>
        <v>20.82112587219637</v>
      </c>
      <c r="I27" s="12">
        <f>SUM(I21:I26)</f>
        <v>37937400.634</v>
      </c>
    </row>
    <row r="28" spans="1:9" ht="16.5">
      <c r="A28" s="65"/>
      <c r="B28" s="23"/>
      <c r="E28" s="12"/>
      <c r="I28" s="12"/>
    </row>
    <row r="29" ht="15">
      <c r="A29" s="68"/>
    </row>
    <row r="30" ht="15">
      <c r="B30" s="3" t="s">
        <v>553</v>
      </c>
    </row>
    <row r="31" ht="15">
      <c r="B31" s="19" t="s">
        <v>940</v>
      </c>
    </row>
    <row r="32" ht="15">
      <c r="B32" s="19" t="s">
        <v>1866</v>
      </c>
    </row>
  </sheetData>
  <sheetProtection/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3" customWidth="1"/>
    <col min="2" max="3" width="9.140625" style="3" customWidth="1"/>
    <col min="4" max="4" width="10.8515625" style="3" bestFit="1" customWidth="1"/>
    <col min="5" max="5" width="9.140625" style="3" customWidth="1"/>
    <col min="6" max="6" width="9.28125" style="3" customWidth="1"/>
    <col min="7" max="7" width="9.140625" style="3" customWidth="1"/>
    <col min="8" max="8" width="12.00390625" style="3" bestFit="1" customWidth="1"/>
    <col min="9" max="10" width="9.140625" style="3" customWidth="1"/>
    <col min="11" max="11" width="8.00390625" style="3" bestFit="1" customWidth="1"/>
    <col min="12" max="12" width="12.7109375" style="3" bestFit="1" customWidth="1"/>
    <col min="13" max="13" width="1.7109375" style="3" customWidth="1"/>
    <col min="14" max="14" width="8.421875" style="3" bestFit="1" customWidth="1"/>
    <col min="15" max="15" width="10.140625" style="3" bestFit="1" customWidth="1"/>
    <col min="16" max="16384" width="9.140625" style="3" customWidth="1"/>
  </cols>
  <sheetData>
    <row r="1" spans="1:8" ht="16.5">
      <c r="A1" s="23" t="s">
        <v>10</v>
      </c>
      <c r="E1" s="23" t="s">
        <v>1294</v>
      </c>
      <c r="G1" s="15" t="str">
        <f>+INPUT!C1</f>
        <v>February 2012</v>
      </c>
      <c r="H1" s="14"/>
    </row>
    <row r="2" ht="16.5">
      <c r="A2" s="23" t="s">
        <v>11</v>
      </c>
    </row>
    <row r="3" ht="16.5">
      <c r="C3" s="14" t="s">
        <v>923</v>
      </c>
    </row>
    <row r="4" spans="6:8" ht="16.5">
      <c r="F4" s="16"/>
      <c r="G4" s="17" t="s">
        <v>246</v>
      </c>
      <c r="H4" s="16"/>
    </row>
    <row r="5" spans="1:8" ht="16.5">
      <c r="A5" s="14" t="s">
        <v>247</v>
      </c>
      <c r="B5" s="14"/>
      <c r="C5" s="14"/>
      <c r="D5" s="14"/>
      <c r="E5" s="14"/>
      <c r="F5" s="14" t="s">
        <v>923</v>
      </c>
      <c r="G5" s="14"/>
      <c r="H5" s="14" t="s">
        <v>922</v>
      </c>
    </row>
    <row r="6" spans="1:8" ht="16.5">
      <c r="A6" s="17" t="s">
        <v>1298</v>
      </c>
      <c r="B6" s="14"/>
      <c r="C6" s="14"/>
      <c r="D6" s="17" t="s">
        <v>189</v>
      </c>
      <c r="E6" s="14"/>
      <c r="F6" s="17" t="s">
        <v>248</v>
      </c>
      <c r="G6" s="14"/>
      <c r="H6" s="18" t="s">
        <v>1296</v>
      </c>
    </row>
    <row r="8" spans="1:8" ht="15">
      <c r="A8" s="3" t="s">
        <v>926</v>
      </c>
      <c r="D8" s="13">
        <f>INPUT!L68</f>
        <v>1485963.158</v>
      </c>
      <c r="F8" s="66">
        <f>IF(D8=0,0,H8/D8)</f>
        <v>18.34025287254127</v>
      </c>
      <c r="H8" s="13">
        <f>+INPUT!O68</f>
        <v>27252940.077</v>
      </c>
    </row>
    <row r="9" spans="1:8" ht="15">
      <c r="A9" s="3" t="s">
        <v>927</v>
      </c>
      <c r="D9" s="13">
        <f>INPUT!L69</f>
        <v>334607.92</v>
      </c>
      <c r="F9" s="66">
        <f>IF(D9=0,0,H9/D9)</f>
        <v>18.48198353762816</v>
      </c>
      <c r="H9" s="13">
        <f>+INPUT!O69</f>
        <v>6184218.069</v>
      </c>
    </row>
    <row r="10" spans="1:8" ht="15">
      <c r="A10" s="3" t="s">
        <v>928</v>
      </c>
      <c r="D10" s="13">
        <f>INPUT!L70</f>
        <v>0</v>
      </c>
      <c r="F10" s="66">
        <f>IF(D10=0,0,H10/D10)</f>
        <v>0</v>
      </c>
      <c r="H10" s="13">
        <f>+INPUT!O70</f>
        <v>0</v>
      </c>
    </row>
    <row r="11" spans="1:8" ht="15">
      <c r="A11" s="3" t="s">
        <v>929</v>
      </c>
      <c r="D11" s="6">
        <f>INPUT!L71</f>
        <v>1491.821</v>
      </c>
      <c r="F11" s="869">
        <f>IF(D11=0,0,H11/D11)</f>
        <v>15.134000660937206</v>
      </c>
      <c r="H11" s="6">
        <f>+INPUT!O71</f>
        <v>22577.22</v>
      </c>
    </row>
    <row r="12" spans="1:8" ht="15">
      <c r="A12" s="3" t="s">
        <v>1754</v>
      </c>
      <c r="D12" s="21">
        <f>INPUT!L72</f>
        <v>0</v>
      </c>
      <c r="F12" s="67">
        <f>IF(D12=0,0,H12/D12)</f>
        <v>0</v>
      </c>
      <c r="H12" s="21">
        <f>+INPUT!O72</f>
        <v>0</v>
      </c>
    </row>
    <row r="13" spans="1:17" ht="15">
      <c r="A13" s="75"/>
      <c r="B13" s="75"/>
      <c r="C13" s="75"/>
      <c r="D13" s="6"/>
      <c r="E13" s="75"/>
      <c r="F13" s="869"/>
      <c r="G13" s="75"/>
      <c r="H13" s="6"/>
      <c r="Q13" s="3">
        <f>100*49</f>
        <v>4900</v>
      </c>
    </row>
    <row r="14" spans="1:8" ht="16.5">
      <c r="A14" s="23" t="s">
        <v>990</v>
      </c>
      <c r="D14" s="12">
        <f>SUM(D8:D12)</f>
        <v>1822062.899</v>
      </c>
      <c r="F14" s="66">
        <f>IF(D14=0,0,H14/D14)</f>
        <v>18.363655494200366</v>
      </c>
      <c r="H14" s="12">
        <f>SUM(H8:H12)</f>
        <v>33459735.365999997</v>
      </c>
    </row>
    <row r="15" spans="4:6" ht="15">
      <c r="D15" s="12"/>
      <c r="F15" s="66"/>
    </row>
    <row r="16" spans="1:8" ht="16.5">
      <c r="A16" s="14" t="s">
        <v>543</v>
      </c>
      <c r="D16" s="12"/>
      <c r="F16" s="67"/>
      <c r="G16" s="17" t="s">
        <v>991</v>
      </c>
      <c r="H16" s="16"/>
    </row>
    <row r="17" spans="1:15" ht="16.5">
      <c r="A17" s="14" t="s">
        <v>1705</v>
      </c>
      <c r="D17" s="12"/>
      <c r="F17" s="70" t="s">
        <v>923</v>
      </c>
      <c r="H17" s="14" t="s">
        <v>924</v>
      </c>
      <c r="K17" s="14" t="s">
        <v>248</v>
      </c>
      <c r="L17" s="14" t="s">
        <v>935</v>
      </c>
      <c r="M17" s="14"/>
      <c r="N17" s="14" t="s">
        <v>248</v>
      </c>
      <c r="O17" s="14" t="s">
        <v>935</v>
      </c>
    </row>
    <row r="18" spans="1:15" ht="16.5">
      <c r="A18" s="17" t="s">
        <v>992</v>
      </c>
      <c r="D18" s="71" t="s">
        <v>189</v>
      </c>
      <c r="F18" s="17" t="s">
        <v>248</v>
      </c>
      <c r="H18" s="18" t="s">
        <v>1296</v>
      </c>
      <c r="K18" s="17" t="s">
        <v>936</v>
      </c>
      <c r="L18" s="17" t="s">
        <v>936</v>
      </c>
      <c r="M18" s="14"/>
      <c r="N18" s="17" t="s">
        <v>937</v>
      </c>
      <c r="O18" s="17" t="s">
        <v>937</v>
      </c>
    </row>
    <row r="19" spans="4:12" ht="16.5">
      <c r="D19" s="12"/>
      <c r="F19" s="66"/>
      <c r="L19" s="14"/>
    </row>
    <row r="20" spans="1:15" ht="15">
      <c r="A20" s="3" t="s">
        <v>926</v>
      </c>
      <c r="D20" s="12">
        <f>INPUT!L76</f>
        <v>0</v>
      </c>
      <c r="F20" s="69">
        <f>IF(D20=0,0,APPIV!L27)</f>
        <v>0</v>
      </c>
      <c r="H20" s="13">
        <f>INPUT!O76</f>
        <v>0</v>
      </c>
      <c r="K20" s="95">
        <f>IF(D20=0,0,H20/D20)</f>
        <v>0</v>
      </c>
      <c r="L20" s="262">
        <f>D20*F20</f>
        <v>0</v>
      </c>
      <c r="N20" s="66">
        <f>F20-K20</f>
        <v>0</v>
      </c>
      <c r="O20" s="396">
        <f>H20-L20</f>
        <v>0</v>
      </c>
    </row>
    <row r="21" spans="1:15" ht="15">
      <c r="A21" s="3" t="s">
        <v>927</v>
      </c>
      <c r="D21" s="12">
        <f>INPUT!L77</f>
        <v>0</v>
      </c>
      <c r="F21" s="69">
        <f>IF(D21=0,0,APPIV!L38)</f>
        <v>0</v>
      </c>
      <c r="H21" s="13">
        <f>INPUT!O77</f>
        <v>0</v>
      </c>
      <c r="K21" s="95">
        <f>IF(D21=0,0,H21/D21)</f>
        <v>0</v>
      </c>
      <c r="L21" s="262">
        <f>D21*F21</f>
        <v>0</v>
      </c>
      <c r="N21" s="66">
        <f>F21-K21</f>
        <v>0</v>
      </c>
      <c r="O21" s="396">
        <f>H21-L21</f>
        <v>0</v>
      </c>
    </row>
    <row r="22" spans="1:15" ht="15">
      <c r="A22" s="3" t="s">
        <v>928</v>
      </c>
      <c r="D22" s="12">
        <f>INPUT!L78</f>
        <v>1187419.601</v>
      </c>
      <c r="F22" s="69">
        <f>IF(D22=0,0,APPIV!L54)</f>
        <v>15.134</v>
      </c>
      <c r="H22" s="13">
        <f>INPUT!O78</f>
        <v>17970408.239</v>
      </c>
      <c r="K22" s="95">
        <f>IF(D22=0,0,H22/D22)</f>
        <v>15.13399999786596</v>
      </c>
      <c r="L22" s="262">
        <f>D22*F22</f>
        <v>17970408.241534002</v>
      </c>
      <c r="N22" s="66">
        <f>F22-K22</f>
        <v>2.134040499868206E-09</v>
      </c>
      <c r="O22" s="396">
        <f>H22-L22</f>
        <v>-0.0025340020656585693</v>
      </c>
    </row>
    <row r="23" spans="1:15" ht="15">
      <c r="A23" s="3" t="s">
        <v>929</v>
      </c>
      <c r="D23" s="12">
        <f>INPUT!L79</f>
        <v>634643.282</v>
      </c>
      <c r="F23" s="69">
        <f>IF(D23=0,0,APPIV!L79)</f>
        <v>24.407</v>
      </c>
      <c r="H23" s="13">
        <f>INPUT!O79</f>
        <v>15489327.126</v>
      </c>
      <c r="K23" s="95">
        <f>IF(D23=0,0,H23/D23)</f>
        <v>24.406351670795754</v>
      </c>
      <c r="L23" s="262">
        <f>D23*F23</f>
        <v>15489738.583774</v>
      </c>
      <c r="N23" s="66">
        <f>F23-K23</f>
        <v>0.0006483292042460675</v>
      </c>
      <c r="O23" s="396">
        <f>H23-L23</f>
        <v>-411.45777400024235</v>
      </c>
    </row>
    <row r="24" spans="1:15" ht="15">
      <c r="A24" s="3" t="s">
        <v>1754</v>
      </c>
      <c r="D24" s="22">
        <f>INPUT!L80</f>
        <v>0</v>
      </c>
      <c r="F24" s="72">
        <f>IF(D24=0,0,APPIV!L85)</f>
        <v>0</v>
      </c>
      <c r="H24" s="21">
        <f>INPUT!O80</f>
        <v>0</v>
      </c>
      <c r="K24" s="95">
        <f>IF(D24=0,0,H24/D24)</f>
        <v>0</v>
      </c>
      <c r="L24" s="262">
        <f>D24*F24</f>
        <v>0</v>
      </c>
      <c r="N24" s="66">
        <f>F24-K24</f>
        <v>0</v>
      </c>
      <c r="O24" s="396">
        <f>H24-L24</f>
        <v>0</v>
      </c>
    </row>
    <row r="25" spans="4:8" ht="15">
      <c r="D25" s="12"/>
      <c r="F25" s="66" t="s">
        <v>923</v>
      </c>
      <c r="H25" s="12"/>
    </row>
    <row r="26" spans="1:8" ht="16.5">
      <c r="A26" s="23" t="s">
        <v>9</v>
      </c>
      <c r="D26" s="12">
        <f>SUM(D20:D24)</f>
        <v>1822062.883</v>
      </c>
      <c r="F26" s="66">
        <f>IF(D26=0,0,H26/D26)</f>
        <v>18.363655654907497</v>
      </c>
      <c r="H26" s="12">
        <f>SUM(H20:H25)</f>
        <v>33459735.365000002</v>
      </c>
    </row>
    <row r="28" ht="15">
      <c r="H28" s="12"/>
    </row>
    <row r="29" ht="15">
      <c r="H29" s="12"/>
    </row>
  </sheetData>
  <sheetProtection/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3" customWidth="1"/>
    <col min="2" max="3" width="9.140625" style="3" customWidth="1"/>
    <col min="4" max="4" width="9.7109375" style="3" customWidth="1"/>
    <col min="5" max="5" width="9.140625" style="3" customWidth="1"/>
    <col min="6" max="6" width="9.28125" style="3" customWidth="1"/>
    <col min="7" max="7" width="9.140625" style="3" customWidth="1"/>
    <col min="8" max="8" width="10.421875" style="3" customWidth="1"/>
    <col min="9" max="10" width="9.140625" style="3" customWidth="1"/>
    <col min="11" max="11" width="8.00390625" style="3" bestFit="1" customWidth="1"/>
    <col min="12" max="12" width="10.140625" style="3" bestFit="1" customWidth="1"/>
    <col min="13" max="13" width="1.7109375" style="3" customWidth="1"/>
    <col min="14" max="14" width="8.421875" style="3" bestFit="1" customWidth="1"/>
    <col min="15" max="15" width="10.140625" style="3" bestFit="1" customWidth="1"/>
    <col min="16" max="16384" width="9.140625" style="3" customWidth="1"/>
  </cols>
  <sheetData>
    <row r="1" spans="1:8" ht="16.5">
      <c r="A1" s="23" t="s">
        <v>1294</v>
      </c>
      <c r="B1" s="15" t="str">
        <f>INPUT!C1</f>
        <v>February 2012</v>
      </c>
      <c r="H1" s="14" t="s">
        <v>12</v>
      </c>
    </row>
    <row r="3" ht="16.5">
      <c r="C3" s="14" t="s">
        <v>13</v>
      </c>
    </row>
    <row r="4" spans="6:8" ht="16.5">
      <c r="F4" s="16"/>
      <c r="G4" s="17" t="s">
        <v>246</v>
      </c>
      <c r="H4" s="16"/>
    </row>
    <row r="5" spans="1:8" ht="16.5">
      <c r="A5" s="14" t="s">
        <v>247</v>
      </c>
      <c r="B5" s="14"/>
      <c r="C5" s="14"/>
      <c r="D5" s="14"/>
      <c r="E5" s="14"/>
      <c r="F5" s="14" t="s">
        <v>923</v>
      </c>
      <c r="G5" s="14"/>
      <c r="H5" s="14" t="s">
        <v>922</v>
      </c>
    </row>
    <row r="6" spans="1:8" ht="16.5">
      <c r="A6" s="17" t="s">
        <v>1298</v>
      </c>
      <c r="B6" s="14"/>
      <c r="C6" s="14"/>
      <c r="D6" s="17" t="s">
        <v>189</v>
      </c>
      <c r="E6" s="14"/>
      <c r="F6" s="17" t="s">
        <v>248</v>
      </c>
      <c r="G6" s="14"/>
      <c r="H6" s="18" t="s">
        <v>1296</v>
      </c>
    </row>
    <row r="8" spans="1:8" ht="15">
      <c r="A8" s="52" t="s">
        <v>926</v>
      </c>
      <c r="D8" s="13">
        <f>INPUT!R68</f>
        <v>0</v>
      </c>
      <c r="F8" s="66">
        <f>IF(D8=0,0,H8/D8)</f>
        <v>0</v>
      </c>
      <c r="H8" s="13">
        <f>INPUT!S68</f>
        <v>0</v>
      </c>
    </row>
    <row r="9" spans="1:8" ht="15">
      <c r="A9" s="52" t="s">
        <v>927</v>
      </c>
      <c r="D9" s="13">
        <f>INPUT!R69</f>
        <v>0</v>
      </c>
      <c r="F9" s="66">
        <f>IF(D9=0,0,H9/D9)</f>
        <v>0</v>
      </c>
      <c r="H9" s="13">
        <f>INPUT!S69</f>
        <v>0</v>
      </c>
    </row>
    <row r="10" spans="1:8" ht="15">
      <c r="A10" s="52" t="s">
        <v>928</v>
      </c>
      <c r="D10" s="13">
        <f>INPUT!R70</f>
        <v>0</v>
      </c>
      <c r="F10" s="66">
        <f>IF(D10=0,0,H10/D10)</f>
        <v>0</v>
      </c>
      <c r="H10" s="13">
        <f>INPUT!S70</f>
        <v>0</v>
      </c>
    </row>
    <row r="11" spans="1:8" ht="15">
      <c r="A11" s="52" t="s">
        <v>929</v>
      </c>
      <c r="D11" s="13">
        <f>INPUT!R71</f>
        <v>0</v>
      </c>
      <c r="E11" s="75"/>
      <c r="F11" s="869">
        <f>IF(D11=0,0,H11/D11)</f>
        <v>0</v>
      </c>
      <c r="G11" s="75"/>
      <c r="H11" s="13">
        <f>INPUT!S71</f>
        <v>0</v>
      </c>
    </row>
    <row r="12" spans="1:8" ht="15">
      <c r="A12" s="52" t="s">
        <v>1754</v>
      </c>
      <c r="D12" s="21">
        <f>INPUT!R72</f>
        <v>0</v>
      </c>
      <c r="F12" s="67">
        <f>IF(D12=0,0,H12/D12)</f>
        <v>0</v>
      </c>
      <c r="H12" s="21">
        <f>INPUT!S72</f>
        <v>0</v>
      </c>
    </row>
    <row r="13" spans="4:8" ht="15">
      <c r="D13" s="12"/>
      <c r="H13" s="13"/>
    </row>
    <row r="14" spans="4:8" ht="15">
      <c r="D14" s="12"/>
      <c r="H14" s="12"/>
    </row>
    <row r="15" spans="1:8" ht="16.5">
      <c r="A15" s="23" t="s">
        <v>990</v>
      </c>
      <c r="D15" s="12">
        <f>SUM(D8:D12)</f>
        <v>0</v>
      </c>
      <c r="F15" s="66">
        <f>IF(D15=0,0,H15/D15)</f>
        <v>0</v>
      </c>
      <c r="H15" s="12">
        <f>SUM(H8:H12)</f>
        <v>0</v>
      </c>
    </row>
    <row r="16" ht="15">
      <c r="D16" s="12"/>
    </row>
    <row r="17" spans="1:8" ht="16.5">
      <c r="A17" s="14" t="s">
        <v>543</v>
      </c>
      <c r="D17" s="12"/>
      <c r="F17" s="16"/>
      <c r="G17" s="17" t="s">
        <v>991</v>
      </c>
      <c r="H17" s="16"/>
    </row>
    <row r="18" spans="1:15" ht="16.5">
      <c r="A18" s="14" t="s">
        <v>1705</v>
      </c>
      <c r="D18" s="12"/>
      <c r="F18" s="14" t="s">
        <v>923</v>
      </c>
      <c r="H18" s="14" t="s">
        <v>924</v>
      </c>
      <c r="K18" s="14" t="s">
        <v>248</v>
      </c>
      <c r="L18" s="14" t="s">
        <v>935</v>
      </c>
      <c r="M18" s="14"/>
      <c r="N18" s="14" t="s">
        <v>248</v>
      </c>
      <c r="O18" s="14" t="s">
        <v>935</v>
      </c>
    </row>
    <row r="19" spans="1:15" ht="16.5">
      <c r="A19" s="17" t="s">
        <v>992</v>
      </c>
      <c r="D19" s="71" t="s">
        <v>189</v>
      </c>
      <c r="F19" s="17" t="s">
        <v>248</v>
      </c>
      <c r="H19" s="18" t="s">
        <v>1296</v>
      </c>
      <c r="K19" s="17" t="s">
        <v>936</v>
      </c>
      <c r="L19" s="17" t="s">
        <v>936</v>
      </c>
      <c r="M19" s="14"/>
      <c r="N19" s="17" t="s">
        <v>937</v>
      </c>
      <c r="O19" s="17" t="s">
        <v>937</v>
      </c>
    </row>
    <row r="20" spans="4:12" ht="16.5">
      <c r="D20" s="12"/>
      <c r="L20" s="14"/>
    </row>
    <row r="21" spans="1:15" ht="15">
      <c r="A21" s="3" t="s">
        <v>926</v>
      </c>
      <c r="D21" s="12">
        <f>INPUT!R76</f>
        <v>0</v>
      </c>
      <c r="F21" s="66">
        <f>IF(D21=0,0,H21/D21)</f>
        <v>0</v>
      </c>
      <c r="H21" s="12">
        <f>INPUT!S76</f>
        <v>0</v>
      </c>
      <c r="K21" s="95">
        <f>IF(D21=0,0,H21/D21)</f>
        <v>0</v>
      </c>
      <c r="L21" s="262">
        <f>D21*F21</f>
        <v>0</v>
      </c>
      <c r="N21" s="66">
        <f>F21-K21</f>
        <v>0</v>
      </c>
      <c r="O21" s="396">
        <f>H21-L21</f>
        <v>0</v>
      </c>
    </row>
    <row r="22" spans="1:15" ht="15">
      <c r="A22" s="3" t="s">
        <v>927</v>
      </c>
      <c r="D22" s="12">
        <f>INPUT!R77</f>
        <v>0</v>
      </c>
      <c r="F22" s="66">
        <f>IF(D22=0,0,H22/D22)</f>
        <v>0</v>
      </c>
      <c r="H22" s="12">
        <f>INPUT!S77</f>
        <v>0</v>
      </c>
      <c r="K22" s="95">
        <f>IF(D22=0,0,H22/D22)</f>
        <v>0</v>
      </c>
      <c r="L22" s="262">
        <f>D22*F22</f>
        <v>0</v>
      </c>
      <c r="N22" s="66">
        <f>F22-K22</f>
        <v>0</v>
      </c>
      <c r="O22" s="396">
        <f>H22-L22</f>
        <v>0</v>
      </c>
    </row>
    <row r="23" spans="1:15" ht="15">
      <c r="A23" s="3" t="s">
        <v>928</v>
      </c>
      <c r="D23" s="12">
        <f>INPUT!R78</f>
        <v>0</v>
      </c>
      <c r="F23" s="66">
        <f>IF(D23=0,0,H23/D23)</f>
        <v>0</v>
      </c>
      <c r="H23" s="12">
        <f>INPUT!S78</f>
        <v>0</v>
      </c>
      <c r="K23" s="95">
        <f>IF(D23=0,0,H23/D23)</f>
        <v>0</v>
      </c>
      <c r="L23" s="262">
        <f>D23*F23</f>
        <v>0</v>
      </c>
      <c r="N23" s="66">
        <f>F23-K23</f>
        <v>0</v>
      </c>
      <c r="O23" s="396">
        <f>H23-L23</f>
        <v>0</v>
      </c>
    </row>
    <row r="24" spans="1:15" ht="15">
      <c r="A24" s="3" t="s">
        <v>929</v>
      </c>
      <c r="D24" s="12">
        <f>INPUT!R79</f>
        <v>0</v>
      </c>
      <c r="F24" s="66">
        <f>IF(D24=0,0,H24/D24)</f>
        <v>0</v>
      </c>
      <c r="H24" s="12">
        <f>INPUT!S79</f>
        <v>0</v>
      </c>
      <c r="K24" s="95">
        <f>IF(D24=0,0,H24/D24)</f>
        <v>0</v>
      </c>
      <c r="L24" s="262">
        <f>D24*F24</f>
        <v>0</v>
      </c>
      <c r="N24" s="66">
        <f>F24-K24</f>
        <v>0</v>
      </c>
      <c r="O24" s="396">
        <f>H24-L24</f>
        <v>0</v>
      </c>
    </row>
    <row r="25" spans="1:15" ht="15">
      <c r="A25" s="3" t="s">
        <v>1754</v>
      </c>
      <c r="D25" s="22">
        <f>INPUT!R80</f>
        <v>0</v>
      </c>
      <c r="F25" s="67">
        <f>IF(D25=0,0,H25/D25)</f>
        <v>0</v>
      </c>
      <c r="H25" s="22">
        <f>INPUT!S80</f>
        <v>0</v>
      </c>
      <c r="K25" s="95">
        <f>IF(D25=0,0,H25/D25)</f>
        <v>0</v>
      </c>
      <c r="L25" s="262">
        <f>D25*F25</f>
        <v>0</v>
      </c>
      <c r="N25" s="66">
        <f>F25-K25</f>
        <v>0</v>
      </c>
      <c r="O25" s="396">
        <f>H25-L25</f>
        <v>0</v>
      </c>
    </row>
    <row r="26" spans="4:8" ht="15">
      <c r="D26" s="12"/>
      <c r="F26" s="66" t="s">
        <v>923</v>
      </c>
      <c r="H26" s="12"/>
    </row>
    <row r="27" spans="1:8" ht="16.5">
      <c r="A27" s="23" t="s">
        <v>9</v>
      </c>
      <c r="D27" s="12">
        <f>SUM(D21:D25)</f>
        <v>0</v>
      </c>
      <c r="F27" s="66">
        <f>IF(D27=0,0,H27/D27)</f>
        <v>0</v>
      </c>
      <c r="H27" s="12">
        <f>SUM(H21:H25)</f>
        <v>0</v>
      </c>
    </row>
    <row r="28" spans="1:8" ht="16.5">
      <c r="A28" s="23"/>
      <c r="D28" s="12"/>
      <c r="H28" s="12"/>
    </row>
    <row r="30" ht="15">
      <c r="A30" s="3" t="s">
        <v>552</v>
      </c>
    </row>
    <row r="31" ht="15">
      <c r="A31" s="19" t="s">
        <v>1865</v>
      </c>
    </row>
    <row r="32" ht="15">
      <c r="A32" s="19" t="s">
        <v>2064</v>
      </c>
    </row>
  </sheetData>
  <sheetProtection/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3" customWidth="1"/>
    <col min="2" max="3" width="9.140625" style="3" customWidth="1"/>
    <col min="4" max="4" width="10.28125" style="3" bestFit="1" customWidth="1"/>
    <col min="5" max="5" width="9.140625" style="3" customWidth="1"/>
    <col min="6" max="6" width="9.28125" style="3" customWidth="1"/>
    <col min="7" max="7" width="9.140625" style="3" customWidth="1"/>
    <col min="8" max="8" width="10.421875" style="3" customWidth="1"/>
    <col min="9" max="10" width="9.140625" style="3" customWidth="1"/>
    <col min="11" max="11" width="8.00390625" style="3" bestFit="1" customWidth="1"/>
    <col min="12" max="12" width="10.140625" style="3" bestFit="1" customWidth="1"/>
    <col min="13" max="13" width="1.7109375" style="3" customWidth="1"/>
    <col min="14" max="14" width="8.421875" style="3" bestFit="1" customWidth="1"/>
    <col min="15" max="15" width="10.140625" style="3" bestFit="1" customWidth="1"/>
    <col min="16" max="16384" width="9.140625" style="3" customWidth="1"/>
  </cols>
  <sheetData>
    <row r="1" spans="1:8" ht="16.5">
      <c r="A1" s="23" t="s">
        <v>10</v>
      </c>
      <c r="E1" s="23" t="s">
        <v>1294</v>
      </c>
      <c r="F1" s="15"/>
      <c r="G1" s="15" t="str">
        <f>INPUT!C1</f>
        <v>February 2012</v>
      </c>
      <c r="H1" s="14"/>
    </row>
    <row r="2" ht="16.5">
      <c r="A2" s="23" t="s">
        <v>1245</v>
      </c>
    </row>
    <row r="3" ht="16.5">
      <c r="C3" s="14"/>
    </row>
    <row r="4" spans="6:8" ht="16.5">
      <c r="F4" s="16"/>
      <c r="G4" s="17" t="s">
        <v>246</v>
      </c>
      <c r="H4" s="16"/>
    </row>
    <row r="5" spans="1:8" ht="16.5">
      <c r="A5" s="14" t="s">
        <v>247</v>
      </c>
      <c r="B5" s="14"/>
      <c r="C5" s="14"/>
      <c r="D5" s="14"/>
      <c r="E5" s="14"/>
      <c r="F5" s="14" t="s">
        <v>923</v>
      </c>
      <c r="G5" s="14"/>
      <c r="H5" s="14" t="s">
        <v>922</v>
      </c>
    </row>
    <row r="6" spans="1:8" ht="16.5">
      <c r="A6" s="17" t="s">
        <v>1298</v>
      </c>
      <c r="B6" s="14"/>
      <c r="C6" s="14"/>
      <c r="D6" s="17" t="s">
        <v>189</v>
      </c>
      <c r="E6" s="14"/>
      <c r="F6" s="17" t="s">
        <v>248</v>
      </c>
      <c r="G6" s="14"/>
      <c r="H6" s="18" t="s">
        <v>1296</v>
      </c>
    </row>
    <row r="8" spans="1:8" ht="15">
      <c r="A8" s="52" t="s">
        <v>926</v>
      </c>
      <c r="D8" s="13">
        <f>INPUT!R68</f>
        <v>0</v>
      </c>
      <c r="F8" s="66">
        <f>IF(D8=0,0,H8/D8)</f>
        <v>0</v>
      </c>
      <c r="H8" s="13">
        <f>+INPUT!U68</f>
        <v>0</v>
      </c>
    </row>
    <row r="9" spans="1:8" ht="15">
      <c r="A9" s="52" t="s">
        <v>927</v>
      </c>
      <c r="D9" s="13">
        <f>INPUT!R69</f>
        <v>0</v>
      </c>
      <c r="F9" s="66">
        <f>IF(D9=0,0,H9/D9)</f>
        <v>0</v>
      </c>
      <c r="H9" s="13">
        <f>+INPUT!U69</f>
        <v>0</v>
      </c>
    </row>
    <row r="10" spans="1:8" ht="15">
      <c r="A10" s="52" t="s">
        <v>928</v>
      </c>
      <c r="D10" s="6">
        <f>INPUT!R70</f>
        <v>0</v>
      </c>
      <c r="F10" s="66">
        <f>IF(D10=0,0,H10/D10)</f>
        <v>0</v>
      </c>
      <c r="H10" s="13">
        <f>+INPUT!U70</f>
        <v>0</v>
      </c>
    </row>
    <row r="11" spans="1:8" ht="15">
      <c r="A11" s="52" t="s">
        <v>929</v>
      </c>
      <c r="D11" s="6">
        <f>INPUT!R71</f>
        <v>0</v>
      </c>
      <c r="E11" s="75"/>
      <c r="F11" s="869">
        <f>IF(D11=0,0,H11/D11)</f>
        <v>0</v>
      </c>
      <c r="G11" s="75"/>
      <c r="H11" s="6">
        <f>+INPUT!U71</f>
        <v>0</v>
      </c>
    </row>
    <row r="12" spans="1:8" ht="15">
      <c r="A12" s="52" t="s">
        <v>1754</v>
      </c>
      <c r="D12" s="21">
        <f>SUM(D8:D11)</f>
        <v>0</v>
      </c>
      <c r="F12" s="67">
        <f>IF(D12=0,0,H12/D12)</f>
        <v>0</v>
      </c>
      <c r="H12" s="21">
        <f>+INPUT!U72</f>
        <v>0</v>
      </c>
    </row>
    <row r="13" spans="4:8" ht="15">
      <c r="D13" s="12"/>
      <c r="H13" s="12"/>
    </row>
    <row r="14" spans="1:8" ht="16.5">
      <c r="A14" s="23" t="s">
        <v>990</v>
      </c>
      <c r="D14" s="12">
        <f>SUM(D8:D12)</f>
        <v>0</v>
      </c>
      <c r="F14" s="66">
        <f>IF(D14=0,0,H14/D14)</f>
        <v>0</v>
      </c>
      <c r="H14" s="12">
        <f>SUM(H8:H12)</f>
        <v>0</v>
      </c>
    </row>
    <row r="15" ht="15">
      <c r="D15" s="12"/>
    </row>
    <row r="16" spans="1:8" ht="16.5">
      <c r="A16" s="14" t="s">
        <v>543</v>
      </c>
      <c r="D16" s="12"/>
      <c r="F16" s="16"/>
      <c r="G16" s="17" t="s">
        <v>991</v>
      </c>
      <c r="H16" s="16"/>
    </row>
    <row r="17" spans="1:15" ht="16.5">
      <c r="A17" s="14" t="s">
        <v>1705</v>
      </c>
      <c r="D17" s="12"/>
      <c r="F17" s="14" t="s">
        <v>923</v>
      </c>
      <c r="H17" s="14" t="s">
        <v>924</v>
      </c>
      <c r="K17" s="14" t="s">
        <v>248</v>
      </c>
      <c r="L17" s="14" t="s">
        <v>935</v>
      </c>
      <c r="M17" s="14"/>
      <c r="N17" s="14" t="s">
        <v>248</v>
      </c>
      <c r="O17" s="14" t="s">
        <v>935</v>
      </c>
    </row>
    <row r="18" spans="1:15" ht="16.5">
      <c r="A18" s="17" t="s">
        <v>992</v>
      </c>
      <c r="D18" s="71" t="s">
        <v>189</v>
      </c>
      <c r="F18" s="17" t="s">
        <v>248</v>
      </c>
      <c r="H18" s="18" t="s">
        <v>1296</v>
      </c>
      <c r="K18" s="17" t="s">
        <v>936</v>
      </c>
      <c r="L18" s="17" t="s">
        <v>936</v>
      </c>
      <c r="M18" s="14"/>
      <c r="N18" s="17" t="s">
        <v>937</v>
      </c>
      <c r="O18" s="17" t="s">
        <v>937</v>
      </c>
    </row>
    <row r="19" spans="4:12" ht="16.5">
      <c r="D19" s="12"/>
      <c r="L19" s="14"/>
    </row>
    <row r="20" spans="1:15" ht="15">
      <c r="A20" s="52" t="s">
        <v>926</v>
      </c>
      <c r="D20" s="12">
        <f>INPUT!R76</f>
        <v>0</v>
      </c>
      <c r="F20" s="66">
        <f>IF(D20=0,0,H20/D20)</f>
        <v>0</v>
      </c>
      <c r="H20" s="12">
        <f>INPUT!U76</f>
        <v>0</v>
      </c>
      <c r="K20" s="95">
        <f>IF(D20=0,0,H20/D20)</f>
        <v>0</v>
      </c>
      <c r="L20" s="262">
        <f>D20*F20</f>
        <v>0</v>
      </c>
      <c r="N20" s="66">
        <f>F20-K20</f>
        <v>0</v>
      </c>
      <c r="O20" s="396">
        <f>H20-L20</f>
        <v>0</v>
      </c>
    </row>
    <row r="21" spans="1:15" ht="15">
      <c r="A21" s="52" t="s">
        <v>927</v>
      </c>
      <c r="D21" s="12">
        <f>INPUT!R77</f>
        <v>0</v>
      </c>
      <c r="F21" s="66">
        <f>IF(D21=0,0,H21/D21)</f>
        <v>0</v>
      </c>
      <c r="H21" s="12">
        <f>INPUT!U77</f>
        <v>0</v>
      </c>
      <c r="K21" s="95">
        <f>IF(D21=0,0,H21/D21)</f>
        <v>0</v>
      </c>
      <c r="L21" s="262">
        <f>D21*F21</f>
        <v>0</v>
      </c>
      <c r="N21" s="66">
        <f>F21-K21</f>
        <v>0</v>
      </c>
      <c r="O21" s="396">
        <f>H21-L21</f>
        <v>0</v>
      </c>
    </row>
    <row r="22" spans="1:15" ht="15">
      <c r="A22" s="52" t="s">
        <v>928</v>
      </c>
      <c r="D22" s="12">
        <f>INPUT!R78</f>
        <v>0</v>
      </c>
      <c r="F22" s="66">
        <f>IF(D22=0,0,H22/D22)</f>
        <v>0</v>
      </c>
      <c r="H22" s="12">
        <f>INPUT!U78</f>
        <v>0</v>
      </c>
      <c r="K22" s="95">
        <f>IF(D22=0,0,H22/D22)</f>
        <v>0</v>
      </c>
      <c r="L22" s="262">
        <f>D22*F22</f>
        <v>0</v>
      </c>
      <c r="N22" s="66">
        <f>F22-K22</f>
        <v>0</v>
      </c>
      <c r="O22" s="396">
        <f>H22-L22</f>
        <v>0</v>
      </c>
    </row>
    <row r="23" spans="1:15" ht="15">
      <c r="A23" s="52" t="s">
        <v>929</v>
      </c>
      <c r="D23" s="12">
        <f>INPUT!R79</f>
        <v>0</v>
      </c>
      <c r="F23" s="66">
        <f>IF(D23=0,0,H23/D23)</f>
        <v>0</v>
      </c>
      <c r="H23" s="12">
        <f>INPUT!U79</f>
        <v>0</v>
      </c>
      <c r="K23" s="95">
        <f>IF(D23=0,0,H23/D23)</f>
        <v>0</v>
      </c>
      <c r="L23" s="262">
        <f>D23*F23</f>
        <v>0</v>
      </c>
      <c r="N23" s="66">
        <f>F23-K23</f>
        <v>0</v>
      </c>
      <c r="O23" s="396">
        <f>H23-L23</f>
        <v>0</v>
      </c>
    </row>
    <row r="24" spans="1:15" ht="15">
      <c r="A24" s="52" t="s">
        <v>1754</v>
      </c>
      <c r="D24" s="22">
        <f>INPUT!R80</f>
        <v>0</v>
      </c>
      <c r="F24" s="67">
        <f>IF(D24=0,0,H24/D24)</f>
        <v>0</v>
      </c>
      <c r="H24" s="22">
        <f>INPUT!U80</f>
        <v>0</v>
      </c>
      <c r="K24" s="95">
        <f>IF(D24=0,0,H24/D24)</f>
        <v>0</v>
      </c>
      <c r="L24" s="262">
        <f>D24*F24</f>
        <v>0</v>
      </c>
      <c r="N24" s="66">
        <f>F24-K24</f>
        <v>0</v>
      </c>
      <c r="O24" s="396">
        <f>H24-L24</f>
        <v>0</v>
      </c>
    </row>
    <row r="25" spans="4:8" ht="15">
      <c r="D25" s="12"/>
      <c r="F25" s="66" t="s">
        <v>923</v>
      </c>
      <c r="H25" s="12"/>
    </row>
    <row r="26" spans="1:8" ht="16.5">
      <c r="A26" s="23" t="s">
        <v>9</v>
      </c>
      <c r="D26" s="12">
        <f>SUM(D20:D25)</f>
        <v>0</v>
      </c>
      <c r="F26" s="66">
        <f>IF(D26=0,0,H26/D26)</f>
        <v>0</v>
      </c>
      <c r="H26" s="12">
        <f>SUM(H20:H24)</f>
        <v>0</v>
      </c>
    </row>
  </sheetData>
  <sheetProtection/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P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5.8515625" style="3" customWidth="1"/>
    <col min="3" max="3" width="1.7109375" style="3" customWidth="1"/>
    <col min="4" max="4" width="16.00390625" style="3" customWidth="1"/>
    <col min="5" max="5" width="1.7109375" style="3" customWidth="1"/>
    <col min="6" max="6" width="14.851562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3.421875" style="3" customWidth="1"/>
    <col min="11" max="11" width="1.7109375" style="3" customWidth="1"/>
    <col min="12" max="12" width="14.00390625" style="3" customWidth="1"/>
    <col min="13" max="13" width="1.7109375" style="3" customWidth="1"/>
    <col min="14" max="16384" width="9.140625" style="3" customWidth="1"/>
  </cols>
  <sheetData>
    <row r="1" spans="1:12" ht="15">
      <c r="A1" s="30" t="s">
        <v>923</v>
      </c>
      <c r="B1" s="26" t="str">
        <f>+INPUT!C1</f>
        <v>February 2012</v>
      </c>
      <c r="C1" s="24"/>
      <c r="D1" s="24"/>
      <c r="E1" s="24"/>
      <c r="F1" s="24"/>
      <c r="G1" s="24"/>
      <c r="H1" s="24"/>
      <c r="I1" s="24"/>
      <c r="J1" s="24"/>
      <c r="K1" s="24"/>
      <c r="L1" s="25" t="s">
        <v>1433</v>
      </c>
    </row>
    <row r="2" spans="1:12" ht="15">
      <c r="A2" s="30"/>
      <c r="B2" s="24"/>
      <c r="C2" s="24"/>
      <c r="D2" s="24"/>
      <c r="E2" s="24"/>
      <c r="G2" s="25" t="s">
        <v>1877</v>
      </c>
      <c r="H2" s="24"/>
      <c r="I2" s="24"/>
      <c r="J2" s="24"/>
      <c r="K2" s="24"/>
      <c r="L2" s="24"/>
    </row>
    <row r="3" spans="1:12" ht="15">
      <c r="A3" s="30"/>
      <c r="B3" s="24"/>
      <c r="C3" s="24"/>
      <c r="D3" s="24"/>
      <c r="E3" s="24"/>
      <c r="G3" s="25" t="s">
        <v>1878</v>
      </c>
      <c r="H3" s="24"/>
      <c r="I3" s="24"/>
      <c r="J3" s="24"/>
      <c r="K3" s="24"/>
      <c r="L3" s="24"/>
    </row>
    <row r="4" spans="1:12" ht="15">
      <c r="A4" s="30"/>
      <c r="B4" s="24"/>
      <c r="C4" s="24"/>
      <c r="D4" s="24"/>
      <c r="E4" s="24"/>
      <c r="G4" s="76" t="s">
        <v>1879</v>
      </c>
      <c r="H4" s="24"/>
      <c r="I4" s="24"/>
      <c r="J4" s="24"/>
      <c r="K4" s="24"/>
      <c r="L4" s="24"/>
    </row>
    <row r="5" spans="1:12" ht="15">
      <c r="A5" s="24"/>
      <c r="B5" s="24"/>
      <c r="C5" s="24"/>
      <c r="D5" s="25" t="s">
        <v>1701</v>
      </c>
      <c r="E5" s="24"/>
      <c r="F5" s="24"/>
      <c r="G5" s="24"/>
      <c r="H5" s="24"/>
      <c r="I5" s="24"/>
      <c r="J5" s="24"/>
      <c r="K5" s="24"/>
      <c r="L5" s="24"/>
    </row>
    <row r="6" spans="1:12" ht="15">
      <c r="A6" s="24"/>
      <c r="B6" s="24"/>
      <c r="C6" s="24"/>
      <c r="D6" s="25" t="s">
        <v>1880</v>
      </c>
      <c r="E6" s="24"/>
      <c r="F6" s="24"/>
      <c r="G6" s="24"/>
      <c r="H6" s="24"/>
      <c r="I6" s="24"/>
      <c r="J6" s="24"/>
      <c r="K6" s="24"/>
      <c r="L6" s="24"/>
    </row>
    <row r="7" spans="1:11" ht="15">
      <c r="A7" s="24"/>
      <c r="B7" s="24"/>
      <c r="C7" s="24"/>
      <c r="D7" s="25" t="s">
        <v>1881</v>
      </c>
      <c r="E7" s="24"/>
      <c r="F7" s="24"/>
      <c r="G7" s="24"/>
      <c r="H7" s="25" t="s">
        <v>1882</v>
      </c>
      <c r="I7" s="24"/>
      <c r="J7" s="25" t="s">
        <v>1995</v>
      </c>
      <c r="K7" s="24"/>
    </row>
    <row r="8" spans="1:12" ht="15">
      <c r="A8" s="24"/>
      <c r="B8" s="24"/>
      <c r="C8" s="24"/>
      <c r="D8" s="25" t="s">
        <v>1883</v>
      </c>
      <c r="E8" s="24"/>
      <c r="F8" s="25" t="s">
        <v>543</v>
      </c>
      <c r="G8" s="24"/>
      <c r="H8" s="25" t="s">
        <v>171</v>
      </c>
      <c r="I8" s="24"/>
      <c r="J8" s="25" t="s">
        <v>699</v>
      </c>
      <c r="K8" s="24"/>
      <c r="L8" s="25" t="s">
        <v>1996</v>
      </c>
    </row>
    <row r="9" spans="1:12" ht="15">
      <c r="A9" s="24"/>
      <c r="B9" s="24"/>
      <c r="C9" s="24"/>
      <c r="D9" s="25" t="s">
        <v>1834</v>
      </c>
      <c r="E9" s="24"/>
      <c r="F9" s="25" t="s">
        <v>1701</v>
      </c>
      <c r="G9" s="24"/>
      <c r="H9" s="25" t="s">
        <v>1884</v>
      </c>
      <c r="I9" s="24"/>
      <c r="J9" s="25" t="s">
        <v>700</v>
      </c>
      <c r="K9" s="24"/>
      <c r="L9" s="25" t="s">
        <v>1885</v>
      </c>
    </row>
    <row r="10" spans="1:12" ht="15">
      <c r="A10" s="24"/>
      <c r="B10" s="24"/>
      <c r="C10" s="24"/>
      <c r="D10" s="31" t="s">
        <v>1886</v>
      </c>
      <c r="E10" s="24"/>
      <c r="F10" s="31" t="s">
        <v>1886</v>
      </c>
      <c r="G10" s="24"/>
      <c r="H10" s="29" t="s">
        <v>1887</v>
      </c>
      <c r="I10" s="24"/>
      <c r="J10" s="29" t="s">
        <v>1835</v>
      </c>
      <c r="K10" s="24"/>
      <c r="L10" s="29" t="s">
        <v>1040</v>
      </c>
    </row>
    <row r="11" spans="1:12" ht="15">
      <c r="A11" s="24"/>
      <c r="B11" s="24"/>
      <c r="C11" s="24"/>
      <c r="D11" s="33" t="s">
        <v>119</v>
      </c>
      <c r="E11" s="24"/>
      <c r="F11" s="33" t="s">
        <v>120</v>
      </c>
      <c r="G11" s="27"/>
      <c r="H11" s="33" t="s">
        <v>1888</v>
      </c>
      <c r="I11" s="27"/>
      <c r="J11" s="33" t="s">
        <v>122</v>
      </c>
      <c r="K11" s="27"/>
      <c r="L11" s="33" t="s">
        <v>2006</v>
      </c>
    </row>
    <row r="12" spans="1:1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>
      <c r="A13" s="24" t="s">
        <v>926</v>
      </c>
      <c r="B13" s="24" t="s">
        <v>330</v>
      </c>
      <c r="C13" s="24"/>
      <c r="D13" s="34">
        <f>+INPUT!L99</f>
        <v>25428.57400000001</v>
      </c>
      <c r="E13" s="24"/>
      <c r="F13" s="34">
        <f>+INPUT!M99</f>
        <v>118431</v>
      </c>
      <c r="G13" s="24"/>
      <c r="H13" s="78">
        <f>IF(D13&lt;=0,0,D13/F13)</f>
        <v>0.2147121446242961</v>
      </c>
      <c r="I13" s="24"/>
      <c r="J13" s="34">
        <f>+INPUT!O99</f>
        <v>28</v>
      </c>
      <c r="K13" s="77"/>
      <c r="L13" s="79">
        <f>ROUND(H13*J13,4)</f>
        <v>6.0119</v>
      </c>
    </row>
    <row r="14" spans="1:12" ht="15">
      <c r="A14" s="24"/>
      <c r="B14" s="24" t="s">
        <v>331</v>
      </c>
      <c r="C14" s="24"/>
      <c r="D14" s="34">
        <f>+INPUT!L100</f>
        <v>85278.21199999996</v>
      </c>
      <c r="E14" s="24"/>
      <c r="F14" s="34">
        <f>+INPUT!M100</f>
        <v>406344</v>
      </c>
      <c r="G14" s="24"/>
      <c r="H14" s="78">
        <f aca="true" t="shared" si="0" ref="H14:H36">IF(D14&lt;=0,0,D14/F14)</f>
        <v>0.20986703876518406</v>
      </c>
      <c r="I14" s="24"/>
      <c r="J14" s="34">
        <f>+INPUT!O100</f>
        <v>98</v>
      </c>
      <c r="K14" s="24"/>
      <c r="L14" s="79">
        <f aca="true" t="shared" si="1" ref="L14:L36">ROUND(H14*J14,4)</f>
        <v>20.567</v>
      </c>
    </row>
    <row r="15" spans="1:12" ht="15">
      <c r="A15" s="24"/>
      <c r="B15" s="24" t="s">
        <v>963</v>
      </c>
      <c r="C15" s="24"/>
      <c r="D15" s="34">
        <f>+INPUT!L101</f>
        <v>15791.319000000056</v>
      </c>
      <c r="E15" s="24"/>
      <c r="F15" s="36">
        <f>+INPUT!M101</f>
        <v>151645</v>
      </c>
      <c r="G15" s="24"/>
      <c r="H15" s="78">
        <f t="shared" si="0"/>
        <v>0.10413346302219036</v>
      </c>
      <c r="I15" s="24"/>
      <c r="J15" s="34">
        <f>+INPUT!O101</f>
        <v>46</v>
      </c>
      <c r="K15" s="77"/>
      <c r="L15" s="79">
        <f t="shared" si="1"/>
        <v>4.7901</v>
      </c>
    </row>
    <row r="16" spans="1:12" ht="15">
      <c r="A16" s="24"/>
      <c r="B16" s="24" t="s">
        <v>1493</v>
      </c>
      <c r="C16" s="24"/>
      <c r="D16" s="34">
        <f>+INPUT!L102</f>
        <v>0</v>
      </c>
      <c r="E16" s="24"/>
      <c r="F16" s="36">
        <f>+INPUT!M102</f>
        <v>0</v>
      </c>
      <c r="G16" s="24"/>
      <c r="H16" s="78">
        <f aca="true" t="shared" si="2" ref="H16:H21">IF(D16&lt;=0,0,D16/F16)</f>
        <v>0</v>
      </c>
      <c r="I16" s="24"/>
      <c r="J16" s="34">
        <f>+INPUT!O102</f>
        <v>0</v>
      </c>
      <c r="K16" s="77"/>
      <c r="L16" s="79">
        <f aca="true" t="shared" si="3" ref="L16:L21">ROUND(H16*J16,4)</f>
        <v>0</v>
      </c>
    </row>
    <row r="17" spans="1:12" ht="15">
      <c r="A17" s="24"/>
      <c r="B17" s="24" t="s">
        <v>1494</v>
      </c>
      <c r="C17" s="24"/>
      <c r="D17" s="34">
        <f>+INPUT!L103</f>
        <v>0</v>
      </c>
      <c r="E17" s="24"/>
      <c r="F17" s="36">
        <f>+INPUT!M103</f>
        <v>0</v>
      </c>
      <c r="G17" s="24"/>
      <c r="H17" s="78">
        <f t="shared" si="2"/>
        <v>0</v>
      </c>
      <c r="I17" s="24"/>
      <c r="J17" s="34">
        <f>+INPUT!O103</f>
        <v>0</v>
      </c>
      <c r="K17" s="77"/>
      <c r="L17" s="79">
        <f t="shared" si="3"/>
        <v>0</v>
      </c>
    </row>
    <row r="18" spans="1:12" ht="15">
      <c r="A18" s="24"/>
      <c r="B18" s="24" t="s">
        <v>1495</v>
      </c>
      <c r="C18" s="24"/>
      <c r="D18" s="34">
        <f>+INPUT!L104</f>
        <v>0</v>
      </c>
      <c r="E18" s="24"/>
      <c r="F18" s="36">
        <f>+INPUT!M104</f>
        <v>0</v>
      </c>
      <c r="G18" s="24"/>
      <c r="H18" s="78">
        <f t="shared" si="2"/>
        <v>0</v>
      </c>
      <c r="I18" s="24"/>
      <c r="J18" s="34">
        <f>+INPUT!O104</f>
        <v>0</v>
      </c>
      <c r="K18" s="77"/>
      <c r="L18" s="79">
        <f t="shared" si="3"/>
        <v>0</v>
      </c>
    </row>
    <row r="19" spans="1:12" ht="15">
      <c r="A19" s="24"/>
      <c r="B19" s="24" t="s">
        <v>1496</v>
      </c>
      <c r="C19" s="24"/>
      <c r="D19" s="34">
        <f>+INPUT!L105</f>
        <v>0</v>
      </c>
      <c r="E19" s="24"/>
      <c r="F19" s="36">
        <f>+INPUT!M105</f>
        <v>0</v>
      </c>
      <c r="G19" s="24"/>
      <c r="H19" s="78">
        <f t="shared" si="2"/>
        <v>0</v>
      </c>
      <c r="I19" s="24"/>
      <c r="J19" s="34">
        <f>+INPUT!O105</f>
        <v>0</v>
      </c>
      <c r="K19" s="77"/>
      <c r="L19" s="79">
        <f t="shared" si="3"/>
        <v>0</v>
      </c>
    </row>
    <row r="20" spans="1:12" ht="15">
      <c r="A20" s="24"/>
      <c r="B20" s="24" t="s">
        <v>1497</v>
      </c>
      <c r="C20" s="24"/>
      <c r="D20" s="34">
        <f>+INPUT!L106</f>
        <v>0</v>
      </c>
      <c r="E20" s="24"/>
      <c r="F20" s="36">
        <f>+INPUT!M106</f>
        <v>0</v>
      </c>
      <c r="G20" s="24"/>
      <c r="H20" s="78">
        <f t="shared" si="2"/>
        <v>0</v>
      </c>
      <c r="I20" s="24"/>
      <c r="J20" s="34">
        <f>+INPUT!O106</f>
        <v>0</v>
      </c>
      <c r="K20" s="77"/>
      <c r="L20" s="79">
        <f t="shared" si="3"/>
        <v>0</v>
      </c>
    </row>
    <row r="21" spans="1:12" ht="15">
      <c r="A21" s="24"/>
      <c r="B21" s="24" t="s">
        <v>1498</v>
      </c>
      <c r="C21" s="24"/>
      <c r="D21" s="34">
        <f>+INPUT!L107</f>
        <v>0</v>
      </c>
      <c r="E21" s="24"/>
      <c r="F21" s="36">
        <f>+INPUT!M107</f>
        <v>0</v>
      </c>
      <c r="G21" s="24"/>
      <c r="H21" s="78">
        <f t="shared" si="2"/>
        <v>0</v>
      </c>
      <c r="I21" s="24"/>
      <c r="J21" s="34">
        <f>+INPUT!O107</f>
        <v>0</v>
      </c>
      <c r="K21" s="77"/>
      <c r="L21" s="79">
        <f t="shared" si="3"/>
        <v>0</v>
      </c>
    </row>
    <row r="22" spans="1:12" ht="15">
      <c r="A22" s="24"/>
      <c r="B22" s="24" t="s">
        <v>1802</v>
      </c>
      <c r="C22" s="24"/>
      <c r="D22" s="34">
        <f>+INPUT!L108</f>
        <v>730</v>
      </c>
      <c r="E22" s="24"/>
      <c r="F22" s="34">
        <f>+INPUT!M108</f>
        <v>17662</v>
      </c>
      <c r="G22" s="24"/>
      <c r="H22" s="78">
        <f t="shared" si="0"/>
        <v>0.041331672517268714</v>
      </c>
      <c r="I22" s="24"/>
      <c r="J22" s="34">
        <f>+INPUT!O108</f>
        <v>89</v>
      </c>
      <c r="K22" s="77"/>
      <c r="L22" s="79">
        <f t="shared" si="1"/>
        <v>3.6785</v>
      </c>
    </row>
    <row r="23" spans="1:12" ht="15">
      <c r="A23" s="24"/>
      <c r="B23" s="24" t="s">
        <v>1803</v>
      </c>
      <c r="C23" s="24"/>
      <c r="D23" s="34">
        <f>+INPUT!L109</f>
        <v>906</v>
      </c>
      <c r="E23" s="24"/>
      <c r="F23" s="34">
        <f>+INPUT!M109</f>
        <v>22265</v>
      </c>
      <c r="G23" s="24"/>
      <c r="H23" s="78">
        <f t="shared" si="0"/>
        <v>0.040691668538064225</v>
      </c>
      <c r="I23" s="24"/>
      <c r="J23" s="34">
        <f>+INPUT!O109</f>
        <v>115</v>
      </c>
      <c r="K23" s="24"/>
      <c r="L23" s="79">
        <f t="shared" si="1"/>
        <v>4.6795</v>
      </c>
    </row>
    <row r="24" spans="1:12" ht="15">
      <c r="A24" s="24"/>
      <c r="B24" s="24" t="s">
        <v>1804</v>
      </c>
      <c r="C24" s="24"/>
      <c r="D24" s="34">
        <f>+INPUT!L110</f>
        <v>233.496</v>
      </c>
      <c r="E24" s="24"/>
      <c r="F24" s="34">
        <f>+INPUT!M110</f>
        <v>8223</v>
      </c>
      <c r="G24" s="24"/>
      <c r="H24" s="78">
        <f t="shared" si="0"/>
        <v>0.028395476103611823</v>
      </c>
      <c r="I24" s="24"/>
      <c r="J24" s="34">
        <f>+INPUT!O110</f>
        <v>37</v>
      </c>
      <c r="K24" s="24"/>
      <c r="L24" s="79">
        <f t="shared" si="1"/>
        <v>1.0506</v>
      </c>
    </row>
    <row r="25" spans="1:12" ht="15">
      <c r="A25" s="24"/>
      <c r="B25" s="24" t="s">
        <v>2136</v>
      </c>
      <c r="C25" s="24"/>
      <c r="D25" s="34">
        <f>INPUT!L111</f>
        <v>2200.324</v>
      </c>
      <c r="E25" s="24"/>
      <c r="F25" s="34">
        <f>INPUT!M111</f>
        <v>287314</v>
      </c>
      <c r="G25" s="24"/>
      <c r="H25" s="78">
        <f t="shared" si="0"/>
        <v>0.0076582554278594155</v>
      </c>
      <c r="I25" s="24"/>
      <c r="J25" s="34">
        <f>+INPUT!O111</f>
        <v>0</v>
      </c>
      <c r="K25" s="24"/>
      <c r="L25" s="79">
        <f t="shared" si="1"/>
        <v>0</v>
      </c>
    </row>
    <row r="26" spans="1:12" ht="15">
      <c r="A26" s="24"/>
      <c r="B26" s="24" t="s">
        <v>1807</v>
      </c>
      <c r="C26" s="24"/>
      <c r="D26" s="34">
        <f>+INPUT!L112</f>
        <v>743</v>
      </c>
      <c r="E26" s="24"/>
      <c r="F26" s="34">
        <f>+INPUT!M112</f>
        <v>4531</v>
      </c>
      <c r="G26" s="24"/>
      <c r="H26" s="78">
        <f t="shared" si="0"/>
        <v>0.16398146104612668</v>
      </c>
      <c r="I26" s="24"/>
      <c r="J26" s="34">
        <f>+INPUT!O112</f>
        <v>35</v>
      </c>
      <c r="K26" s="24"/>
      <c r="L26" s="79">
        <f t="shared" si="1"/>
        <v>5.7394</v>
      </c>
    </row>
    <row r="27" spans="1:12" ht="15">
      <c r="A27" s="24"/>
      <c r="B27" s="24" t="s">
        <v>1808</v>
      </c>
      <c r="C27" s="24"/>
      <c r="D27" s="34">
        <f>+INPUT!L113</f>
        <v>0</v>
      </c>
      <c r="E27" s="24"/>
      <c r="F27" s="34">
        <f>+INPUT!M113</f>
        <v>0</v>
      </c>
      <c r="G27" s="24"/>
      <c r="H27" s="78">
        <f t="shared" si="0"/>
        <v>0</v>
      </c>
      <c r="I27" s="24"/>
      <c r="J27" s="34">
        <f>+INPUT!O113</f>
        <v>0</v>
      </c>
      <c r="K27" s="24"/>
      <c r="L27" s="79">
        <f t="shared" si="1"/>
        <v>0</v>
      </c>
    </row>
    <row r="28" spans="1:12" ht="15">
      <c r="A28" s="24"/>
      <c r="B28" s="24" t="s">
        <v>1809</v>
      </c>
      <c r="C28" s="24"/>
      <c r="D28" s="34">
        <f>+INPUT!L114</f>
        <v>0</v>
      </c>
      <c r="E28" s="24"/>
      <c r="F28" s="34">
        <f>+INPUT!M114</f>
        <v>0</v>
      </c>
      <c r="G28" s="24"/>
      <c r="H28" s="78">
        <f t="shared" si="0"/>
        <v>0</v>
      </c>
      <c r="I28" s="24"/>
      <c r="J28" s="34">
        <f>+INPUT!O114</f>
        <v>0</v>
      </c>
      <c r="K28" s="24"/>
      <c r="L28" s="79">
        <f t="shared" si="1"/>
        <v>0</v>
      </c>
    </row>
    <row r="29" spans="1:12" ht="15">
      <c r="A29" s="24"/>
      <c r="B29" s="24" t="s">
        <v>1805</v>
      </c>
      <c r="C29" s="24"/>
      <c r="D29" s="34">
        <f>+INPUT!L115</f>
        <v>0</v>
      </c>
      <c r="E29" s="24"/>
      <c r="F29" s="34">
        <f>+INPUT!M115</f>
        <v>0</v>
      </c>
      <c r="G29" s="24"/>
      <c r="H29" s="78">
        <f t="shared" si="0"/>
        <v>0</v>
      </c>
      <c r="I29" s="24"/>
      <c r="J29" s="34">
        <f>+INPUT!O115</f>
        <v>0</v>
      </c>
      <c r="K29" s="77"/>
      <c r="L29" s="79">
        <f t="shared" si="1"/>
        <v>0</v>
      </c>
    </row>
    <row r="30" spans="1:12" ht="15">
      <c r="A30" s="24"/>
      <c r="B30" s="24" t="s">
        <v>1806</v>
      </c>
      <c r="C30" s="24"/>
      <c r="D30" s="34">
        <f>+INPUT!L116</f>
        <v>5431.376999999998</v>
      </c>
      <c r="E30" s="24"/>
      <c r="F30" s="34">
        <f>+INPUT!M116</f>
        <v>43758</v>
      </c>
      <c r="G30" s="24"/>
      <c r="H30" s="78">
        <f>IF(D30&lt;=0,0,D30/F30)</f>
        <v>0.12412306321129846</v>
      </c>
      <c r="I30" s="24"/>
      <c r="J30" s="34">
        <f>+INPUT!O116</f>
        <v>317</v>
      </c>
      <c r="K30" s="77"/>
      <c r="L30" s="79">
        <f>ROUND(H30*J30,4)</f>
        <v>39.347</v>
      </c>
    </row>
    <row r="31" spans="1:12" ht="15">
      <c r="A31" s="24"/>
      <c r="B31" s="24" t="s">
        <v>1801</v>
      </c>
      <c r="C31" s="24"/>
      <c r="D31" s="34">
        <f>+INPUT!L117</f>
        <v>62563.37899999999</v>
      </c>
      <c r="E31" s="24"/>
      <c r="F31" s="34">
        <f>+INPUT!M117</f>
        <v>541430</v>
      </c>
      <c r="G31" s="24"/>
      <c r="H31" s="78">
        <f>IF(D31&lt;=0,0,D31/F31)</f>
        <v>0.11555211015274365</v>
      </c>
      <c r="I31" s="24"/>
      <c r="J31" s="34">
        <f>+INPUT!O117</f>
        <v>136</v>
      </c>
      <c r="K31" s="77"/>
      <c r="L31" s="79">
        <f>ROUND(H31*J31,4)</f>
        <v>15.7151</v>
      </c>
    </row>
    <row r="32" spans="1:12" ht="15">
      <c r="A32" s="24"/>
      <c r="B32" s="24" t="s">
        <v>964</v>
      </c>
      <c r="C32" s="24"/>
      <c r="D32" s="34">
        <f>+INPUT!L118</f>
        <v>205</v>
      </c>
      <c r="E32" s="24"/>
      <c r="F32" s="34">
        <f>+INPUT!M118</f>
        <v>9271</v>
      </c>
      <c r="G32" s="24"/>
      <c r="H32" s="78">
        <f>IF(D32&lt;=0,0,D32/F32)</f>
        <v>0.022111962032143242</v>
      </c>
      <c r="I32" s="24"/>
      <c r="J32" s="34">
        <f>+INPUT!O118</f>
        <v>0</v>
      </c>
      <c r="K32" s="77"/>
      <c r="L32" s="79">
        <f>ROUND(H32*J32,4)</f>
        <v>0</v>
      </c>
    </row>
    <row r="33" spans="1:13" ht="16.5" hidden="1">
      <c r="A33" s="24"/>
      <c r="B33" s="116" t="s">
        <v>965</v>
      </c>
      <c r="C33" s="116"/>
      <c r="D33" s="117">
        <f>+INPUT!L119</f>
        <v>0</v>
      </c>
      <c r="E33" s="116"/>
      <c r="F33" s="117">
        <f>+INPUT!M119</f>
        <v>0</v>
      </c>
      <c r="G33" s="116"/>
      <c r="H33" s="118">
        <f t="shared" si="0"/>
        <v>0</v>
      </c>
      <c r="I33" s="116"/>
      <c r="J33" s="117">
        <f>+INPUT!O119</f>
        <v>0</v>
      </c>
      <c r="K33" s="119"/>
      <c r="L33" s="120">
        <f t="shared" si="1"/>
        <v>0</v>
      </c>
      <c r="M33" s="23" t="s">
        <v>734</v>
      </c>
    </row>
    <row r="34" spans="1:12" ht="15">
      <c r="A34" s="24"/>
      <c r="B34" s="24" t="s">
        <v>966</v>
      </c>
      <c r="C34" s="24"/>
      <c r="D34" s="39">
        <f>+INPUT!L120</f>
        <v>0</v>
      </c>
      <c r="E34" s="24"/>
      <c r="F34" s="39">
        <f>+INPUT!M120</f>
        <v>0</v>
      </c>
      <c r="G34" s="24"/>
      <c r="H34" s="80">
        <f t="shared" si="0"/>
        <v>0</v>
      </c>
      <c r="I34" s="24"/>
      <c r="J34" s="39">
        <f>+INPUT!O120</f>
        <v>67</v>
      </c>
      <c r="K34" s="77"/>
      <c r="L34" s="81">
        <f t="shared" si="1"/>
        <v>0</v>
      </c>
    </row>
    <row r="35" spans="1:13" ht="16.5" hidden="1">
      <c r="A35" s="24"/>
      <c r="B35" s="116" t="s">
        <v>967</v>
      </c>
      <c r="C35" s="116"/>
      <c r="D35" s="117">
        <f>+INPUT!L121</f>
        <v>0</v>
      </c>
      <c r="E35" s="116"/>
      <c r="F35" s="117">
        <f>+INPUT!M121</f>
        <v>0</v>
      </c>
      <c r="G35" s="116"/>
      <c r="H35" s="118">
        <f t="shared" si="0"/>
        <v>0</v>
      </c>
      <c r="I35" s="116"/>
      <c r="J35" s="117">
        <f>+INPUT!O121</f>
        <v>0</v>
      </c>
      <c r="K35" s="119"/>
      <c r="L35" s="120">
        <f t="shared" si="1"/>
        <v>0</v>
      </c>
      <c r="M35" s="23" t="s">
        <v>734</v>
      </c>
    </row>
    <row r="36" spans="1:13" ht="16.5" hidden="1">
      <c r="A36" s="24"/>
      <c r="B36" s="116" t="s">
        <v>968</v>
      </c>
      <c r="C36" s="116"/>
      <c r="D36" s="121">
        <f>+INPUT!L122</f>
        <v>0</v>
      </c>
      <c r="E36" s="116"/>
      <c r="F36" s="121">
        <f>+INPUT!M122</f>
        <v>0</v>
      </c>
      <c r="G36" s="116"/>
      <c r="H36" s="122">
        <f t="shared" si="0"/>
        <v>0</v>
      </c>
      <c r="I36" s="116"/>
      <c r="J36" s="121">
        <f>+INPUT!O122</f>
        <v>0</v>
      </c>
      <c r="K36" s="116"/>
      <c r="L36" s="123">
        <f t="shared" si="1"/>
        <v>0</v>
      </c>
      <c r="M36" s="23" t="s">
        <v>734</v>
      </c>
    </row>
    <row r="37" spans="1:12" ht="15">
      <c r="A37" s="24"/>
      <c r="B37" s="24" t="s">
        <v>543</v>
      </c>
      <c r="C37" s="24"/>
      <c r="D37" s="34">
        <f>SUM(D13:D36)</f>
        <v>199510.681</v>
      </c>
      <c r="E37" s="24"/>
      <c r="F37" s="34">
        <f>SUM(F13:F36)</f>
        <v>1610874</v>
      </c>
      <c r="G37" s="24"/>
      <c r="H37" s="78">
        <f>IF(D37&lt;=0,0,D37/F37)</f>
        <v>0.12385244345616107</v>
      </c>
      <c r="I37" s="24"/>
      <c r="J37" s="36">
        <f>SUM(J13:J36)</f>
        <v>968</v>
      </c>
      <c r="K37" s="24"/>
      <c r="L37" s="79">
        <f>SUM(L13:L36)</f>
        <v>101.57910000000001</v>
      </c>
    </row>
    <row r="38" spans="1:12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 s="24" t="s">
        <v>927</v>
      </c>
      <c r="B39" s="24" t="s">
        <v>969</v>
      </c>
      <c r="C39" s="24"/>
      <c r="D39" s="34">
        <f>+INPUT!L123</f>
        <v>16600.105</v>
      </c>
      <c r="E39" s="24"/>
      <c r="F39" s="34">
        <f>+INPUT!M123</f>
        <v>80747</v>
      </c>
      <c r="G39" s="24"/>
      <c r="H39" s="78">
        <f>IF(D39&lt;=0,0,D39/F39)</f>
        <v>0.20558169343752708</v>
      </c>
      <c r="I39" s="24"/>
      <c r="J39" s="34">
        <f>+INPUT!O123</f>
        <v>706</v>
      </c>
      <c r="K39" s="24"/>
      <c r="L39" s="79">
        <f>ROUND(H39*J39,4)</f>
        <v>145.1407</v>
      </c>
    </row>
    <row r="40" spans="1:16" ht="15">
      <c r="A40" s="24"/>
      <c r="B40" s="24" t="s">
        <v>1506</v>
      </c>
      <c r="C40" s="24"/>
      <c r="D40" s="34">
        <f>+INPUT!L124</f>
        <v>0</v>
      </c>
      <c r="E40" s="24"/>
      <c r="F40" s="34">
        <f>+INPUT!M124</f>
        <v>0</v>
      </c>
      <c r="G40" s="24"/>
      <c r="H40" s="78">
        <f>IF(D40&lt;=0,0,D40/F40)</f>
        <v>0</v>
      </c>
      <c r="I40" s="24"/>
      <c r="J40" s="34">
        <f>+INPUT!O124</f>
        <v>0</v>
      </c>
      <c r="K40" s="24"/>
      <c r="L40" s="79">
        <f>ROUND(H40*J40,4)</f>
        <v>0</v>
      </c>
      <c r="P40" s="3">
        <f>1299445-1271008</f>
        <v>28437</v>
      </c>
    </row>
    <row r="41" spans="1:12" ht="15">
      <c r="A41" s="24"/>
      <c r="B41" s="24" t="s">
        <v>79</v>
      </c>
      <c r="C41" s="24"/>
      <c r="D41" s="34">
        <f>+INPUT!L125</f>
        <v>9481.227000000003</v>
      </c>
      <c r="E41" s="24"/>
      <c r="F41" s="36">
        <f>+INPUT!M125</f>
        <v>130730</v>
      </c>
      <c r="G41" s="24"/>
      <c r="H41" s="78">
        <f>IF(D41&lt;=0,0,D41/F41)</f>
        <v>0.07252525816568502</v>
      </c>
      <c r="I41" s="24"/>
      <c r="J41" s="34">
        <f>+INPUT!O125</f>
        <v>364</v>
      </c>
      <c r="K41" s="24"/>
      <c r="L41" s="79">
        <f>ROUND(H41*J41,4)</f>
        <v>26.3992</v>
      </c>
    </row>
    <row r="42" spans="1:12" ht="15">
      <c r="A42" s="24"/>
      <c r="B42" s="24" t="s">
        <v>80</v>
      </c>
      <c r="C42" s="24"/>
      <c r="D42" s="39">
        <f>+INPUT!L126</f>
        <v>16057.048000000017</v>
      </c>
      <c r="E42" s="24"/>
      <c r="F42" s="37">
        <f>+INPUT!M126</f>
        <v>124249</v>
      </c>
      <c r="G42" s="24"/>
      <c r="H42" s="80">
        <f>IF(D42&lt;=0,0,D42/F42)</f>
        <v>0.1292328147510243</v>
      </c>
      <c r="I42" s="24"/>
      <c r="J42" s="39">
        <f>+INPUT!O126</f>
        <v>344</v>
      </c>
      <c r="K42" s="24"/>
      <c r="L42" s="81">
        <f>ROUND(H42*J42,4)</f>
        <v>44.4561</v>
      </c>
    </row>
    <row r="43" spans="1:12" ht="15">
      <c r="A43" s="24"/>
      <c r="B43" s="24" t="s">
        <v>543</v>
      </c>
      <c r="C43" s="24"/>
      <c r="D43" s="34">
        <f>SUM(D39:D42)</f>
        <v>42138.38000000002</v>
      </c>
      <c r="E43" s="24"/>
      <c r="F43" s="34">
        <f>SUM(F39:F42)</f>
        <v>335726</v>
      </c>
      <c r="G43" s="24"/>
      <c r="H43" s="78">
        <f>IF(D43&lt;=0,0,D43/F43)</f>
        <v>0.12551419907901093</v>
      </c>
      <c r="I43" s="24"/>
      <c r="J43" s="36">
        <f>SUM(J39:J42)</f>
        <v>1414</v>
      </c>
      <c r="K43" s="24"/>
      <c r="L43" s="100">
        <f>SUM(L39:L42)</f>
        <v>215.996</v>
      </c>
    </row>
    <row r="44" spans="1:12" ht="15">
      <c r="A44" s="24"/>
      <c r="B44" s="24"/>
      <c r="C44" s="24"/>
      <c r="D44" s="34"/>
      <c r="E44" s="24"/>
      <c r="F44" s="34"/>
      <c r="G44" s="24"/>
      <c r="H44" s="78"/>
      <c r="I44" s="24"/>
      <c r="J44" s="34"/>
      <c r="K44" s="24"/>
      <c r="L44" s="79"/>
    </row>
    <row r="45" spans="1:12" ht="15">
      <c r="A45" s="24" t="s">
        <v>928</v>
      </c>
      <c r="B45" s="24" t="s">
        <v>84</v>
      </c>
      <c r="C45" s="24"/>
      <c r="D45" s="34">
        <f>+INPUT!L127</f>
        <v>31595.40399999999</v>
      </c>
      <c r="E45" s="24"/>
      <c r="F45" s="34">
        <f>+INPUT!M127</f>
        <v>435682</v>
      </c>
      <c r="G45" s="24"/>
      <c r="H45" s="78">
        <f aca="true" t="shared" si="4" ref="H45:H52">IF(D45&lt;=0,0,D45/F45)</f>
        <v>0.0725194155370201</v>
      </c>
      <c r="I45" s="24"/>
      <c r="J45" s="34">
        <f>+INPUT!O127</f>
        <v>1211.80462711052</v>
      </c>
      <c r="K45" s="24"/>
      <c r="L45" s="79">
        <f aca="true" t="shared" si="5" ref="L45:L52">ROUND(H45*J45,4)</f>
        <v>87.8794</v>
      </c>
    </row>
    <row r="46" spans="1:12" ht="15">
      <c r="A46" s="24"/>
      <c r="B46" s="24" t="s">
        <v>79</v>
      </c>
      <c r="C46" s="24"/>
      <c r="D46" s="34">
        <f>+INPUT!L128</f>
        <v>22116.14600000003</v>
      </c>
      <c r="E46" s="24"/>
      <c r="F46" s="34">
        <f>+INPUT!M128</f>
        <v>304953</v>
      </c>
      <c r="G46" s="24"/>
      <c r="H46" s="78">
        <f t="shared" si="4"/>
        <v>0.0725231297937716</v>
      </c>
      <c r="I46" s="24"/>
      <c r="J46" s="34">
        <f>+INPUT!O128</f>
        <v>848.1953728894799</v>
      </c>
      <c r="K46" s="24"/>
      <c r="L46" s="79">
        <f t="shared" si="5"/>
        <v>61.5138</v>
      </c>
    </row>
    <row r="47" spans="1:12" ht="15">
      <c r="A47" s="24"/>
      <c r="B47" s="24" t="s">
        <v>1507</v>
      </c>
      <c r="C47" s="24"/>
      <c r="D47" s="34">
        <f>+INPUT!L129</f>
        <v>53523.92899999995</v>
      </c>
      <c r="E47" s="24"/>
      <c r="F47" s="34">
        <f>+INPUT!M129</f>
        <v>414173</v>
      </c>
      <c r="G47" s="24"/>
      <c r="H47" s="78">
        <f t="shared" si="4"/>
        <v>0.12923085039343452</v>
      </c>
      <c r="I47" s="24"/>
      <c r="J47" s="36">
        <f>+INPUT!O129</f>
        <v>1147.6504817552252</v>
      </c>
      <c r="K47" s="24"/>
      <c r="L47" s="79">
        <f t="shared" si="5"/>
        <v>148.3118</v>
      </c>
    </row>
    <row r="48" spans="1:12" ht="15">
      <c r="A48" s="24"/>
      <c r="B48" s="24" t="s">
        <v>80</v>
      </c>
      <c r="C48" s="24"/>
      <c r="D48" s="34">
        <f>+INPUT!L130</f>
        <v>37465.796000000024</v>
      </c>
      <c r="E48" s="24"/>
      <c r="F48" s="34">
        <f>+INPUT!M130</f>
        <v>289919</v>
      </c>
      <c r="G48" s="24"/>
      <c r="H48" s="78">
        <f t="shared" si="4"/>
        <v>0.1292284948554597</v>
      </c>
      <c r="I48" s="24"/>
      <c r="J48" s="36">
        <f>+INPUT!O130</f>
        <v>803.3495182447748</v>
      </c>
      <c r="K48" s="24"/>
      <c r="L48" s="79">
        <f>ROUND(H48*J48,4)</f>
        <v>103.8156</v>
      </c>
    </row>
    <row r="49" spans="1:12" ht="15">
      <c r="A49" s="24"/>
      <c r="B49" s="24" t="s">
        <v>1508</v>
      </c>
      <c r="C49" s="24"/>
      <c r="D49" s="34">
        <f>+INPUT!L131</f>
        <v>0</v>
      </c>
      <c r="E49" s="24"/>
      <c r="F49" s="34">
        <f>+INPUT!M131</f>
        <v>0</v>
      </c>
      <c r="G49" s="24"/>
      <c r="H49" s="78">
        <f t="shared" si="4"/>
        <v>0</v>
      </c>
      <c r="I49" s="24"/>
      <c r="J49" s="34">
        <f>+INPUT!O131</f>
        <v>0</v>
      </c>
      <c r="K49" s="24"/>
      <c r="L49" s="79">
        <f t="shared" si="5"/>
        <v>0</v>
      </c>
    </row>
    <row r="50" spans="1:12" ht="15">
      <c r="A50" s="24"/>
      <c r="B50" s="24" t="s">
        <v>1509</v>
      </c>
      <c r="C50" s="24"/>
      <c r="D50" s="34">
        <f>+INPUT!L132</f>
        <v>0</v>
      </c>
      <c r="E50" s="24"/>
      <c r="F50" s="34">
        <f>+INPUT!M132</f>
        <v>0</v>
      </c>
      <c r="G50" s="24"/>
      <c r="H50" s="78">
        <f t="shared" si="4"/>
        <v>0</v>
      </c>
      <c r="I50" s="24"/>
      <c r="J50" s="34">
        <f>+INPUT!O132</f>
        <v>0</v>
      </c>
      <c r="K50" s="24"/>
      <c r="L50" s="79">
        <f t="shared" si="5"/>
        <v>0</v>
      </c>
    </row>
    <row r="51" spans="1:12" ht="15">
      <c r="A51" s="24"/>
      <c r="B51" s="24" t="s">
        <v>1510</v>
      </c>
      <c r="C51" s="24"/>
      <c r="D51" s="34">
        <f>+INPUT!L133</f>
        <v>1764.3600000000004</v>
      </c>
      <c r="E51" s="24"/>
      <c r="F51" s="34">
        <f>+INPUT!M133</f>
        <v>47241</v>
      </c>
      <c r="G51" s="24"/>
      <c r="H51" s="78">
        <f t="shared" si="4"/>
        <v>0.03734806629834255</v>
      </c>
      <c r="I51" s="24"/>
      <c r="J51" s="34">
        <f>+INPUT!O133</f>
        <v>264</v>
      </c>
      <c r="K51" s="24"/>
      <c r="L51" s="79">
        <f t="shared" si="5"/>
        <v>9.8599</v>
      </c>
    </row>
    <row r="52" spans="1:12" ht="15">
      <c r="A52" s="24"/>
      <c r="B52" s="24" t="s">
        <v>1889</v>
      </c>
      <c r="C52" s="24"/>
      <c r="D52" s="39">
        <f>+INPUT!L134</f>
        <v>15569.104999999994</v>
      </c>
      <c r="E52" s="24"/>
      <c r="F52" s="39">
        <f>+INPUT!M134</f>
        <v>270332</v>
      </c>
      <c r="G52" s="24"/>
      <c r="H52" s="80">
        <f t="shared" si="4"/>
        <v>0.05759253436515098</v>
      </c>
      <c r="I52" s="24"/>
      <c r="J52" s="39">
        <f>+INPUT!O134</f>
        <v>1963</v>
      </c>
      <c r="K52" s="24"/>
      <c r="L52" s="81">
        <f t="shared" si="5"/>
        <v>113.0541</v>
      </c>
    </row>
    <row r="53" spans="1:12" ht="15">
      <c r="A53" s="24"/>
      <c r="B53" s="24" t="s">
        <v>543</v>
      </c>
      <c r="C53" s="24"/>
      <c r="D53" s="34">
        <f>SUM(D45:D52)</f>
        <v>162034.73999999996</v>
      </c>
      <c r="E53" s="24"/>
      <c r="F53" s="34">
        <f>SUM(F45:F52)</f>
        <v>1762300</v>
      </c>
      <c r="G53" s="24"/>
      <c r="H53" s="78">
        <f>IF(D53&lt;=0,0,D53/F53)</f>
        <v>0.0919450377347784</v>
      </c>
      <c r="I53" s="24"/>
      <c r="J53" s="36">
        <f>SUM(J45:J52)</f>
        <v>6238</v>
      </c>
      <c r="K53" s="24"/>
      <c r="L53" s="100">
        <f>SUM(L45:L52)</f>
        <v>524.4346</v>
      </c>
    </row>
    <row r="54" spans="1:12" ht="15">
      <c r="A54" s="24"/>
      <c r="B54" s="24"/>
      <c r="C54" s="24"/>
      <c r="D54" s="34"/>
      <c r="E54" s="24"/>
      <c r="F54" s="34"/>
      <c r="G54" s="24"/>
      <c r="H54" s="78"/>
      <c r="I54" s="24"/>
      <c r="J54" s="34"/>
      <c r="K54" s="24"/>
      <c r="L54" s="34"/>
    </row>
    <row r="55" spans="1:12" ht="15">
      <c r="A55" s="24" t="s">
        <v>1294</v>
      </c>
      <c r="B55" s="26" t="str">
        <f>+INPUT!C1</f>
        <v>February 2012</v>
      </c>
      <c r="C55" s="24"/>
      <c r="D55" s="24"/>
      <c r="E55" s="24"/>
      <c r="F55" s="24"/>
      <c r="G55" s="24"/>
      <c r="H55" s="24"/>
      <c r="I55" s="24"/>
      <c r="J55" s="24"/>
      <c r="K55" s="24"/>
      <c r="L55" s="25" t="s">
        <v>1435</v>
      </c>
    </row>
    <row r="56" spans="1:12" ht="15">
      <c r="A56" s="30"/>
      <c r="B56" s="24"/>
      <c r="C56" s="24"/>
      <c r="D56" s="24"/>
      <c r="E56" s="24"/>
      <c r="G56" s="25" t="s">
        <v>1877</v>
      </c>
      <c r="H56" s="24"/>
      <c r="I56" s="24"/>
      <c r="J56" s="24"/>
      <c r="K56" s="24"/>
      <c r="L56" s="24"/>
    </row>
    <row r="57" spans="1:12" ht="15">
      <c r="A57" s="30"/>
      <c r="B57" s="24"/>
      <c r="C57" s="24"/>
      <c r="D57" s="24"/>
      <c r="E57" s="24"/>
      <c r="G57" s="25" t="s">
        <v>1878</v>
      </c>
      <c r="H57" s="24"/>
      <c r="I57" s="24"/>
      <c r="J57" s="24"/>
      <c r="K57" s="24"/>
      <c r="L57" s="24"/>
    </row>
    <row r="58" spans="1:12" ht="15">
      <c r="A58" s="30"/>
      <c r="B58" s="24"/>
      <c r="C58" s="24"/>
      <c r="D58" s="24"/>
      <c r="E58" s="24"/>
      <c r="G58" s="76" t="s">
        <v>1879</v>
      </c>
      <c r="H58" s="24"/>
      <c r="I58" s="24"/>
      <c r="J58" s="24"/>
      <c r="K58" s="24"/>
      <c r="L58" s="24"/>
    </row>
    <row r="59" spans="1:12" ht="15">
      <c r="A59" s="24"/>
      <c r="B59" s="24"/>
      <c r="C59" s="24"/>
      <c r="D59" s="25" t="s">
        <v>1701</v>
      </c>
      <c r="E59" s="24"/>
      <c r="F59" s="24"/>
      <c r="G59" s="24"/>
      <c r="H59" s="24"/>
      <c r="I59" s="24"/>
      <c r="J59" s="24"/>
      <c r="K59" s="24"/>
      <c r="L59" s="24"/>
    </row>
    <row r="60" spans="1:12" ht="15">
      <c r="A60" s="24"/>
      <c r="B60" s="24"/>
      <c r="C60" s="24"/>
      <c r="D60" s="25" t="s">
        <v>1880</v>
      </c>
      <c r="E60" s="24"/>
      <c r="F60" s="24"/>
      <c r="G60" s="24"/>
      <c r="H60" s="24"/>
      <c r="I60" s="24"/>
      <c r="J60" s="24"/>
      <c r="K60" s="24"/>
      <c r="L60" s="24"/>
    </row>
    <row r="61" spans="1:11" ht="15">
      <c r="A61" s="24"/>
      <c r="B61" s="24"/>
      <c r="C61" s="24"/>
      <c r="D61" s="25" t="s">
        <v>1881</v>
      </c>
      <c r="E61" s="24"/>
      <c r="F61" s="24"/>
      <c r="G61" s="24"/>
      <c r="H61" s="25" t="s">
        <v>1882</v>
      </c>
      <c r="I61" s="24"/>
      <c r="J61" s="25" t="s">
        <v>1995</v>
      </c>
      <c r="K61" s="24"/>
    </row>
    <row r="62" spans="1:12" ht="15">
      <c r="A62" s="24"/>
      <c r="B62" s="24"/>
      <c r="C62" s="24"/>
      <c r="D62" s="25" t="s">
        <v>1883</v>
      </c>
      <c r="E62" s="24"/>
      <c r="F62" s="25" t="s">
        <v>543</v>
      </c>
      <c r="G62" s="24"/>
      <c r="H62" s="25" t="s">
        <v>171</v>
      </c>
      <c r="I62" s="24"/>
      <c r="J62" s="25" t="s">
        <v>699</v>
      </c>
      <c r="K62" s="24"/>
      <c r="L62" s="25" t="s">
        <v>1996</v>
      </c>
    </row>
    <row r="63" spans="1:12" ht="15">
      <c r="A63" s="24"/>
      <c r="B63" s="24"/>
      <c r="C63" s="24"/>
      <c r="D63" s="25" t="s">
        <v>1834</v>
      </c>
      <c r="E63" s="24"/>
      <c r="F63" s="25" t="s">
        <v>1701</v>
      </c>
      <c r="G63" s="24"/>
      <c r="H63" s="25" t="s">
        <v>1884</v>
      </c>
      <c r="I63" s="24"/>
      <c r="J63" s="25" t="s">
        <v>700</v>
      </c>
      <c r="K63" s="24"/>
      <c r="L63" s="25" t="s">
        <v>1885</v>
      </c>
    </row>
    <row r="64" spans="1:12" ht="15">
      <c r="A64" s="24"/>
      <c r="B64" s="24"/>
      <c r="C64" s="24"/>
      <c r="D64" s="31" t="s">
        <v>1886</v>
      </c>
      <c r="E64" s="24"/>
      <c r="F64" s="31" t="s">
        <v>1886</v>
      </c>
      <c r="G64" s="24"/>
      <c r="H64" s="29" t="s">
        <v>1887</v>
      </c>
      <c r="I64" s="24"/>
      <c r="J64" s="29" t="s">
        <v>1835</v>
      </c>
      <c r="K64" s="24"/>
      <c r="L64" s="29" t="s">
        <v>1040</v>
      </c>
    </row>
    <row r="65" spans="1:12" ht="15">
      <c r="A65" s="24"/>
      <c r="B65" s="24"/>
      <c r="C65" s="24"/>
      <c r="D65" s="33" t="s">
        <v>119</v>
      </c>
      <c r="E65" s="24"/>
      <c r="F65" s="33" t="s">
        <v>120</v>
      </c>
      <c r="G65" s="27"/>
      <c r="H65" s="33" t="s">
        <v>1888</v>
      </c>
      <c r="I65" s="27"/>
      <c r="J65" s="33" t="s">
        <v>122</v>
      </c>
      <c r="K65" s="27"/>
      <c r="L65" s="33" t="s">
        <v>2006</v>
      </c>
    </row>
    <row r="66" spans="1:12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24" t="s">
        <v>929</v>
      </c>
      <c r="B67" s="24" t="s">
        <v>963</v>
      </c>
      <c r="C67" s="24"/>
      <c r="D67" s="34">
        <f>+INPUT!L135</f>
        <v>31630.101000000115</v>
      </c>
      <c r="E67" s="24"/>
      <c r="F67" s="34">
        <f>+INPUT!M135</f>
        <v>303754</v>
      </c>
      <c r="G67" s="24"/>
      <c r="H67" s="78">
        <f aca="true" t="shared" si="6" ref="H67:H75">IF(D67&lt;=0,0,D67/F67)</f>
        <v>0.10413064848528782</v>
      </c>
      <c r="I67" s="24"/>
      <c r="J67" s="34">
        <f>+INPUT!O135</f>
        <v>91</v>
      </c>
      <c r="K67" s="77"/>
      <c r="L67" s="79">
        <f aca="true" t="shared" si="7" ref="L67:L75">ROUND(H67*J67,4)</f>
        <v>9.4759</v>
      </c>
    </row>
    <row r="68" spans="1:12" ht="15">
      <c r="A68" s="24"/>
      <c r="B68" s="24" t="s">
        <v>1890</v>
      </c>
      <c r="C68" s="24"/>
      <c r="D68" s="34">
        <f>+INPUT!L137</f>
        <v>2265.0070000000005</v>
      </c>
      <c r="E68" s="24"/>
      <c r="F68" s="34">
        <f>+INPUT!M137</f>
        <v>11642</v>
      </c>
      <c r="G68" s="24"/>
      <c r="H68" s="78">
        <f t="shared" si="6"/>
        <v>0.1945548015804845</v>
      </c>
      <c r="I68" s="24"/>
      <c r="J68" s="36">
        <f>+INPUT!O137</f>
        <v>2.03360200864427</v>
      </c>
      <c r="K68" s="24"/>
      <c r="L68" s="79">
        <f t="shared" si="7"/>
        <v>0.3956</v>
      </c>
    </row>
    <row r="69" spans="1:12" ht="15">
      <c r="A69" s="24"/>
      <c r="B69" s="24" t="s">
        <v>1840</v>
      </c>
      <c r="C69" s="24"/>
      <c r="D69" s="34">
        <f>+INPUT!L138</f>
        <v>3019.3419999999987</v>
      </c>
      <c r="E69" s="24"/>
      <c r="F69" s="34">
        <f>+INPUT!M138</f>
        <v>12135</v>
      </c>
      <c r="G69" s="24"/>
      <c r="H69" s="78">
        <f t="shared" si="6"/>
        <v>0.2488126905644828</v>
      </c>
      <c r="I69" s="24"/>
      <c r="J69" s="36">
        <f>+INPUT!O138</f>
        <v>1.315955588833508</v>
      </c>
      <c r="K69" s="24"/>
      <c r="L69" s="79">
        <f t="shared" si="7"/>
        <v>0.3274</v>
      </c>
    </row>
    <row r="70" spans="1:12" ht="15">
      <c r="A70" s="24"/>
      <c r="B70" s="24" t="s">
        <v>1903</v>
      </c>
      <c r="C70" s="24"/>
      <c r="D70" s="34">
        <f>+INPUT!L139</f>
        <v>0</v>
      </c>
      <c r="E70" s="24"/>
      <c r="F70" s="34">
        <f>+INPUT!M139</f>
        <v>0</v>
      </c>
      <c r="G70" s="24"/>
      <c r="H70" s="78">
        <f t="shared" si="6"/>
        <v>0</v>
      </c>
      <c r="I70" s="24"/>
      <c r="J70" s="34">
        <f>+INPUT!O139</f>
        <v>0</v>
      </c>
      <c r="K70" s="77"/>
      <c r="L70" s="79">
        <f t="shared" si="7"/>
        <v>0</v>
      </c>
    </row>
    <row r="71" spans="1:12" ht="15">
      <c r="A71" s="24"/>
      <c r="B71" s="24" t="s">
        <v>1904</v>
      </c>
      <c r="C71" s="24"/>
      <c r="D71" s="34">
        <f>+INPUT!L140</f>
        <v>0</v>
      </c>
      <c r="E71" s="24"/>
      <c r="F71" s="34">
        <f>+INPUT!M140</f>
        <v>0</v>
      </c>
      <c r="G71" s="24"/>
      <c r="H71" s="78">
        <f t="shared" si="6"/>
        <v>0</v>
      </c>
      <c r="I71" s="24"/>
      <c r="J71" s="34">
        <f>+INPUT!O140</f>
        <v>0</v>
      </c>
      <c r="K71" s="24"/>
      <c r="L71" s="79">
        <f t="shared" si="7"/>
        <v>0</v>
      </c>
    </row>
    <row r="72" spans="1:12" ht="15">
      <c r="A72" s="24"/>
      <c r="B72" s="24" t="s">
        <v>1905</v>
      </c>
      <c r="C72" s="24"/>
      <c r="D72" s="34">
        <f>+INPUT!L141</f>
        <v>1034.915</v>
      </c>
      <c r="E72" s="24"/>
      <c r="F72" s="34">
        <f>+INPUT!M141</f>
        <v>27729</v>
      </c>
      <c r="G72" s="24"/>
      <c r="H72" s="78">
        <f t="shared" si="6"/>
        <v>0.03732247827184536</v>
      </c>
      <c r="I72" s="24"/>
      <c r="J72" s="34">
        <f>+INPUT!O141</f>
        <v>580</v>
      </c>
      <c r="K72" s="77"/>
      <c r="L72" s="79">
        <f t="shared" si="7"/>
        <v>21.647</v>
      </c>
    </row>
    <row r="73" spans="1:12" ht="15">
      <c r="A73" s="24"/>
      <c r="B73" s="24" t="s">
        <v>1906</v>
      </c>
      <c r="C73" s="24"/>
      <c r="D73" s="34">
        <f>+INPUT!L142</f>
        <v>232</v>
      </c>
      <c r="E73" s="24"/>
      <c r="F73" s="34">
        <f>+INPUT!M142</f>
        <v>58265</v>
      </c>
      <c r="G73" s="24"/>
      <c r="H73" s="78">
        <f t="shared" si="6"/>
        <v>0.003981807259933064</v>
      </c>
      <c r="I73" s="24"/>
      <c r="J73" s="34">
        <f>+INPUT!O142</f>
        <v>55</v>
      </c>
      <c r="K73" s="24"/>
      <c r="L73" s="79">
        <f t="shared" si="7"/>
        <v>0.219</v>
      </c>
    </row>
    <row r="74" spans="1:12" ht="15">
      <c r="A74" s="24"/>
      <c r="B74" s="24" t="s">
        <v>1511</v>
      </c>
      <c r="C74" s="24"/>
      <c r="D74" s="34">
        <f>+INPUT!L143</f>
        <v>29211.250999999993</v>
      </c>
      <c r="E74" s="24"/>
      <c r="F74" s="34">
        <f>+INPUT!M143</f>
        <v>109374</v>
      </c>
      <c r="G74" s="24"/>
      <c r="H74" s="78">
        <f t="shared" si="6"/>
        <v>0.26707673670159265</v>
      </c>
      <c r="I74" s="24"/>
      <c r="J74" s="34">
        <f>+INPUT!O143</f>
        <v>119</v>
      </c>
      <c r="K74" s="77"/>
      <c r="L74" s="79">
        <f t="shared" si="7"/>
        <v>31.7821</v>
      </c>
    </row>
    <row r="75" spans="1:12" ht="15">
      <c r="A75" s="24"/>
      <c r="B75" s="24" t="s">
        <v>1512</v>
      </c>
      <c r="C75" s="24"/>
      <c r="D75" s="34">
        <f>+INPUT!L144</f>
        <v>4684.283000000001</v>
      </c>
      <c r="E75" s="24"/>
      <c r="F75" s="34">
        <f>+INPUT!M144</f>
        <v>22571</v>
      </c>
      <c r="G75" s="24"/>
      <c r="H75" s="78">
        <f t="shared" si="6"/>
        <v>0.20753546586327595</v>
      </c>
      <c r="I75" s="24"/>
      <c r="J75" s="34">
        <f>+INPUT!O144</f>
        <v>22</v>
      </c>
      <c r="K75" s="24"/>
      <c r="L75" s="79">
        <f t="shared" si="7"/>
        <v>4.5658</v>
      </c>
    </row>
    <row r="76" spans="1:12" ht="15">
      <c r="A76" s="24"/>
      <c r="B76" s="24" t="s">
        <v>649</v>
      </c>
      <c r="C76" s="24"/>
      <c r="D76" s="34">
        <f>+INPUT!L145</f>
        <v>0</v>
      </c>
      <c r="E76" s="24"/>
      <c r="F76" s="34">
        <f>+INPUT!M145</f>
        <v>0</v>
      </c>
      <c r="G76" s="24"/>
      <c r="H76" s="78">
        <f aca="true" t="shared" si="8" ref="H76:H81">IF(D76&lt;=0,0,D76/F76)</f>
        <v>0</v>
      </c>
      <c r="I76" s="24"/>
      <c r="J76" s="34">
        <f>+INPUT!O145</f>
        <v>0</v>
      </c>
      <c r="K76" s="24"/>
      <c r="L76" s="79">
        <f aca="true" t="shared" si="9" ref="L76:L81">ROUND(H76*J76,4)</f>
        <v>0</v>
      </c>
    </row>
    <row r="77" spans="1:12" ht="15">
      <c r="A77" s="24"/>
      <c r="B77" s="24" t="s">
        <v>650</v>
      </c>
      <c r="C77" s="24"/>
      <c r="D77" s="34">
        <f>+INPUT!L146</f>
        <v>0</v>
      </c>
      <c r="E77" s="24"/>
      <c r="F77" s="34">
        <f>+INPUT!M146</f>
        <v>0</v>
      </c>
      <c r="G77" s="24"/>
      <c r="H77" s="78">
        <f t="shared" si="8"/>
        <v>0</v>
      </c>
      <c r="I77" s="24"/>
      <c r="J77" s="34">
        <f>+INPUT!O146</f>
        <v>0</v>
      </c>
      <c r="K77" s="24"/>
      <c r="L77" s="79">
        <f t="shared" si="9"/>
        <v>0</v>
      </c>
    </row>
    <row r="78" spans="1:12" ht="15">
      <c r="A78" s="24"/>
      <c r="B78" s="24" t="s">
        <v>651</v>
      </c>
      <c r="C78" s="24"/>
      <c r="D78" s="34">
        <f>+INPUT!L147</f>
        <v>0</v>
      </c>
      <c r="E78" s="24"/>
      <c r="F78" s="34">
        <f>+INPUT!M147</f>
        <v>0</v>
      </c>
      <c r="G78" s="24"/>
      <c r="H78" s="78">
        <f t="shared" si="8"/>
        <v>0</v>
      </c>
      <c r="I78" s="24"/>
      <c r="J78" s="34">
        <f>+INPUT!O147</f>
        <v>0</v>
      </c>
      <c r="K78" s="24"/>
      <c r="L78" s="79">
        <f t="shared" si="9"/>
        <v>0</v>
      </c>
    </row>
    <row r="79" spans="1:12" ht="15">
      <c r="A79" s="24"/>
      <c r="B79" s="24" t="s">
        <v>652</v>
      </c>
      <c r="C79" s="24"/>
      <c r="D79" s="34">
        <f>+INPUT!L148</f>
        <v>0</v>
      </c>
      <c r="E79" s="24"/>
      <c r="F79" s="34">
        <f>+INPUT!M148</f>
        <v>0</v>
      </c>
      <c r="G79" s="24"/>
      <c r="H79" s="78">
        <f t="shared" si="8"/>
        <v>0</v>
      </c>
      <c r="I79" s="24"/>
      <c r="J79" s="34">
        <f>+INPUT!O148</f>
        <v>0</v>
      </c>
      <c r="K79" s="24"/>
      <c r="L79" s="79">
        <f t="shared" si="9"/>
        <v>0</v>
      </c>
    </row>
    <row r="80" spans="1:12" ht="15">
      <c r="A80" s="24"/>
      <c r="B80" s="24" t="s">
        <v>653</v>
      </c>
      <c r="C80" s="24"/>
      <c r="D80" s="34">
        <f>+INPUT!L149</f>
        <v>0</v>
      </c>
      <c r="E80" s="24"/>
      <c r="F80" s="34">
        <f>+INPUT!M149</f>
        <v>0</v>
      </c>
      <c r="G80" s="24"/>
      <c r="H80" s="78">
        <f t="shared" si="8"/>
        <v>0</v>
      </c>
      <c r="I80" s="24"/>
      <c r="J80" s="34">
        <f>+INPUT!O149</f>
        <v>0</v>
      </c>
      <c r="K80" s="24"/>
      <c r="L80" s="79">
        <f t="shared" si="9"/>
        <v>0</v>
      </c>
    </row>
    <row r="81" spans="1:12" ht="15">
      <c r="A81" s="24"/>
      <c r="B81" s="24" t="s">
        <v>654</v>
      </c>
      <c r="C81" s="24"/>
      <c r="D81" s="34">
        <f>+INPUT!L150</f>
        <v>0</v>
      </c>
      <c r="E81" s="24"/>
      <c r="F81" s="34">
        <f>+INPUT!M150</f>
        <v>0</v>
      </c>
      <c r="G81" s="24"/>
      <c r="H81" s="78">
        <f t="shared" si="8"/>
        <v>0</v>
      </c>
      <c r="I81" s="24"/>
      <c r="J81" s="34">
        <f>+INPUT!O150</f>
        <v>0</v>
      </c>
      <c r="K81" s="24"/>
      <c r="L81" s="79">
        <f t="shared" si="9"/>
        <v>0</v>
      </c>
    </row>
    <row r="82" spans="1:12" ht="15">
      <c r="A82" s="24"/>
      <c r="B82" s="24" t="s">
        <v>1891</v>
      </c>
      <c r="C82" s="24"/>
      <c r="D82" s="34">
        <f>+INPUT!L151</f>
        <v>76834.60899999994</v>
      </c>
      <c r="E82" s="24"/>
      <c r="F82" s="34">
        <f>+INPUT!M151</f>
        <v>817309</v>
      </c>
      <c r="G82" s="24"/>
      <c r="H82" s="78">
        <f aca="true" t="shared" si="10" ref="H82:H108">IF(D82&lt;=0,0,D82/F82)</f>
        <v>0.09400925353813544</v>
      </c>
      <c r="I82" s="24"/>
      <c r="J82" s="34">
        <f>+INPUT!O151</f>
        <v>1157</v>
      </c>
      <c r="K82" s="77"/>
      <c r="L82" s="79">
        <f aca="true" t="shared" si="11" ref="L82:L108">ROUND(H82*J82,4)</f>
        <v>108.7687</v>
      </c>
    </row>
    <row r="83" spans="1:12" ht="15">
      <c r="A83" s="24"/>
      <c r="B83" s="24" t="s">
        <v>1892</v>
      </c>
      <c r="C83" s="24"/>
      <c r="D83" s="34">
        <f>+INPUT!L152</f>
        <v>81977.60200000003</v>
      </c>
      <c r="E83" s="24"/>
      <c r="F83" s="34">
        <f>+INPUT!M152</f>
        <v>839258</v>
      </c>
      <c r="G83" s="24"/>
      <c r="H83" s="78">
        <f t="shared" si="10"/>
        <v>0.0976786661551037</v>
      </c>
      <c r="I83" s="24"/>
      <c r="J83" s="34">
        <f>+INPUT!O152</f>
        <v>683</v>
      </c>
      <c r="K83" s="77"/>
      <c r="L83" s="79">
        <f t="shared" si="11"/>
        <v>66.7145</v>
      </c>
    </row>
    <row r="84" spans="1:12" ht="15">
      <c r="A84" s="24"/>
      <c r="B84" s="24" t="s">
        <v>1893</v>
      </c>
      <c r="C84" s="24"/>
      <c r="D84" s="34">
        <f>+INPUT!L153</f>
        <v>4456.456999999999</v>
      </c>
      <c r="E84" s="24"/>
      <c r="F84" s="34">
        <f>+INPUT!M153</f>
        <v>73697</v>
      </c>
      <c r="G84" s="24"/>
      <c r="H84" s="78">
        <f t="shared" si="10"/>
        <v>0.060469991994246707</v>
      </c>
      <c r="I84" s="24"/>
      <c r="J84" s="34">
        <f>+INPUT!O153</f>
        <v>759</v>
      </c>
      <c r="K84" s="24"/>
      <c r="L84" s="79">
        <f t="shared" si="11"/>
        <v>45.8967</v>
      </c>
    </row>
    <row r="85" spans="1:12" ht="15">
      <c r="A85" s="24"/>
      <c r="B85" s="24" t="s">
        <v>1894</v>
      </c>
      <c r="C85" s="24"/>
      <c r="D85" s="34">
        <f>+INPUT!L154</f>
        <v>468</v>
      </c>
      <c r="E85" s="24"/>
      <c r="F85" s="34">
        <f>+INPUT!M154</f>
        <v>3619</v>
      </c>
      <c r="G85" s="24"/>
      <c r="H85" s="78">
        <f t="shared" si="10"/>
        <v>0.12931749101961867</v>
      </c>
      <c r="I85" s="24"/>
      <c r="J85" s="34">
        <f>+INPUT!O154</f>
        <v>36</v>
      </c>
      <c r="K85" s="24"/>
      <c r="L85" s="79">
        <f t="shared" si="11"/>
        <v>4.6554</v>
      </c>
    </row>
    <row r="86" spans="1:12" ht="15">
      <c r="A86" s="24"/>
      <c r="B86" s="24" t="s">
        <v>1895</v>
      </c>
      <c r="C86" s="24"/>
      <c r="D86" s="34">
        <f>+INPUT!L155</f>
        <v>4043.749</v>
      </c>
      <c r="E86" s="24"/>
      <c r="F86" s="34">
        <f>+INPUT!M155</f>
        <v>83110</v>
      </c>
      <c r="G86" s="24"/>
      <c r="H86" s="78">
        <f t="shared" si="10"/>
        <v>0.04865538443027313</v>
      </c>
      <c r="I86" s="24"/>
      <c r="J86" s="34">
        <f>+INPUT!O155</f>
        <v>844</v>
      </c>
      <c r="K86" s="24"/>
      <c r="L86" s="79">
        <f t="shared" si="11"/>
        <v>41.0651</v>
      </c>
    </row>
    <row r="87" spans="1:12" ht="15">
      <c r="A87" s="24"/>
      <c r="B87" s="24" t="s">
        <v>1254</v>
      </c>
      <c r="C87" s="24"/>
      <c r="D87" s="34">
        <f>+INPUT!L156</f>
        <v>20639.306000000015</v>
      </c>
      <c r="E87" s="24"/>
      <c r="F87" s="34">
        <f>+INPUT!M156</f>
        <v>345457</v>
      </c>
      <c r="G87" s="24"/>
      <c r="H87" s="78">
        <f t="shared" si="10"/>
        <v>0.05974493497019894</v>
      </c>
      <c r="I87" s="24"/>
      <c r="J87" s="34">
        <f>+INPUT!O156</f>
        <v>0</v>
      </c>
      <c r="K87" s="24"/>
      <c r="L87" s="79">
        <f t="shared" si="11"/>
        <v>0</v>
      </c>
    </row>
    <row r="88" spans="1:12" ht="15">
      <c r="A88" s="24"/>
      <c r="B88" s="24" t="s">
        <v>1255</v>
      </c>
      <c r="C88" s="24"/>
      <c r="D88" s="34">
        <f>+INPUT!L157</f>
        <v>21624.067000000006</v>
      </c>
      <c r="E88" s="24"/>
      <c r="F88" s="34">
        <f>+INPUT!M157</f>
        <v>346562</v>
      </c>
      <c r="G88" s="24"/>
      <c r="H88" s="78">
        <f t="shared" si="10"/>
        <v>0.062395955124912736</v>
      </c>
      <c r="I88" s="24"/>
      <c r="J88" s="34">
        <f>+INPUT!O157</f>
        <v>0</v>
      </c>
      <c r="K88" s="24"/>
      <c r="L88" s="79">
        <f t="shared" si="11"/>
        <v>0</v>
      </c>
    </row>
    <row r="89" spans="1:12" ht="15">
      <c r="A89" s="24"/>
      <c r="B89" s="24" t="s">
        <v>1896</v>
      </c>
      <c r="C89" s="24"/>
      <c r="D89" s="34">
        <f>+INPUT!L158</f>
        <v>35660.75900000002</v>
      </c>
      <c r="E89" s="24"/>
      <c r="F89" s="34">
        <f>+INPUT!M158</f>
        <v>272617</v>
      </c>
      <c r="G89" s="24"/>
      <c r="H89" s="78">
        <f t="shared" si="10"/>
        <v>0.1308090067750728</v>
      </c>
      <c r="I89" s="24"/>
      <c r="J89" s="34">
        <f>+INPUT!O158</f>
        <v>103</v>
      </c>
      <c r="K89" s="24"/>
      <c r="L89" s="79">
        <f t="shared" si="11"/>
        <v>13.4733</v>
      </c>
    </row>
    <row r="90" spans="1:12" ht="15">
      <c r="A90" s="24"/>
      <c r="B90" s="24" t="s">
        <v>1897</v>
      </c>
      <c r="C90" s="24"/>
      <c r="D90" s="34">
        <f>+INPUT!L159</f>
        <v>41675.09200000003</v>
      </c>
      <c r="E90" s="24"/>
      <c r="F90" s="34">
        <f>+INPUT!M159</f>
        <v>260414</v>
      </c>
      <c r="G90" s="24"/>
      <c r="H90" s="78">
        <f t="shared" si="10"/>
        <v>0.1600339920280785</v>
      </c>
      <c r="I90" s="24"/>
      <c r="J90" s="34">
        <f>+INPUT!O159</f>
        <v>188</v>
      </c>
      <c r="K90" s="24"/>
      <c r="L90" s="79">
        <f t="shared" si="11"/>
        <v>30.0864</v>
      </c>
    </row>
    <row r="91" spans="1:12" ht="15">
      <c r="A91" s="24"/>
      <c r="B91" s="24" t="s">
        <v>1898</v>
      </c>
      <c r="C91" s="24"/>
      <c r="D91" s="34">
        <f>+INPUT!L160</f>
        <v>6080.496000000001</v>
      </c>
      <c r="E91" s="24"/>
      <c r="F91" s="34">
        <f>+INPUT!M160</f>
        <v>41555</v>
      </c>
      <c r="G91" s="24"/>
      <c r="H91" s="78">
        <f t="shared" si="10"/>
        <v>0.1463240524605944</v>
      </c>
      <c r="I91" s="24"/>
      <c r="J91" s="34">
        <f>+INPUT!O160</f>
        <v>1106</v>
      </c>
      <c r="K91" s="77"/>
      <c r="L91" s="79">
        <f t="shared" si="11"/>
        <v>161.8344</v>
      </c>
    </row>
    <row r="92" spans="1:12" ht="15">
      <c r="A92" s="24"/>
      <c r="B92" s="24" t="s">
        <v>1899</v>
      </c>
      <c r="C92" s="24"/>
      <c r="D92" s="34">
        <f>+INPUT!L161</f>
        <v>12250.104000000007</v>
      </c>
      <c r="E92" s="24"/>
      <c r="F92" s="34">
        <f>+INPUT!M161</f>
        <v>48276</v>
      </c>
      <c r="G92" s="24"/>
      <c r="H92" s="78">
        <f t="shared" si="10"/>
        <v>0.25375142928163075</v>
      </c>
      <c r="I92" s="24"/>
      <c r="J92" s="34">
        <f>+INPUT!O161</f>
        <v>1357</v>
      </c>
      <c r="K92" s="77"/>
      <c r="L92" s="79">
        <f t="shared" si="11"/>
        <v>344.3407</v>
      </c>
    </row>
    <row r="93" spans="1:12" ht="15">
      <c r="A93" s="24"/>
      <c r="B93" s="24" t="s">
        <v>1900</v>
      </c>
      <c r="C93" s="24"/>
      <c r="D93" s="34">
        <f>+INPUT!L162</f>
        <v>16247.211000000001</v>
      </c>
      <c r="E93" s="24"/>
      <c r="F93" s="34">
        <f>+INPUT!M162</f>
        <v>45751</v>
      </c>
      <c r="G93" s="24"/>
      <c r="H93" s="78">
        <f t="shared" si="10"/>
        <v>0.35512253284081224</v>
      </c>
      <c r="I93" s="24"/>
      <c r="J93" s="34">
        <f>+INPUT!O162</f>
        <v>1245</v>
      </c>
      <c r="K93" s="77"/>
      <c r="L93" s="79">
        <f t="shared" si="11"/>
        <v>442.1276</v>
      </c>
    </row>
    <row r="94" spans="1:12" ht="15">
      <c r="A94" s="24"/>
      <c r="B94" s="24" t="s">
        <v>1901</v>
      </c>
      <c r="C94" s="24"/>
      <c r="D94" s="34">
        <f>+INPUT!L163</f>
        <v>25534.800999999985</v>
      </c>
      <c r="E94" s="24"/>
      <c r="F94" s="34">
        <f>+INPUT!M163</f>
        <v>95818</v>
      </c>
      <c r="G94" s="24"/>
      <c r="H94" s="78">
        <f t="shared" si="10"/>
        <v>0.26649273622910086</v>
      </c>
      <c r="I94" s="24"/>
      <c r="J94" s="34">
        <f>+INPUT!O163</f>
        <v>2625</v>
      </c>
      <c r="K94" s="77"/>
      <c r="L94" s="79">
        <f t="shared" si="11"/>
        <v>699.5434</v>
      </c>
    </row>
    <row r="95" spans="1:12" ht="15">
      <c r="A95" s="24"/>
      <c r="B95" s="24" t="s">
        <v>1902</v>
      </c>
      <c r="C95" s="24"/>
      <c r="D95" s="34">
        <f>+INPUT!L164</f>
        <v>0</v>
      </c>
      <c r="E95" s="40"/>
      <c r="F95" s="34">
        <f>+INPUT!M164</f>
        <v>0</v>
      </c>
      <c r="G95" s="40"/>
      <c r="H95" s="113">
        <f t="shared" si="10"/>
        <v>0</v>
      </c>
      <c r="I95" s="40"/>
      <c r="J95" s="34">
        <f>+INPUT!O164</f>
        <v>0</v>
      </c>
      <c r="K95" s="40"/>
      <c r="L95" s="114">
        <f t="shared" si="11"/>
        <v>0</v>
      </c>
    </row>
    <row r="96" spans="1:12" ht="15">
      <c r="A96" s="24"/>
      <c r="B96" s="24" t="s">
        <v>1907</v>
      </c>
      <c r="C96" s="24"/>
      <c r="D96" s="34">
        <f>+INPUT!L165</f>
        <v>0</v>
      </c>
      <c r="E96" s="24"/>
      <c r="F96" s="34">
        <f>+INPUT!M165</f>
        <v>0</v>
      </c>
      <c r="G96" s="24"/>
      <c r="H96" s="78">
        <f t="shared" si="10"/>
        <v>0</v>
      </c>
      <c r="I96" s="24"/>
      <c r="J96" s="34">
        <f>+INPUT!O165</f>
        <v>0</v>
      </c>
      <c r="K96" s="77"/>
      <c r="L96" s="79">
        <f t="shared" si="11"/>
        <v>0</v>
      </c>
    </row>
    <row r="97" spans="1:13" ht="16.5" hidden="1">
      <c r="A97" s="24"/>
      <c r="B97" s="46" t="s">
        <v>964</v>
      </c>
      <c r="C97" s="46"/>
      <c r="D97" s="36">
        <f>+INPUT!L166</f>
        <v>0</v>
      </c>
      <c r="E97" s="46"/>
      <c r="F97" s="36">
        <f>+INPUT!M166</f>
        <v>0</v>
      </c>
      <c r="G97" s="46"/>
      <c r="H97" s="151">
        <f t="shared" si="10"/>
        <v>0</v>
      </c>
      <c r="I97" s="46"/>
      <c r="J97" s="36">
        <f>+INPUT!O166</f>
        <v>0</v>
      </c>
      <c r="K97" s="152"/>
      <c r="L97" s="153">
        <f t="shared" si="11"/>
        <v>0</v>
      </c>
      <c r="M97" s="23" t="s">
        <v>734</v>
      </c>
    </row>
    <row r="98" spans="1:12" ht="15">
      <c r="A98" s="24"/>
      <c r="B98" s="46" t="s">
        <v>965</v>
      </c>
      <c r="C98" s="46"/>
      <c r="D98" s="36">
        <f>+INPUT!L167</f>
        <v>2057.652</v>
      </c>
      <c r="E98" s="46"/>
      <c r="F98" s="36">
        <f>+INPUT!M167</f>
        <v>44893</v>
      </c>
      <c r="G98" s="46"/>
      <c r="H98" s="151">
        <f t="shared" si="10"/>
        <v>0.04583458445637405</v>
      </c>
      <c r="I98" s="46"/>
      <c r="J98" s="36">
        <f>+INPUT!O167</f>
        <v>317</v>
      </c>
      <c r="K98" s="152"/>
      <c r="L98" s="153">
        <f t="shared" si="11"/>
        <v>14.5296</v>
      </c>
    </row>
    <row r="99" spans="1:13" ht="16.5" hidden="1">
      <c r="A99" s="24"/>
      <c r="B99" s="46" t="s">
        <v>966</v>
      </c>
      <c r="C99" s="46"/>
      <c r="D99" s="36">
        <f>+INPUT!L168</f>
        <v>0</v>
      </c>
      <c r="E99" s="46"/>
      <c r="F99" s="36">
        <f>+INPUT!M168</f>
        <v>0</v>
      </c>
      <c r="G99" s="46"/>
      <c r="H99" s="151">
        <f t="shared" si="10"/>
        <v>0</v>
      </c>
      <c r="I99" s="46"/>
      <c r="J99" s="36">
        <f>+INPUT!O168</f>
        <v>0</v>
      </c>
      <c r="K99" s="152"/>
      <c r="L99" s="153">
        <f t="shared" si="11"/>
        <v>0</v>
      </c>
      <c r="M99" s="23" t="s">
        <v>734</v>
      </c>
    </row>
    <row r="100" spans="1:12" ht="15">
      <c r="A100" s="24"/>
      <c r="B100" s="24" t="s">
        <v>967</v>
      </c>
      <c r="C100" s="24"/>
      <c r="D100" s="34">
        <f>+INPUT!L169</f>
        <v>0</v>
      </c>
      <c r="E100" s="24"/>
      <c r="F100" s="34">
        <f>+INPUT!M169</f>
        <v>0</v>
      </c>
      <c r="G100" s="24"/>
      <c r="H100" s="78">
        <f t="shared" si="10"/>
        <v>0</v>
      </c>
      <c r="I100" s="24"/>
      <c r="J100" s="34">
        <f>+INPUT!O169</f>
        <v>0</v>
      </c>
      <c r="K100" s="77"/>
      <c r="L100" s="79">
        <f t="shared" si="11"/>
        <v>0</v>
      </c>
    </row>
    <row r="101" spans="1:12" ht="15">
      <c r="A101" s="24"/>
      <c r="B101" s="24" t="s">
        <v>968</v>
      </c>
      <c r="C101" s="24"/>
      <c r="D101" s="91">
        <f>+INPUT!L170</f>
        <v>0</v>
      </c>
      <c r="E101" s="40"/>
      <c r="F101" s="91">
        <f>+INPUT!M170</f>
        <v>0</v>
      </c>
      <c r="G101" s="40"/>
      <c r="H101" s="113">
        <f t="shared" si="10"/>
        <v>0</v>
      </c>
      <c r="I101" s="40"/>
      <c r="J101" s="91">
        <f>+INPUT!O170</f>
        <v>0</v>
      </c>
      <c r="K101" s="40"/>
      <c r="L101" s="114">
        <f t="shared" si="11"/>
        <v>0</v>
      </c>
    </row>
    <row r="102" spans="1:12" ht="15">
      <c r="A102" s="24"/>
      <c r="B102" s="24" t="s">
        <v>1908</v>
      </c>
      <c r="C102" s="24"/>
      <c r="D102" s="34">
        <f>+INPUT!L171</f>
        <v>12014.079</v>
      </c>
      <c r="E102" s="24"/>
      <c r="F102" s="34">
        <f>+INPUT!M171</f>
        <v>66854</v>
      </c>
      <c r="G102" s="24"/>
      <c r="H102" s="78">
        <f t="shared" si="10"/>
        <v>0.1797062105483591</v>
      </c>
      <c r="I102" s="24"/>
      <c r="J102" s="34">
        <f>+INPUT!O171</f>
        <v>39</v>
      </c>
      <c r="K102" s="24"/>
      <c r="L102" s="79">
        <f t="shared" si="11"/>
        <v>7.0085</v>
      </c>
    </row>
    <row r="103" spans="1:12" ht="15">
      <c r="A103" s="24"/>
      <c r="B103" s="24" t="s">
        <v>1909</v>
      </c>
      <c r="C103" s="24"/>
      <c r="D103" s="34">
        <f>+INPUT!L172</f>
        <v>15720.154999999999</v>
      </c>
      <c r="E103" s="24"/>
      <c r="F103" s="34">
        <f>+INPUT!M172</f>
        <v>75402</v>
      </c>
      <c r="G103" s="24"/>
      <c r="H103" s="78">
        <f t="shared" si="10"/>
        <v>0.20848458926818916</v>
      </c>
      <c r="I103" s="24"/>
      <c r="J103" s="34">
        <f>+INPUT!O172</f>
        <v>45</v>
      </c>
      <c r="K103" s="24"/>
      <c r="L103" s="79">
        <f t="shared" si="11"/>
        <v>9.3818</v>
      </c>
    </row>
    <row r="104" spans="1:12" ht="15">
      <c r="A104" s="24"/>
      <c r="B104" s="24" t="s">
        <v>1910</v>
      </c>
      <c r="C104" s="24"/>
      <c r="D104" s="34">
        <f>+INPUT!L173</f>
        <v>0</v>
      </c>
      <c r="E104" s="24"/>
      <c r="F104" s="34">
        <f>+INPUT!M173</f>
        <v>0</v>
      </c>
      <c r="G104" s="24"/>
      <c r="H104" s="78">
        <f t="shared" si="10"/>
        <v>0</v>
      </c>
      <c r="I104" s="24"/>
      <c r="J104" s="34">
        <f>+INPUT!O173</f>
        <v>24</v>
      </c>
      <c r="K104" s="24"/>
      <c r="L104" s="79">
        <f t="shared" si="11"/>
        <v>0</v>
      </c>
    </row>
    <row r="105" spans="1:12" ht="15">
      <c r="A105" s="24"/>
      <c r="B105" s="24" t="s">
        <v>1518</v>
      </c>
      <c r="C105" s="24"/>
      <c r="D105" s="34">
        <f>+INPUT!L174</f>
        <v>5586</v>
      </c>
      <c r="E105" s="40"/>
      <c r="F105" s="34">
        <f>+INPUT!M174</f>
        <v>64369</v>
      </c>
      <c r="G105" s="40"/>
      <c r="H105" s="113">
        <f t="shared" si="10"/>
        <v>0.08678090385123273</v>
      </c>
      <c r="I105" s="40"/>
      <c r="J105" s="34">
        <f>+INPUT!O174</f>
        <v>39</v>
      </c>
      <c r="K105" s="40"/>
      <c r="L105" s="114">
        <f t="shared" si="11"/>
        <v>3.3845</v>
      </c>
    </row>
    <row r="106" spans="1:12" ht="15">
      <c r="A106" s="24"/>
      <c r="B106" s="24" t="s">
        <v>1002</v>
      </c>
      <c r="C106" s="24"/>
      <c r="D106" s="34">
        <f>+INPUT!L176</f>
        <v>10670.141</v>
      </c>
      <c r="E106" s="40"/>
      <c r="F106" s="34">
        <f>+INPUT!M176</f>
        <v>429045</v>
      </c>
      <c r="G106" s="40"/>
      <c r="H106" s="113">
        <f t="shared" si="10"/>
        <v>0.024869514852754373</v>
      </c>
      <c r="I106" s="40"/>
      <c r="J106" s="34">
        <f>+INPUT!O176</f>
        <v>0</v>
      </c>
      <c r="K106" s="40"/>
      <c r="L106" s="114">
        <f t="shared" si="11"/>
        <v>0</v>
      </c>
    </row>
    <row r="107" spans="1:12" ht="15">
      <c r="A107" s="24"/>
      <c r="B107" s="24" t="s">
        <v>2126</v>
      </c>
      <c r="C107" s="24"/>
      <c r="D107" s="34">
        <f>+INPUT!L175</f>
        <v>9381.298000000003</v>
      </c>
      <c r="E107" s="24"/>
      <c r="F107" s="34">
        <f>+INPUT!M175</f>
        <v>20306</v>
      </c>
      <c r="G107" s="24"/>
      <c r="H107" s="78">
        <f t="shared" si="10"/>
        <v>0.4619963557569193</v>
      </c>
      <c r="I107" s="24"/>
      <c r="J107" s="34">
        <f>+INPUT!O175</f>
        <v>-316</v>
      </c>
      <c r="K107" s="24"/>
      <c r="L107" s="79">
        <f t="shared" si="11"/>
        <v>-145.9908</v>
      </c>
    </row>
    <row r="108" spans="1:12" ht="15">
      <c r="A108" s="24"/>
      <c r="B108" s="24" t="s">
        <v>1837</v>
      </c>
      <c r="C108" s="24"/>
      <c r="D108" s="39">
        <f>+INPUT!L177</f>
        <v>44390.11400000001</v>
      </c>
      <c r="E108" s="24"/>
      <c r="F108" s="39">
        <f>+INPUT!M177</f>
        <v>161237</v>
      </c>
      <c r="G108" s="24"/>
      <c r="H108" s="80">
        <f t="shared" si="10"/>
        <v>0.27530972419481886</v>
      </c>
      <c r="I108" s="24"/>
      <c r="J108" s="39">
        <f>+INPUT!O177</f>
        <v>-24</v>
      </c>
      <c r="K108" s="24"/>
      <c r="L108" s="81">
        <f t="shared" si="11"/>
        <v>-6.6074</v>
      </c>
    </row>
    <row r="109" spans="1:12" ht="15">
      <c r="A109" s="24"/>
      <c r="B109" s="24" t="s">
        <v>543</v>
      </c>
      <c r="C109" s="24"/>
      <c r="D109" s="34">
        <f>SUM(D67:D108)</f>
        <v>519388.5910000002</v>
      </c>
      <c r="E109" s="34"/>
      <c r="F109" s="34">
        <f>SUM(F67:F108)</f>
        <v>4681019</v>
      </c>
      <c r="G109" s="24"/>
      <c r="H109" s="78">
        <f>IF(D109&lt;=0,0,D109/F109)</f>
        <v>0.1109563090856927</v>
      </c>
      <c r="I109" s="24"/>
      <c r="J109" s="34">
        <f>SUM(J67:J108)</f>
        <v>11097.349557597478</v>
      </c>
      <c r="K109" s="24"/>
      <c r="L109" s="100">
        <f>SUM(L67:L108)</f>
        <v>1908.6252000000002</v>
      </c>
    </row>
    <row r="110" spans="1:12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 hidden="1">
      <c r="A111" s="24"/>
      <c r="B111" s="24" t="s">
        <v>543</v>
      </c>
      <c r="C111" s="24"/>
      <c r="D111" s="34"/>
      <c r="E111" s="24"/>
      <c r="F111" s="34"/>
      <c r="G111" s="24"/>
      <c r="H111" s="78"/>
      <c r="I111" s="24"/>
      <c r="J111" s="36"/>
      <c r="K111" s="24"/>
      <c r="L111" s="79"/>
    </row>
    <row r="112" spans="1:12" ht="15">
      <c r="A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3" t="s">
        <v>1690</v>
      </c>
      <c r="B113" s="3" t="s">
        <v>1519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2:12" ht="15">
      <c r="B114" s="3" t="s">
        <v>1274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2:12" ht="15">
      <c r="B115" s="19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21" spans="4:6" ht="15">
      <c r="D121" s="12"/>
      <c r="F121" s="12"/>
    </row>
  </sheetData>
  <sheetProtection/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3" width="9.140625" style="3" customWidth="1"/>
    <col min="4" max="4" width="10.7109375" style="3" customWidth="1"/>
    <col min="5" max="5" width="16.00390625" style="3" bestFit="1" customWidth="1"/>
    <col min="6" max="6" width="2.7109375" style="3" customWidth="1"/>
    <col min="7" max="7" width="14.57421875" style="3" bestFit="1" customWidth="1"/>
    <col min="8" max="8" width="14.140625" style="3" hidden="1" customWidth="1"/>
    <col min="9" max="9" width="22.140625" style="3" bestFit="1" customWidth="1"/>
    <col min="10" max="10" width="10.421875" style="3" bestFit="1" customWidth="1"/>
    <col min="11" max="11" width="11.00390625" style="3" bestFit="1" customWidth="1"/>
    <col min="12" max="13" width="12.421875" style="3" bestFit="1" customWidth="1"/>
    <col min="14" max="16384" width="9.140625" style="3" customWidth="1"/>
  </cols>
  <sheetData>
    <row r="1" spans="1:10" ht="16.5">
      <c r="A1" s="23" t="s">
        <v>1294</v>
      </c>
      <c r="B1" s="15" t="str">
        <f>INPUT!C1</f>
        <v>February 2012</v>
      </c>
      <c r="J1" s="23" t="s">
        <v>1250</v>
      </c>
    </row>
    <row r="4" ht="16.5">
      <c r="F4" s="14" t="s">
        <v>106</v>
      </c>
    </row>
    <row r="5" ht="16.5">
      <c r="F5" s="14" t="s">
        <v>384</v>
      </c>
    </row>
    <row r="6" ht="16.5">
      <c r="F6" s="14" t="s">
        <v>970</v>
      </c>
    </row>
    <row r="7" ht="16.5">
      <c r="F7" s="14" t="s">
        <v>1500</v>
      </c>
    </row>
    <row r="8" ht="16.5">
      <c r="F8" s="48" t="s">
        <v>1501</v>
      </c>
    </row>
    <row r="13" spans="5:9" ht="16.5">
      <c r="E13" s="16"/>
      <c r="F13" s="17" t="s">
        <v>1282</v>
      </c>
      <c r="G13" s="16"/>
      <c r="I13" s="17" t="s">
        <v>1502</v>
      </c>
    </row>
    <row r="14" spans="5:9" ht="16.5">
      <c r="E14" s="75"/>
      <c r="F14" s="59"/>
      <c r="G14" s="75"/>
      <c r="I14" s="59"/>
    </row>
    <row r="15" spans="1:9" ht="16.5">
      <c r="A15" s="23" t="s">
        <v>1667</v>
      </c>
      <c r="E15" s="14" t="s">
        <v>1997</v>
      </c>
      <c r="G15" s="14" t="s">
        <v>1997</v>
      </c>
      <c r="I15" s="14" t="s">
        <v>1727</v>
      </c>
    </row>
    <row r="16" spans="5:9" ht="16.5">
      <c r="E16" s="82" t="s">
        <v>1708</v>
      </c>
      <c r="G16" s="82" t="s">
        <v>1668</v>
      </c>
      <c r="I16" s="48" t="s">
        <v>1998</v>
      </c>
    </row>
    <row r="17" spans="5:9" ht="15">
      <c r="E17" s="51" t="s">
        <v>119</v>
      </c>
      <c r="G17" s="51" t="s">
        <v>120</v>
      </c>
      <c r="I17" s="51" t="s">
        <v>1669</v>
      </c>
    </row>
    <row r="19" spans="3:9" ht="15">
      <c r="C19" s="3" t="s">
        <v>926</v>
      </c>
      <c r="E19" s="12">
        <f>+INPUT!J189</f>
        <v>248.67800000000184</v>
      </c>
      <c r="F19" s="12"/>
      <c r="G19" s="12">
        <f>ROUND(INPUT!C16*PAGE10!L37,0)</f>
        <v>4831</v>
      </c>
      <c r="H19" s="12"/>
      <c r="I19" s="12">
        <f>+G19-E19</f>
        <v>4582.321999999998</v>
      </c>
    </row>
    <row r="20" spans="3:9" ht="15">
      <c r="C20" s="3" t="s">
        <v>927</v>
      </c>
      <c r="E20" s="12">
        <f>+INPUT!J190</f>
        <v>566.3249999999979</v>
      </c>
      <c r="F20" s="12"/>
      <c r="G20" s="12">
        <f>ROUND(INPUT!C17*PAGE10!L43,0)</f>
        <v>120349</v>
      </c>
      <c r="H20" s="12"/>
      <c r="I20" s="12">
        <f>+G20-E20</f>
        <v>119782.675</v>
      </c>
    </row>
    <row r="21" spans="3:9" ht="15">
      <c r="C21" s="3" t="s">
        <v>928</v>
      </c>
      <c r="E21" s="12">
        <f>+INPUT!J191</f>
        <v>1391.7749999999965</v>
      </c>
      <c r="F21" s="12"/>
      <c r="G21" s="12">
        <f>ROUND(INPUT!C18*PAGE10!L53,0)</f>
        <v>176792</v>
      </c>
      <c r="H21" s="12"/>
      <c r="I21" s="12">
        <f>+G21-E21</f>
        <v>175400.225</v>
      </c>
    </row>
    <row r="22" spans="3:11" ht="15">
      <c r="C22" s="3" t="s">
        <v>929</v>
      </c>
      <c r="E22" s="12">
        <f>+INPUT!J192</f>
        <v>5020.877000000162</v>
      </c>
      <c r="F22" s="12"/>
      <c r="G22" s="12">
        <f>ROUND(INPUT!C19*PAGE10!L109,0)</f>
        <v>279480</v>
      </c>
      <c r="H22" s="12"/>
      <c r="I22" s="12">
        <f>+G22-E22</f>
        <v>274459.12299999985</v>
      </c>
      <c r="K22" s="2"/>
    </row>
    <row r="23" spans="3:13" ht="15">
      <c r="C23" s="3" t="s">
        <v>1754</v>
      </c>
      <c r="E23" s="22">
        <f>+INPUT!J193</f>
        <v>0</v>
      </c>
      <c r="F23" s="12"/>
      <c r="G23" s="22">
        <f>ROUND(INPUT!C20*PAGE10!L111,0)</f>
        <v>0</v>
      </c>
      <c r="H23" s="12"/>
      <c r="I23" s="22">
        <f>+G23-E23</f>
        <v>0</v>
      </c>
      <c r="L23" s="2"/>
      <c r="M23" s="2"/>
    </row>
    <row r="24" spans="3:13" ht="15">
      <c r="C24" s="3" t="s">
        <v>1179</v>
      </c>
      <c r="E24" s="12">
        <f>SUM(E19:E23)</f>
        <v>7227.655000000159</v>
      </c>
      <c r="F24" s="12"/>
      <c r="G24" s="12">
        <f>SUM(G19:G23)</f>
        <v>581452</v>
      </c>
      <c r="H24" s="12"/>
      <c r="I24" s="13">
        <f>SUM(I19:I23)</f>
        <v>574224.3449999999</v>
      </c>
      <c r="K24" s="12">
        <f>E24-G24</f>
        <v>-574224.3449999999</v>
      </c>
      <c r="L24" s="2"/>
      <c r="M24" s="2"/>
    </row>
    <row r="25" spans="12:13" ht="15">
      <c r="L25" s="2"/>
      <c r="M25" s="2"/>
    </row>
    <row r="26" spans="1:9" ht="16.5">
      <c r="A26" s="23"/>
      <c r="E26" s="14" t="s">
        <v>1999</v>
      </c>
      <c r="G26" s="14" t="s">
        <v>1999</v>
      </c>
      <c r="H26" s="14" t="s">
        <v>231</v>
      </c>
      <c r="I26" s="14" t="s">
        <v>1727</v>
      </c>
    </row>
    <row r="27" spans="5:9" ht="16.5">
      <c r="E27" s="82" t="s">
        <v>1708</v>
      </c>
      <c r="G27" s="82" t="s">
        <v>1668</v>
      </c>
      <c r="H27" s="17" t="s">
        <v>1310</v>
      </c>
      <c r="I27" s="48" t="s">
        <v>2000</v>
      </c>
    </row>
    <row r="28" spans="5:9" ht="15">
      <c r="E28" s="51" t="s">
        <v>122</v>
      </c>
      <c r="G28" s="51" t="s">
        <v>124</v>
      </c>
      <c r="H28" s="51" t="s">
        <v>126</v>
      </c>
      <c r="I28" s="51" t="s">
        <v>2003</v>
      </c>
    </row>
    <row r="30" spans="3:9" ht="15">
      <c r="C30" s="3" t="s">
        <v>926</v>
      </c>
      <c r="E30" s="12">
        <f>INPUT!L189</f>
        <v>2534.821000000026</v>
      </c>
      <c r="F30" s="12"/>
      <c r="G30" s="12">
        <f>INPUT!O189</f>
        <v>0</v>
      </c>
      <c r="H30" s="12"/>
      <c r="I30" s="12">
        <f>+G30-E30</f>
        <v>-2534.821000000026</v>
      </c>
    </row>
    <row r="31" spans="3:9" ht="15">
      <c r="C31" s="3" t="s">
        <v>927</v>
      </c>
      <c r="E31" s="12">
        <f>INPUT!L190</f>
        <v>2963.9410000000053</v>
      </c>
      <c r="F31" s="12"/>
      <c r="G31" s="12">
        <f>INPUT!O190</f>
        <v>860.1326456100016</v>
      </c>
      <c r="H31" s="85"/>
      <c r="I31" s="13">
        <f>+G31-E31-H31</f>
        <v>-2103.808354390004</v>
      </c>
    </row>
    <row r="32" spans="3:9" ht="15">
      <c r="C32" s="3" t="s">
        <v>928</v>
      </c>
      <c r="E32" s="12">
        <f>INPUT!L191</f>
        <v>8784.891000000009</v>
      </c>
      <c r="F32" s="12"/>
      <c r="G32" s="12">
        <f>INPUT!O191</f>
        <v>6848.75161963998</v>
      </c>
      <c r="H32" s="12"/>
      <c r="I32" s="13">
        <f>+G32-E32-H32</f>
        <v>-1936.1393803600286</v>
      </c>
    </row>
    <row r="33" spans="3:9" ht="15">
      <c r="C33" s="3" t="s">
        <v>929</v>
      </c>
      <c r="E33" s="12">
        <f>INPUT!L192</f>
        <v>15744.309999999672</v>
      </c>
      <c r="F33" s="12"/>
      <c r="G33" s="12">
        <f>INPUT!O192</f>
        <v>-66438.27703675581</v>
      </c>
      <c r="H33" s="12"/>
      <c r="I33" s="12">
        <f>+G33-E33</f>
        <v>-82182.58703675549</v>
      </c>
    </row>
    <row r="34" spans="3:13" ht="15">
      <c r="C34" s="3" t="s">
        <v>1754</v>
      </c>
      <c r="E34" s="22">
        <f>INPUT!L193</f>
        <v>0</v>
      </c>
      <c r="F34" s="12"/>
      <c r="G34" s="22">
        <f>INPUT!O193</f>
        <v>0</v>
      </c>
      <c r="H34" s="22"/>
      <c r="I34" s="22">
        <f>+G34-E34</f>
        <v>0</v>
      </c>
      <c r="L34" s="2"/>
      <c r="M34" s="2"/>
    </row>
    <row r="35" spans="3:13" ht="15">
      <c r="C35" s="3" t="s">
        <v>1179</v>
      </c>
      <c r="E35" s="12">
        <f>SUM(E30:E34)</f>
        <v>30027.962999999712</v>
      </c>
      <c r="F35" s="12"/>
      <c r="G35" s="12">
        <f>SUM(G30:G34)</f>
        <v>-58729.39277150583</v>
      </c>
      <c r="H35" s="13">
        <f>SUM(H31:H34)</f>
        <v>0</v>
      </c>
      <c r="I35" s="13">
        <f>SUM(I30:I34)</f>
        <v>-88757.35577150555</v>
      </c>
      <c r="L35" s="2"/>
      <c r="M35" s="2"/>
    </row>
    <row r="36" spans="12:13" ht="15">
      <c r="L36" s="2"/>
      <c r="M36" s="2"/>
    </row>
    <row r="37" spans="12:13" ht="15">
      <c r="L37" s="2"/>
      <c r="M37" s="13"/>
    </row>
    <row r="38" spans="5:9" ht="16.5">
      <c r="E38" s="14" t="s">
        <v>1670</v>
      </c>
      <c r="G38" s="14"/>
      <c r="I38" s="14" t="s">
        <v>1670</v>
      </c>
    </row>
    <row r="39" spans="5:9" ht="16.5">
      <c r="E39" s="14" t="s">
        <v>1884</v>
      </c>
      <c r="G39" s="14"/>
      <c r="I39" s="14" t="s">
        <v>1884</v>
      </c>
    </row>
    <row r="40" spans="5:9" ht="16.5">
      <c r="E40" s="82" t="s">
        <v>1671</v>
      </c>
      <c r="G40" s="48"/>
      <c r="I40" s="82" t="s">
        <v>1668</v>
      </c>
    </row>
    <row r="41" spans="5:9" ht="15">
      <c r="E41" s="51" t="s">
        <v>125</v>
      </c>
      <c r="G41" s="51"/>
      <c r="I41" s="51" t="s">
        <v>2004</v>
      </c>
    </row>
    <row r="43" spans="3:9" ht="15">
      <c r="C43" s="3" t="s">
        <v>926</v>
      </c>
      <c r="E43" s="13">
        <f>+INPUT!M189</f>
        <v>17467036</v>
      </c>
      <c r="G43" s="12"/>
      <c r="I43" s="12">
        <f>+E43+I19+I30</f>
        <v>17469083.501000002</v>
      </c>
    </row>
    <row r="44" spans="3:9" ht="15">
      <c r="C44" s="3" t="s">
        <v>927</v>
      </c>
      <c r="E44" s="13">
        <f>+INPUT!M190</f>
        <v>1485676</v>
      </c>
      <c r="G44" s="12"/>
      <c r="I44" s="12">
        <f>+E44+I20+I31</f>
        <v>1603354.86664561</v>
      </c>
    </row>
    <row r="45" spans="3:9" ht="15">
      <c r="C45" s="3" t="s">
        <v>928</v>
      </c>
      <c r="E45" s="13">
        <f>+INPUT!M191</f>
        <v>9517479</v>
      </c>
      <c r="G45" s="12"/>
      <c r="I45" s="12">
        <f>+E45+I21+I32</f>
        <v>9690943.08561964</v>
      </c>
    </row>
    <row r="46" spans="3:9" ht="15">
      <c r="C46" s="3" t="s">
        <v>929</v>
      </c>
      <c r="E46" s="13">
        <f>+INPUT!M192</f>
        <v>22030398</v>
      </c>
      <c r="G46" s="12"/>
      <c r="I46" s="12">
        <f>+E46+I22+I33</f>
        <v>22222674.535963245</v>
      </c>
    </row>
    <row r="47" spans="3:9" ht="15">
      <c r="C47" s="3" t="s">
        <v>1754</v>
      </c>
      <c r="E47" s="21">
        <f>+INPUT!M193</f>
        <v>0</v>
      </c>
      <c r="G47" s="55"/>
      <c r="I47" s="22">
        <f>+E47+I23+I34</f>
        <v>0</v>
      </c>
    </row>
    <row r="48" spans="3:9" ht="15">
      <c r="C48" s="3" t="s">
        <v>1179</v>
      </c>
      <c r="E48" s="12">
        <f>SUM(E43:E47)</f>
        <v>50500589</v>
      </c>
      <c r="G48" s="12"/>
      <c r="I48" s="12">
        <f>SUM(I43:I47)</f>
        <v>50986055.9892285</v>
      </c>
    </row>
    <row r="51" ht="15">
      <c r="I51" s="12"/>
    </row>
    <row r="52" spans="5:9" ht="15">
      <c r="E52" s="249" t="s">
        <v>1995</v>
      </c>
      <c r="G52" s="249" t="s">
        <v>1994</v>
      </c>
      <c r="I52" s="12"/>
    </row>
    <row r="53" spans="1:9" ht="15">
      <c r="A53" s="3" t="s">
        <v>1690</v>
      </c>
      <c r="B53" s="19" t="s">
        <v>698</v>
      </c>
      <c r="E53" s="83">
        <f>+INPUT!C12</f>
        <v>2.939906647457367</v>
      </c>
      <c r="G53" s="255">
        <f>INPUT!C13</f>
        <v>50.00018590278626</v>
      </c>
      <c r="I53" s="12"/>
    </row>
    <row r="54" spans="2:9" ht="15">
      <c r="B54" s="680" t="s">
        <v>701</v>
      </c>
      <c r="E54" s="83">
        <f>+INPUT!C16</f>
        <v>47.56</v>
      </c>
      <c r="G54" s="83">
        <f>INPUT!D16</f>
        <v>0</v>
      </c>
      <c r="I54" s="12"/>
    </row>
    <row r="55" spans="2:9" ht="15">
      <c r="B55" s="680" t="s">
        <v>702</v>
      </c>
      <c r="E55" s="83">
        <f>+INPUT!C17</f>
        <v>557.18</v>
      </c>
      <c r="G55" s="83">
        <f>INPUT!D17</f>
        <v>14.51</v>
      </c>
      <c r="I55" s="12"/>
    </row>
    <row r="56" spans="2:7" ht="15">
      <c r="B56" s="680" t="s">
        <v>703</v>
      </c>
      <c r="E56" s="83">
        <f>+INPUT!C18</f>
        <v>337.11</v>
      </c>
      <c r="G56" s="83">
        <f>INPUT!D18</f>
        <v>38.98</v>
      </c>
    </row>
    <row r="57" spans="2:7" ht="15">
      <c r="B57" s="680" t="s">
        <v>704</v>
      </c>
      <c r="E57" s="83">
        <f>+INPUT!C19</f>
        <v>146.43</v>
      </c>
      <c r="G57" s="83">
        <f>INPUT!D19</f>
        <v>-210.9864</v>
      </c>
    </row>
    <row r="58" spans="2:7" ht="15">
      <c r="B58" s="680" t="s">
        <v>705</v>
      </c>
      <c r="E58" s="83">
        <f>+INPUT!C20</f>
        <v>0</v>
      </c>
      <c r="G58" s="83">
        <f>INPUT!D20</f>
        <v>0</v>
      </c>
    </row>
    <row r="59" spans="5:7" ht="15">
      <c r="E59" s="83"/>
      <c r="G59" s="83"/>
    </row>
    <row r="60" spans="2:10" ht="15">
      <c r="B60" s="220" t="s">
        <v>563</v>
      </c>
      <c r="C60" s="2"/>
      <c r="D60" s="2"/>
      <c r="E60" s="2"/>
      <c r="F60" s="2"/>
      <c r="G60" s="2"/>
      <c r="H60" s="2"/>
      <c r="I60" s="2"/>
      <c r="J60" s="2"/>
    </row>
  </sheetData>
  <sheetProtection/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405" t="s">
        <v>398</v>
      </c>
      <c r="B1" s="413"/>
    </row>
    <row r="2" spans="1:2" ht="19.5">
      <c r="A2" s="414"/>
      <c r="B2" s="413"/>
    </row>
    <row r="3" spans="1:2" ht="19.5">
      <c r="A3" s="405" t="s">
        <v>399</v>
      </c>
      <c r="B3" s="413"/>
    </row>
    <row r="4" spans="1:2" ht="19.5">
      <c r="A4" s="414" t="s">
        <v>500</v>
      </c>
      <c r="B4" s="413"/>
    </row>
    <row r="5" spans="1:2" ht="19.5">
      <c r="A5" s="405" t="s">
        <v>501</v>
      </c>
      <c r="B5" s="413"/>
    </row>
    <row r="6" spans="1:2" ht="19.5">
      <c r="A6" s="414"/>
      <c r="B6" s="413"/>
    </row>
    <row r="7" spans="1:2" ht="19.5">
      <c r="A7" s="415" t="s">
        <v>1984</v>
      </c>
      <c r="B7" s="414" t="s">
        <v>1985</v>
      </c>
    </row>
    <row r="8" spans="1:2" ht="19.5">
      <c r="A8" s="416" t="s">
        <v>1419</v>
      </c>
      <c r="B8" s="414"/>
    </row>
    <row r="9" spans="1:2" ht="19.5">
      <c r="A9" s="416" t="s">
        <v>1420</v>
      </c>
      <c r="B9" s="414"/>
    </row>
    <row r="10" spans="1:2" ht="19.5">
      <c r="A10" s="416" t="s">
        <v>1421</v>
      </c>
      <c r="B10" s="414"/>
    </row>
    <row r="11" spans="1:2" ht="19.5">
      <c r="A11" s="416"/>
      <c r="B11" s="414"/>
    </row>
    <row r="12" spans="1:2" ht="19.5">
      <c r="A12" s="415" t="s">
        <v>1986</v>
      </c>
      <c r="B12" s="414" t="s">
        <v>1987</v>
      </c>
    </row>
    <row r="13" spans="1:2" ht="19.5">
      <c r="A13" s="416" t="s">
        <v>415</v>
      </c>
      <c r="B13" s="414"/>
    </row>
    <row r="14" spans="1:2" ht="19.5">
      <c r="A14" s="416"/>
      <c r="B14" s="414"/>
    </row>
    <row r="15" spans="1:2" ht="19.5">
      <c r="A15" s="415" t="s">
        <v>416</v>
      </c>
      <c r="B15" s="414"/>
    </row>
    <row r="16" spans="1:2" ht="19.5">
      <c r="A16" s="415" t="s">
        <v>1988</v>
      </c>
      <c r="B16" s="414" t="s">
        <v>1989</v>
      </c>
    </row>
    <row r="17" spans="1:2" ht="19.5">
      <c r="A17" s="416" t="s">
        <v>417</v>
      </c>
      <c r="B17" s="414"/>
    </row>
    <row r="18" spans="1:2" ht="19.5">
      <c r="A18" s="416" t="s">
        <v>418</v>
      </c>
      <c r="B18" s="414"/>
    </row>
    <row r="19" spans="1:2" ht="19.5">
      <c r="A19" s="416" t="s">
        <v>419</v>
      </c>
      <c r="B19" s="414"/>
    </row>
    <row r="20" spans="1:2" ht="19.5">
      <c r="A20" s="416" t="s">
        <v>420</v>
      </c>
      <c r="B20" s="414"/>
    </row>
    <row r="21" spans="1:2" ht="19.5">
      <c r="A21" s="416"/>
      <c r="B21" s="414"/>
    </row>
    <row r="22" spans="1:2" ht="19.5">
      <c r="A22" s="415" t="s">
        <v>1990</v>
      </c>
      <c r="B22" s="414" t="s">
        <v>1991</v>
      </c>
    </row>
    <row r="23" spans="1:2" ht="19.5">
      <c r="A23" s="416" t="s">
        <v>421</v>
      </c>
      <c r="B23" s="414"/>
    </row>
    <row r="24" spans="1:2" ht="19.5">
      <c r="A24" s="416" t="s">
        <v>422</v>
      </c>
      <c r="B24" s="414"/>
    </row>
    <row r="25" spans="1:2" ht="19.5">
      <c r="A25" s="416" t="s">
        <v>423</v>
      </c>
      <c r="B25" s="414"/>
    </row>
    <row r="26" spans="1:2" ht="19.5">
      <c r="A26" s="416" t="s">
        <v>1965</v>
      </c>
      <c r="B26" s="414"/>
    </row>
    <row r="27" spans="1:2" ht="19.5">
      <c r="A27" s="416"/>
      <c r="B27" s="414"/>
    </row>
    <row r="28" spans="1:2" ht="19.5">
      <c r="A28" s="415" t="s">
        <v>1941</v>
      </c>
      <c r="B28" s="414" t="s">
        <v>1942</v>
      </c>
    </row>
    <row r="29" spans="1:2" ht="19.5">
      <c r="A29" s="415" t="s">
        <v>541</v>
      </c>
      <c r="B29" s="414"/>
    </row>
    <row r="30" spans="1:2" ht="19.5">
      <c r="A30" s="416" t="s">
        <v>1981</v>
      </c>
      <c r="B30" s="414"/>
    </row>
    <row r="31" spans="1:2" ht="19.5">
      <c r="A31" s="416" t="s">
        <v>1982</v>
      </c>
      <c r="B31" s="414"/>
    </row>
    <row r="32" spans="1:2" ht="19.5">
      <c r="A32" s="416"/>
      <c r="B32" s="414"/>
    </row>
    <row r="33" spans="1:2" ht="19.5" customHeight="1">
      <c r="A33" s="415" t="s">
        <v>805</v>
      </c>
      <c r="B33" s="414"/>
    </row>
    <row r="34" spans="1:2" ht="19.5" customHeight="1">
      <c r="A34" s="415" t="s">
        <v>1240</v>
      </c>
      <c r="B34" s="414" t="s">
        <v>1992</v>
      </c>
    </row>
    <row r="35" spans="1:2" ht="19.5" customHeight="1">
      <c r="A35" s="415"/>
      <c r="B35" s="414"/>
    </row>
    <row r="36" spans="1:2" ht="19.5">
      <c r="A36" s="415" t="s">
        <v>1241</v>
      </c>
      <c r="B36" s="414"/>
    </row>
    <row r="37" spans="1:9" ht="19.5">
      <c r="A37" s="415" t="s">
        <v>1242</v>
      </c>
      <c r="B37" s="414" t="s">
        <v>804</v>
      </c>
      <c r="I37" s="4" t="s">
        <v>803</v>
      </c>
    </row>
    <row r="38" spans="1:2" ht="19.5">
      <c r="A38" s="416"/>
      <c r="B38" s="414"/>
    </row>
    <row r="39" spans="1:2" ht="19.5">
      <c r="A39" s="415" t="s">
        <v>564</v>
      </c>
      <c r="B39" s="414" t="s">
        <v>1983</v>
      </c>
    </row>
    <row r="40" spans="1:2" ht="19.5">
      <c r="A40" s="415"/>
      <c r="B40" s="414"/>
    </row>
    <row r="41" spans="1:2" ht="19.5">
      <c r="A41" s="415"/>
      <c r="B41" s="414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423" customWidth="1"/>
    <col min="2" max="2" width="80.8515625" style="423" customWidth="1"/>
    <col min="3" max="16384" width="9.140625" style="423" customWidth="1"/>
  </cols>
  <sheetData>
    <row r="1" spans="1:3" ht="12.75">
      <c r="A1" s="1134" t="s">
        <v>923</v>
      </c>
      <c r="B1" s="399"/>
      <c r="C1" s="399"/>
    </row>
    <row r="2" spans="1:3" ht="12.75">
      <c r="A2" s="399"/>
      <c r="B2" s="399"/>
      <c r="C2" s="399"/>
    </row>
    <row r="3" spans="1:3" ht="12.75">
      <c r="A3" s="399"/>
      <c r="B3" s="399"/>
      <c r="C3" s="399"/>
    </row>
    <row r="4" spans="1:3" ht="12.75">
      <c r="A4" s="399"/>
      <c r="B4" s="399"/>
      <c r="C4" s="399"/>
    </row>
    <row r="5" spans="1:3" ht="12.75">
      <c r="A5" s="399"/>
      <c r="B5" s="399"/>
      <c r="C5" s="399"/>
    </row>
    <row r="6" spans="1:3" ht="12.75">
      <c r="A6" s="399"/>
      <c r="B6" s="399"/>
      <c r="C6" s="399"/>
    </row>
    <row r="7" spans="1:3" ht="15.75">
      <c r="A7" s="397" t="s">
        <v>14</v>
      </c>
      <c r="B7" s="398" t="str">
        <f>INPUT!C1</f>
        <v>February 2012</v>
      </c>
      <c r="C7" s="399"/>
    </row>
    <row r="8" spans="1:3" ht="15">
      <c r="A8" s="400"/>
      <c r="B8" s="399"/>
      <c r="C8" s="399"/>
    </row>
    <row r="9" spans="1:3" ht="15.75">
      <c r="A9" s="397" t="s">
        <v>15</v>
      </c>
      <c r="B9" s="401" t="s">
        <v>502</v>
      </c>
      <c r="C9" s="399"/>
    </row>
    <row r="10" spans="1:3" ht="15.75">
      <c r="A10" s="399"/>
      <c r="B10" s="401" t="str">
        <f>B7&amp;" Actual"</f>
        <v>February 2012 Actual</v>
      </c>
      <c r="C10" s="399"/>
    </row>
    <row r="11" spans="1:3" ht="15.75">
      <c r="A11" s="401"/>
      <c r="B11" s="399"/>
      <c r="C11" s="399"/>
    </row>
    <row r="12" spans="1:3" ht="15">
      <c r="A12" s="421" t="s">
        <v>516</v>
      </c>
      <c r="B12" s="1128" t="s">
        <v>1752</v>
      </c>
      <c r="C12" s="399"/>
    </row>
    <row r="13" spans="1:3" ht="15">
      <c r="A13" s="421"/>
      <c r="B13" s="1164">
        <v>40998</v>
      </c>
      <c r="C13" s="399"/>
    </row>
    <row r="14" spans="1:3" ht="15">
      <c r="A14" s="421"/>
      <c r="B14" s="422"/>
      <c r="C14" s="399"/>
    </row>
    <row r="15" spans="1:3" ht="15">
      <c r="A15" s="397" t="s">
        <v>515</v>
      </c>
      <c r="B15" s="400" t="s">
        <v>2125</v>
      </c>
      <c r="C15" s="399"/>
    </row>
    <row r="16" spans="1:3" ht="15">
      <c r="A16" s="400"/>
      <c r="B16" s="1164">
        <v>40998</v>
      </c>
      <c r="C16" s="399"/>
    </row>
    <row r="17" spans="1:3" ht="15">
      <c r="A17" s="400"/>
      <c r="B17" s="422"/>
      <c r="C17" s="399"/>
    </row>
    <row r="18" spans="1:3" ht="15">
      <c r="A18" s="397" t="s">
        <v>503</v>
      </c>
      <c r="B18" s="400" t="s">
        <v>504</v>
      </c>
      <c r="C18" s="399"/>
    </row>
    <row r="19" spans="1:3" ht="15">
      <c r="A19" s="400"/>
      <c r="B19" s="399"/>
      <c r="C19" s="399"/>
    </row>
    <row r="20" spans="1:3" ht="15">
      <c r="A20" s="400" t="s">
        <v>505</v>
      </c>
      <c r="B20" s="399"/>
      <c r="C20" s="399"/>
    </row>
    <row r="21" spans="1:3" ht="15">
      <c r="A21" s="402"/>
      <c r="B21" s="399"/>
      <c r="C21" s="399"/>
    </row>
    <row r="22" spans="1:3" ht="46.5" customHeight="1">
      <c r="A22" s="399"/>
      <c r="B22" s="402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February 2012.</v>
      </c>
      <c r="C22" s="399"/>
    </row>
    <row r="23" spans="1:3" ht="15">
      <c r="A23" s="400"/>
      <c r="B23" s="399"/>
      <c r="C23" s="399"/>
    </row>
    <row r="24" spans="1:3" ht="15">
      <c r="A24" s="400"/>
      <c r="B24" s="399"/>
      <c r="C24" s="399"/>
    </row>
    <row r="25" spans="1:3" ht="15">
      <c r="A25" s="399"/>
      <c r="B25" s="400"/>
      <c r="C25" s="399"/>
    </row>
    <row r="26" spans="1:3" ht="15">
      <c r="A26" s="400"/>
      <c r="B26" s="399"/>
      <c r="C26" s="399"/>
    </row>
    <row r="27" spans="1:3" ht="15">
      <c r="A27" s="400"/>
      <c r="B27" s="399"/>
      <c r="C27" s="399"/>
    </row>
    <row r="28" spans="1:3" ht="15">
      <c r="A28" s="400"/>
      <c r="B28" s="399"/>
      <c r="C28" s="399"/>
    </row>
    <row r="29" spans="1:3" ht="12.75">
      <c r="A29" s="399"/>
      <c r="B29" s="399"/>
      <c r="C29" s="399"/>
    </row>
    <row r="30" spans="1:5" ht="14.25">
      <c r="A30" s="399"/>
      <c r="B30" s="399"/>
      <c r="C30" s="403"/>
      <c r="D30" s="424"/>
      <c r="E30" s="424"/>
    </row>
    <row r="31" spans="1:5" ht="14.25">
      <c r="A31" s="399"/>
      <c r="B31" s="399"/>
      <c r="C31" s="403"/>
      <c r="D31" s="424"/>
      <c r="E31" s="424"/>
    </row>
    <row r="32" spans="1:5" ht="14.25">
      <c r="A32" s="403"/>
      <c r="B32" s="420"/>
      <c r="C32" s="403"/>
      <c r="D32" s="424"/>
      <c r="E32" s="424"/>
    </row>
    <row r="33" spans="1:5" ht="14.25">
      <c r="A33" s="403"/>
      <c r="B33" s="403"/>
      <c r="C33" s="403"/>
      <c r="D33" s="424"/>
      <c r="E33" s="424"/>
    </row>
    <row r="34" spans="1:5" ht="14.25">
      <c r="A34" s="403"/>
      <c r="B34" s="403"/>
      <c r="C34" s="403"/>
      <c r="D34" s="424"/>
      <c r="E34" s="424"/>
    </row>
    <row r="35" spans="1:5" ht="14.25">
      <c r="A35" s="399"/>
      <c r="B35" s="399"/>
      <c r="C35" s="403"/>
      <c r="D35" s="424"/>
      <c r="E35" s="424"/>
    </row>
    <row r="36" spans="1:5" ht="11.25" customHeight="1">
      <c r="A36" s="399"/>
      <c r="B36" s="399"/>
      <c r="C36" s="403"/>
      <c r="D36" s="424"/>
      <c r="E36" s="424"/>
    </row>
    <row r="37" spans="1:5" ht="14.25">
      <c r="A37" s="399"/>
      <c r="B37" s="399"/>
      <c r="C37" s="403"/>
      <c r="D37" s="424"/>
      <c r="E37" s="424"/>
    </row>
    <row r="38" spans="1:3" ht="12.75">
      <c r="A38" s="399"/>
      <c r="B38" s="399"/>
      <c r="C38" s="399"/>
    </row>
    <row r="39" spans="1:3" ht="14.25">
      <c r="A39" s="808"/>
      <c r="B39" s="806"/>
      <c r="C39" s="399"/>
    </row>
    <row r="40" spans="1:3" ht="12.75" customHeight="1">
      <c r="A40" s="403"/>
      <c r="B40" s="807"/>
      <c r="C40" s="399"/>
    </row>
    <row r="41" spans="1:3" ht="14.25">
      <c r="A41" s="403"/>
      <c r="B41" s="807"/>
      <c r="C41" s="399"/>
    </row>
    <row r="42" spans="1:3" ht="12.75">
      <c r="A42" s="421" t="s">
        <v>1071</v>
      </c>
      <c r="B42" s="806" t="s">
        <v>1753</v>
      </c>
      <c r="C42" s="399"/>
    </row>
    <row r="43" spans="1:3" ht="24">
      <c r="A43" s="403"/>
      <c r="B43" s="807" t="s">
        <v>1221</v>
      </c>
      <c r="C43" s="399"/>
    </row>
    <row r="44" spans="1:3" ht="14.25">
      <c r="A44" s="403"/>
      <c r="B44" s="807"/>
      <c r="C44" s="399"/>
    </row>
    <row r="45" spans="1:3" ht="12.75">
      <c r="A45" s="421"/>
      <c r="B45" s="806"/>
      <c r="C45" s="399"/>
    </row>
    <row r="46" spans="1:3" ht="12" customHeight="1">
      <c r="A46" s="403"/>
      <c r="B46" s="807"/>
      <c r="C46" s="399"/>
    </row>
    <row r="47" spans="1:3" ht="12" customHeight="1">
      <c r="A47" s="403"/>
      <c r="B47" s="807"/>
      <c r="C47" s="399"/>
    </row>
    <row r="48" spans="1:3" ht="12.75">
      <c r="A48" s="399"/>
      <c r="B48" s="399"/>
      <c r="C48" s="399"/>
    </row>
    <row r="49" spans="1:3" ht="12.75">
      <c r="A49" s="399"/>
      <c r="B49" s="399"/>
      <c r="C49" s="399"/>
    </row>
    <row r="50" spans="1:3" ht="12.75">
      <c r="A50" s="399"/>
      <c r="B50" s="399"/>
      <c r="C50" s="399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W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8.7109375" style="3" customWidth="1"/>
    <col min="4" max="4" width="6.7109375" style="3" customWidth="1"/>
    <col min="5" max="5" width="10.00390625" style="3" customWidth="1"/>
    <col min="6" max="7" width="6.7109375" style="3" customWidth="1"/>
    <col min="8" max="8" width="9.00390625" style="3" customWidth="1"/>
    <col min="9" max="9" width="6.7109375" style="3" customWidth="1"/>
    <col min="10" max="10" width="8.57421875" style="3" customWidth="1"/>
    <col min="11" max="11" width="9.00390625" style="3" customWidth="1"/>
    <col min="12" max="13" width="6.7109375" style="3" customWidth="1"/>
    <col min="14" max="14" width="10.421875" style="3" customWidth="1"/>
    <col min="15" max="16" width="6.7109375" style="3" customWidth="1"/>
    <col min="17" max="17" width="10.140625" style="3" customWidth="1"/>
    <col min="18" max="18" width="6.7109375" style="3" customWidth="1"/>
    <col min="19" max="19" width="13.8515625" style="3" customWidth="1"/>
    <col min="20" max="20" width="14.00390625" style="3" hidden="1" customWidth="1"/>
    <col min="21" max="21" width="10.00390625" style="3" customWidth="1"/>
    <col min="22" max="16384" width="9.140625" style="3" customWidth="1"/>
  </cols>
  <sheetData>
    <row r="1" ht="16.5" customHeight="1"/>
    <row r="2" ht="16.5" customHeight="1">
      <c r="C2" s="417"/>
    </row>
    <row r="3" spans="6:7" ht="16.5">
      <c r="F3" s="870"/>
      <c r="G3" s="417"/>
    </row>
    <row r="4" ht="16.5">
      <c r="Q4" s="14" t="s">
        <v>1283</v>
      </c>
    </row>
    <row r="6" ht="16.5">
      <c r="J6" s="14" t="s">
        <v>1284</v>
      </c>
    </row>
    <row r="7" ht="16.5">
      <c r="J7" s="14" t="s">
        <v>1285</v>
      </c>
    </row>
    <row r="8" ht="16.5">
      <c r="J8" s="23"/>
    </row>
    <row r="9" spans="9:11" ht="16.5">
      <c r="I9" s="870"/>
      <c r="J9" s="14" t="s">
        <v>2141</v>
      </c>
      <c r="K9" s="870"/>
    </row>
    <row r="10" ht="16.5">
      <c r="J10" s="23"/>
    </row>
    <row r="11" ht="16.5">
      <c r="J11" s="14" t="s">
        <v>1786</v>
      </c>
    </row>
    <row r="12" spans="9:11" ht="16.5">
      <c r="I12" s="870"/>
      <c r="J12" s="742" t="s">
        <v>2142</v>
      </c>
      <c r="K12" s="870"/>
    </row>
    <row r="13" ht="16.5">
      <c r="J13" s="742"/>
    </row>
    <row r="15" spans="4:19" ht="16.5">
      <c r="D15" s="48"/>
      <c r="E15" s="48" t="s">
        <v>1286</v>
      </c>
      <c r="F15" s="48"/>
      <c r="H15" s="48" t="s">
        <v>1287</v>
      </c>
      <c r="J15" s="48"/>
      <c r="K15" s="48" t="s">
        <v>1288</v>
      </c>
      <c r="N15" s="48" t="s">
        <v>1289</v>
      </c>
      <c r="Q15" s="48" t="s">
        <v>1290</v>
      </c>
      <c r="S15" s="870"/>
    </row>
    <row r="16" ht="15">
      <c r="S16" s="870"/>
    </row>
    <row r="17" spans="4:20" ht="15">
      <c r="D17" s="53"/>
      <c r="E17" s="53">
        <v>0.3052</v>
      </c>
      <c r="F17" s="743"/>
      <c r="G17" s="870"/>
      <c r="H17" s="53">
        <v>0.06409</v>
      </c>
      <c r="I17" s="870"/>
      <c r="J17" s="743"/>
      <c r="K17" s="53">
        <v>0.20368</v>
      </c>
      <c r="L17" s="870"/>
      <c r="M17" s="870"/>
      <c r="N17" s="53">
        <v>0.42703</v>
      </c>
      <c r="O17" s="870"/>
      <c r="P17" s="870"/>
      <c r="Q17" s="53">
        <v>0</v>
      </c>
      <c r="S17" s="871"/>
      <c r="T17" s="871"/>
    </row>
    <row r="18" spans="4:19" ht="15">
      <c r="D18" s="53"/>
      <c r="E18" s="53"/>
      <c r="F18" s="53"/>
      <c r="H18" s="53"/>
      <c r="J18" s="53"/>
      <c r="K18" s="53"/>
      <c r="N18" s="53"/>
      <c r="Q18" s="53"/>
      <c r="S18" s="870"/>
    </row>
    <row r="19" ht="15">
      <c r="S19" s="870"/>
    </row>
    <row r="20" spans="4:19" ht="16.5">
      <c r="D20" s="3" t="s">
        <v>923</v>
      </c>
      <c r="J20" s="14" t="s">
        <v>1787</v>
      </c>
      <c r="S20" s="870"/>
    </row>
    <row r="21" spans="10:19" ht="16.5">
      <c r="J21" s="14" t="s">
        <v>1315</v>
      </c>
      <c r="S21" s="870"/>
    </row>
    <row r="22" spans="10:19" ht="16.5">
      <c r="J22" s="14" t="s">
        <v>1316</v>
      </c>
      <c r="S22" s="870"/>
    </row>
    <row r="23" ht="15">
      <c r="S23" s="870"/>
    </row>
    <row r="24" spans="19:22" ht="15">
      <c r="S24" s="870"/>
      <c r="V24" s="3" t="s">
        <v>923</v>
      </c>
    </row>
    <row r="25" spans="2:19" ht="16.5">
      <c r="B25" s="1193"/>
      <c r="C25" s="1194"/>
      <c r="D25" s="744"/>
      <c r="E25" s="744" t="s">
        <v>1286</v>
      </c>
      <c r="F25" s="744"/>
      <c r="G25" s="744"/>
      <c r="H25" s="744" t="s">
        <v>1287</v>
      </c>
      <c r="I25" s="744"/>
      <c r="J25" s="744"/>
      <c r="K25" s="744" t="s">
        <v>1288</v>
      </c>
      <c r="L25" s="744"/>
      <c r="M25" s="1193" t="s">
        <v>1289</v>
      </c>
      <c r="N25" s="1195"/>
      <c r="O25" s="1194"/>
      <c r="P25" s="744"/>
      <c r="Q25" s="744" t="s">
        <v>1290</v>
      </c>
      <c r="R25" s="744"/>
      <c r="S25" s="870"/>
    </row>
    <row r="26" spans="2:20" ht="16.5">
      <c r="B26" s="744" t="s">
        <v>1872</v>
      </c>
      <c r="C26" s="744" t="s">
        <v>543</v>
      </c>
      <c r="D26" s="744" t="s">
        <v>1317</v>
      </c>
      <c r="E26" s="744" t="s">
        <v>1318</v>
      </c>
      <c r="F26" s="744" t="s">
        <v>1319</v>
      </c>
      <c r="G26" s="744" t="s">
        <v>1317</v>
      </c>
      <c r="H26" s="744" t="s">
        <v>1318</v>
      </c>
      <c r="I26" s="744" t="s">
        <v>1319</v>
      </c>
      <c r="J26" s="744" t="s">
        <v>1317</v>
      </c>
      <c r="K26" s="744" t="s">
        <v>1318</v>
      </c>
      <c r="L26" s="744" t="s">
        <v>1319</v>
      </c>
      <c r="M26" s="744" t="s">
        <v>1317</v>
      </c>
      <c r="N26" s="744" t="s">
        <v>1318</v>
      </c>
      <c r="O26" s="744" t="s">
        <v>1319</v>
      </c>
      <c r="P26" s="744" t="s">
        <v>1317</v>
      </c>
      <c r="Q26" s="744" t="s">
        <v>1318</v>
      </c>
      <c r="R26" s="744" t="s">
        <v>1319</v>
      </c>
      <c r="S26" s="870"/>
      <c r="T26" s="871"/>
    </row>
    <row r="27" spans="2:20" ht="15">
      <c r="B27" s="745" t="s">
        <v>2143</v>
      </c>
      <c r="C27" s="746">
        <v>19856</v>
      </c>
      <c r="D27" s="745" t="s">
        <v>1120</v>
      </c>
      <c r="E27" s="745" t="s">
        <v>1321</v>
      </c>
      <c r="F27" s="746">
        <v>6877</v>
      </c>
      <c r="G27" s="745" t="s">
        <v>1120</v>
      </c>
      <c r="H27" s="745" t="s">
        <v>1321</v>
      </c>
      <c r="I27" s="746">
        <v>1378</v>
      </c>
      <c r="J27" s="745" t="s">
        <v>1142</v>
      </c>
      <c r="K27" s="745" t="s">
        <v>1321</v>
      </c>
      <c r="L27" s="746">
        <v>3748</v>
      </c>
      <c r="M27" s="745" t="s">
        <v>765</v>
      </c>
      <c r="N27" s="745" t="s">
        <v>85</v>
      </c>
      <c r="O27" s="746">
        <v>7853</v>
      </c>
      <c r="P27" s="745" t="s">
        <v>1265</v>
      </c>
      <c r="Q27" s="745" t="s">
        <v>1265</v>
      </c>
      <c r="R27" s="746">
        <v>0</v>
      </c>
      <c r="S27" s="870"/>
      <c r="T27" s="871"/>
    </row>
    <row r="28" spans="2:21" s="68" customFormat="1" ht="15">
      <c r="B28" s="745" t="s">
        <v>2130</v>
      </c>
      <c r="C28" s="746">
        <v>18348</v>
      </c>
      <c r="D28" s="745" t="s">
        <v>860</v>
      </c>
      <c r="E28" s="745" t="s">
        <v>1321</v>
      </c>
      <c r="F28" s="746">
        <v>6123</v>
      </c>
      <c r="G28" s="745" t="s">
        <v>860</v>
      </c>
      <c r="H28" s="745" t="s">
        <v>1321</v>
      </c>
      <c r="I28" s="746">
        <v>1272</v>
      </c>
      <c r="J28" s="745" t="s">
        <v>860</v>
      </c>
      <c r="K28" s="745" t="s">
        <v>1321</v>
      </c>
      <c r="L28" s="746">
        <v>3528</v>
      </c>
      <c r="M28" s="745" t="s">
        <v>860</v>
      </c>
      <c r="N28" s="745" t="s">
        <v>1321</v>
      </c>
      <c r="O28" s="746">
        <v>7425</v>
      </c>
      <c r="P28" s="745" t="s">
        <v>1265</v>
      </c>
      <c r="Q28" s="745" t="s">
        <v>1265</v>
      </c>
      <c r="R28" s="746">
        <v>0</v>
      </c>
      <c r="S28" s="870"/>
      <c r="T28" s="871"/>
      <c r="U28" s="3"/>
    </row>
    <row r="29" spans="2:21" s="68" customFormat="1" ht="15">
      <c r="B29" s="745" t="s">
        <v>2122</v>
      </c>
      <c r="C29" s="746">
        <v>17788</v>
      </c>
      <c r="D29" s="745" t="s">
        <v>1781</v>
      </c>
      <c r="E29" s="745" t="s">
        <v>1321</v>
      </c>
      <c r="F29" s="746">
        <v>5801</v>
      </c>
      <c r="G29" s="745" t="s">
        <v>1781</v>
      </c>
      <c r="H29" s="745" t="s">
        <v>1320</v>
      </c>
      <c r="I29" s="746">
        <v>1216</v>
      </c>
      <c r="J29" s="745" t="s">
        <v>680</v>
      </c>
      <c r="K29" s="745" t="s">
        <v>1781</v>
      </c>
      <c r="L29" s="746">
        <v>3619</v>
      </c>
      <c r="M29" s="745" t="s">
        <v>2123</v>
      </c>
      <c r="N29" s="745" t="s">
        <v>1142</v>
      </c>
      <c r="O29" s="746">
        <v>7152</v>
      </c>
      <c r="P29" s="745" t="s">
        <v>1265</v>
      </c>
      <c r="Q29" s="745" t="s">
        <v>1265</v>
      </c>
      <c r="R29" s="746">
        <v>0</v>
      </c>
      <c r="S29" s="870"/>
      <c r="T29" s="871"/>
      <c r="U29" s="3"/>
    </row>
    <row r="30" spans="2:23" ht="15">
      <c r="B30" s="745" t="s">
        <v>2109</v>
      </c>
      <c r="C30" s="746">
        <v>15878</v>
      </c>
      <c r="D30" s="745" t="s">
        <v>1779</v>
      </c>
      <c r="E30" s="745" t="s">
        <v>1115</v>
      </c>
      <c r="F30" s="746">
        <v>5000</v>
      </c>
      <c r="G30" s="745" t="s">
        <v>1779</v>
      </c>
      <c r="H30" s="745" t="s">
        <v>1320</v>
      </c>
      <c r="I30" s="746">
        <v>1002</v>
      </c>
      <c r="J30" s="745" t="s">
        <v>1142</v>
      </c>
      <c r="K30" s="745" t="s">
        <v>860</v>
      </c>
      <c r="L30" s="746">
        <v>3249</v>
      </c>
      <c r="M30" s="745" t="s">
        <v>1142</v>
      </c>
      <c r="N30" s="745" t="s">
        <v>61</v>
      </c>
      <c r="O30" s="746">
        <v>6627</v>
      </c>
      <c r="P30" s="745" t="s">
        <v>1265</v>
      </c>
      <c r="Q30" s="745" t="s">
        <v>1265</v>
      </c>
      <c r="R30" s="746">
        <v>0</v>
      </c>
      <c r="S30" s="870"/>
      <c r="T30" s="871"/>
      <c r="W30" s="3" t="s">
        <v>923</v>
      </c>
    </row>
    <row r="31" spans="2:20" ht="15">
      <c r="B31" s="745" t="s">
        <v>2104</v>
      </c>
      <c r="C31" s="746">
        <v>20614</v>
      </c>
      <c r="D31" s="745" t="s">
        <v>1117</v>
      </c>
      <c r="E31" s="745" t="s">
        <v>763</v>
      </c>
      <c r="F31" s="746">
        <v>5678</v>
      </c>
      <c r="G31" s="745" t="s">
        <v>1117</v>
      </c>
      <c r="H31" s="745" t="s">
        <v>762</v>
      </c>
      <c r="I31" s="746">
        <v>1087</v>
      </c>
      <c r="J31" s="745" t="s">
        <v>1117</v>
      </c>
      <c r="K31" s="745" t="s">
        <v>762</v>
      </c>
      <c r="L31" s="746">
        <v>4441</v>
      </c>
      <c r="M31" s="745" t="s">
        <v>1117</v>
      </c>
      <c r="N31" s="745" t="s">
        <v>762</v>
      </c>
      <c r="O31" s="746">
        <v>9408</v>
      </c>
      <c r="P31" s="745" t="s">
        <v>1265</v>
      </c>
      <c r="Q31" s="745" t="s">
        <v>1265</v>
      </c>
      <c r="R31" s="746">
        <v>0</v>
      </c>
      <c r="S31" s="870"/>
      <c r="T31" s="871"/>
    </row>
    <row r="32" spans="2:20" ht="15">
      <c r="B32" s="745" t="s">
        <v>2094</v>
      </c>
      <c r="C32" s="746">
        <v>20877</v>
      </c>
      <c r="D32" s="745" t="s">
        <v>1265</v>
      </c>
      <c r="E32" s="745" t="s">
        <v>762</v>
      </c>
      <c r="F32" s="746">
        <v>6023</v>
      </c>
      <c r="G32" s="745" t="s">
        <v>1117</v>
      </c>
      <c r="H32" s="745" t="s">
        <v>763</v>
      </c>
      <c r="I32" s="746">
        <v>1230</v>
      </c>
      <c r="J32" s="745" t="s">
        <v>1117</v>
      </c>
      <c r="K32" s="745" t="s">
        <v>762</v>
      </c>
      <c r="L32" s="746">
        <v>4517</v>
      </c>
      <c r="M32" s="745" t="s">
        <v>1117</v>
      </c>
      <c r="N32" s="745" t="s">
        <v>762</v>
      </c>
      <c r="O32" s="746">
        <v>9107</v>
      </c>
      <c r="P32" s="745" t="s">
        <v>1265</v>
      </c>
      <c r="Q32" s="745" t="s">
        <v>1265</v>
      </c>
      <c r="R32" s="746">
        <v>0</v>
      </c>
      <c r="S32" s="870"/>
      <c r="T32" s="871"/>
    </row>
    <row r="33" spans="2:20" ht="15">
      <c r="B33" s="745" t="s">
        <v>2089</v>
      </c>
      <c r="C33" s="746">
        <v>22432</v>
      </c>
      <c r="D33" s="745" t="s">
        <v>1847</v>
      </c>
      <c r="E33" s="745" t="s">
        <v>765</v>
      </c>
      <c r="F33" s="746">
        <v>6214</v>
      </c>
      <c r="G33" s="745" t="s">
        <v>85</v>
      </c>
      <c r="H33" s="745" t="s">
        <v>763</v>
      </c>
      <c r="I33" s="746">
        <v>1240</v>
      </c>
      <c r="J33" s="745" t="s">
        <v>1780</v>
      </c>
      <c r="K33" s="745" t="s">
        <v>764</v>
      </c>
      <c r="L33" s="746">
        <v>4837</v>
      </c>
      <c r="M33" s="745" t="s">
        <v>1780</v>
      </c>
      <c r="N33" s="745" t="s">
        <v>762</v>
      </c>
      <c r="O33" s="746">
        <v>10141</v>
      </c>
      <c r="P33" s="745" t="s">
        <v>1265</v>
      </c>
      <c r="Q33" s="745" t="s">
        <v>1265</v>
      </c>
      <c r="R33" s="746">
        <v>0</v>
      </c>
      <c r="S33" s="870"/>
      <c r="T33" s="871"/>
    </row>
    <row r="34" spans="2:20" ht="15">
      <c r="B34" s="745" t="s">
        <v>554</v>
      </c>
      <c r="C34" s="746">
        <v>20924</v>
      </c>
      <c r="D34" s="745" t="s">
        <v>1320</v>
      </c>
      <c r="E34" s="745" t="s">
        <v>764</v>
      </c>
      <c r="F34" s="746">
        <v>5994</v>
      </c>
      <c r="G34" s="745" t="s">
        <v>1321</v>
      </c>
      <c r="H34" s="745" t="s">
        <v>763</v>
      </c>
      <c r="I34" s="746">
        <v>1189</v>
      </c>
      <c r="J34" s="745" t="s">
        <v>1115</v>
      </c>
      <c r="K34" s="745" t="s">
        <v>763</v>
      </c>
      <c r="L34" s="746">
        <v>4417</v>
      </c>
      <c r="M34" s="745" t="s">
        <v>1321</v>
      </c>
      <c r="N34" s="745" t="s">
        <v>762</v>
      </c>
      <c r="O34" s="746">
        <v>9324</v>
      </c>
      <c r="P34" s="745" t="s">
        <v>1265</v>
      </c>
      <c r="Q34" s="745" t="s">
        <v>1265</v>
      </c>
      <c r="R34" s="746">
        <v>0</v>
      </c>
      <c r="S34" s="870"/>
      <c r="T34" s="871"/>
    </row>
    <row r="35" spans="2:20" ht="15">
      <c r="B35" s="745" t="s">
        <v>1266</v>
      </c>
      <c r="C35" s="746">
        <v>20292</v>
      </c>
      <c r="D35" s="745" t="s">
        <v>1779</v>
      </c>
      <c r="E35" s="745" t="s">
        <v>762</v>
      </c>
      <c r="F35" s="746">
        <v>5820</v>
      </c>
      <c r="G35" s="745" t="s">
        <v>1779</v>
      </c>
      <c r="H35" s="745" t="s">
        <v>764</v>
      </c>
      <c r="I35" s="746">
        <v>1208</v>
      </c>
      <c r="J35" s="745" t="s">
        <v>1779</v>
      </c>
      <c r="K35" s="745" t="s">
        <v>764</v>
      </c>
      <c r="L35" s="746">
        <v>3931</v>
      </c>
      <c r="M35" s="745" t="s">
        <v>1779</v>
      </c>
      <c r="N35" s="745" t="s">
        <v>762</v>
      </c>
      <c r="O35" s="746">
        <v>9333</v>
      </c>
      <c r="P35" s="745" t="s">
        <v>1265</v>
      </c>
      <c r="Q35" s="745" t="s">
        <v>1265</v>
      </c>
      <c r="R35" s="746">
        <v>0</v>
      </c>
      <c r="S35" s="870"/>
      <c r="T35" s="871"/>
    </row>
    <row r="36" spans="2:20" ht="15">
      <c r="B36" s="745" t="s">
        <v>1911</v>
      </c>
      <c r="C36" s="746">
        <v>16302</v>
      </c>
      <c r="D36" s="745" t="s">
        <v>1853</v>
      </c>
      <c r="E36" s="745" t="s">
        <v>1115</v>
      </c>
      <c r="F36" s="746">
        <v>5280</v>
      </c>
      <c r="G36" s="745" t="s">
        <v>1265</v>
      </c>
      <c r="H36" s="745" t="s">
        <v>1115</v>
      </c>
      <c r="I36" s="746">
        <v>1114</v>
      </c>
      <c r="J36" s="745" t="s">
        <v>61</v>
      </c>
      <c r="K36" s="745" t="s">
        <v>860</v>
      </c>
      <c r="L36" s="746">
        <v>3207</v>
      </c>
      <c r="M36" s="745" t="s">
        <v>1265</v>
      </c>
      <c r="N36" s="745" t="s">
        <v>1321</v>
      </c>
      <c r="O36" s="746">
        <v>6701</v>
      </c>
      <c r="P36" s="745" t="s">
        <v>1265</v>
      </c>
      <c r="Q36" s="745" t="s">
        <v>1265</v>
      </c>
      <c r="R36" s="746">
        <v>0</v>
      </c>
      <c r="S36" s="870"/>
      <c r="T36" s="871"/>
    </row>
    <row r="37" spans="2:20" ht="15">
      <c r="B37" s="745" t="s">
        <v>1683</v>
      </c>
      <c r="C37" s="746">
        <v>17552</v>
      </c>
      <c r="D37" s="745" t="s">
        <v>680</v>
      </c>
      <c r="E37" s="745" t="s">
        <v>1115</v>
      </c>
      <c r="F37" s="746">
        <v>5676</v>
      </c>
      <c r="G37" s="745" t="s">
        <v>1117</v>
      </c>
      <c r="H37" s="745" t="s">
        <v>1321</v>
      </c>
      <c r="I37" s="746">
        <v>1171</v>
      </c>
      <c r="J37" s="745" t="s">
        <v>763</v>
      </c>
      <c r="K37" s="745" t="s">
        <v>1115</v>
      </c>
      <c r="L37" s="746">
        <v>3457</v>
      </c>
      <c r="M37" s="745" t="s">
        <v>709</v>
      </c>
      <c r="N37" s="745" t="s">
        <v>1142</v>
      </c>
      <c r="O37" s="746">
        <v>7248</v>
      </c>
      <c r="P37" s="745" t="s">
        <v>1265</v>
      </c>
      <c r="Q37" s="745" t="s">
        <v>1265</v>
      </c>
      <c r="R37" s="746">
        <v>0</v>
      </c>
      <c r="S37" s="870"/>
      <c r="T37" s="871"/>
    </row>
    <row r="38" spans="2:20" ht="15">
      <c r="B38" s="745" t="s">
        <v>1742</v>
      </c>
      <c r="C38" s="746">
        <v>20722</v>
      </c>
      <c r="D38" s="745" t="s">
        <v>85</v>
      </c>
      <c r="E38" s="745" t="s">
        <v>1321</v>
      </c>
      <c r="F38" s="746">
        <v>7248</v>
      </c>
      <c r="G38" s="745" t="s">
        <v>85</v>
      </c>
      <c r="H38" s="745" t="s">
        <v>1320</v>
      </c>
      <c r="I38" s="746">
        <v>1522</v>
      </c>
      <c r="J38" s="745" t="s">
        <v>709</v>
      </c>
      <c r="K38" s="745" t="s">
        <v>1321</v>
      </c>
      <c r="L38" s="746">
        <v>3783</v>
      </c>
      <c r="M38" s="745" t="s">
        <v>709</v>
      </c>
      <c r="N38" s="745" t="s">
        <v>1321</v>
      </c>
      <c r="O38" s="746">
        <v>8169</v>
      </c>
      <c r="P38" s="745" t="s">
        <v>1265</v>
      </c>
      <c r="Q38" s="745" t="s">
        <v>1265</v>
      </c>
      <c r="R38" s="746">
        <v>0</v>
      </c>
      <c r="S38" s="870"/>
      <c r="T38" s="871"/>
    </row>
    <row r="39" spans="19:23" ht="15">
      <c r="S39" s="870"/>
      <c r="W39" s="3" t="s">
        <v>923</v>
      </c>
    </row>
    <row r="40" spans="17:19" ht="15">
      <c r="Q40" s="3" t="s">
        <v>923</v>
      </c>
      <c r="S40" s="870"/>
    </row>
    <row r="41" spans="10:19" ht="16.5">
      <c r="J41" s="14" t="s">
        <v>1788</v>
      </c>
      <c r="R41" s="3" t="s">
        <v>923</v>
      </c>
      <c r="S41" s="870"/>
    </row>
    <row r="42" spans="10:19" ht="16.5">
      <c r="J42" s="14" t="s">
        <v>535</v>
      </c>
      <c r="R42" s="3" t="s">
        <v>1782</v>
      </c>
      <c r="S42" s="870"/>
    </row>
    <row r="43" spans="10:19" ht="16.5">
      <c r="J43" s="14" t="s">
        <v>536</v>
      </c>
      <c r="S43" s="870"/>
    </row>
    <row r="44" spans="1:19" ht="16.5">
      <c r="A44" s="3" t="s">
        <v>923</v>
      </c>
      <c r="J44" s="14" t="s">
        <v>1316</v>
      </c>
      <c r="S44" s="870"/>
    </row>
    <row r="45" ht="15">
      <c r="S45" s="870"/>
    </row>
    <row r="46" ht="15">
      <c r="S46" s="870"/>
    </row>
    <row r="47" spans="1:19" ht="16.5">
      <c r="A47" s="3" t="s">
        <v>923</v>
      </c>
      <c r="C47" s="48" t="s">
        <v>543</v>
      </c>
      <c r="E47" s="48" t="s">
        <v>1286</v>
      </c>
      <c r="F47" s="48"/>
      <c r="H47" s="48" t="s">
        <v>1287</v>
      </c>
      <c r="J47" s="48"/>
      <c r="K47" s="48" t="s">
        <v>1288</v>
      </c>
      <c r="N47" s="48" t="s">
        <v>1289</v>
      </c>
      <c r="Q47" s="48" t="s">
        <v>1290</v>
      </c>
      <c r="S47" s="870"/>
    </row>
    <row r="48" ht="15">
      <c r="S48" s="870"/>
    </row>
    <row r="49" spans="3:23" s="52" customFormat="1" ht="15">
      <c r="C49" s="52">
        <v>23748</v>
      </c>
      <c r="D49" s="747"/>
      <c r="E49" s="52">
        <v>7248</v>
      </c>
      <c r="F49" s="747"/>
      <c r="G49" s="747"/>
      <c r="H49" s="52">
        <v>1522</v>
      </c>
      <c r="I49" s="747"/>
      <c r="J49" s="747"/>
      <c r="K49" s="52">
        <v>4837</v>
      </c>
      <c r="L49" s="747"/>
      <c r="M49" s="747"/>
      <c r="N49" s="52">
        <v>10141</v>
      </c>
      <c r="O49" s="747"/>
      <c r="P49" s="747"/>
      <c r="Q49" s="52">
        <v>0</v>
      </c>
      <c r="S49" s="870"/>
      <c r="T49" s="747"/>
      <c r="U49" s="3"/>
      <c r="V49" s="3"/>
      <c r="W49" s="52" t="s">
        <v>923</v>
      </c>
    </row>
    <row r="50" ht="15">
      <c r="S50" s="870"/>
    </row>
    <row r="51" ht="15">
      <c r="S51" s="870"/>
    </row>
    <row r="52" spans="2:22" ht="16.5">
      <c r="B52" s="73" t="s">
        <v>537</v>
      </c>
      <c r="E52" s="51" t="s">
        <v>2131</v>
      </c>
      <c r="F52" s="52"/>
      <c r="G52" s="52"/>
      <c r="H52" s="51" t="s">
        <v>2132</v>
      </c>
      <c r="I52" s="52"/>
      <c r="J52" s="747"/>
      <c r="K52" s="51" t="s">
        <v>2095</v>
      </c>
      <c r="L52" s="747"/>
      <c r="M52" s="52"/>
      <c r="N52" s="51" t="s">
        <v>2096</v>
      </c>
      <c r="O52" s="52"/>
      <c r="P52" s="52"/>
      <c r="Q52" s="51" t="s">
        <v>2144</v>
      </c>
      <c r="R52" s="870"/>
      <c r="S52" s="871"/>
      <c r="V52" s="3" t="s">
        <v>923</v>
      </c>
    </row>
    <row r="53" spans="14:21" ht="15">
      <c r="N53" s="3" t="s">
        <v>923</v>
      </c>
      <c r="S53" s="871"/>
      <c r="U53" s="3" t="s">
        <v>923</v>
      </c>
    </row>
    <row r="54" spans="2:21" ht="16.5">
      <c r="B54" s="23" t="s">
        <v>1131</v>
      </c>
      <c r="S54" s="871"/>
      <c r="U54" s="3" t="s">
        <v>923</v>
      </c>
    </row>
    <row r="55" ht="16.5">
      <c r="B55" s="23" t="s">
        <v>1684</v>
      </c>
    </row>
    <row r="56" ht="16.5">
      <c r="B56" s="23"/>
    </row>
    <row r="57" ht="16.5">
      <c r="B57" s="23" t="s">
        <v>2124</v>
      </c>
    </row>
    <row r="58" ht="16.5">
      <c r="B58" s="23"/>
    </row>
    <row r="59" ht="16.5">
      <c r="B59" s="23" t="s">
        <v>2133</v>
      </c>
    </row>
    <row r="60" ht="16.5">
      <c r="B60" s="23"/>
    </row>
    <row r="61" ht="16.5">
      <c r="B61" s="23" t="s">
        <v>2135</v>
      </c>
    </row>
    <row r="62" ht="16.5">
      <c r="B62" s="23" t="s">
        <v>923</v>
      </c>
    </row>
    <row r="63" ht="16.5">
      <c r="B63" s="23"/>
    </row>
    <row r="64" spans="2:4" ht="16.5">
      <c r="B64" s="23"/>
      <c r="D64" s="3" t="s">
        <v>923</v>
      </c>
    </row>
    <row r="65" spans="2:4" ht="16.5">
      <c r="B65" s="23" t="s">
        <v>923</v>
      </c>
      <c r="D65" s="3" t="s">
        <v>923</v>
      </c>
    </row>
    <row r="68" ht="15">
      <c r="C68" s="3" t="s">
        <v>923</v>
      </c>
    </row>
    <row r="69" spans="3:4" ht="15">
      <c r="C69" s="3" t="s">
        <v>923</v>
      </c>
      <c r="D69" s="3" t="s">
        <v>923</v>
      </c>
    </row>
    <row r="72" ht="15">
      <c r="E72" s="3" t="s">
        <v>923</v>
      </c>
    </row>
  </sheetData>
  <sheetProtection/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8.7109375" style="3" customWidth="1"/>
    <col min="9" max="9" width="14.421875" style="3" customWidth="1"/>
    <col min="10" max="10" width="9.140625" style="3" customWidth="1"/>
    <col min="11" max="11" width="12.8515625" style="3" bestFit="1" customWidth="1"/>
    <col min="12" max="12" width="9.140625" style="3" customWidth="1"/>
    <col min="13" max="13" width="11.8515625" style="3" bestFit="1" customWidth="1"/>
    <col min="14" max="16384" width="9.140625" style="3" customWidth="1"/>
  </cols>
  <sheetData>
    <row r="1" spans="1:9" ht="16.5">
      <c r="A1" s="23" t="s">
        <v>1294</v>
      </c>
      <c r="B1" s="254" t="str">
        <f>INPUT!C1</f>
        <v>February 2012</v>
      </c>
      <c r="I1" s="23" t="s">
        <v>1673</v>
      </c>
    </row>
    <row r="2" ht="16.5">
      <c r="E2" s="14" t="s">
        <v>1677</v>
      </c>
    </row>
    <row r="3" spans="5:9" ht="16.5">
      <c r="E3" s="48"/>
      <c r="I3" s="14" t="s">
        <v>127</v>
      </c>
    </row>
    <row r="4" spans="1:9" ht="16.5">
      <c r="A4" s="16"/>
      <c r="B4" s="16"/>
      <c r="C4" s="17" t="s">
        <v>1678</v>
      </c>
      <c r="D4" s="16"/>
      <c r="E4" s="84"/>
      <c r="I4" s="17" t="s">
        <v>128</v>
      </c>
    </row>
    <row r="6" ht="16.5">
      <c r="A6" s="23" t="s">
        <v>1679</v>
      </c>
    </row>
    <row r="7" spans="1:9" ht="15">
      <c r="A7" s="381" t="s">
        <v>53</v>
      </c>
      <c r="I7" s="13">
        <v>2033000</v>
      </c>
    </row>
    <row r="8" spans="1:9" ht="15">
      <c r="A8" s="381" t="s">
        <v>718</v>
      </c>
      <c r="I8" s="13">
        <v>482000</v>
      </c>
    </row>
    <row r="9" spans="1:9" ht="15">
      <c r="A9" s="381" t="s">
        <v>719</v>
      </c>
      <c r="I9" s="13">
        <v>700000</v>
      </c>
    </row>
    <row r="10" spans="1:10" ht="15">
      <c r="A10" s="381" t="s">
        <v>2128</v>
      </c>
      <c r="I10" s="13">
        <v>577000</v>
      </c>
      <c r="J10" s="1154">
        <v>-2</v>
      </c>
    </row>
    <row r="11" spans="1:9" ht="15">
      <c r="A11" s="381" t="s">
        <v>720</v>
      </c>
      <c r="I11" s="13">
        <v>332000</v>
      </c>
    </row>
    <row r="12" spans="1:9" ht="15">
      <c r="A12" s="381" t="s">
        <v>1685</v>
      </c>
      <c r="I12" s="13">
        <v>400000</v>
      </c>
    </row>
    <row r="13" spans="1:9" ht="15">
      <c r="A13" s="381" t="s">
        <v>1686</v>
      </c>
      <c r="I13" s="13">
        <v>1317000</v>
      </c>
    </row>
    <row r="14" spans="1:9" ht="15">
      <c r="A14" s="381" t="s">
        <v>59</v>
      </c>
      <c r="I14" s="6">
        <v>295000</v>
      </c>
    </row>
    <row r="15" spans="1:9" s="2" customFormat="1" ht="15">
      <c r="A15" s="748" t="s">
        <v>1074</v>
      </c>
      <c r="I15" s="6">
        <v>28000</v>
      </c>
    </row>
    <row r="16" spans="1:9" ht="15">
      <c r="A16" s="381" t="s">
        <v>1104</v>
      </c>
      <c r="I16" s="6">
        <v>26000</v>
      </c>
    </row>
    <row r="17" spans="1:9" ht="15">
      <c r="A17" s="381" t="s">
        <v>1154</v>
      </c>
      <c r="I17" s="6">
        <v>29000</v>
      </c>
    </row>
    <row r="18" spans="1:9" ht="15">
      <c r="A18" s="381" t="s">
        <v>99</v>
      </c>
      <c r="I18" s="21">
        <v>32000</v>
      </c>
    </row>
    <row r="19" spans="1:9" ht="15">
      <c r="A19" s="3" t="s">
        <v>770</v>
      </c>
      <c r="I19" s="13">
        <f>SUM(I7:I18)</f>
        <v>6251000</v>
      </c>
    </row>
    <row r="20" spans="1:9" ht="15">
      <c r="A20" s="381" t="s">
        <v>1687</v>
      </c>
      <c r="I20" s="13">
        <v>586000</v>
      </c>
    </row>
    <row r="21" spans="1:9" ht="16.5">
      <c r="A21" s="381" t="s">
        <v>1688</v>
      </c>
      <c r="D21" s="23"/>
      <c r="I21" s="13">
        <v>4000</v>
      </c>
    </row>
    <row r="22" spans="1:9" ht="15">
      <c r="A22" s="381" t="s">
        <v>1689</v>
      </c>
      <c r="I22" s="6">
        <v>82000</v>
      </c>
    </row>
    <row r="23" spans="1:9" ht="15">
      <c r="A23" s="381" t="s">
        <v>210</v>
      </c>
      <c r="I23" s="21">
        <v>28000</v>
      </c>
    </row>
    <row r="24" spans="1:9" ht="15">
      <c r="A24" s="3" t="s">
        <v>1681</v>
      </c>
      <c r="I24" s="13">
        <f>SUM(I19:I23)</f>
        <v>6951000</v>
      </c>
    </row>
    <row r="25" ht="15">
      <c r="I25" s="12"/>
    </row>
    <row r="26" spans="1:9" ht="16.5">
      <c r="A26" s="23" t="s">
        <v>1682</v>
      </c>
      <c r="I26" s="12"/>
    </row>
    <row r="27" spans="1:9" ht="15">
      <c r="A27" s="381" t="s">
        <v>1594</v>
      </c>
      <c r="I27" s="13">
        <v>1078000</v>
      </c>
    </row>
    <row r="28" spans="1:9" ht="15">
      <c r="A28" s="381" t="s">
        <v>714</v>
      </c>
      <c r="I28" s="13">
        <v>198000</v>
      </c>
    </row>
    <row r="29" spans="1:9" ht="15">
      <c r="A29" s="381" t="s">
        <v>716</v>
      </c>
      <c r="I29" s="21">
        <v>195000</v>
      </c>
    </row>
    <row r="30" spans="1:9" ht="15">
      <c r="A30" s="3" t="s">
        <v>770</v>
      </c>
      <c r="I30" s="13">
        <f>SUM(I27:I29)</f>
        <v>1471000</v>
      </c>
    </row>
    <row r="31" spans="1:9" ht="15">
      <c r="A31" s="3" t="s">
        <v>1681</v>
      </c>
      <c r="I31" s="13">
        <f>+I30</f>
        <v>1471000</v>
      </c>
    </row>
    <row r="32" ht="15">
      <c r="I32" s="12"/>
    </row>
    <row r="33" spans="1:9" ht="16.5">
      <c r="A33" s="23" t="s">
        <v>1222</v>
      </c>
      <c r="I33" s="12"/>
    </row>
    <row r="34" spans="1:9" ht="15">
      <c r="A34" s="381" t="s">
        <v>1480</v>
      </c>
      <c r="I34" s="13">
        <v>2149000</v>
      </c>
    </row>
    <row r="35" spans="1:9" ht="15">
      <c r="A35" s="381" t="s">
        <v>662</v>
      </c>
      <c r="I35" s="13">
        <v>660000</v>
      </c>
    </row>
    <row r="36" spans="1:9" ht="15">
      <c r="A36" s="381" t="s">
        <v>714</v>
      </c>
      <c r="I36" s="13">
        <v>461000</v>
      </c>
    </row>
    <row r="37" spans="1:9" ht="15">
      <c r="A37" s="381" t="s">
        <v>715</v>
      </c>
      <c r="I37" s="13">
        <v>650000</v>
      </c>
    </row>
    <row r="38" spans="1:9" ht="15">
      <c r="A38" s="381" t="s">
        <v>716</v>
      </c>
      <c r="I38" s="13">
        <v>455000</v>
      </c>
    </row>
    <row r="39" spans="1:9" ht="15">
      <c r="A39" s="381" t="s">
        <v>52</v>
      </c>
      <c r="I39" s="6">
        <v>991000</v>
      </c>
    </row>
    <row r="40" spans="1:9" ht="15">
      <c r="A40" s="381" t="s">
        <v>1851</v>
      </c>
      <c r="I40" s="6">
        <v>30000</v>
      </c>
    </row>
    <row r="41" spans="1:9" ht="15">
      <c r="A41" s="381" t="s">
        <v>98</v>
      </c>
      <c r="I41" s="21">
        <v>16000</v>
      </c>
    </row>
    <row r="42" spans="1:9" ht="15">
      <c r="A42" s="3" t="s">
        <v>770</v>
      </c>
      <c r="I42" s="13">
        <f>SUM(I34:I41)</f>
        <v>5412000</v>
      </c>
    </row>
    <row r="43" spans="1:9" ht="15">
      <c r="A43" s="381" t="s">
        <v>717</v>
      </c>
      <c r="I43" s="21">
        <v>14000</v>
      </c>
    </row>
    <row r="44" spans="1:9" ht="15">
      <c r="A44" s="3" t="s">
        <v>1681</v>
      </c>
      <c r="I44" s="13">
        <f>SUM(I42:I43)</f>
        <v>5426000</v>
      </c>
    </row>
    <row r="45" ht="15">
      <c r="I45" s="12"/>
    </row>
    <row r="46" spans="1:9" ht="16.5">
      <c r="A46" s="23" t="s">
        <v>1520</v>
      </c>
      <c r="I46" s="12"/>
    </row>
    <row r="47" spans="1:9" ht="15">
      <c r="A47" s="381" t="s">
        <v>53</v>
      </c>
      <c r="I47" s="13">
        <v>867000</v>
      </c>
    </row>
    <row r="48" spans="1:9" ht="15">
      <c r="A48" s="381" t="s">
        <v>655</v>
      </c>
      <c r="I48" s="13">
        <v>52000</v>
      </c>
    </row>
    <row r="49" spans="1:9" ht="15">
      <c r="A49" s="381" t="s">
        <v>54</v>
      </c>
      <c r="I49" s="13">
        <v>592000</v>
      </c>
    </row>
    <row r="50" spans="1:9" ht="15">
      <c r="A50" s="381" t="s">
        <v>656</v>
      </c>
      <c r="I50" s="13">
        <v>1304000</v>
      </c>
    </row>
    <row r="51" spans="1:9" ht="15">
      <c r="A51" s="381" t="s">
        <v>1576</v>
      </c>
      <c r="I51" s="13">
        <v>473000</v>
      </c>
    </row>
    <row r="52" spans="1:9" ht="15">
      <c r="A52" s="381" t="s">
        <v>55</v>
      </c>
      <c r="I52" s="13">
        <v>2638000</v>
      </c>
    </row>
    <row r="53" spans="1:9" ht="15">
      <c r="A53" s="381" t="s">
        <v>56</v>
      </c>
      <c r="I53" s="13">
        <v>620000</v>
      </c>
    </row>
    <row r="54" spans="1:9" ht="15">
      <c r="A54" s="381" t="s">
        <v>766</v>
      </c>
      <c r="I54" s="13">
        <v>1155000</v>
      </c>
    </row>
    <row r="55" spans="1:9" ht="15">
      <c r="A55" s="381" t="s">
        <v>57</v>
      </c>
      <c r="I55" s="13">
        <v>1560000</v>
      </c>
    </row>
    <row r="56" spans="1:9" ht="15">
      <c r="A56" s="381" t="s">
        <v>58</v>
      </c>
      <c r="I56" s="13">
        <v>1404000</v>
      </c>
    </row>
    <row r="57" spans="1:9" ht="15">
      <c r="A57" s="381" t="s">
        <v>657</v>
      </c>
      <c r="I57" s="13">
        <v>98000</v>
      </c>
    </row>
    <row r="58" spans="1:9" ht="15">
      <c r="A58" s="381" t="s">
        <v>59</v>
      </c>
      <c r="H58" s="3" t="s">
        <v>119</v>
      </c>
      <c r="I58" s="6">
        <v>295000</v>
      </c>
    </row>
    <row r="59" spans="1:9" ht="15">
      <c r="A59" s="381" t="s">
        <v>658</v>
      </c>
      <c r="I59" s="13">
        <v>600000</v>
      </c>
    </row>
    <row r="60" spans="1:9" ht="15">
      <c r="A60" s="381" t="s">
        <v>659</v>
      </c>
      <c r="I60" s="13">
        <v>830000</v>
      </c>
    </row>
    <row r="61" spans="1:9" ht="15">
      <c r="A61" s="381" t="s">
        <v>660</v>
      </c>
      <c r="I61" s="6">
        <v>330000</v>
      </c>
    </row>
    <row r="62" spans="1:9" ht="15">
      <c r="A62" s="381" t="s">
        <v>97</v>
      </c>
      <c r="I62" s="21">
        <v>33000</v>
      </c>
    </row>
    <row r="63" spans="1:9" ht="15">
      <c r="A63" s="3" t="s">
        <v>770</v>
      </c>
      <c r="I63" s="13">
        <f>SUM(I47:I62)</f>
        <v>12851000</v>
      </c>
    </row>
    <row r="64" spans="1:9" ht="15">
      <c r="A64" s="381" t="s">
        <v>661</v>
      </c>
      <c r="I64" s="21">
        <v>25000</v>
      </c>
    </row>
    <row r="65" spans="1:9" ht="15">
      <c r="A65" s="3" t="s">
        <v>1681</v>
      </c>
      <c r="I65" s="682">
        <f>SUM(I63:I64)</f>
        <v>12876000</v>
      </c>
    </row>
    <row r="66" ht="15">
      <c r="I66" s="13"/>
    </row>
    <row r="67" spans="1:9" ht="16.5">
      <c r="A67" s="23" t="s">
        <v>1444</v>
      </c>
      <c r="I67" s="13"/>
    </row>
    <row r="68" spans="1:9" ht="15">
      <c r="A68" s="381" t="s">
        <v>97</v>
      </c>
      <c r="I68" s="6">
        <v>0</v>
      </c>
    </row>
    <row r="69" spans="1:9" ht="15">
      <c r="A69" s="3" t="s">
        <v>770</v>
      </c>
      <c r="I69" s="13">
        <f>SUM(I68)</f>
        <v>0</v>
      </c>
    </row>
    <row r="70" spans="1:9" ht="15">
      <c r="A70" s="3" t="s">
        <v>1681</v>
      </c>
      <c r="I70" s="13">
        <f>I69</f>
        <v>0</v>
      </c>
    </row>
    <row r="71" ht="15">
      <c r="I71" s="12"/>
    </row>
    <row r="72" spans="1:13" ht="15">
      <c r="A72" s="3" t="s">
        <v>1445</v>
      </c>
      <c r="I72" s="13">
        <f>+I24+I31+I44+I65+I70</f>
        <v>26724000</v>
      </c>
      <c r="K72" s="83"/>
      <c r="M72" s="85"/>
    </row>
    <row r="73" ht="15">
      <c r="I73" s="12"/>
    </row>
    <row r="74" spans="1:10" ht="16.5">
      <c r="A74" s="23" t="s">
        <v>1852</v>
      </c>
      <c r="J74" s="2"/>
    </row>
    <row r="76" spans="1:9" ht="15">
      <c r="A76" s="1196" t="s">
        <v>2103</v>
      </c>
      <c r="B76" s="1196"/>
      <c r="C76" s="1196"/>
      <c r="D76" s="1196"/>
      <c r="E76" s="1196"/>
      <c r="F76" s="1196"/>
      <c r="G76" s="1196"/>
      <c r="H76" s="1196"/>
      <c r="I76" s="1196"/>
    </row>
    <row r="77" spans="1:9" ht="15">
      <c r="A77" s="1196"/>
      <c r="B77" s="1196"/>
      <c r="C77" s="1196"/>
      <c r="D77" s="1196"/>
      <c r="E77" s="1196"/>
      <c r="F77" s="1196"/>
      <c r="G77" s="1196"/>
      <c r="H77" s="1196"/>
      <c r="I77" s="1196"/>
    </row>
    <row r="78" spans="1:9" ht="15">
      <c r="A78" s="1196" t="s">
        <v>2139</v>
      </c>
      <c r="B78" s="1196"/>
      <c r="C78" s="1196"/>
      <c r="D78" s="1196"/>
      <c r="E78" s="1196"/>
      <c r="F78" s="1196"/>
      <c r="G78" s="1196"/>
      <c r="H78" s="1196"/>
      <c r="I78" s="1196"/>
    </row>
    <row r="79" spans="1:9" ht="15">
      <c r="A79" s="1196"/>
      <c r="B79" s="1196"/>
      <c r="C79" s="1196"/>
      <c r="D79" s="1196"/>
      <c r="E79" s="1196"/>
      <c r="F79" s="1196"/>
      <c r="G79" s="1196"/>
      <c r="H79" s="1196"/>
      <c r="I79" s="1196"/>
    </row>
  </sheetData>
  <sheetProtection/>
  <mergeCells count="2">
    <mergeCell ref="A76:I77"/>
    <mergeCell ref="A78:I79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3" customWidth="1"/>
    <col min="2" max="3" width="9.140625" style="3" customWidth="1"/>
    <col min="4" max="4" width="12.140625" style="3" customWidth="1"/>
    <col min="5" max="5" width="3.7109375" style="3" customWidth="1"/>
    <col min="6" max="6" width="15.7109375" style="3" bestFit="1" customWidth="1"/>
    <col min="7" max="7" width="3.7109375" style="3" customWidth="1"/>
    <col min="8" max="8" width="18.8515625" style="3" bestFit="1" customWidth="1"/>
    <col min="9" max="9" width="3.7109375" style="3" customWidth="1"/>
    <col min="10" max="10" width="14.574218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6.5">
      <c r="A1" s="23" t="s">
        <v>1294</v>
      </c>
      <c r="J1" s="73" t="s">
        <v>1446</v>
      </c>
    </row>
    <row r="2" spans="1:10" ht="16.5">
      <c r="A2" s="254" t="str">
        <f>INPUT!C1</f>
        <v>February 2012</v>
      </c>
      <c r="B2" s="15"/>
      <c r="J2" s="73"/>
    </row>
    <row r="4" ht="16.5">
      <c r="E4" s="14" t="s">
        <v>1449</v>
      </c>
    </row>
    <row r="5" ht="16.5">
      <c r="E5" s="48" t="s">
        <v>1450</v>
      </c>
    </row>
    <row r="6" ht="16.5">
      <c r="E6" s="14" t="s">
        <v>2137</v>
      </c>
    </row>
    <row r="7" ht="15">
      <c r="E7" s="52"/>
    </row>
    <row r="9" ht="16.5">
      <c r="F9" s="14" t="s">
        <v>1727</v>
      </c>
    </row>
    <row r="10" spans="4:10" ht="16.5">
      <c r="D10" s="52"/>
      <c r="E10" s="52"/>
      <c r="F10" s="14" t="s">
        <v>1451</v>
      </c>
      <c r="G10" s="52"/>
      <c r="H10" s="14" t="s">
        <v>1452</v>
      </c>
      <c r="I10" s="52"/>
      <c r="J10" s="14" t="s">
        <v>1452</v>
      </c>
    </row>
    <row r="11" spans="4:10" ht="16.5">
      <c r="D11" s="52"/>
      <c r="E11" s="52"/>
      <c r="F11" s="14" t="s">
        <v>1453</v>
      </c>
      <c r="G11" s="52"/>
      <c r="H11" s="14" t="s">
        <v>1454</v>
      </c>
      <c r="I11" s="52"/>
      <c r="J11" s="14" t="s">
        <v>1455</v>
      </c>
    </row>
    <row r="12" spans="1:10" ht="16.5">
      <c r="A12" s="14" t="s">
        <v>1456</v>
      </c>
      <c r="D12" s="14" t="s">
        <v>117</v>
      </c>
      <c r="E12" s="52"/>
      <c r="F12" s="14" t="s">
        <v>1459</v>
      </c>
      <c r="G12" s="52"/>
      <c r="H12" s="14" t="s">
        <v>1460</v>
      </c>
      <c r="I12" s="52"/>
      <c r="J12" s="14" t="s">
        <v>1461</v>
      </c>
    </row>
    <row r="13" spans="1:10" ht="16.5">
      <c r="A13" s="14" t="s">
        <v>1462</v>
      </c>
      <c r="D13" s="14" t="s">
        <v>987</v>
      </c>
      <c r="E13" s="52"/>
      <c r="F13" s="14" t="s">
        <v>1463</v>
      </c>
      <c r="G13" s="52"/>
      <c r="H13" s="14" t="s">
        <v>1464</v>
      </c>
      <c r="I13" s="52"/>
      <c r="J13" s="14" t="s">
        <v>1465</v>
      </c>
    </row>
    <row r="14" spans="1:10" ht="16.5">
      <c r="A14" s="14" t="s">
        <v>1466</v>
      </c>
      <c r="D14" s="14" t="s">
        <v>1474</v>
      </c>
      <c r="E14" s="52"/>
      <c r="F14" s="14" t="s">
        <v>1474</v>
      </c>
      <c r="G14" s="52"/>
      <c r="H14" s="14" t="s">
        <v>1475</v>
      </c>
      <c r="I14" s="52"/>
      <c r="J14" s="14" t="s">
        <v>1618</v>
      </c>
    </row>
    <row r="15" spans="1:10" ht="16.5">
      <c r="A15" s="48" t="s">
        <v>1476</v>
      </c>
      <c r="D15" s="111" t="s">
        <v>2138</v>
      </c>
      <c r="E15" s="52"/>
      <c r="F15" s="111" t="s">
        <v>2138</v>
      </c>
      <c r="G15" s="52"/>
      <c r="H15" s="48" t="s">
        <v>118</v>
      </c>
      <c r="I15" s="52"/>
      <c r="J15" s="48" t="s">
        <v>1477</v>
      </c>
    </row>
    <row r="16" spans="4:10" ht="15">
      <c r="D16" s="51" t="s">
        <v>119</v>
      </c>
      <c r="E16" s="52"/>
      <c r="F16" s="51" t="s">
        <v>120</v>
      </c>
      <c r="G16" s="52"/>
      <c r="H16" s="51" t="s">
        <v>2012</v>
      </c>
      <c r="I16" s="52"/>
      <c r="J16" s="51" t="s">
        <v>1521</v>
      </c>
    </row>
    <row r="17" spans="4:10" ht="15">
      <c r="D17" s="51"/>
      <c r="E17" s="52"/>
      <c r="F17" s="51"/>
      <c r="G17" s="52"/>
      <c r="H17" s="51"/>
      <c r="I17" s="52"/>
      <c r="J17" s="51"/>
    </row>
    <row r="18" ht="16.5">
      <c r="A18" s="23" t="s">
        <v>1679</v>
      </c>
    </row>
    <row r="20" spans="1:6" ht="15">
      <c r="A20" s="3" t="s">
        <v>53</v>
      </c>
      <c r="C20" s="2"/>
      <c r="D20" s="12">
        <v>2033000</v>
      </c>
      <c r="E20" s="12"/>
      <c r="F20" s="310">
        <v>2215289720.72</v>
      </c>
    </row>
    <row r="21" spans="1:6" ht="15">
      <c r="A21" s="3" t="s">
        <v>718</v>
      </c>
      <c r="C21" s="2"/>
      <c r="D21" s="12">
        <v>482000</v>
      </c>
      <c r="E21" s="12"/>
      <c r="F21" s="310">
        <v>204121935.67</v>
      </c>
    </row>
    <row r="22" spans="1:6" ht="15">
      <c r="A22" s="3" t="s">
        <v>719</v>
      </c>
      <c r="C22" s="2"/>
      <c r="D22" s="12">
        <v>700000</v>
      </c>
      <c r="E22" s="12"/>
      <c r="F22" s="310">
        <v>410671343.76</v>
      </c>
    </row>
    <row r="23" spans="1:6" ht="15">
      <c r="A23" s="3" t="s">
        <v>2128</v>
      </c>
      <c r="C23" s="2"/>
      <c r="D23" s="12">
        <v>577000</v>
      </c>
      <c r="E23" s="12"/>
      <c r="F23" s="310">
        <v>0</v>
      </c>
    </row>
    <row r="24" spans="1:6" ht="15">
      <c r="A24" s="3" t="s">
        <v>720</v>
      </c>
      <c r="C24" s="2"/>
      <c r="D24" s="12">
        <v>332000</v>
      </c>
      <c r="E24" s="12"/>
      <c r="F24" s="310">
        <v>154548200</v>
      </c>
    </row>
    <row r="25" spans="1:6" ht="15">
      <c r="A25" s="3" t="s">
        <v>1685</v>
      </c>
      <c r="C25" s="2"/>
      <c r="D25" s="12">
        <v>400000</v>
      </c>
      <c r="E25" s="12"/>
      <c r="F25" s="310">
        <v>190892250.46</v>
      </c>
    </row>
    <row r="26" spans="1:6" ht="15">
      <c r="A26" s="3" t="s">
        <v>1686</v>
      </c>
      <c r="C26" s="2"/>
      <c r="D26" s="13">
        <v>1317000</v>
      </c>
      <c r="E26" s="12"/>
      <c r="F26" s="13">
        <v>1532237121.67</v>
      </c>
    </row>
    <row r="27" spans="1:6" ht="15">
      <c r="A27" s="3" t="s">
        <v>59</v>
      </c>
      <c r="C27" s="2"/>
      <c r="D27" s="55">
        <v>295000</v>
      </c>
      <c r="E27" s="12"/>
      <c r="F27" s="6">
        <v>137234338.33</v>
      </c>
    </row>
    <row r="28" spans="1:8" ht="15">
      <c r="A28" s="3" t="s">
        <v>1074</v>
      </c>
      <c r="D28" s="6">
        <v>28000</v>
      </c>
      <c r="E28" s="12"/>
      <c r="F28" s="6">
        <v>0</v>
      </c>
      <c r="H28" s="83"/>
    </row>
    <row r="29" spans="1:6" ht="15">
      <c r="A29" s="3" t="s">
        <v>1104</v>
      </c>
      <c r="D29" s="13">
        <v>26000</v>
      </c>
      <c r="E29" s="12"/>
      <c r="F29" s="13">
        <v>0</v>
      </c>
    </row>
    <row r="30" spans="1:6" ht="15">
      <c r="A30" s="3" t="s">
        <v>1154</v>
      </c>
      <c r="D30" s="13">
        <v>29000</v>
      </c>
      <c r="E30" s="12"/>
      <c r="F30" s="13">
        <v>0</v>
      </c>
    </row>
    <row r="31" spans="1:6" ht="15">
      <c r="A31" s="3" t="s">
        <v>99</v>
      </c>
      <c r="D31" s="21">
        <v>32000</v>
      </c>
      <c r="E31" s="12"/>
      <c r="F31" s="21">
        <v>0</v>
      </c>
    </row>
    <row r="32" spans="1:10" ht="16.5">
      <c r="A32" s="23" t="s">
        <v>1873</v>
      </c>
      <c r="D32" s="13">
        <f>SUM(D20:D31)</f>
        <v>6251000</v>
      </c>
      <c r="E32" s="12"/>
      <c r="F32" s="112">
        <f>SUM(F20:F31)</f>
        <v>4844994910.61</v>
      </c>
      <c r="H32" s="86">
        <f>ROUND(F32/D32,2)</f>
        <v>775.08</v>
      </c>
      <c r="I32" s="85"/>
      <c r="J32" s="86">
        <f>ROUND(H32*0.0137,2)</f>
        <v>10.62</v>
      </c>
    </row>
    <row r="33" spans="4:10" ht="15">
      <c r="D33" s="51"/>
      <c r="E33" s="52"/>
      <c r="F33" s="51"/>
      <c r="G33" s="52"/>
      <c r="H33" s="51"/>
      <c r="I33" s="52"/>
      <c r="J33" s="51"/>
    </row>
    <row r="34" ht="16.5">
      <c r="A34" s="23" t="s">
        <v>1682</v>
      </c>
    </row>
    <row r="36" spans="1:6" ht="15">
      <c r="A36" s="3" t="s">
        <v>1594</v>
      </c>
      <c r="D36" s="13">
        <v>1078000</v>
      </c>
      <c r="E36" s="12"/>
      <c r="F36" s="310">
        <v>543141928.11</v>
      </c>
    </row>
    <row r="37" spans="1:8" ht="15">
      <c r="A37" s="3" t="s">
        <v>1595</v>
      </c>
      <c r="D37" s="13">
        <v>198000</v>
      </c>
      <c r="E37" s="12"/>
      <c r="F37" s="13">
        <v>199440113.4</v>
      </c>
      <c r="H37" s="1156"/>
    </row>
    <row r="38" spans="1:6" ht="15">
      <c r="A38" s="3" t="s">
        <v>1479</v>
      </c>
      <c r="D38" s="21">
        <v>195000</v>
      </c>
      <c r="E38" s="12"/>
      <c r="F38" s="21">
        <v>27987323.7</v>
      </c>
    </row>
    <row r="39" spans="1:10" ht="16.5">
      <c r="A39" s="23" t="s">
        <v>1596</v>
      </c>
      <c r="D39" s="13">
        <f>SUM(D36:D38)</f>
        <v>1471000</v>
      </c>
      <c r="E39" s="12"/>
      <c r="F39" s="112">
        <f>SUM(F36:F38)</f>
        <v>770569365.21</v>
      </c>
      <c r="H39" s="86">
        <f>ROUND(F39/D39,2)</f>
        <v>523.84</v>
      </c>
      <c r="I39" s="85"/>
      <c r="J39" s="86">
        <f>ROUND(H39*0.0137,2)</f>
        <v>7.18</v>
      </c>
    </row>
    <row r="41" spans="1:10" ht="16.5">
      <c r="A41" s="23" t="s">
        <v>1222</v>
      </c>
      <c r="H41" s="85"/>
      <c r="I41" s="85"/>
      <c r="J41" s="85"/>
    </row>
    <row r="42" spans="8:10" ht="15">
      <c r="H42" s="85"/>
      <c r="I42" s="85"/>
      <c r="J42" s="85"/>
    </row>
    <row r="43" spans="1:10" ht="15">
      <c r="A43" s="3" t="s">
        <v>1480</v>
      </c>
      <c r="D43" s="12">
        <v>2149000</v>
      </c>
      <c r="F43" s="13">
        <v>2287934995.72</v>
      </c>
      <c r="H43" s="85"/>
      <c r="I43" s="85"/>
      <c r="J43" s="85"/>
    </row>
    <row r="44" spans="1:10" ht="15">
      <c r="A44" s="3" t="s">
        <v>2015</v>
      </c>
      <c r="D44" s="13">
        <v>660000</v>
      </c>
      <c r="F44" s="13">
        <v>659386108.68</v>
      </c>
      <c r="H44" s="85"/>
      <c r="I44" s="85"/>
      <c r="J44" s="85"/>
    </row>
    <row r="45" spans="1:10" ht="15">
      <c r="A45" s="3" t="s">
        <v>1595</v>
      </c>
      <c r="D45" s="13">
        <v>461000</v>
      </c>
      <c r="F45" s="13">
        <f>664800378*0.7</f>
        <v>465360264.59999996</v>
      </c>
      <c r="H45" s="85"/>
      <c r="I45" s="85"/>
      <c r="J45" s="85"/>
    </row>
    <row r="46" spans="1:10" ht="15">
      <c r="A46" s="3" t="s">
        <v>51</v>
      </c>
      <c r="D46" s="13">
        <v>650000</v>
      </c>
      <c r="F46" s="13">
        <v>94840852.93</v>
      </c>
      <c r="H46" s="85"/>
      <c r="I46" s="85"/>
      <c r="J46" s="85"/>
    </row>
    <row r="47" spans="1:10" ht="15">
      <c r="A47" s="3" t="s">
        <v>1479</v>
      </c>
      <c r="D47" s="13">
        <v>455000</v>
      </c>
      <c r="F47" s="13">
        <v>65303755</v>
      </c>
      <c r="H47" s="85"/>
      <c r="I47" s="85"/>
      <c r="J47" s="85"/>
    </row>
    <row r="48" spans="1:10" ht="15">
      <c r="A48" s="3" t="s">
        <v>52</v>
      </c>
      <c r="D48" s="55">
        <v>991000</v>
      </c>
      <c r="E48" s="75"/>
      <c r="F48" s="6">
        <v>635383845.24</v>
      </c>
      <c r="H48" s="85"/>
      <c r="I48" s="85"/>
      <c r="J48" s="85"/>
    </row>
    <row r="49" spans="1:10" ht="15">
      <c r="A49" s="3" t="s">
        <v>1851</v>
      </c>
      <c r="D49" s="267">
        <v>30000</v>
      </c>
      <c r="F49" s="13">
        <v>0</v>
      </c>
      <c r="H49" s="85"/>
      <c r="I49" s="85"/>
      <c r="J49" s="85"/>
    </row>
    <row r="50" spans="1:10" ht="15">
      <c r="A50" s="3" t="s">
        <v>98</v>
      </c>
      <c r="D50" s="268">
        <v>16000</v>
      </c>
      <c r="E50" s="75"/>
      <c r="F50" s="21">
        <v>0</v>
      </c>
      <c r="H50" s="85"/>
      <c r="I50" s="85"/>
      <c r="J50" s="85"/>
    </row>
    <row r="51" spans="1:10" ht="16.5">
      <c r="A51" s="3" t="s">
        <v>1789</v>
      </c>
      <c r="D51" s="13">
        <f>SUM(D43:D50)</f>
        <v>5412000</v>
      </c>
      <c r="F51" s="12">
        <f>SUM(F43:F50)</f>
        <v>4208209822.169999</v>
      </c>
      <c r="H51" s="86">
        <f>ROUND(F51/D51,2)</f>
        <v>777.57</v>
      </c>
      <c r="I51" s="85"/>
      <c r="J51" s="86">
        <f>ROUND(H51*0.0137,2)</f>
        <v>10.65</v>
      </c>
    </row>
    <row r="53" ht="16.5">
      <c r="A53" s="23" t="s">
        <v>1520</v>
      </c>
    </row>
    <row r="55" spans="1:8" ht="16.5">
      <c r="A55" s="2" t="s">
        <v>53</v>
      </c>
      <c r="D55" s="13">
        <v>867000</v>
      </c>
      <c r="E55" s="13"/>
      <c r="F55" s="13">
        <v>968164919.69</v>
      </c>
      <c r="H55" s="831"/>
    </row>
    <row r="56" spans="1:6" ht="15">
      <c r="A56" s="3" t="s">
        <v>655</v>
      </c>
      <c r="D56" s="267">
        <v>52000</v>
      </c>
      <c r="E56" s="262"/>
      <c r="F56" s="267">
        <v>18905947.31</v>
      </c>
    </row>
    <row r="57" spans="1:6" ht="15">
      <c r="A57" s="3" t="s">
        <v>54</v>
      </c>
      <c r="D57" s="13">
        <v>592000</v>
      </c>
      <c r="E57" s="12"/>
      <c r="F57" s="13">
        <v>709172331.71</v>
      </c>
    </row>
    <row r="58" spans="1:6" ht="15">
      <c r="A58" s="3" t="s">
        <v>656</v>
      </c>
      <c r="D58" s="267">
        <v>1304000</v>
      </c>
      <c r="E58" s="262"/>
      <c r="F58" s="267">
        <v>1032080094.02</v>
      </c>
    </row>
    <row r="59" spans="1:6" ht="15">
      <c r="A59" s="3" t="s">
        <v>1576</v>
      </c>
      <c r="D59" s="267">
        <v>473000</v>
      </c>
      <c r="E59" s="262"/>
      <c r="F59" s="267">
        <v>190619023.32</v>
      </c>
    </row>
    <row r="60" spans="1:6" ht="15">
      <c r="A60" s="3" t="s">
        <v>55</v>
      </c>
      <c r="D60" s="13">
        <v>2638000</v>
      </c>
      <c r="E60" s="12"/>
      <c r="F60" s="13">
        <v>1918085096.99</v>
      </c>
    </row>
    <row r="61" spans="1:6" ht="15">
      <c r="A61" s="3" t="s">
        <v>56</v>
      </c>
      <c r="D61" s="13">
        <v>620000</v>
      </c>
      <c r="E61" s="12"/>
      <c r="F61" s="13">
        <v>342094193.32</v>
      </c>
    </row>
    <row r="62" spans="1:6" ht="15">
      <c r="A62" s="3" t="s">
        <v>1059</v>
      </c>
      <c r="D62" s="267">
        <v>1155000</v>
      </c>
      <c r="E62" s="262"/>
      <c r="F62" s="267">
        <v>702738795.39</v>
      </c>
    </row>
    <row r="63" spans="1:10" ht="15">
      <c r="A63" s="3" t="s">
        <v>57</v>
      </c>
      <c r="D63" s="13">
        <v>1560000</v>
      </c>
      <c r="E63" s="12"/>
      <c r="F63" s="13">
        <v>1721238078.14</v>
      </c>
      <c r="H63" s="86"/>
      <c r="I63" s="85"/>
      <c r="J63" s="86"/>
    </row>
    <row r="64" spans="1:6" ht="15">
      <c r="A64" s="3" t="s">
        <v>58</v>
      </c>
      <c r="D64" s="13">
        <v>1404000</v>
      </c>
      <c r="E64" s="12"/>
      <c r="F64" s="6">
        <v>671528994.92</v>
      </c>
    </row>
    <row r="65" spans="1:10" ht="15">
      <c r="A65" s="3" t="s">
        <v>657</v>
      </c>
      <c r="D65" s="267">
        <v>98000</v>
      </c>
      <c r="E65" s="262"/>
      <c r="F65" s="267">
        <v>43971117.78</v>
      </c>
      <c r="H65" s="86"/>
      <c r="I65" s="85"/>
      <c r="J65" s="86"/>
    </row>
    <row r="66" spans="1:10" ht="15">
      <c r="A66" s="3" t="s">
        <v>59</v>
      </c>
      <c r="D66" s="6">
        <v>295000</v>
      </c>
      <c r="E66" s="12"/>
      <c r="F66" s="6">
        <v>151907551.55</v>
      </c>
      <c r="H66" s="86"/>
      <c r="I66" s="85"/>
      <c r="J66" s="86"/>
    </row>
    <row r="67" spans="1:10" ht="15">
      <c r="A67" s="3" t="s">
        <v>658</v>
      </c>
      <c r="D67" s="267">
        <v>600000</v>
      </c>
      <c r="E67" s="262"/>
      <c r="F67" s="267">
        <v>527599296.22</v>
      </c>
      <c r="H67" s="86"/>
      <c r="I67" s="85"/>
      <c r="J67" s="86"/>
    </row>
    <row r="68" spans="1:6" ht="15">
      <c r="A68" s="3" t="s">
        <v>659</v>
      </c>
      <c r="D68" s="267">
        <v>830000</v>
      </c>
      <c r="E68" s="262"/>
      <c r="F68" s="267">
        <v>214147257.86</v>
      </c>
    </row>
    <row r="69" spans="1:6" ht="15">
      <c r="A69" s="3" t="s">
        <v>660</v>
      </c>
      <c r="D69" s="245">
        <v>330000</v>
      </c>
      <c r="E69" s="262"/>
      <c r="F69" s="245">
        <v>771840627.71</v>
      </c>
    </row>
    <row r="70" spans="1:6" ht="15">
      <c r="A70" s="3" t="s">
        <v>97</v>
      </c>
      <c r="D70" s="268">
        <v>33000</v>
      </c>
      <c r="E70" s="12"/>
      <c r="F70" s="21">
        <v>0</v>
      </c>
    </row>
    <row r="71" spans="1:10" ht="16.5">
      <c r="A71" s="23" t="s">
        <v>60</v>
      </c>
      <c r="D71" s="13">
        <f>SUM(D55:D70)</f>
        <v>12851000</v>
      </c>
      <c r="E71" s="12"/>
      <c r="F71" s="12">
        <f>SUM(F55:F70)</f>
        <v>9984093325.93</v>
      </c>
      <c r="H71" s="86">
        <f>ROUND(F71/D71,2)</f>
        <v>776.91</v>
      </c>
      <c r="J71" s="86">
        <f>ROUND(H71*0.0137,2)</f>
        <v>10.64</v>
      </c>
    </row>
    <row r="73" spans="1:6" ht="16.5">
      <c r="A73" s="23"/>
      <c r="D73" s="12">
        <f>D32+D39+D51+D71</f>
        <v>25985000</v>
      </c>
      <c r="E73" s="12"/>
      <c r="F73" s="12"/>
    </row>
    <row r="74" spans="1:6" ht="16.5">
      <c r="A74" s="23"/>
      <c r="D74" s="12"/>
      <c r="E74" s="12"/>
      <c r="F74" s="12"/>
    </row>
    <row r="75" spans="1:8" ht="16.5">
      <c r="A75" s="23"/>
      <c r="D75" s="12"/>
      <c r="E75" s="12"/>
      <c r="F75" s="12"/>
      <c r="H75" s="830"/>
    </row>
    <row r="76" ht="16.5">
      <c r="A76" s="23" t="s">
        <v>767</v>
      </c>
    </row>
    <row r="77" ht="16.5">
      <c r="H77" s="830"/>
    </row>
    <row r="78" spans="1:6" ht="15">
      <c r="A78" s="3" t="s">
        <v>97</v>
      </c>
      <c r="D78" s="268">
        <v>0</v>
      </c>
      <c r="E78" s="244"/>
      <c r="F78" s="21">
        <v>0</v>
      </c>
    </row>
    <row r="79" spans="1:10" ht="16.5">
      <c r="A79" s="383" t="s">
        <v>768</v>
      </c>
      <c r="D79" s="267">
        <f>SUM(D77:D78)</f>
        <v>0</v>
      </c>
      <c r="E79" s="262"/>
      <c r="F79" s="262">
        <f>SUM(F77:F78)</f>
        <v>0</v>
      </c>
      <c r="H79" s="86">
        <v>0</v>
      </c>
      <c r="J79" s="86">
        <f>ROUND(H79*0.0137,2)</f>
        <v>0</v>
      </c>
    </row>
    <row r="81" spans="1:10" ht="15">
      <c r="A81" s="220" t="s">
        <v>1846</v>
      </c>
      <c r="B81" s="2"/>
      <c r="C81" s="2"/>
      <c r="D81" s="2"/>
      <c r="E81" s="2"/>
      <c r="F81" s="2"/>
      <c r="G81" s="2"/>
      <c r="H81" s="2"/>
      <c r="I81" s="2"/>
      <c r="J81" s="2"/>
    </row>
    <row r="82" ht="16.5">
      <c r="A82" s="3" t="s">
        <v>771</v>
      </c>
    </row>
    <row r="83" ht="16.5">
      <c r="A83" s="3" t="s">
        <v>424</v>
      </c>
    </row>
    <row r="84" ht="15">
      <c r="A84" s="3" t="s">
        <v>1619</v>
      </c>
    </row>
    <row r="85" ht="15">
      <c r="A85" s="3" t="s">
        <v>1620</v>
      </c>
    </row>
    <row r="86" ht="15">
      <c r="A86" s="3" t="s">
        <v>988</v>
      </c>
    </row>
    <row r="88" s="2" customFormat="1" ht="15"/>
    <row r="89" s="2" customFormat="1" ht="15"/>
    <row r="90" s="2" customFormat="1" ht="15"/>
    <row r="91" spans="1:1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>
      <c r="A92" s="2" t="s">
        <v>375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/>
  <printOptions horizontalCentered="1" verticalCentered="1"/>
  <pageMargins left="0.25" right="0.25" top="0.25" bottom="0.25" header="0" footer="0"/>
  <pageSetup fitToHeight="1" fitToWidth="1" horizontalDpi="600" verticalDpi="600" orientation="portrait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4" customWidth="1"/>
    <col min="2" max="2" width="24.8515625" style="24" customWidth="1"/>
    <col min="3" max="3" width="2.7109375" style="24" customWidth="1"/>
    <col min="4" max="4" width="10.140625" style="24" customWidth="1"/>
    <col min="5" max="5" width="2.7109375" style="24" customWidth="1"/>
    <col min="6" max="6" width="11.140625" style="24" customWidth="1"/>
    <col min="7" max="7" width="2.7109375" style="24" customWidth="1"/>
    <col min="8" max="8" width="11.140625" style="24" customWidth="1"/>
    <col min="9" max="9" width="2.7109375" style="24" customWidth="1"/>
    <col min="10" max="10" width="10.421875" style="24" customWidth="1"/>
    <col min="11" max="11" width="2.7109375" style="24" customWidth="1"/>
    <col min="12" max="12" width="11.421875" style="24" bestFit="1" customWidth="1"/>
    <col min="13" max="13" width="2.7109375" style="24" customWidth="1"/>
    <col min="14" max="14" width="10.7109375" style="24" bestFit="1" customWidth="1"/>
    <col min="15" max="15" width="2.7109375" style="24" customWidth="1"/>
    <col min="16" max="16384" width="9.140625" style="24" customWidth="1"/>
  </cols>
  <sheetData>
    <row r="1" spans="2:13" ht="14.25">
      <c r="B1" s="30" t="s">
        <v>1294</v>
      </c>
      <c r="M1" s="87" t="s">
        <v>62</v>
      </c>
    </row>
    <row r="2" spans="2:13" ht="14.25">
      <c r="B2" s="26" t="str">
        <f>INPUT!C1</f>
        <v>February 2012</v>
      </c>
      <c r="C2" s="26"/>
      <c r="I2" s="30"/>
      <c r="M2" s="88"/>
    </row>
    <row r="3" ht="14.25">
      <c r="G3" s="25" t="s">
        <v>63</v>
      </c>
    </row>
    <row r="4" ht="14.25">
      <c r="G4" s="76" t="s">
        <v>235</v>
      </c>
    </row>
    <row r="6" spans="6:8" ht="14.25">
      <c r="F6" s="25" t="s">
        <v>1522</v>
      </c>
      <c r="H6" s="25" t="s">
        <v>923</v>
      </c>
    </row>
    <row r="7" spans="4:14" ht="14.25">
      <c r="D7" s="25" t="s">
        <v>64</v>
      </c>
      <c r="F7" s="25" t="s">
        <v>1710</v>
      </c>
      <c r="H7" s="25" t="s">
        <v>1523</v>
      </c>
      <c r="J7" s="25" t="s">
        <v>1714</v>
      </c>
      <c r="K7" s="25"/>
      <c r="L7" s="25" t="s">
        <v>1523</v>
      </c>
      <c r="M7" s="25"/>
      <c r="N7" s="25" t="s">
        <v>1523</v>
      </c>
    </row>
    <row r="8" spans="4:14" ht="14.25">
      <c r="D8" s="25" t="s">
        <v>1701</v>
      </c>
      <c r="F8" s="25" t="s">
        <v>65</v>
      </c>
      <c r="H8" s="25" t="s">
        <v>1525</v>
      </c>
      <c r="J8" s="25"/>
      <c r="K8" s="25"/>
      <c r="L8" s="25" t="s">
        <v>66</v>
      </c>
      <c r="M8" s="25"/>
      <c r="N8" s="25" t="s">
        <v>67</v>
      </c>
    </row>
    <row r="9" spans="4:14" ht="14.25">
      <c r="D9" s="76" t="s">
        <v>189</v>
      </c>
      <c r="F9" s="89" t="s">
        <v>1296</v>
      </c>
      <c r="H9" s="89" t="s">
        <v>1296</v>
      </c>
      <c r="J9" s="89" t="s">
        <v>1296</v>
      </c>
      <c r="K9" s="89"/>
      <c r="L9" s="89" t="s">
        <v>1296</v>
      </c>
      <c r="M9" s="89"/>
      <c r="N9" s="89" t="s">
        <v>1296</v>
      </c>
    </row>
    <row r="10" ht="14.25">
      <c r="B10" s="90" t="s">
        <v>1679</v>
      </c>
    </row>
    <row r="11" spans="2:14" ht="12.75">
      <c r="B11" s="24" t="s">
        <v>68</v>
      </c>
      <c r="D11" s="34">
        <f>INPUT!B24</f>
        <v>4531</v>
      </c>
      <c r="E11" s="34"/>
      <c r="F11" s="34">
        <f>+INPUT!C24</f>
        <v>889884</v>
      </c>
      <c r="G11" s="34"/>
      <c r="H11" s="34">
        <f>+INPUT!D24</f>
        <v>430341.68</v>
      </c>
      <c r="I11" s="34"/>
      <c r="J11" s="34">
        <f>+INPUT!E24</f>
        <v>130908</v>
      </c>
      <c r="K11" s="34"/>
      <c r="L11" s="34">
        <f>+INPUT!F24</f>
        <v>379773.25</v>
      </c>
      <c r="M11" s="34"/>
      <c r="N11" s="34">
        <f>+H11-L11</f>
        <v>50568.42999999999</v>
      </c>
    </row>
    <row r="12" spans="2:14" ht="12.75">
      <c r="B12" s="24" t="s">
        <v>1842</v>
      </c>
      <c r="D12" s="34">
        <f>INPUT!B25</f>
        <v>9271</v>
      </c>
      <c r="E12" s="34"/>
      <c r="F12" s="34">
        <f>+INPUT!C25</f>
        <v>1266759</v>
      </c>
      <c r="G12" s="34"/>
      <c r="H12" s="34">
        <f>+INPUT!D25</f>
        <v>346758.04000000015</v>
      </c>
      <c r="I12" s="34"/>
      <c r="J12" s="34">
        <f>+INPUT!E25</f>
        <v>583681</v>
      </c>
      <c r="K12" s="34"/>
      <c r="L12" s="34">
        <f>+INPUT!F25</f>
        <v>294414.7000000001</v>
      </c>
      <c r="M12" s="34"/>
      <c r="N12" s="34">
        <f aca="true" t="shared" si="0" ref="N12:N23">+H12-L12</f>
        <v>52343.340000000026</v>
      </c>
    </row>
    <row r="13" spans="2:14" ht="12.75">
      <c r="B13" s="24" t="s">
        <v>69</v>
      </c>
      <c r="D13" s="34">
        <f>INPUT!B26</f>
        <v>43758</v>
      </c>
      <c r="E13" s="34"/>
      <c r="F13" s="34">
        <f>+INPUT!C26</f>
        <v>2238043</v>
      </c>
      <c r="G13" s="34"/>
      <c r="H13" s="34">
        <f>+INPUT!D26</f>
        <v>1410466.22</v>
      </c>
      <c r="I13" s="34"/>
      <c r="J13" s="34">
        <f>+INPUT!E26</f>
        <v>517806</v>
      </c>
      <c r="K13" s="34"/>
      <c r="L13" s="34">
        <f>+INPUT!F26</f>
        <v>1253535.99</v>
      </c>
      <c r="M13" s="34"/>
      <c r="N13" s="34">
        <f t="shared" si="0"/>
        <v>156930.22999999998</v>
      </c>
    </row>
    <row r="14" spans="2:14" ht="12.75">
      <c r="B14" s="24" t="s">
        <v>70</v>
      </c>
      <c r="D14" s="34">
        <f>INPUT!B27</f>
        <v>48150</v>
      </c>
      <c r="E14" s="34"/>
      <c r="F14" s="34">
        <f>+INPUT!C27</f>
        <v>3365665</v>
      </c>
      <c r="G14" s="34"/>
      <c r="H14" s="34">
        <f>+INPUT!D27</f>
        <v>2579416.66</v>
      </c>
      <c r="I14" s="34"/>
      <c r="J14" s="34">
        <f>+INPUT!E27</f>
        <v>251608</v>
      </c>
      <c r="K14" s="34"/>
      <c r="L14" s="34">
        <f>+INPUT!F27</f>
        <v>2351477.17</v>
      </c>
      <c r="M14" s="34"/>
      <c r="N14" s="34">
        <f t="shared" si="0"/>
        <v>227939.49000000022</v>
      </c>
    </row>
    <row r="15" spans="2:14" ht="12.75">
      <c r="B15" s="24" t="s">
        <v>73</v>
      </c>
      <c r="D15" s="34">
        <f>INPUT!B28</f>
        <v>676420</v>
      </c>
      <c r="E15" s="34"/>
      <c r="F15" s="34">
        <f>+INPUT!C28</f>
        <v>25897366</v>
      </c>
      <c r="G15" s="34"/>
      <c r="H15" s="34">
        <f>+INPUT!D28</f>
        <v>20575600.245</v>
      </c>
      <c r="I15" s="34"/>
      <c r="J15" s="34">
        <f>+INPUT!E28</f>
        <v>2730214</v>
      </c>
      <c r="K15" s="34"/>
      <c r="L15" s="36">
        <f>+INPUT!F28</f>
        <v>19584436.18</v>
      </c>
      <c r="M15" s="91"/>
      <c r="N15" s="34">
        <f>+H15-L15</f>
        <v>991164.0650000013</v>
      </c>
    </row>
    <row r="16" spans="2:15" ht="12.75">
      <c r="B16" s="24" t="s">
        <v>74</v>
      </c>
      <c r="D16" s="34">
        <f>INPUT!B29</f>
        <v>541430</v>
      </c>
      <c r="E16" s="91"/>
      <c r="F16" s="91">
        <f>+INPUT!C29</f>
        <v>17691527</v>
      </c>
      <c r="G16" s="91"/>
      <c r="H16" s="91">
        <f>+INPUT!D29</f>
        <v>14443972.424999999</v>
      </c>
      <c r="I16" s="91"/>
      <c r="J16" s="91">
        <f>+INPUT!E29</f>
        <v>1450156</v>
      </c>
      <c r="K16" s="91"/>
      <c r="L16" s="91">
        <f>+INPUT!F29</f>
        <v>13417372.309999999</v>
      </c>
      <c r="M16" s="91"/>
      <c r="N16" s="91">
        <f t="shared" si="0"/>
        <v>1026600.1150000002</v>
      </c>
      <c r="O16" s="77"/>
    </row>
    <row r="17" spans="2:15" ht="12.75">
      <c r="B17" s="24" t="s">
        <v>746</v>
      </c>
      <c r="D17" s="34">
        <f>INPUT!B30</f>
        <v>0</v>
      </c>
      <c r="E17" s="91"/>
      <c r="F17" s="91">
        <f>+INPUT!C30</f>
        <v>218934</v>
      </c>
      <c r="G17" s="91"/>
      <c r="H17" s="91">
        <f>+INPUT!D30</f>
        <v>764.82</v>
      </c>
      <c r="I17" s="91"/>
      <c r="J17" s="91">
        <f>+INPUT!E30</f>
        <v>85416</v>
      </c>
      <c r="K17" s="91"/>
      <c r="L17" s="91">
        <f>+INPUT!F30</f>
        <v>580.84</v>
      </c>
      <c r="M17" s="91"/>
      <c r="N17" s="91">
        <f t="shared" si="0"/>
        <v>183.98000000000002</v>
      </c>
      <c r="O17" s="77"/>
    </row>
    <row r="18" spans="2:15" ht="12.75">
      <c r="B18" s="24" t="s">
        <v>2129</v>
      </c>
      <c r="D18" s="34">
        <f>INPUT!B31</f>
        <v>287314</v>
      </c>
      <c r="E18" s="91"/>
      <c r="F18" s="91">
        <f>INPUT!C31</f>
        <v>5743463</v>
      </c>
      <c r="G18" s="91"/>
      <c r="H18" s="91">
        <f>INPUT!D31</f>
        <v>5743463.149999999</v>
      </c>
      <c r="I18" s="91"/>
      <c r="J18" s="91">
        <f>INPUT!E31</f>
        <v>0</v>
      </c>
      <c r="K18" s="91"/>
      <c r="L18" s="91">
        <f>INPUT!F31</f>
        <v>5738954.84</v>
      </c>
      <c r="M18" s="91"/>
      <c r="N18" s="91">
        <f t="shared" si="0"/>
        <v>4508.30999999959</v>
      </c>
      <c r="O18" s="77"/>
    </row>
    <row r="19" spans="2:15" ht="12.75">
      <c r="B19" s="24" t="s">
        <v>1075</v>
      </c>
      <c r="D19" s="34">
        <f>INPUT!B32</f>
        <v>21152</v>
      </c>
      <c r="E19" s="91"/>
      <c r="F19" s="91">
        <f>+INPUT!C32</f>
        <v>0</v>
      </c>
      <c r="G19" s="91"/>
      <c r="H19" s="91">
        <f>+INPUT!D32</f>
        <v>0</v>
      </c>
      <c r="I19" s="91"/>
      <c r="J19" s="91">
        <f>+INPUT!E32</f>
        <v>0</v>
      </c>
      <c r="K19" s="91"/>
      <c r="L19" s="91">
        <f>+INPUT!F32</f>
        <v>0</v>
      </c>
      <c r="M19" s="91"/>
      <c r="N19" s="91">
        <f t="shared" si="0"/>
        <v>0</v>
      </c>
      <c r="O19" s="77"/>
    </row>
    <row r="20" spans="2:15" ht="12.75">
      <c r="B20" s="46" t="s">
        <v>780</v>
      </c>
      <c r="D20" s="34">
        <f>INPUT!B33</f>
        <v>20433</v>
      </c>
      <c r="E20" s="91"/>
      <c r="F20" s="91">
        <f>INPUT!C33</f>
        <v>0</v>
      </c>
      <c r="G20" s="91"/>
      <c r="H20" s="91">
        <f>INPUT!D33</f>
        <v>0</v>
      </c>
      <c r="I20" s="91"/>
      <c r="J20" s="91">
        <f>INPUT!E33</f>
        <v>0</v>
      </c>
      <c r="K20" s="91"/>
      <c r="L20" s="91">
        <f>INPUT!F33</f>
        <v>0</v>
      </c>
      <c r="M20" s="91"/>
      <c r="N20" s="91">
        <f t="shared" si="0"/>
        <v>0</v>
      </c>
      <c r="O20" s="77"/>
    </row>
    <row r="21" spans="2:15" ht="12.75">
      <c r="B21" s="46" t="s">
        <v>781</v>
      </c>
      <c r="D21" s="34">
        <f>INPUT!B34</f>
        <v>22358</v>
      </c>
      <c r="E21" s="91"/>
      <c r="F21" s="91">
        <f>INPUT!C34</f>
        <v>0</v>
      </c>
      <c r="G21" s="91"/>
      <c r="H21" s="91">
        <f>INPUT!D34</f>
        <v>0</v>
      </c>
      <c r="I21" s="91"/>
      <c r="J21" s="91">
        <f>INPUT!E34</f>
        <v>0</v>
      </c>
      <c r="K21" s="91"/>
      <c r="L21" s="91">
        <f>INPUT!F34</f>
        <v>0</v>
      </c>
      <c r="M21" s="91"/>
      <c r="N21" s="91">
        <f t="shared" si="0"/>
        <v>0</v>
      </c>
      <c r="O21" s="77"/>
    </row>
    <row r="22" spans="2:15" ht="12.75">
      <c r="B22" s="46" t="s">
        <v>782</v>
      </c>
      <c r="D22" s="34">
        <f>INPUT!B35</f>
        <v>11106</v>
      </c>
      <c r="E22" s="91"/>
      <c r="F22" s="91">
        <f>INPUT!C35</f>
        <v>0</v>
      </c>
      <c r="G22" s="91"/>
      <c r="H22" s="91">
        <f>INPUT!D35</f>
        <v>0</v>
      </c>
      <c r="I22" s="91"/>
      <c r="J22" s="91">
        <f>INPUT!E35</f>
        <v>0</v>
      </c>
      <c r="K22" s="91"/>
      <c r="L22" s="91">
        <f>INPUT!F35</f>
        <v>0</v>
      </c>
      <c r="M22" s="91"/>
      <c r="N22" s="91">
        <f t="shared" si="0"/>
        <v>0</v>
      </c>
      <c r="O22" s="77"/>
    </row>
    <row r="23" spans="2:15" ht="12.75">
      <c r="B23" s="46" t="s">
        <v>783</v>
      </c>
      <c r="D23" s="39">
        <f>INPUT!B36</f>
        <v>11874</v>
      </c>
      <c r="E23" s="91"/>
      <c r="F23" s="39">
        <f>INPUT!C36</f>
        <v>0</v>
      </c>
      <c r="G23" s="91"/>
      <c r="H23" s="39">
        <f>INPUT!D36</f>
        <v>0</v>
      </c>
      <c r="I23" s="91"/>
      <c r="J23" s="39">
        <f>INPUT!E36</f>
        <v>0</v>
      </c>
      <c r="K23" s="91"/>
      <c r="L23" s="39">
        <f>INPUT!F36</f>
        <v>0</v>
      </c>
      <c r="M23" s="91"/>
      <c r="N23" s="39">
        <f t="shared" si="0"/>
        <v>0</v>
      </c>
      <c r="O23" s="77"/>
    </row>
    <row r="24" spans="2:15" ht="14.25">
      <c r="B24" s="30" t="s">
        <v>75</v>
      </c>
      <c r="D24" s="34">
        <f>SUM(D11:D23)</f>
        <v>1697797</v>
      </c>
      <c r="E24" s="34"/>
      <c r="F24" s="34">
        <f>SUM(F11:F23)</f>
        <v>57311641</v>
      </c>
      <c r="G24" s="34"/>
      <c r="H24" s="34">
        <f>SUM(H11:H23)</f>
        <v>45530783.24</v>
      </c>
      <c r="I24" s="34"/>
      <c r="J24" s="34">
        <f>SUM(J11:J23)</f>
        <v>5749789</v>
      </c>
      <c r="K24" s="34"/>
      <c r="L24" s="36">
        <f>SUM(L11:L23)</f>
        <v>43020545.28</v>
      </c>
      <c r="M24" s="34"/>
      <c r="N24" s="34">
        <f>SUM(N11:N23)</f>
        <v>2510237.9600000014</v>
      </c>
      <c r="O24" s="77"/>
    </row>
    <row r="25" spans="2:15" ht="12.75">
      <c r="B25" s="24" t="s">
        <v>76</v>
      </c>
      <c r="D25" s="39">
        <v>0</v>
      </c>
      <c r="E25" s="34"/>
      <c r="F25" s="39">
        <v>0</v>
      </c>
      <c r="G25" s="34"/>
      <c r="H25" s="39">
        <f>+F25</f>
        <v>0</v>
      </c>
      <c r="I25" s="34"/>
      <c r="J25" s="39">
        <v>0</v>
      </c>
      <c r="K25" s="34"/>
      <c r="L25" s="37">
        <f>+F25</f>
        <v>0</v>
      </c>
      <c r="M25" s="34"/>
      <c r="N25" s="39">
        <v>0</v>
      </c>
      <c r="O25" s="77"/>
    </row>
    <row r="26" spans="2:14" ht="14.25">
      <c r="B26" s="30" t="s">
        <v>543</v>
      </c>
      <c r="D26" s="34">
        <f>D24+D25</f>
        <v>1697797</v>
      </c>
      <c r="E26" s="92"/>
      <c r="F26" s="36">
        <f>+F24+F25</f>
        <v>57311641</v>
      </c>
      <c r="G26" s="92"/>
      <c r="H26" s="34">
        <f>+H24+H25</f>
        <v>45530783.24</v>
      </c>
      <c r="I26" s="92"/>
      <c r="J26" s="34">
        <f>+J24+J25</f>
        <v>5749789</v>
      </c>
      <c r="K26" s="92"/>
      <c r="L26" s="36">
        <f>+L24+L25</f>
        <v>43020545.28</v>
      </c>
      <c r="M26" s="92"/>
      <c r="N26" s="34">
        <f>+N24+N25</f>
        <v>2510237.9600000014</v>
      </c>
    </row>
    <row r="27" spans="2:14" ht="14.25">
      <c r="B27" s="24" t="s">
        <v>77</v>
      </c>
      <c r="D27" s="93"/>
      <c r="E27" s="34"/>
      <c r="F27" s="94">
        <f>+J27+L27+N27</f>
        <v>28.511</v>
      </c>
      <c r="G27" s="94"/>
      <c r="H27" s="94">
        <f>+L27+N27</f>
        <v>26.817999999999998</v>
      </c>
      <c r="I27" s="94"/>
      <c r="J27" s="247">
        <f>INT(J24/2/D24*1000+0.5)/1000</f>
        <v>1.693</v>
      </c>
      <c r="K27" s="247"/>
      <c r="L27" s="247">
        <f>INT(L26/D26*1000+0.5)/1000</f>
        <v>25.339</v>
      </c>
      <c r="M27" s="247"/>
      <c r="N27" s="247">
        <f>INT(N24/D24*1000+0.5)/1000</f>
        <v>1.479</v>
      </c>
    </row>
    <row r="28" spans="4:14" ht="14.25">
      <c r="D28" s="93"/>
      <c r="E28" s="34"/>
      <c r="F28" s="93"/>
      <c r="G28" s="34"/>
      <c r="H28" s="93"/>
      <c r="I28" s="34"/>
      <c r="J28" s="34"/>
      <c r="K28" s="34"/>
      <c r="L28" s="34"/>
      <c r="M28" s="34"/>
      <c r="N28" s="34"/>
    </row>
    <row r="29" spans="2:14" ht="14.25">
      <c r="B29" s="90" t="s">
        <v>1682</v>
      </c>
      <c r="D29" s="93"/>
      <c r="E29" s="34"/>
      <c r="F29" s="93"/>
      <c r="G29" s="34"/>
      <c r="H29" s="93"/>
      <c r="I29" s="34"/>
      <c r="J29" s="34"/>
      <c r="K29" s="34"/>
      <c r="L29" s="34"/>
      <c r="M29" s="34"/>
      <c r="N29" s="34"/>
    </row>
    <row r="30" spans="2:14" ht="12.75">
      <c r="B30" s="24" t="s">
        <v>78</v>
      </c>
      <c r="D30" s="34">
        <f>+INPUT!B39</f>
        <v>80747</v>
      </c>
      <c r="E30" s="34"/>
      <c r="F30" s="34">
        <f>INPUT!C39</f>
        <v>4486096</v>
      </c>
      <c r="G30" s="34"/>
      <c r="H30" s="36">
        <f>INPUT!D39</f>
        <v>2594807.15</v>
      </c>
      <c r="I30" s="34"/>
      <c r="J30" s="34">
        <f>+INPUT!E39</f>
        <v>1269462</v>
      </c>
      <c r="K30" s="34"/>
      <c r="L30" s="34">
        <f>+INPUT!F39</f>
        <v>2532462.54</v>
      </c>
      <c r="M30" s="34"/>
      <c r="N30" s="91">
        <f>+H30-L30</f>
        <v>62344.60999999987</v>
      </c>
    </row>
    <row r="31" spans="2:14" ht="12.75">
      <c r="B31" s="24" t="s">
        <v>79</v>
      </c>
      <c r="D31" s="34">
        <f>+INPUT!B40</f>
        <v>130730</v>
      </c>
      <c r="E31" s="34"/>
      <c r="F31" s="34">
        <f>INPUT!C40</f>
        <v>3003239.1271367483</v>
      </c>
      <c r="G31" s="34"/>
      <c r="H31" s="36">
        <f>INPUT!D40</f>
        <v>2687273.0727763334</v>
      </c>
      <c r="I31" s="34"/>
      <c r="J31" s="34">
        <f>+INPUT!E40</f>
        <v>189937.8314541893</v>
      </c>
      <c r="K31" s="34"/>
      <c r="L31" s="34">
        <f>+INPUT!F40</f>
        <v>2585863.0190619314</v>
      </c>
      <c r="M31" s="34"/>
      <c r="N31" s="91">
        <f>+H31-L31</f>
        <v>101410.05371440202</v>
      </c>
    </row>
    <row r="32" spans="2:14" ht="12.75">
      <c r="B32" s="24" t="s">
        <v>80</v>
      </c>
      <c r="D32" s="39">
        <f>+INPUT!B41</f>
        <v>124249</v>
      </c>
      <c r="E32" s="34"/>
      <c r="F32" s="39">
        <f>INPUT!C41</f>
        <v>4674578.198301256</v>
      </c>
      <c r="G32" s="34"/>
      <c r="H32" s="37">
        <f>INPUT!D41</f>
        <v>2634773.108735708</v>
      </c>
      <c r="I32" s="34"/>
      <c r="J32" s="39">
        <f>+INPUT!E41</f>
        <v>128046.08860755393</v>
      </c>
      <c r="K32" s="34"/>
      <c r="L32" s="39">
        <f>+INPUT!F41</f>
        <v>2537710.906546386</v>
      </c>
      <c r="M32" s="34"/>
      <c r="N32" s="39">
        <f>+H32-L32</f>
        <v>97062.2021893221</v>
      </c>
    </row>
    <row r="33" spans="2:14" ht="14.25" hidden="1">
      <c r="B33" s="30" t="s">
        <v>75</v>
      </c>
      <c r="D33" s="34">
        <f>SUM(D30:D32)</f>
        <v>335726</v>
      </c>
      <c r="E33" s="34"/>
      <c r="F33" s="34">
        <f>SUM(F30:F32)</f>
        <v>12163913.325438004</v>
      </c>
      <c r="G33" s="34"/>
      <c r="H33" s="34">
        <f>SUM(H30:H32)</f>
        <v>7916853.331512041</v>
      </c>
      <c r="I33" s="34"/>
      <c r="J33" s="34">
        <f>SUM(J30:J32)</f>
        <v>1587445.9200617431</v>
      </c>
      <c r="K33" s="34"/>
      <c r="L33" s="34">
        <f>SUM(L30:L32)</f>
        <v>7656036.465608317</v>
      </c>
      <c r="M33" s="34"/>
      <c r="N33" s="34">
        <f>SUM(N30:N32)</f>
        <v>260816.86590372398</v>
      </c>
    </row>
    <row r="34" spans="2:14" ht="12.75" hidden="1">
      <c r="B34" s="24" t="s">
        <v>81</v>
      </c>
      <c r="D34" s="39">
        <v>0</v>
      </c>
      <c r="E34" s="34"/>
      <c r="F34" s="39"/>
      <c r="G34" s="34"/>
      <c r="H34" s="39">
        <v>0</v>
      </c>
      <c r="I34" s="34"/>
      <c r="J34" s="39">
        <f>+F34</f>
        <v>0</v>
      </c>
      <c r="K34" s="34"/>
      <c r="L34" s="39">
        <v>0</v>
      </c>
      <c r="M34" s="34"/>
      <c r="N34" s="39">
        <v>0</v>
      </c>
    </row>
    <row r="35" spans="2:14" ht="14.25" hidden="1">
      <c r="B35" s="30" t="s">
        <v>543</v>
      </c>
      <c r="D35" s="34">
        <f>+D33+D34</f>
        <v>335726</v>
      </c>
      <c r="E35" s="34"/>
      <c r="F35" s="34">
        <f>+F33+F34</f>
        <v>12163913.325438004</v>
      </c>
      <c r="G35" s="34"/>
      <c r="H35" s="34">
        <f>+H33+H34</f>
        <v>7916853.331512041</v>
      </c>
      <c r="I35" s="34"/>
      <c r="J35" s="34">
        <f>+J33+J34</f>
        <v>1587445.9200617431</v>
      </c>
      <c r="K35" s="34"/>
      <c r="L35" s="34">
        <f>+L33+L34</f>
        <v>7656036.465608317</v>
      </c>
      <c r="M35" s="34"/>
      <c r="N35" s="34">
        <f>+N33+N34</f>
        <v>260816.86590372398</v>
      </c>
    </row>
    <row r="36" spans="2:14" ht="12.75" hidden="1">
      <c r="B36" s="24" t="s">
        <v>76</v>
      </c>
      <c r="D36" s="39">
        <v>0</v>
      </c>
      <c r="E36" s="34"/>
      <c r="F36" s="39">
        <v>0</v>
      </c>
      <c r="G36" s="34"/>
      <c r="H36" s="39">
        <f>+F36</f>
        <v>0</v>
      </c>
      <c r="I36" s="34"/>
      <c r="J36" s="39">
        <v>0</v>
      </c>
      <c r="K36" s="34"/>
      <c r="L36" s="39">
        <f>+F36</f>
        <v>0</v>
      </c>
      <c r="M36" s="34"/>
      <c r="N36" s="39">
        <v>0</v>
      </c>
    </row>
    <row r="37" spans="2:14" ht="14.25">
      <c r="B37" s="30" t="s">
        <v>543</v>
      </c>
      <c r="D37" s="34">
        <f>+D35+D36</f>
        <v>335726</v>
      </c>
      <c r="E37" s="92"/>
      <c r="F37" s="36">
        <f>+F35+F36</f>
        <v>12163913.325438004</v>
      </c>
      <c r="G37" s="92"/>
      <c r="H37" s="34">
        <f>+H35+H36</f>
        <v>7916853.331512041</v>
      </c>
      <c r="I37" s="92"/>
      <c r="J37" s="36">
        <f>+J35+J36</f>
        <v>1587445.9200617431</v>
      </c>
      <c r="K37" s="809"/>
      <c r="L37" s="36">
        <f>+L35+L36</f>
        <v>7656036.465608317</v>
      </c>
      <c r="M37" s="809"/>
      <c r="N37" s="36">
        <f>+N35+N36</f>
        <v>260816.86590372398</v>
      </c>
    </row>
    <row r="38" spans="2:14" ht="12.75">
      <c r="B38" s="24" t="s">
        <v>77</v>
      </c>
      <c r="F38" s="94">
        <f>+J38+L38+N38</f>
        <v>25.945</v>
      </c>
      <c r="G38" s="94"/>
      <c r="H38" s="94">
        <f>+L38+N38</f>
        <v>23.581</v>
      </c>
      <c r="I38" s="94"/>
      <c r="J38" s="247">
        <f>INT(J37/2/D37*1000+0.5)/1000</f>
        <v>2.364</v>
      </c>
      <c r="K38" s="247"/>
      <c r="L38" s="247">
        <f>INT(L37/D37*1000+0.5)/1000</f>
        <v>22.804</v>
      </c>
      <c r="M38" s="247"/>
      <c r="N38" s="247">
        <f>INT(N37/D37*1000+0.5)/1000</f>
        <v>0.777</v>
      </c>
    </row>
    <row r="40" ht="14.25">
      <c r="B40" s="90" t="s">
        <v>1222</v>
      </c>
    </row>
    <row r="41" spans="2:14" ht="12.75" hidden="1">
      <c r="B41" s="24" t="s">
        <v>82</v>
      </c>
      <c r="D41" s="34">
        <f>+INPUT!B44</f>
        <v>47241</v>
      </c>
      <c r="H41" s="34">
        <f>+INPUT!D44</f>
        <v>1714594.33</v>
      </c>
      <c r="L41" s="34">
        <f>+INPUT!F44</f>
        <v>1611024.34</v>
      </c>
      <c r="N41" s="34">
        <f aca="true" t="shared" si="1" ref="N41:N51">+H41-L41</f>
        <v>103569.98999999999</v>
      </c>
    </row>
    <row r="42" spans="2:14" ht="12.75" hidden="1">
      <c r="B42" s="24" t="s">
        <v>1889</v>
      </c>
      <c r="D42" s="39">
        <f>+INPUT!B45</f>
        <v>270332</v>
      </c>
      <c r="H42" s="39">
        <f>+INPUT!D45</f>
        <v>7020287.229999999</v>
      </c>
      <c r="L42" s="39">
        <f>+INPUT!F45</f>
        <v>6494755.159999998</v>
      </c>
      <c r="N42" s="34">
        <f t="shared" si="1"/>
        <v>525532.0700000003</v>
      </c>
    </row>
    <row r="43" spans="2:14" ht="14.25">
      <c r="B43" s="30" t="s">
        <v>83</v>
      </c>
      <c r="D43" s="34">
        <f>SUM(D41:D42)</f>
        <v>317573</v>
      </c>
      <c r="F43" s="34">
        <f>+INPUT!C46</f>
        <v>10401110</v>
      </c>
      <c r="H43" s="34">
        <f>SUM(H41:H42)</f>
        <v>8734881.559999999</v>
      </c>
      <c r="J43" s="34">
        <f>+INPUT!E46</f>
        <v>859669</v>
      </c>
      <c r="L43" s="34">
        <f>SUM(L41:L42)</f>
        <v>8105779.499999998</v>
      </c>
      <c r="N43" s="34">
        <f t="shared" si="1"/>
        <v>629102.0600000005</v>
      </c>
    </row>
    <row r="44" spans="2:14" ht="12.75">
      <c r="B44" s="24" t="s">
        <v>711</v>
      </c>
      <c r="D44" s="34">
        <f>+INPUT!B47</f>
        <v>435682</v>
      </c>
      <c r="F44" s="34">
        <f>+INPUT!C47</f>
        <v>10008852.056828523</v>
      </c>
      <c r="H44" s="34">
        <f>+INPUT!D47</f>
        <v>8955836.509548983</v>
      </c>
      <c r="J44" s="34">
        <f>+INPUT!E47</f>
        <v>633003.0925084074</v>
      </c>
      <c r="L44" s="34">
        <f>+INPUT!F47</f>
        <v>8617868.674909664</v>
      </c>
      <c r="N44" s="34">
        <f t="shared" si="1"/>
        <v>337967.8346393183</v>
      </c>
    </row>
    <row r="45" spans="2:14" ht="12.75">
      <c r="B45" s="24" t="s">
        <v>79</v>
      </c>
      <c r="D45" s="34">
        <f>+INPUT!B48</f>
        <v>304953</v>
      </c>
      <c r="E45" s="77"/>
      <c r="F45" s="34">
        <f>+INPUT!C48</f>
        <v>7005635.9025298925</v>
      </c>
      <c r="G45" s="77"/>
      <c r="H45" s="34">
        <f>+INPUT!D48</f>
        <v>6268583.992674682</v>
      </c>
      <c r="I45" s="77"/>
      <c r="J45" s="34">
        <f>+INPUT!E48</f>
        <v>443066.71395585855</v>
      </c>
      <c r="K45" s="77"/>
      <c r="L45" s="34">
        <f>+INPUT!F48</f>
        <v>6032025.436028403</v>
      </c>
      <c r="M45" s="77"/>
      <c r="N45" s="34">
        <f t="shared" si="1"/>
        <v>236558.55664627906</v>
      </c>
    </row>
    <row r="46" spans="2:14" ht="12.75">
      <c r="B46" s="24" t="s">
        <v>80</v>
      </c>
      <c r="D46" s="34">
        <f>INPUT!B49</f>
        <v>289919</v>
      </c>
      <c r="F46" s="34">
        <f>+INPUT!C49</f>
        <v>10907524.701794798</v>
      </c>
      <c r="H46" s="34">
        <f>+INPUT!D49</f>
        <v>6147902.879794186</v>
      </c>
      <c r="J46" s="34">
        <f>+INPUT!E49</f>
        <v>298779.0160324303</v>
      </c>
      <c r="L46" s="34">
        <f>+INPUT!F49</f>
        <v>5921420.76246104</v>
      </c>
      <c r="N46" s="34">
        <f t="shared" si="1"/>
        <v>226482.1173331458</v>
      </c>
    </row>
    <row r="47" spans="2:14" ht="12.75">
      <c r="B47" s="24" t="s">
        <v>1429</v>
      </c>
      <c r="D47" s="34">
        <f>INPUT!B50</f>
        <v>414173.00000000006</v>
      </c>
      <c r="F47" s="34">
        <f>+INPUT!C50</f>
        <v>15582291.01340877</v>
      </c>
      <c r="G47" s="77"/>
      <c r="H47" s="34">
        <f>+INPUT!D50</f>
        <v>8782782.01647011</v>
      </c>
      <c r="J47" s="34">
        <f>+INPUT!E50</f>
        <v>426830.25744156045</v>
      </c>
      <c r="K47" s="77"/>
      <c r="L47" s="34">
        <f>+INPUT!F50</f>
        <v>8459233.790992575</v>
      </c>
      <c r="N47" s="34">
        <f t="shared" si="1"/>
        <v>323548.2254775353</v>
      </c>
    </row>
    <row r="48" spans="2:14" ht="12.75">
      <c r="B48" s="24" t="s">
        <v>177</v>
      </c>
      <c r="D48" s="91">
        <f>INPUT!B51</f>
        <v>1535264</v>
      </c>
      <c r="E48" s="40"/>
      <c r="F48" s="34">
        <f>+INPUT!C51</f>
        <v>32124191</v>
      </c>
      <c r="G48" s="40"/>
      <c r="H48" s="34">
        <f>+INPUT!D51</f>
        <v>13305663.6</v>
      </c>
      <c r="I48" s="40"/>
      <c r="J48" s="34">
        <f>+INPUT!E51</f>
        <v>9954754</v>
      </c>
      <c r="K48" s="40"/>
      <c r="L48" s="34">
        <f>+INPUT!F51</f>
        <v>13305663.6</v>
      </c>
      <c r="M48" s="40"/>
      <c r="N48" s="34">
        <f t="shared" si="1"/>
        <v>0</v>
      </c>
    </row>
    <row r="49" spans="2:14" ht="12.75">
      <c r="B49" s="46" t="s">
        <v>784</v>
      </c>
      <c r="D49" s="91">
        <f>INPUT!B52</f>
        <v>22704</v>
      </c>
      <c r="E49" s="40"/>
      <c r="F49" s="34">
        <f>+INPUT!C52</f>
        <v>0</v>
      </c>
      <c r="G49" s="40"/>
      <c r="H49" s="34">
        <f>+INPUT!D52</f>
        <v>0</v>
      </c>
      <c r="I49" s="40"/>
      <c r="J49" s="34">
        <f>+INPUT!E52</f>
        <v>0</v>
      </c>
      <c r="K49" s="40"/>
      <c r="L49" s="34">
        <f>+INPUT!F52</f>
        <v>0</v>
      </c>
      <c r="M49" s="40"/>
      <c r="N49" s="34">
        <f t="shared" si="1"/>
        <v>0</v>
      </c>
    </row>
    <row r="50" spans="2:14" ht="12.75">
      <c r="B50" s="46" t="s">
        <v>785</v>
      </c>
      <c r="D50" s="39">
        <f>INPUT!B53</f>
        <v>12665</v>
      </c>
      <c r="E50" s="40"/>
      <c r="F50" s="39">
        <f>+INPUT!C53</f>
        <v>0</v>
      </c>
      <c r="G50" s="40"/>
      <c r="H50" s="39">
        <f>+INPUT!D53</f>
        <v>0</v>
      </c>
      <c r="I50" s="40"/>
      <c r="J50" s="39">
        <f>+INPUT!E53</f>
        <v>0</v>
      </c>
      <c r="K50" s="40"/>
      <c r="L50" s="39">
        <f>+INPUT!F53</f>
        <v>0</v>
      </c>
      <c r="M50" s="40"/>
      <c r="N50" s="39">
        <f t="shared" si="1"/>
        <v>0</v>
      </c>
    </row>
    <row r="51" spans="2:14" ht="14.25">
      <c r="B51" s="30" t="s">
        <v>75</v>
      </c>
      <c r="D51" s="39">
        <f>SUM(D43:D50)</f>
        <v>3332933</v>
      </c>
      <c r="F51" s="39">
        <f>SUM(F43:F50)</f>
        <v>86029604.67456198</v>
      </c>
      <c r="H51" s="39">
        <f>SUM(H43:H50)</f>
        <v>52195650.55848796</v>
      </c>
      <c r="J51" s="39">
        <f>SUM(J43:J50)</f>
        <v>12616102.079938255</v>
      </c>
      <c r="L51" s="39">
        <f>SUM(L43:L50)</f>
        <v>50441991.76439168</v>
      </c>
      <c r="N51" s="39">
        <f t="shared" si="1"/>
        <v>1753658.7940962762</v>
      </c>
    </row>
    <row r="52" spans="2:14" ht="12.75" hidden="1">
      <c r="B52" s="24" t="s">
        <v>76</v>
      </c>
      <c r="D52" s="39">
        <v>0</v>
      </c>
      <c r="F52" s="39">
        <v>0</v>
      </c>
      <c r="H52" s="39">
        <f>+F52</f>
        <v>0</v>
      </c>
      <c r="J52" s="39">
        <v>0</v>
      </c>
      <c r="L52" s="39">
        <f>+F52</f>
        <v>0</v>
      </c>
      <c r="N52" s="39">
        <v>0</v>
      </c>
    </row>
    <row r="53" spans="2:14" ht="14.25" hidden="1">
      <c r="B53" s="30" t="s">
        <v>543</v>
      </c>
      <c r="D53" s="34">
        <f>SUM(D51+D52)</f>
        <v>3332933</v>
      </c>
      <c r="E53" s="92"/>
      <c r="F53" s="36">
        <f>+F51+F52</f>
        <v>86029604.67456198</v>
      </c>
      <c r="G53" s="92"/>
      <c r="H53" s="34">
        <f>+H51+H52</f>
        <v>52195650.55848796</v>
      </c>
      <c r="I53" s="92"/>
      <c r="J53" s="36">
        <f>+J51+J52</f>
        <v>12616102.079938255</v>
      </c>
      <c r="K53" s="809"/>
      <c r="L53" s="36">
        <f>+L51+L52</f>
        <v>50441991.76439168</v>
      </c>
      <c r="M53" s="809"/>
      <c r="N53" s="36">
        <f>+N51+N52</f>
        <v>1753658.7940962762</v>
      </c>
    </row>
    <row r="54" spans="2:14" ht="12.75">
      <c r="B54" s="24" t="s">
        <v>77</v>
      </c>
      <c r="F54" s="247">
        <f>+J54+L54+N54</f>
        <v>17.553</v>
      </c>
      <c r="G54" s="247"/>
      <c r="H54" s="247">
        <f>+L54+N54</f>
        <v>15.66</v>
      </c>
      <c r="I54" s="247"/>
      <c r="J54" s="247">
        <f>INT(J51/2/D51*1000+0.5)/1000</f>
        <v>1.893</v>
      </c>
      <c r="K54" s="247"/>
      <c r="L54" s="247">
        <f>INT(L53/D53*1000+0.5)/1000</f>
        <v>15.134</v>
      </c>
      <c r="M54" s="247"/>
      <c r="N54" s="247">
        <f>INT(N51/D51*1000+0.5)/1000</f>
        <v>0.526</v>
      </c>
    </row>
    <row r="56" ht="14.25">
      <c r="B56" s="90" t="s">
        <v>1520</v>
      </c>
    </row>
    <row r="57" spans="2:14" ht="12.75">
      <c r="B57" s="24" t="s">
        <v>1430</v>
      </c>
      <c r="D57" s="34">
        <f>+INPUT!B56</f>
        <v>44893</v>
      </c>
      <c r="F57" s="34">
        <f>+INPUT!C56</f>
        <v>3463548</v>
      </c>
      <c r="H57" s="34">
        <f>+INPUT!D56</f>
        <v>1486179.28</v>
      </c>
      <c r="J57" s="34">
        <f>+INPUT!E56</f>
        <v>539523</v>
      </c>
      <c r="L57" s="34">
        <f>+INPUT!F56</f>
        <v>1364305.71</v>
      </c>
      <c r="N57" s="34">
        <f>+H57-L57</f>
        <v>121873.57000000007</v>
      </c>
    </row>
    <row r="58" spans="2:14" ht="12.75">
      <c r="B58" s="24" t="s">
        <v>1431</v>
      </c>
      <c r="D58" s="34">
        <f>+INPUT!B57</f>
        <v>231400</v>
      </c>
      <c r="F58" s="34">
        <f>+INPUT!C57</f>
        <v>7854951</v>
      </c>
      <c r="H58" s="34">
        <f>+INPUT!D57</f>
        <v>5625412</v>
      </c>
      <c r="J58" s="34">
        <f>+INPUT!E57</f>
        <v>1286855</v>
      </c>
      <c r="L58" s="34">
        <f>+INPUT!F57</f>
        <v>5664847.8</v>
      </c>
      <c r="N58" s="34">
        <f aca="true" t="shared" si="2" ref="N58:N65">+H58-L58</f>
        <v>-39435.799999999814</v>
      </c>
    </row>
    <row r="59" spans="2:14" ht="12.75">
      <c r="B59" s="24" t="s">
        <v>1432</v>
      </c>
      <c r="D59" s="34">
        <f>+INPUT!B58</f>
        <v>160426</v>
      </c>
      <c r="F59" s="34">
        <f>+INPUT!C58</f>
        <v>6664221</v>
      </c>
      <c r="H59" s="34">
        <f>+INPUT!D58</f>
        <v>5632160.010000001</v>
      </c>
      <c r="J59" s="34">
        <f>+INPUT!E58</f>
        <v>801176</v>
      </c>
      <c r="L59" s="34">
        <f>+INPUT!F58</f>
        <v>5429321.510000001</v>
      </c>
      <c r="N59" s="34">
        <f t="shared" si="2"/>
        <v>202838.5</v>
      </c>
    </row>
    <row r="60" spans="2:14" ht="12.75">
      <c r="B60" s="24" t="s">
        <v>1439</v>
      </c>
      <c r="D60" s="34">
        <f>+INPUT!B59</f>
        <v>23777</v>
      </c>
      <c r="F60" s="34">
        <f>+INPUT!C59</f>
        <v>1651802</v>
      </c>
      <c r="H60" s="34">
        <f>+INPUT!D59</f>
        <v>467451.31</v>
      </c>
      <c r="J60" s="34">
        <f>+INPUT!E59</f>
        <v>507105</v>
      </c>
      <c r="L60" s="34">
        <f>+INPUT!F59</f>
        <v>435649.07</v>
      </c>
      <c r="N60" s="34">
        <f t="shared" si="2"/>
        <v>31802.23999999999</v>
      </c>
    </row>
    <row r="61" spans="2:14" ht="12.75">
      <c r="B61" s="24" t="s">
        <v>1354</v>
      </c>
      <c r="D61" s="34">
        <f>+INPUT!B60</f>
        <v>533031</v>
      </c>
      <c r="F61" s="34">
        <f>+INPUT!C60</f>
        <v>19083587</v>
      </c>
      <c r="H61" s="34">
        <f>+INPUT!D60</f>
        <v>13542519.43</v>
      </c>
      <c r="J61" s="34">
        <f>+INPUT!E60</f>
        <v>3489760</v>
      </c>
      <c r="L61" s="34">
        <f>+INPUT!F60</f>
        <v>13278891.64</v>
      </c>
      <c r="N61" s="34">
        <f t="shared" si="2"/>
        <v>263627.7899999991</v>
      </c>
    </row>
    <row r="62" spans="2:14" ht="12.75">
      <c r="B62" s="24" t="s">
        <v>813</v>
      </c>
      <c r="D62" s="36">
        <f>+INPUT!B61</f>
        <v>303754</v>
      </c>
      <c r="F62" s="34">
        <f>+INPUT!C61</f>
        <v>10850299</v>
      </c>
      <c r="H62" s="34">
        <f>+INPUT!D61</f>
        <v>9296570.79</v>
      </c>
      <c r="I62" s="94"/>
      <c r="J62" s="34">
        <f>+INPUT!E61</f>
        <v>843717</v>
      </c>
      <c r="L62" s="34">
        <f>+INPUT!F61</f>
        <v>9071321.129999999</v>
      </c>
      <c r="N62" s="34">
        <f t="shared" si="2"/>
        <v>225249.66000000015</v>
      </c>
    </row>
    <row r="63" spans="2:14" ht="12.75">
      <c r="B63" s="24" t="s">
        <v>814</v>
      </c>
      <c r="D63" s="91">
        <f>+INPUT!B62</f>
        <v>1656567</v>
      </c>
      <c r="F63" s="34">
        <f>+INPUT!C62</f>
        <v>45169187</v>
      </c>
      <c r="H63" s="91">
        <f>+INPUT!D62</f>
        <v>36323058.510000005</v>
      </c>
      <c r="J63" s="91">
        <f>+INPUT!E62</f>
        <v>2226436</v>
      </c>
      <c r="L63" s="91">
        <f>+INPUT!F62</f>
        <v>34208583.800000004</v>
      </c>
      <c r="N63" s="91">
        <f>+H63-L63</f>
        <v>2114474.710000001</v>
      </c>
    </row>
    <row r="64" spans="2:14" s="46" customFormat="1" ht="12.75">
      <c r="B64" s="46" t="s">
        <v>786</v>
      </c>
      <c r="D64" s="38">
        <f>INPUT!B63</f>
        <v>25330</v>
      </c>
      <c r="E64" s="205"/>
      <c r="F64" s="38">
        <f>INPUT!C63</f>
        <v>0</v>
      </c>
      <c r="G64" s="205"/>
      <c r="H64" s="38">
        <f>INPUT!D63</f>
        <v>0</v>
      </c>
      <c r="I64" s="205"/>
      <c r="J64" s="38">
        <f>INPUT!E63</f>
        <v>0</v>
      </c>
      <c r="K64" s="205"/>
      <c r="L64" s="38">
        <f>INPUT!F63</f>
        <v>0</v>
      </c>
      <c r="M64" s="205"/>
      <c r="N64" s="38">
        <f>+H64-L64</f>
        <v>0</v>
      </c>
    </row>
    <row r="65" spans="2:14" s="46" customFormat="1" ht="12.75">
      <c r="B65" s="46" t="s">
        <v>2134</v>
      </c>
      <c r="D65" s="38">
        <f>INPUT!B64</f>
        <v>955</v>
      </c>
      <c r="E65" s="205"/>
      <c r="F65" s="38">
        <f>INPUT!C64</f>
        <v>0</v>
      </c>
      <c r="G65" s="205"/>
      <c r="H65" s="38">
        <f>INPUT!D64</f>
        <v>0</v>
      </c>
      <c r="I65" s="205"/>
      <c r="J65" s="38">
        <f>INPUT!E64</f>
        <v>0</v>
      </c>
      <c r="K65" s="205"/>
      <c r="L65" s="38">
        <f>INPUT!F64</f>
        <v>0</v>
      </c>
      <c r="M65" s="205"/>
      <c r="N65" s="38">
        <f t="shared" si="2"/>
        <v>0</v>
      </c>
    </row>
    <row r="66" spans="2:14" ht="12.75">
      <c r="B66" s="24" t="s">
        <v>815</v>
      </c>
      <c r="D66" s="34">
        <f>+INPUT!B65</f>
        <v>217939</v>
      </c>
      <c r="F66" s="34">
        <f>+INPUT!C65</f>
        <v>13380140</v>
      </c>
      <c r="H66" s="34">
        <f>+INPUT!D65</f>
        <v>11135657.753000002</v>
      </c>
      <c r="J66" s="34">
        <f>+INPUT!E65</f>
        <v>1193319</v>
      </c>
      <c r="L66" s="34">
        <f>+INPUT!F65</f>
        <v>11032007.493</v>
      </c>
      <c r="N66" s="34">
        <f>+H66-L66</f>
        <v>103650.26000000164</v>
      </c>
    </row>
    <row r="67" spans="2:14" ht="12.75">
      <c r="B67" s="24" t="s">
        <v>816</v>
      </c>
      <c r="D67" s="34">
        <f>+INPUT!B66</f>
        <v>0</v>
      </c>
      <c r="F67" s="34">
        <f>+INPUT!C66</f>
        <v>-81144</v>
      </c>
      <c r="H67" s="34">
        <f>+INPUT!D66</f>
        <v>-51291.27</v>
      </c>
      <c r="J67" s="34">
        <f>+INPUT!E66</f>
        <v>12466</v>
      </c>
      <c r="L67" s="34">
        <f>+INPUT!F66</f>
        <v>0</v>
      </c>
      <c r="N67" s="34">
        <f>+H67-L67</f>
        <v>-51291.27</v>
      </c>
    </row>
    <row r="68" spans="2:14" ht="12.75">
      <c r="B68" s="24" t="s">
        <v>817</v>
      </c>
      <c r="D68" s="34">
        <f>+INPUT!B67</f>
        <v>20306</v>
      </c>
      <c r="F68" s="34">
        <f>+INPUT!C67</f>
        <v>752205</v>
      </c>
      <c r="H68" s="34">
        <f>+INPUT!D67</f>
        <v>622471.79</v>
      </c>
      <c r="J68" s="34">
        <f>+INPUT!E67</f>
        <v>-4999</v>
      </c>
      <c r="L68" s="34">
        <f>+INPUT!F67</f>
        <v>487089.76</v>
      </c>
      <c r="N68" s="34">
        <f>+H68-L68</f>
        <v>135382.03000000003</v>
      </c>
    </row>
    <row r="69" spans="2:14" ht="12.75">
      <c r="B69" s="24" t="s">
        <v>818</v>
      </c>
      <c r="D69" s="34">
        <f>+INPUT!B68</f>
        <v>206625</v>
      </c>
      <c r="F69" s="34">
        <f>+INPUT!C68</f>
        <v>12824337</v>
      </c>
      <c r="H69" s="34">
        <f>+INPUT!D68</f>
        <v>7678473.6</v>
      </c>
      <c r="J69" s="34">
        <f>+INPUT!E68</f>
        <v>2065353</v>
      </c>
      <c r="L69" s="34">
        <f>+INPUT!F68</f>
        <v>6349983.88</v>
      </c>
      <c r="N69" s="34">
        <f>+H69-L69</f>
        <v>1328489.7199999997</v>
      </c>
    </row>
    <row r="70" spans="2:14" ht="12.75">
      <c r="B70" s="24" t="s">
        <v>819</v>
      </c>
      <c r="D70" s="91">
        <f>+INPUT!B69</f>
        <v>161237</v>
      </c>
      <c r="E70" s="40"/>
      <c r="F70" s="91">
        <f>+INPUT!C69</f>
        <v>8587126</v>
      </c>
      <c r="G70" s="40"/>
      <c r="H70" s="91">
        <f>+INPUT!D69</f>
        <v>5120544.63</v>
      </c>
      <c r="I70" s="40"/>
      <c r="J70" s="91">
        <f>+INPUT!E69</f>
        <v>800249</v>
      </c>
      <c r="K70" s="40"/>
      <c r="L70" s="91">
        <f>+INPUT!F69</f>
        <v>4121611.38</v>
      </c>
      <c r="M70" s="40"/>
      <c r="N70" s="91">
        <f aca="true" t="shared" si="3" ref="N70:N75">+H70-L70</f>
        <v>998933.25</v>
      </c>
    </row>
    <row r="71" spans="2:15" ht="12.75">
      <c r="B71" s="24" t="s">
        <v>1002</v>
      </c>
      <c r="D71" s="91">
        <f>+INPUT!B70</f>
        <v>429045</v>
      </c>
      <c r="F71" s="91">
        <f>+INPUT!C70</f>
        <v>7771044</v>
      </c>
      <c r="H71" s="91">
        <f>+INPUT!D70</f>
        <v>8411067.5</v>
      </c>
      <c r="J71" s="91">
        <f>+INPUT!E70</f>
        <v>314345</v>
      </c>
      <c r="L71" s="91">
        <f>+INPUT!F70</f>
        <v>8856675.58</v>
      </c>
      <c r="N71" s="91">
        <f>+H71-L71</f>
        <v>-445608.0800000001</v>
      </c>
      <c r="O71" s="91"/>
    </row>
    <row r="72" spans="2:14" ht="12.75">
      <c r="B72" s="24" t="s">
        <v>642</v>
      </c>
      <c r="D72" s="91">
        <f>INPUT!B71</f>
        <v>0</v>
      </c>
      <c r="F72" s="91">
        <f>INPUT!C71</f>
        <v>-783486</v>
      </c>
      <c r="H72" s="91">
        <f>INPUT!D71</f>
        <v>-50808.73</v>
      </c>
      <c r="J72" s="91">
        <f>INPUT!E71</f>
        <v>17571</v>
      </c>
      <c r="L72" s="91">
        <f>INPUT!F71</f>
        <v>225735.43</v>
      </c>
      <c r="N72" s="91">
        <f t="shared" si="3"/>
        <v>-276544.16</v>
      </c>
    </row>
    <row r="73" spans="2:14" ht="12.75">
      <c r="B73" s="24" t="s">
        <v>639</v>
      </c>
      <c r="D73" s="91">
        <f>INPUT!B72</f>
        <v>692019</v>
      </c>
      <c r="F73" s="91">
        <f>INPUT!C72</f>
        <v>15499511</v>
      </c>
      <c r="H73" s="91">
        <f>INPUT!D72</f>
        <v>14393768.830000002</v>
      </c>
      <c r="J73" s="91">
        <f>INPUT!E72</f>
        <v>221061</v>
      </c>
      <c r="L73" s="91">
        <f>INPUT!F72</f>
        <v>14364029.020000001</v>
      </c>
      <c r="M73" s="91"/>
      <c r="N73" s="91">
        <f>+H73-L73</f>
        <v>29739.81000000052</v>
      </c>
    </row>
    <row r="74" spans="2:14" s="46" customFormat="1" ht="12.75" hidden="1">
      <c r="B74" s="1152" t="s">
        <v>786</v>
      </c>
      <c r="D74" s="38" t="str">
        <f>INPUT!B75</f>
        <v>XXXXXXXXXXXXXXXXXX</v>
      </c>
      <c r="F74" s="38" t="str">
        <f>INPUT!C75</f>
        <v>XXXXXXXXXXXXXXXXXX</v>
      </c>
      <c r="H74" s="38" t="str">
        <f>INPUT!D75</f>
        <v>XXXXXXXXXXXXXXXXXX</v>
      </c>
      <c r="J74" s="38" t="str">
        <f>INPUT!E75</f>
        <v>XXXXXXXXXXXXXXXXXX</v>
      </c>
      <c r="L74" s="38" t="str">
        <f>INPUT!F75</f>
        <v>XXXXXXXXXXXXXXXXXX</v>
      </c>
      <c r="M74" s="38"/>
      <c r="N74" s="38" t="e">
        <f t="shared" si="3"/>
        <v>#VALUE!</v>
      </c>
    </row>
    <row r="75" spans="2:14" s="46" customFormat="1" ht="12.75" hidden="1">
      <c r="B75" s="1153" t="s">
        <v>943</v>
      </c>
      <c r="D75" s="37" t="str">
        <f>INPUT!B76</f>
        <v>XXXXXXXXXXXXXXXXXX</v>
      </c>
      <c r="F75" s="37" t="str">
        <f>INPUT!C76</f>
        <v>XXXXXXXXXXXXXXXXXX</v>
      </c>
      <c r="H75" s="37" t="str">
        <f>INPUT!D76</f>
        <v>XXXXXXXXXXXXXXXXXX</v>
      </c>
      <c r="J75" s="37" t="str">
        <f>INPUT!E76</f>
        <v>XXXXXXXXXXXXXXXXXX</v>
      </c>
      <c r="L75" s="37" t="str">
        <f>INPUT!F76</f>
        <v>XXXXXXXXXXXXXXXXXX</v>
      </c>
      <c r="M75" s="38"/>
      <c r="N75" s="37" t="e">
        <f t="shared" si="3"/>
        <v>#VALUE!</v>
      </c>
    </row>
    <row r="76" spans="2:14" ht="14.25">
      <c r="B76" s="30" t="s">
        <v>75</v>
      </c>
      <c r="D76" s="34">
        <f>SUM(D57:D75)</f>
        <v>4707304</v>
      </c>
      <c r="F76" s="34">
        <f>SUM(F57:F75)</f>
        <v>152687328</v>
      </c>
      <c r="H76" s="34">
        <f>SUM(H57:H73)</f>
        <v>119633235.43300001</v>
      </c>
      <c r="J76" s="34">
        <f>SUM(J57:J75)</f>
        <v>14313937</v>
      </c>
      <c r="L76" s="34">
        <f>SUM(L57:L73)</f>
        <v>114890053.203</v>
      </c>
      <c r="N76" s="34">
        <f>+H76-L76</f>
        <v>4743182.230000019</v>
      </c>
    </row>
    <row r="77" spans="2:14" ht="12.75" hidden="1">
      <c r="B77" s="24" t="s">
        <v>76</v>
      </c>
      <c r="D77" s="39">
        <v>0</v>
      </c>
      <c r="F77" s="39">
        <v>0</v>
      </c>
      <c r="H77" s="39">
        <f>+F77</f>
        <v>0</v>
      </c>
      <c r="J77" s="39">
        <v>0</v>
      </c>
      <c r="L77" s="39">
        <f>+F77</f>
        <v>0</v>
      </c>
      <c r="N77" s="39">
        <v>0</v>
      </c>
    </row>
    <row r="78" spans="2:14" ht="14.25" hidden="1">
      <c r="B78" s="30" t="s">
        <v>543</v>
      </c>
      <c r="D78" s="34">
        <f>+D76+D77</f>
        <v>4707304</v>
      </c>
      <c r="E78" s="92"/>
      <c r="F78" s="36">
        <f>+F76+F77</f>
        <v>152687328</v>
      </c>
      <c r="G78" s="92"/>
      <c r="H78" s="34">
        <f>+H76+H77</f>
        <v>119633235.43300001</v>
      </c>
      <c r="I78" s="92"/>
      <c r="J78" s="34">
        <f>+J76+J77</f>
        <v>14313937</v>
      </c>
      <c r="K78" s="92"/>
      <c r="L78" s="34">
        <f>+L76+L77</f>
        <v>114890053.203</v>
      </c>
      <c r="M78" s="92"/>
      <c r="N78" s="34">
        <f>+N76+N77</f>
        <v>4743182.230000019</v>
      </c>
    </row>
    <row r="79" spans="2:14" ht="12.75">
      <c r="B79" s="24" t="s">
        <v>77</v>
      </c>
      <c r="F79" s="94">
        <f>+J79+L79+N79</f>
        <v>26.935</v>
      </c>
      <c r="G79" s="94"/>
      <c r="H79" s="94">
        <f>+L79+N79</f>
        <v>25.415</v>
      </c>
      <c r="I79" s="94"/>
      <c r="J79" s="247">
        <f>INT(J76/2/D76*1000+0.5)/1000</f>
        <v>1.52</v>
      </c>
      <c r="K79" s="247"/>
      <c r="L79" s="247">
        <f>INT(L78/D78*1000+0.5)/1000</f>
        <v>24.407</v>
      </c>
      <c r="M79" s="247"/>
      <c r="N79" s="247">
        <f>INT(N76/D76*1000+0.5)/1000</f>
        <v>1.008</v>
      </c>
    </row>
    <row r="81" ht="14.25">
      <c r="B81" s="90" t="s">
        <v>1444</v>
      </c>
    </row>
    <row r="82" spans="2:14" ht="14.25" hidden="1">
      <c r="B82" s="30" t="s">
        <v>75</v>
      </c>
      <c r="D82" s="34">
        <v>0</v>
      </c>
      <c r="F82" s="34">
        <v>0</v>
      </c>
      <c r="H82" s="34">
        <v>0</v>
      </c>
      <c r="J82" s="34">
        <v>0</v>
      </c>
      <c r="L82" s="34">
        <v>0</v>
      </c>
      <c r="N82" s="34">
        <v>0</v>
      </c>
    </row>
    <row r="83" spans="2:14" ht="12.75" hidden="1">
      <c r="B83" s="24" t="s">
        <v>76</v>
      </c>
      <c r="D83" s="39">
        <v>0</v>
      </c>
      <c r="F83" s="39">
        <v>0</v>
      </c>
      <c r="H83" s="39">
        <f>+F83</f>
        <v>0</v>
      </c>
      <c r="J83" s="39">
        <v>0</v>
      </c>
      <c r="L83" s="39">
        <f>+F83</f>
        <v>0</v>
      </c>
      <c r="N83" s="39">
        <v>0</v>
      </c>
    </row>
    <row r="84" spans="2:15" ht="14.25">
      <c r="B84" s="30" t="s">
        <v>543</v>
      </c>
      <c r="D84" s="34">
        <f>+D82+D83</f>
        <v>0</v>
      </c>
      <c r="E84" s="92"/>
      <c r="F84" s="36">
        <f>+F82+F83</f>
        <v>0</v>
      </c>
      <c r="G84" s="92"/>
      <c r="H84" s="34">
        <f>+H82+H83</f>
        <v>0</v>
      </c>
      <c r="I84" s="92"/>
      <c r="J84" s="36">
        <f>+J82+J83</f>
        <v>0</v>
      </c>
      <c r="K84" s="809"/>
      <c r="L84" s="36">
        <f>+L82+L83</f>
        <v>0</v>
      </c>
      <c r="M84" s="809"/>
      <c r="N84" s="36">
        <f>+N82+N83</f>
        <v>0</v>
      </c>
      <c r="O84" s="46"/>
    </row>
    <row r="85" spans="2:15" ht="12.75">
      <c r="B85" s="24" t="s">
        <v>77</v>
      </c>
      <c r="F85" s="94"/>
      <c r="G85" s="94"/>
      <c r="H85" s="94"/>
      <c r="I85" s="94"/>
      <c r="J85" s="247"/>
      <c r="K85" s="247"/>
      <c r="L85" s="247"/>
      <c r="M85" s="247"/>
      <c r="N85" s="247"/>
      <c r="O85" s="46"/>
    </row>
    <row r="87" spans="2:14" ht="12.75">
      <c r="B87" s="24" t="s">
        <v>820</v>
      </c>
      <c r="D87" s="34">
        <f>+D24+D33+D51+D76+D82</f>
        <v>10073760</v>
      </c>
      <c r="F87" s="34">
        <f>+F24+F35+F51+F76+F82</f>
        <v>308192487</v>
      </c>
      <c r="H87" s="34">
        <f>+H24+H33+H51+H76+H82</f>
        <v>225276522.56300002</v>
      </c>
      <c r="J87" s="34">
        <f>+J24+J35+J51+J76+J82</f>
        <v>34267274</v>
      </c>
      <c r="L87" s="34">
        <f>+L24+L33+L51+L76+L82</f>
        <v>216008626.713</v>
      </c>
      <c r="N87" s="34">
        <f>+N24+N33+N51+N76+N82</f>
        <v>9267895.85000002</v>
      </c>
    </row>
    <row r="88" spans="2:14" ht="12.75" hidden="1">
      <c r="B88" s="24" t="s">
        <v>820</v>
      </c>
      <c r="D88" s="34">
        <f>+D26+D37+D53+D78+D84</f>
        <v>10073760</v>
      </c>
      <c r="E88" s="92"/>
      <c r="F88" s="36">
        <f>+F26+F37+F53+F78+F84</f>
        <v>308192487</v>
      </c>
      <c r="G88" s="92"/>
      <c r="H88" s="34">
        <f>+H26+H37+H53+H78+H84</f>
        <v>225276522.56300002</v>
      </c>
      <c r="I88" s="92"/>
      <c r="J88" s="34">
        <f>+J26+J37+J53+J78+J84</f>
        <v>34267274</v>
      </c>
      <c r="K88" s="92"/>
      <c r="L88" s="34">
        <f>+L26+L37+L53+L78+L84</f>
        <v>216008626.713</v>
      </c>
      <c r="M88" s="92"/>
      <c r="N88" s="34">
        <f>+N26+N37+N53+N78+N84</f>
        <v>9267895.85000002</v>
      </c>
    </row>
  </sheetData>
  <sheetProtection/>
  <printOptions horizontalCentered="1"/>
  <pageMargins left="0" right="0" top="0" bottom="0" header="0" footer="0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2.140625" style="3" customWidth="1"/>
    <col min="3" max="3" width="1.7109375" style="3" customWidth="1"/>
    <col min="4" max="4" width="13.7109375" style="3" customWidth="1"/>
    <col min="5" max="5" width="1.7109375" style="3" customWidth="1"/>
    <col min="6" max="6" width="17.7109375" style="3" customWidth="1"/>
    <col min="7" max="7" width="2.7109375" style="3" customWidth="1"/>
    <col min="8" max="8" width="17.7109375" style="3" customWidth="1"/>
    <col min="9" max="9" width="1.7109375" style="3" customWidth="1"/>
    <col min="10" max="10" width="15.8515625" style="3" customWidth="1"/>
    <col min="11" max="11" width="3.421875" style="3" customWidth="1"/>
    <col min="12" max="12" width="15.8515625" style="3" customWidth="1"/>
    <col min="13" max="16384" width="9.140625" style="3" customWidth="1"/>
  </cols>
  <sheetData>
    <row r="1" spans="2:12" ht="16.5">
      <c r="B1" s="23" t="s">
        <v>1294</v>
      </c>
      <c r="C1" s="15" t="str">
        <f>INPUT!C1</f>
        <v>February 2012</v>
      </c>
      <c r="L1" s="14" t="s">
        <v>821</v>
      </c>
    </row>
    <row r="2" ht="16.5">
      <c r="G2" s="14" t="s">
        <v>822</v>
      </c>
    </row>
    <row r="3" ht="16.5">
      <c r="G3" s="48" t="s">
        <v>823</v>
      </c>
    </row>
    <row r="4" ht="15">
      <c r="F4" s="52"/>
    </row>
    <row r="5" spans="2:6" ht="16.5">
      <c r="B5" s="23" t="s">
        <v>236</v>
      </c>
      <c r="F5" s="52"/>
    </row>
    <row r="7" spans="4:12" ht="16.5">
      <c r="D7" s="20" t="s">
        <v>1296</v>
      </c>
      <c r="F7" s="20" t="s">
        <v>1296</v>
      </c>
      <c r="H7" s="20" t="s">
        <v>1296</v>
      </c>
      <c r="L7" s="20" t="s">
        <v>1296</v>
      </c>
    </row>
    <row r="8" spans="4:12" ht="16.5">
      <c r="D8" s="14" t="s">
        <v>1522</v>
      </c>
      <c r="F8" s="14" t="s">
        <v>1523</v>
      </c>
      <c r="H8" s="14" t="s">
        <v>1523</v>
      </c>
      <c r="J8" s="14" t="s">
        <v>923</v>
      </c>
      <c r="L8" s="14" t="s">
        <v>1524</v>
      </c>
    </row>
    <row r="9" spans="4:12" ht="16.5">
      <c r="D9" s="14" t="s">
        <v>1710</v>
      </c>
      <c r="F9" s="14" t="s">
        <v>1247</v>
      </c>
      <c r="H9" s="14" t="s">
        <v>1247</v>
      </c>
      <c r="J9" s="14" t="s">
        <v>1714</v>
      </c>
      <c r="L9" s="14" t="s">
        <v>1714</v>
      </c>
    </row>
    <row r="10" spans="2:12" ht="16.5">
      <c r="B10" s="17" t="s">
        <v>824</v>
      </c>
      <c r="D10" s="17" t="s">
        <v>825</v>
      </c>
      <c r="F10" s="17" t="s">
        <v>826</v>
      </c>
      <c r="H10" s="17" t="s">
        <v>67</v>
      </c>
      <c r="J10" s="17" t="s">
        <v>1247</v>
      </c>
      <c r="L10" s="17" t="s">
        <v>1247</v>
      </c>
    </row>
    <row r="11" spans="4:12" ht="15">
      <c r="D11" s="51" t="s">
        <v>119</v>
      </c>
      <c r="F11" s="51" t="s">
        <v>120</v>
      </c>
      <c r="H11" s="51" t="s">
        <v>121</v>
      </c>
      <c r="J11" s="51" t="s">
        <v>122</v>
      </c>
      <c r="L11" s="51" t="s">
        <v>124</v>
      </c>
    </row>
    <row r="13" spans="2:12" ht="15">
      <c r="B13" s="3" t="s">
        <v>926</v>
      </c>
      <c r="D13" s="12">
        <f>+APPIV!F26</f>
        <v>57311641</v>
      </c>
      <c r="E13" s="66"/>
      <c r="F13" s="13">
        <f>+APPIV!L26</f>
        <v>43020545.28</v>
      </c>
      <c r="G13" s="66"/>
      <c r="H13" s="12">
        <f>+APPIV!N26</f>
        <v>2510237.9600000014</v>
      </c>
      <c r="I13" s="12"/>
      <c r="J13" s="12">
        <f>+APPIV!J26</f>
        <v>5749789</v>
      </c>
      <c r="L13" s="12">
        <f>ROUND(J13/2,0)</f>
        <v>2874895</v>
      </c>
    </row>
    <row r="14" spans="2:12" ht="15">
      <c r="B14" s="3" t="s">
        <v>927</v>
      </c>
      <c r="D14" s="12">
        <f>+APPIV!F37</f>
        <v>12163913.325438004</v>
      </c>
      <c r="E14" s="66"/>
      <c r="F14" s="12">
        <f>+APPIV!L37</f>
        <v>7656036.465608317</v>
      </c>
      <c r="G14" s="66"/>
      <c r="H14" s="12">
        <f>+APPIV!N37</f>
        <v>260816.86590372398</v>
      </c>
      <c r="I14" s="12"/>
      <c r="J14" s="12">
        <f>+APPIV!J37</f>
        <v>1587445.9200617431</v>
      </c>
      <c r="L14" s="12">
        <f>ROUND(J14/2,0)</f>
        <v>793723</v>
      </c>
    </row>
    <row r="15" spans="2:12" ht="15">
      <c r="B15" s="3" t="s">
        <v>928</v>
      </c>
      <c r="D15" s="12">
        <f>+APPIV!F53</f>
        <v>86029604.67456198</v>
      </c>
      <c r="E15" s="66"/>
      <c r="F15" s="12">
        <f>+APPIV!L53</f>
        <v>50441991.76439168</v>
      </c>
      <c r="G15" s="66"/>
      <c r="H15" s="12">
        <f>+APPIV!N53</f>
        <v>1753658.7940962762</v>
      </c>
      <c r="I15" s="12"/>
      <c r="J15" s="12">
        <f>+APPIV!J53</f>
        <v>12616102.079938255</v>
      </c>
      <c r="L15" s="12">
        <f>ROUND(J15/2,0)</f>
        <v>6308051</v>
      </c>
    </row>
    <row r="16" spans="2:12" ht="15">
      <c r="B16" s="3" t="s">
        <v>929</v>
      </c>
      <c r="D16" s="12">
        <f>+APPIV!F78</f>
        <v>152687328</v>
      </c>
      <c r="E16" s="66"/>
      <c r="F16" s="12">
        <f>+APPIV!L78</f>
        <v>114890053.203</v>
      </c>
      <c r="G16" s="66"/>
      <c r="H16" s="12">
        <f>+APPIV!N78</f>
        <v>4743182.230000019</v>
      </c>
      <c r="I16" s="12"/>
      <c r="J16" s="12">
        <f>+APPIV!J78</f>
        <v>14313937</v>
      </c>
      <c r="L16" s="12">
        <f>ROUND(J16/2,0)</f>
        <v>7156969</v>
      </c>
    </row>
    <row r="17" spans="2:12" ht="15">
      <c r="B17" s="3" t="s">
        <v>1754</v>
      </c>
      <c r="D17" s="22">
        <f>+APPIV!F84</f>
        <v>0</v>
      </c>
      <c r="E17" s="66"/>
      <c r="F17" s="22">
        <f>+APPIV!L84</f>
        <v>0</v>
      </c>
      <c r="G17" s="66"/>
      <c r="H17" s="22">
        <f>+APPIV!N84</f>
        <v>0</v>
      </c>
      <c r="I17" s="12"/>
      <c r="J17" s="22">
        <f>+APPIV!J84</f>
        <v>0</v>
      </c>
      <c r="L17" s="22">
        <f>ROUND(J17/2,0)</f>
        <v>0</v>
      </c>
    </row>
    <row r="18" spans="2:12" ht="16.5">
      <c r="B18" s="23" t="s">
        <v>543</v>
      </c>
      <c r="D18" s="12">
        <f>SUM(D13:D17)</f>
        <v>308192487</v>
      </c>
      <c r="E18" s="66"/>
      <c r="F18" s="12">
        <f>SUM(F13:F17)</f>
        <v>216008626.713</v>
      </c>
      <c r="G18" s="66"/>
      <c r="H18" s="12">
        <f>SUM(H13:H17)</f>
        <v>9267895.85000002</v>
      </c>
      <c r="I18" s="12"/>
      <c r="J18" s="12">
        <f>SUM(J13:J17)</f>
        <v>34267274</v>
      </c>
      <c r="K18" s="3" t="s">
        <v>923</v>
      </c>
      <c r="L18" s="55">
        <f>SUM(L13:L17)</f>
        <v>17133638</v>
      </c>
    </row>
    <row r="19" ht="15">
      <c r="K19" s="19"/>
    </row>
    <row r="20" spans="2:11" ht="16.5">
      <c r="B20" s="23" t="s">
        <v>827</v>
      </c>
      <c r="K20" s="19"/>
    </row>
    <row r="22" spans="4:8" ht="16.5">
      <c r="D22" s="20" t="s">
        <v>1296</v>
      </c>
      <c r="F22" s="14" t="s">
        <v>1293</v>
      </c>
      <c r="H22" s="14" t="s">
        <v>2005</v>
      </c>
    </row>
    <row r="23" spans="4:8" ht="16.5">
      <c r="D23" s="14" t="s">
        <v>1293</v>
      </c>
      <c r="F23" s="14" t="s">
        <v>64</v>
      </c>
      <c r="H23" s="14" t="s">
        <v>64</v>
      </c>
    </row>
    <row r="24" spans="4:10" ht="16.5">
      <c r="D24" s="14" t="s">
        <v>828</v>
      </c>
      <c r="F24" s="14" t="s">
        <v>1701</v>
      </c>
      <c r="H24" s="14" t="s">
        <v>829</v>
      </c>
      <c r="J24" s="14" t="s">
        <v>127</v>
      </c>
    </row>
    <row r="25" spans="4:10" ht="16.5">
      <c r="D25" s="14" t="s">
        <v>1710</v>
      </c>
      <c r="F25" s="14" t="s">
        <v>189</v>
      </c>
      <c r="H25" s="14" t="s">
        <v>189</v>
      </c>
      <c r="J25" s="14" t="s">
        <v>830</v>
      </c>
    </row>
    <row r="26" spans="2:10" ht="16.5">
      <c r="B26" s="17" t="s">
        <v>824</v>
      </c>
      <c r="D26" s="17" t="s">
        <v>1247</v>
      </c>
      <c r="F26" s="18" t="s">
        <v>833</v>
      </c>
      <c r="H26" s="18" t="s">
        <v>833</v>
      </c>
      <c r="J26" s="17" t="s">
        <v>834</v>
      </c>
    </row>
    <row r="27" spans="4:10" ht="15">
      <c r="D27" s="51" t="s">
        <v>835</v>
      </c>
      <c r="F27" s="51" t="s">
        <v>125</v>
      </c>
      <c r="H27" s="51" t="s">
        <v>126</v>
      </c>
      <c r="J27" s="51" t="s">
        <v>836</v>
      </c>
    </row>
    <row r="28" spans="4:10" ht="15">
      <c r="D28" s="51"/>
      <c r="F28" s="51"/>
      <c r="H28" s="51"/>
      <c r="J28" s="51" t="s">
        <v>1790</v>
      </c>
    </row>
    <row r="30" spans="2:10" ht="15">
      <c r="B30" s="3" t="s">
        <v>926</v>
      </c>
      <c r="D30" s="12">
        <f>+H13+L13</f>
        <v>5385132.960000001</v>
      </c>
      <c r="F30" s="12">
        <f>+APPIV!D24</f>
        <v>1697797</v>
      </c>
      <c r="H30" s="12">
        <f>+APPIV!D26</f>
        <v>1697797</v>
      </c>
      <c r="J30" s="95">
        <f>ROUND(L13/F30+F13/H30+H13/F30,3)</f>
        <v>28.511</v>
      </c>
    </row>
    <row r="31" spans="2:10" ht="15">
      <c r="B31" s="3" t="s">
        <v>927</v>
      </c>
      <c r="D31" s="12">
        <f>+H14+L14</f>
        <v>1054539.865903724</v>
      </c>
      <c r="F31" s="12">
        <f>+APPIV!D35</f>
        <v>335726</v>
      </c>
      <c r="H31" s="12">
        <f>+APPIV!D37</f>
        <v>335726</v>
      </c>
      <c r="J31" s="95">
        <f>ROUND(L14/F31+F14/H31+H14/F31,3)</f>
        <v>25.945</v>
      </c>
    </row>
    <row r="32" spans="2:10" ht="15">
      <c r="B32" s="3" t="s">
        <v>928</v>
      </c>
      <c r="D32" s="12">
        <f>+H15+L15</f>
        <v>8061709.794096276</v>
      </c>
      <c r="F32" s="12">
        <f>+APPIV!D51</f>
        <v>3332933</v>
      </c>
      <c r="H32" s="12">
        <f>+APPIV!D53</f>
        <v>3332933</v>
      </c>
      <c r="J32" s="95">
        <f>ROUND(L15/F32+F15/H32+H15/F32,3)</f>
        <v>17.553</v>
      </c>
    </row>
    <row r="33" spans="2:10" ht="15">
      <c r="B33" s="3" t="s">
        <v>929</v>
      </c>
      <c r="D33" s="12">
        <f>+H16+L16</f>
        <v>11900151.23000002</v>
      </c>
      <c r="F33" s="12">
        <f>+APPIV!D76</f>
        <v>4707304</v>
      </c>
      <c r="H33" s="12">
        <f>+APPIV!D78</f>
        <v>4707304</v>
      </c>
      <c r="J33" s="95">
        <f>ROUND(L16/F33+F16/H33+H16/F33,3)</f>
        <v>26.935</v>
      </c>
    </row>
    <row r="34" spans="2:10" ht="15">
      <c r="B34" s="3" t="s">
        <v>1754</v>
      </c>
      <c r="D34" s="22">
        <f>+H17+L17</f>
        <v>0</v>
      </c>
      <c r="F34" s="22">
        <f>+APPIV!D82</f>
        <v>0</v>
      </c>
      <c r="H34" s="22">
        <f>+APPIV!D84</f>
        <v>0</v>
      </c>
      <c r="J34" s="96">
        <v>0</v>
      </c>
    </row>
    <row r="35" spans="2:11" ht="16.5">
      <c r="B35" s="23" t="s">
        <v>543</v>
      </c>
      <c r="D35" s="12">
        <f>SUM(D30:D34)</f>
        <v>26401533.85000002</v>
      </c>
      <c r="F35" s="12">
        <f>SUM(F30:F34)</f>
        <v>10073760</v>
      </c>
      <c r="H35" s="12">
        <f>SUM(H30:H34)</f>
        <v>10073760</v>
      </c>
      <c r="J35" s="95">
        <f>ROUND(L18/F35,3)+ROUND(F18/H35,3)+ROUND(H18/F35,3)</f>
        <v>24.064000000000004</v>
      </c>
      <c r="K35" s="19"/>
    </row>
    <row r="37" ht="16.5">
      <c r="B37" s="23" t="s">
        <v>841</v>
      </c>
    </row>
    <row r="39" ht="16.5">
      <c r="F39" s="14" t="s">
        <v>435</v>
      </c>
    </row>
    <row r="40" spans="4:8" ht="16.5">
      <c r="D40" s="20" t="s">
        <v>1296</v>
      </c>
      <c r="F40" s="14" t="s">
        <v>1701</v>
      </c>
      <c r="H40" s="20" t="s">
        <v>842</v>
      </c>
    </row>
    <row r="41" spans="4:8" ht="16.5">
      <c r="D41" s="14" t="s">
        <v>436</v>
      </c>
      <c r="F41" s="14" t="s">
        <v>1258</v>
      </c>
      <c r="H41" s="14" t="s">
        <v>1258</v>
      </c>
    </row>
    <row r="42" spans="4:8" ht="16.5">
      <c r="D42" s="14" t="s">
        <v>437</v>
      </c>
      <c r="F42" s="14" t="s">
        <v>438</v>
      </c>
      <c r="H42" s="14" t="s">
        <v>1875</v>
      </c>
    </row>
    <row r="43" spans="2:8" ht="16.5">
      <c r="B43" s="17" t="s">
        <v>824</v>
      </c>
      <c r="D43" s="17" t="s">
        <v>1247</v>
      </c>
      <c r="F43" s="18" t="s">
        <v>1364</v>
      </c>
      <c r="H43" s="17" t="s">
        <v>1876</v>
      </c>
    </row>
    <row r="44" spans="4:8" ht="15">
      <c r="D44" s="51" t="s">
        <v>843</v>
      </c>
      <c r="F44" s="51" t="s">
        <v>844</v>
      </c>
      <c r="H44" s="51" t="s">
        <v>845</v>
      </c>
    </row>
    <row r="45" spans="4:14" ht="15">
      <c r="D45" s="51"/>
      <c r="F45" s="248"/>
      <c r="G45" s="2"/>
      <c r="H45" s="248"/>
      <c r="I45" s="2"/>
      <c r="J45" s="2"/>
      <c r="K45" s="2"/>
      <c r="L45" s="2"/>
      <c r="M45" s="2"/>
      <c r="N45" s="2"/>
    </row>
    <row r="46" spans="2:8" ht="15">
      <c r="B46" s="3" t="s">
        <v>926</v>
      </c>
      <c r="D46" s="12">
        <f>+D13-F13-D30</f>
        <v>8905962.759999998</v>
      </c>
      <c r="F46" s="12">
        <f>+APPII!I19</f>
        <v>6251000</v>
      </c>
      <c r="H46" s="97">
        <f aca="true" t="shared" si="0" ref="H46:H51">ROUND(D46/F46,2)</f>
        <v>1.42</v>
      </c>
    </row>
    <row r="47" spans="2:8" ht="15">
      <c r="B47" s="3" t="s">
        <v>927</v>
      </c>
      <c r="D47" s="12">
        <f>+D14-F14-D31</f>
        <v>3453336.9939259626</v>
      </c>
      <c r="F47" s="12">
        <f>+APPII!I30</f>
        <v>1471000</v>
      </c>
      <c r="H47" s="97">
        <f t="shared" si="0"/>
        <v>2.35</v>
      </c>
    </row>
    <row r="48" spans="2:8" ht="15">
      <c r="B48" s="3" t="s">
        <v>928</v>
      </c>
      <c r="D48" s="12">
        <f>+D15-F15-D32</f>
        <v>27525903.11607402</v>
      </c>
      <c r="F48" s="12">
        <f>+APPII!I42</f>
        <v>5412000</v>
      </c>
      <c r="H48" s="97">
        <f t="shared" si="0"/>
        <v>5.09</v>
      </c>
    </row>
    <row r="49" spans="2:8" ht="15">
      <c r="B49" s="3" t="s">
        <v>929</v>
      </c>
      <c r="D49" s="12">
        <f>+D16-F16-D33</f>
        <v>25897123.566999987</v>
      </c>
      <c r="F49" s="12">
        <f>APPIII!D71</f>
        <v>12851000</v>
      </c>
      <c r="H49" s="97">
        <f t="shared" si="0"/>
        <v>2.02</v>
      </c>
    </row>
    <row r="50" spans="2:8" ht="15">
      <c r="B50" s="3" t="s">
        <v>1754</v>
      </c>
      <c r="D50" s="22">
        <f>+D17-F17-D34</f>
        <v>0</v>
      </c>
      <c r="F50" s="22">
        <f>+APPII!I69</f>
        <v>0</v>
      </c>
      <c r="H50" s="98">
        <v>0</v>
      </c>
    </row>
    <row r="51" spans="2:8" ht="16.5">
      <c r="B51" s="23" t="s">
        <v>543</v>
      </c>
      <c r="D51" s="12">
        <f>SUM(D46:D50)</f>
        <v>65782326.43699996</v>
      </c>
      <c r="F51" s="12">
        <f>SUM(F46:F50)</f>
        <v>25985000</v>
      </c>
      <c r="H51" s="97">
        <f t="shared" si="0"/>
        <v>2.53</v>
      </c>
    </row>
    <row r="53" spans="2:3" ht="15">
      <c r="B53" s="3" t="s">
        <v>846</v>
      </c>
      <c r="C53" s="3" t="s">
        <v>847</v>
      </c>
    </row>
    <row r="54" ht="6" customHeight="1"/>
    <row r="55" ht="15">
      <c r="I55" s="66"/>
    </row>
    <row r="56" ht="15">
      <c r="H56" s="107"/>
    </row>
  </sheetData>
  <sheetProtection/>
  <printOptions horizontalCentered="1"/>
  <pageMargins left="0.5" right="0.25" top="0.25" bottom="0.25" header="0" footer="0"/>
  <pageSetup fitToHeight="1" fitToWidth="1"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0.85546875" style="3" customWidth="1"/>
    <col min="4" max="4" width="15.140625" style="3" bestFit="1" customWidth="1"/>
    <col min="5" max="5" width="12.8515625" style="3" customWidth="1"/>
    <col min="6" max="6" width="0.85546875" style="3" customWidth="1"/>
    <col min="7" max="7" width="12.57421875" style="3" customWidth="1"/>
    <col min="8" max="8" width="0.85546875" style="3" customWidth="1"/>
    <col min="9" max="9" width="12.57421875" style="3" customWidth="1"/>
    <col min="10" max="10" width="0.85546875" style="3" customWidth="1"/>
    <col min="11" max="11" width="12.57421875" style="3" customWidth="1"/>
    <col min="12" max="12" width="0.85546875" style="3" customWidth="1"/>
    <col min="13" max="13" width="12.57421875" style="3" customWidth="1"/>
    <col min="14" max="14" width="0.85546875" style="3" customWidth="1"/>
    <col min="15" max="15" width="12.57421875" style="3" customWidth="1"/>
    <col min="16" max="16" width="9.140625" style="3" customWidth="1"/>
    <col min="17" max="18" width="11.421875" style="3" bestFit="1" customWidth="1"/>
    <col min="19" max="19" width="14.00390625" style="3" bestFit="1" customWidth="1"/>
    <col min="20" max="16384" width="9.140625" style="3" customWidth="1"/>
  </cols>
  <sheetData>
    <row r="1" spans="1:17" ht="15">
      <c r="A1" s="161" t="s">
        <v>1294</v>
      </c>
      <c r="B1" s="26" t="str">
        <f>INPUT!C1</f>
        <v>February 2012</v>
      </c>
      <c r="C1" s="24"/>
      <c r="D1" s="24"/>
      <c r="E1" s="24"/>
      <c r="F1" s="24"/>
      <c r="G1" s="24"/>
      <c r="H1" s="24"/>
      <c r="I1" s="24"/>
      <c r="J1" s="24"/>
      <c r="L1" s="30"/>
      <c r="M1" s="24"/>
      <c r="O1" s="25" t="s">
        <v>848</v>
      </c>
      <c r="P1" s="24"/>
      <c r="Q1" s="24"/>
    </row>
    <row r="2" spans="1:17" ht="15">
      <c r="A2" s="24"/>
      <c r="B2" s="24"/>
      <c r="C2" s="24"/>
      <c r="D2" s="24"/>
      <c r="E2" s="24"/>
      <c r="F2" s="24"/>
      <c r="G2" s="24"/>
      <c r="H2" s="24"/>
      <c r="I2" s="24"/>
      <c r="J2" s="24"/>
      <c r="L2" s="30"/>
      <c r="M2" s="24"/>
      <c r="O2" s="25" t="s">
        <v>914</v>
      </c>
      <c r="P2" s="24"/>
      <c r="Q2" s="24"/>
    </row>
    <row r="3" spans="1:17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30"/>
      <c r="L3" s="30"/>
      <c r="M3" s="24"/>
      <c r="N3" s="24"/>
      <c r="O3" s="24"/>
      <c r="P3" s="24"/>
      <c r="Q3" s="24"/>
    </row>
    <row r="4" spans="1:17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">
      <c r="A5" s="24"/>
      <c r="B5" s="24"/>
      <c r="C5" s="24"/>
      <c r="D5" s="24"/>
      <c r="E5" s="24"/>
      <c r="G5" s="24"/>
      <c r="H5" s="25" t="s">
        <v>849</v>
      </c>
      <c r="I5" s="24"/>
      <c r="J5" s="24"/>
      <c r="K5" s="24"/>
      <c r="L5" s="24"/>
      <c r="M5" s="24"/>
      <c r="N5" s="24"/>
      <c r="O5" s="24"/>
      <c r="P5" s="24"/>
      <c r="Q5" s="24"/>
    </row>
    <row r="6" spans="1:17" ht="15">
      <c r="A6" s="24"/>
      <c r="B6" s="24"/>
      <c r="C6" s="24"/>
      <c r="D6" s="24"/>
      <c r="E6" s="24"/>
      <c r="G6" s="24"/>
      <c r="H6" s="76" t="s">
        <v>850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ht="15">
      <c r="A7" s="24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">
      <c r="A8" s="24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35" ht="15">
      <c r="A10" s="24"/>
      <c r="B10" s="24"/>
      <c r="C10" s="24"/>
      <c r="D10" s="24"/>
      <c r="E10" s="28"/>
      <c r="F10" s="29" t="s">
        <v>851</v>
      </c>
      <c r="G10" s="28"/>
      <c r="H10" s="30"/>
      <c r="I10" s="28"/>
      <c r="J10" s="29" t="s">
        <v>544</v>
      </c>
      <c r="K10" s="28"/>
      <c r="L10" s="99"/>
      <c r="M10" s="28"/>
      <c r="N10" s="29" t="s">
        <v>305</v>
      </c>
      <c r="O10" s="28"/>
      <c r="P10" s="24"/>
      <c r="Q10" s="2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">
      <c r="A11" s="24"/>
      <c r="B11" s="24"/>
      <c r="C11" s="24"/>
      <c r="D11" s="24"/>
      <c r="E11" s="25" t="s">
        <v>1299</v>
      </c>
      <c r="F11" s="25"/>
      <c r="G11" s="25" t="s">
        <v>1299</v>
      </c>
      <c r="H11" s="25"/>
      <c r="I11" s="25" t="s">
        <v>1299</v>
      </c>
      <c r="J11" s="25"/>
      <c r="K11" s="25" t="s">
        <v>1299</v>
      </c>
      <c r="L11" s="25"/>
      <c r="M11" s="25" t="s">
        <v>1299</v>
      </c>
      <c r="N11" s="25"/>
      <c r="O11" s="25" t="s">
        <v>1299</v>
      </c>
      <c r="P11" s="24"/>
      <c r="Q11" s="24"/>
      <c r="W11" s="5"/>
      <c r="X11" s="5"/>
      <c r="Y11" s="5"/>
      <c r="Z11" s="1198"/>
      <c r="AA11" s="1198"/>
      <c r="AB11" s="1198"/>
      <c r="AC11" s="1198"/>
      <c r="AD11" s="5"/>
      <c r="AE11" s="5"/>
      <c r="AF11" s="5"/>
      <c r="AG11" s="5"/>
      <c r="AH11" s="5"/>
      <c r="AI11" s="5"/>
    </row>
    <row r="12" spans="1:35" ht="15">
      <c r="A12" s="24"/>
      <c r="B12" s="24"/>
      <c r="C12" s="24"/>
      <c r="D12" s="24"/>
      <c r="E12" s="25" t="s">
        <v>1300</v>
      </c>
      <c r="F12" s="25"/>
      <c r="G12" s="25" t="s">
        <v>1301</v>
      </c>
      <c r="H12" s="25"/>
      <c r="I12" s="25" t="s">
        <v>306</v>
      </c>
      <c r="J12" s="25"/>
      <c r="K12" s="25" t="s">
        <v>1301</v>
      </c>
      <c r="L12" s="25"/>
      <c r="M12" s="25" t="s">
        <v>306</v>
      </c>
      <c r="N12" s="25"/>
      <c r="O12" s="25" t="s">
        <v>1301</v>
      </c>
      <c r="P12" s="24"/>
      <c r="Q12" s="24"/>
      <c r="W12" s="5"/>
      <c r="X12" s="1198"/>
      <c r="Y12" s="1198"/>
      <c r="Z12" s="1198"/>
      <c r="AA12" s="1198"/>
      <c r="AB12" s="1198"/>
      <c r="AC12" s="1198"/>
      <c r="AD12" s="5"/>
      <c r="AE12" s="5"/>
      <c r="AF12" s="5"/>
      <c r="AG12" s="5"/>
      <c r="AH12" s="5"/>
      <c r="AI12" s="5"/>
    </row>
    <row r="13" spans="1:35" ht="15">
      <c r="A13" s="24"/>
      <c r="B13" s="24"/>
      <c r="C13" s="24"/>
      <c r="D13" s="24"/>
      <c r="E13" s="76" t="s">
        <v>1248</v>
      </c>
      <c r="F13" s="25"/>
      <c r="G13" s="76" t="s">
        <v>1249</v>
      </c>
      <c r="H13" s="25"/>
      <c r="I13" s="76" t="s">
        <v>1248</v>
      </c>
      <c r="J13" s="25"/>
      <c r="K13" s="76" t="s">
        <v>1249</v>
      </c>
      <c r="L13" s="76"/>
      <c r="M13" s="76" t="s">
        <v>1248</v>
      </c>
      <c r="N13" s="25"/>
      <c r="O13" s="76" t="s">
        <v>1249</v>
      </c>
      <c r="P13" s="24"/>
      <c r="Q13" s="24"/>
      <c r="W13" s="5"/>
      <c r="X13" s="1198"/>
      <c r="Y13" s="1198"/>
      <c r="Z13" s="1198"/>
      <c r="AA13" s="1198"/>
      <c r="AB13" s="1198"/>
      <c r="AC13" s="1198"/>
      <c r="AD13" s="1198"/>
      <c r="AE13" s="1198"/>
      <c r="AF13" s="1198"/>
      <c r="AG13" s="1198"/>
      <c r="AH13" s="5"/>
      <c r="AI13" s="5"/>
    </row>
    <row r="14" spans="1:35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7"/>
      <c r="N14" s="24"/>
      <c r="O14" s="27"/>
      <c r="P14" s="24"/>
      <c r="Q14" s="2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>
      <c r="A15" s="24" t="s">
        <v>312</v>
      </c>
      <c r="B15" s="24"/>
      <c r="C15" s="24"/>
      <c r="D15" s="24" t="s">
        <v>926</v>
      </c>
      <c r="E15" s="34">
        <f>IF('APPVI PG 2'!M$8&lt;=0,'APPVI PG 2'!M$8*-1,0)+IF('APPVI PG 2'!M$90&lt;=0,'APPVI PG 2'!M$90*-1,0)</f>
        <v>37355</v>
      </c>
      <c r="F15" s="24"/>
      <c r="G15" s="34">
        <f>IF('APPVI PG 2'!M$8&gt;0,'APPVI PG 2'!M$8,0)+IF('APPVI PG 2'!M$90&gt;0,'APPVI PG 2'!M$90,0)</f>
        <v>0</v>
      </c>
      <c r="H15" s="24"/>
      <c r="I15" s="34">
        <f>+INPUT!D90</f>
        <v>44050</v>
      </c>
      <c r="J15" s="24"/>
      <c r="K15" s="34">
        <f>+INPUT!E90</f>
        <v>0</v>
      </c>
      <c r="L15" s="34"/>
      <c r="M15" s="36">
        <f>IF(E67+K67&lt;=0,0,E67+K67)</f>
        <v>0</v>
      </c>
      <c r="N15" s="46"/>
      <c r="O15" s="36">
        <f>IF(G67+I67&lt;=0,0,G67+I67)</f>
        <v>6695</v>
      </c>
      <c r="P15" s="24"/>
      <c r="Q15" s="24"/>
      <c r="T15" s="47"/>
      <c r="U15" s="47"/>
      <c r="W15" s="20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5">
      <c r="A16" s="24" t="s">
        <v>218</v>
      </c>
      <c r="B16" s="24"/>
      <c r="C16" s="24"/>
      <c r="D16" s="24" t="s">
        <v>927</v>
      </c>
      <c r="E16" s="34">
        <f>IF('APPVI PG 2'!N$8&lt;=0,'APPVI PG 2'!N$8*-1,0)+IF('APPVI PG 2'!N$90&lt;=0,'APPVI PG 2'!N$90*-1,0)</f>
        <v>7845</v>
      </c>
      <c r="F16" s="24"/>
      <c r="G16" s="34">
        <f>IF('APPVI PG 2'!N$8&gt;0,'APPVI PG 2'!N$8,0)+IF('APPVI PG 2'!N$90&gt;0,'APPVI PG 2'!N$90,0)</f>
        <v>0</v>
      </c>
      <c r="H16" s="24"/>
      <c r="I16" s="34">
        <f>+INPUT!D91</f>
        <v>9251</v>
      </c>
      <c r="J16" s="24"/>
      <c r="K16" s="34">
        <f>+INPUT!E91</f>
        <v>0</v>
      </c>
      <c r="L16" s="34"/>
      <c r="M16" s="36">
        <f>IF(E68+K68&lt;=0,0,E68+K68)</f>
        <v>0</v>
      </c>
      <c r="N16" s="46"/>
      <c r="O16" s="36">
        <f>IF(G68+I68&lt;=0,0,G68+I68)</f>
        <v>1406</v>
      </c>
      <c r="P16" s="24"/>
      <c r="Q16" s="24"/>
      <c r="T16" s="47"/>
      <c r="U16" s="47"/>
      <c r="W16" s="20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5">
      <c r="A17" s="24" t="s">
        <v>220</v>
      </c>
      <c r="B17" s="24"/>
      <c r="C17" s="24"/>
      <c r="D17" s="24" t="s">
        <v>928</v>
      </c>
      <c r="E17" s="34">
        <f>IF('APPVI PG 2'!O$8&lt;=0,'APPVI PG 2'!O$8*-1,0)+IF('APPVI PG 2'!O$90&lt;=0,'APPVI PG 2'!O$90*-1,0)</f>
        <v>24930</v>
      </c>
      <c r="F17" s="24"/>
      <c r="G17" s="34">
        <f>IF('APPVI PG 2'!O$8&gt;0,'APPVI PG 2'!O$8,0)+IF('APPVI PG 2'!O$90&gt;0,'APPVI PG 2'!O$90,0)</f>
        <v>0</v>
      </c>
      <c r="H17" s="24"/>
      <c r="I17" s="34">
        <f>+INPUT!D92</f>
        <v>29399</v>
      </c>
      <c r="J17" s="24"/>
      <c r="K17" s="34">
        <f>+INPUT!E92</f>
        <v>0</v>
      </c>
      <c r="L17" s="34"/>
      <c r="M17" s="36">
        <f>IF(E69+K69&lt;=0,0,E69+K69)</f>
        <v>0</v>
      </c>
      <c r="N17" s="46"/>
      <c r="O17" s="36">
        <f>IF(G69+I69&lt;=0,0,G69+I69)</f>
        <v>4469</v>
      </c>
      <c r="P17" s="24"/>
      <c r="Q17" s="24"/>
      <c r="T17" s="47"/>
      <c r="U17" s="47"/>
      <c r="W17" s="20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">
      <c r="A18" s="24"/>
      <c r="B18" s="24"/>
      <c r="C18" s="24"/>
      <c r="D18" s="24" t="s">
        <v>929</v>
      </c>
      <c r="E18" s="34">
        <f>IF('APPVI PG 2'!P$8&lt;=0,'APPVI PG 2'!P$8*-1,0)+IF('APPVI PG 2'!P$90&lt;=0,'APPVI PG 2'!P$90*-1,0)</f>
        <v>0</v>
      </c>
      <c r="F18" s="24"/>
      <c r="G18" s="34">
        <f>IF('APPVI PG 2'!P$8&gt;0,'APPVI PG 2'!P$8,0)+IF('APPVI PG 2'!P$90&gt;0,'APPVI PG 2'!P$90,0)</f>
        <v>70130</v>
      </c>
      <c r="H18" s="24"/>
      <c r="I18" s="34">
        <f>+INPUT!D93</f>
        <v>0</v>
      </c>
      <c r="J18" s="24"/>
      <c r="K18" s="34">
        <f>+INPUT!E93</f>
        <v>82700</v>
      </c>
      <c r="L18" s="34"/>
      <c r="M18" s="36">
        <f>IF(E70+K70&lt;=0,0,E70+K70)</f>
        <v>12570</v>
      </c>
      <c r="N18" s="46"/>
      <c r="O18" s="36">
        <f>IF(G70+I70&lt;=0,0,G70+I70)</f>
        <v>0</v>
      </c>
      <c r="P18" s="24"/>
      <c r="Q18" s="24"/>
      <c r="T18" s="47"/>
      <c r="U18" s="47"/>
      <c r="W18" s="20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5">
      <c r="A19" s="24"/>
      <c r="B19" s="24"/>
      <c r="C19" s="24"/>
      <c r="D19" s="24" t="s">
        <v>1754</v>
      </c>
      <c r="E19" s="39">
        <f>IF('APPVI PG 2'!Q$8&lt;=0,'APPVI PG 2'!Q$8*-1,0)+IF('APPVI PG 2'!Q$90&lt;=0,'APPVI PG 2'!Q$90*-1,0)</f>
        <v>0</v>
      </c>
      <c r="F19" s="24"/>
      <c r="G19" s="39">
        <f>IF('APPVI PG 2'!Q$8&gt;0,'APPVI PG 2'!Q$8,0)+IF('APPVI PG 2'!Q$90&gt;0,'APPVI PG 2'!Q$90,0)</f>
        <v>0</v>
      </c>
      <c r="H19" s="40"/>
      <c r="I19" s="39">
        <f>+INPUT!D94</f>
        <v>0</v>
      </c>
      <c r="J19" s="40"/>
      <c r="K19" s="39">
        <f>+INPUT!E94</f>
        <v>0</v>
      </c>
      <c r="L19" s="91"/>
      <c r="M19" s="37">
        <f>IF(E71+K71&lt;=0,0,E71+K71)</f>
        <v>0</v>
      </c>
      <c r="N19" s="205"/>
      <c r="O19" s="37">
        <f>IF(G71+I71&lt;=0,0,G71+I71)</f>
        <v>0</v>
      </c>
      <c r="P19" s="24"/>
      <c r="Q19" s="24"/>
      <c r="T19" s="47"/>
      <c r="U19" s="47"/>
      <c r="W19" s="20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">
      <c r="A20" s="24"/>
      <c r="B20" s="24"/>
      <c r="C20" s="24"/>
      <c r="D20" s="30" t="s">
        <v>543</v>
      </c>
      <c r="E20" s="34">
        <f>SUM(E15:E19)</f>
        <v>70130</v>
      </c>
      <c r="F20" s="24"/>
      <c r="G20" s="34">
        <f>SUM(G15:G19)</f>
        <v>70130</v>
      </c>
      <c r="H20" s="24"/>
      <c r="I20" s="34">
        <f>SUM(I15:I19)</f>
        <v>82700</v>
      </c>
      <c r="J20" s="24"/>
      <c r="K20" s="34">
        <f>SUM(K15:K19)</f>
        <v>82700</v>
      </c>
      <c r="L20" s="34"/>
      <c r="M20" s="34">
        <f>SUM(M15:M19)</f>
        <v>12570</v>
      </c>
      <c r="N20" s="24"/>
      <c r="O20" s="34">
        <f>SUM(O15:O19)</f>
        <v>12570</v>
      </c>
      <c r="P20" s="24"/>
      <c r="Q20" s="24"/>
      <c r="W20" s="22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.75" thickBot="1">
      <c r="A21" s="148"/>
      <c r="B21" s="148"/>
      <c r="C21" s="148"/>
      <c r="D21" s="149"/>
      <c r="E21" s="150"/>
      <c r="F21" s="148"/>
      <c r="G21" s="150"/>
      <c r="H21" s="148"/>
      <c r="I21" s="150"/>
      <c r="J21" s="148"/>
      <c r="K21" s="150"/>
      <c r="L21" s="150"/>
      <c r="M21" s="148"/>
      <c r="N21" s="148"/>
      <c r="O21" s="148"/>
      <c r="P21" s="24"/>
      <c r="Q21" s="2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17" ht="15">
      <c r="A23" s="24" t="s">
        <v>307</v>
      </c>
      <c r="B23" s="24"/>
      <c r="C23" s="24"/>
      <c r="D23" s="24" t="s">
        <v>926</v>
      </c>
      <c r="E23" s="34">
        <f>+INPUT!B82</f>
        <v>0</v>
      </c>
      <c r="F23" s="24"/>
      <c r="G23" s="34">
        <f>+INPUT!C82</f>
        <v>14830424.378964</v>
      </c>
      <c r="H23" s="24"/>
      <c r="I23" s="34">
        <f>+INPUT!D82</f>
        <v>0</v>
      </c>
      <c r="J23" s="24"/>
      <c r="K23" s="34">
        <f>+INPUT!E82</f>
        <v>14869139.102064002</v>
      </c>
      <c r="L23" s="34"/>
      <c r="M23" s="36">
        <f aca="true" t="shared" si="0" ref="M23:M28">MAX(E60,K60)</f>
        <v>38714.723100002855</v>
      </c>
      <c r="N23" s="46"/>
      <c r="O23" s="36">
        <f aca="true" t="shared" si="1" ref="O23:O28">MAX(G60,I60)</f>
        <v>0</v>
      </c>
      <c r="P23" s="24"/>
      <c r="Q23" s="24"/>
    </row>
    <row r="24" spans="1:17" ht="15">
      <c r="A24" s="24" t="s">
        <v>308</v>
      </c>
      <c r="B24" s="24"/>
      <c r="C24" s="24"/>
      <c r="D24" s="24" t="s">
        <v>927</v>
      </c>
      <c r="E24" s="34">
        <f>+INPUT!B83</f>
        <v>0</v>
      </c>
      <c r="F24" s="24"/>
      <c r="G24" s="34">
        <f>+INPUT!C83</f>
        <v>3114291.9621563</v>
      </c>
      <c r="H24" s="24"/>
      <c r="I24" s="34">
        <f>+INPUT!D83</f>
        <v>0</v>
      </c>
      <c r="J24" s="24"/>
      <c r="K24" s="34">
        <f>+INPUT!E83</f>
        <v>3122421.7927388</v>
      </c>
      <c r="L24" s="34"/>
      <c r="M24" s="36">
        <f t="shared" si="0"/>
        <v>8129.83058249997</v>
      </c>
      <c r="N24" s="46"/>
      <c r="O24" s="36">
        <f t="shared" si="1"/>
        <v>0</v>
      </c>
      <c r="P24" s="24"/>
      <c r="Q24" s="24"/>
    </row>
    <row r="25" spans="1:17" ht="15">
      <c r="A25" s="24" t="s">
        <v>309</v>
      </c>
      <c r="B25" s="24"/>
      <c r="C25" s="24"/>
      <c r="D25" s="24" t="s">
        <v>928</v>
      </c>
      <c r="E25" s="34">
        <f>+INPUT!B84</f>
        <v>0</v>
      </c>
      <c r="F25" s="24"/>
      <c r="G25" s="34">
        <f>+INPUT!C84</f>
        <v>9897316.016097602</v>
      </c>
      <c r="H25" s="24"/>
      <c r="I25" s="34">
        <f>+INPUT!D84</f>
        <v>0</v>
      </c>
      <c r="J25" s="24"/>
      <c r="K25" s="34">
        <f>+INPUT!E84</f>
        <v>9923152.8581376</v>
      </c>
      <c r="L25" s="34"/>
      <c r="M25" s="36">
        <f t="shared" si="0"/>
        <v>25836.84203999862</v>
      </c>
      <c r="N25" s="46"/>
      <c r="O25" s="36">
        <f t="shared" si="1"/>
        <v>0</v>
      </c>
      <c r="P25" s="24"/>
      <c r="Q25" s="24"/>
    </row>
    <row r="26" spans="1:17" ht="15">
      <c r="A26" s="24" t="s">
        <v>310</v>
      </c>
      <c r="B26" s="24"/>
      <c r="C26" s="24"/>
      <c r="D26" s="24" t="s">
        <v>929</v>
      </c>
      <c r="E26" s="34">
        <f>+INPUT!B85</f>
        <v>0</v>
      </c>
      <c r="F26" s="24"/>
      <c r="G26" s="34">
        <f>+INPUT!C85</f>
        <v>20750446.0547821</v>
      </c>
      <c r="H26" s="24"/>
      <c r="I26" s="34">
        <f>+INPUT!D85</f>
        <v>0</v>
      </c>
      <c r="J26" s="24"/>
      <c r="K26" s="34">
        <f>+INPUT!E85</f>
        <v>20804614.9670596</v>
      </c>
      <c r="L26" s="34"/>
      <c r="M26" s="36">
        <f>MAX(E63,K63)</f>
        <v>54168.91227750108</v>
      </c>
      <c r="N26" s="46"/>
      <c r="O26" s="36">
        <f t="shared" si="1"/>
        <v>0</v>
      </c>
      <c r="P26" s="24"/>
      <c r="Q26" s="24"/>
    </row>
    <row r="27" spans="1:17" ht="15">
      <c r="A27" s="24" t="s">
        <v>311</v>
      </c>
      <c r="B27" s="24"/>
      <c r="C27" s="24"/>
      <c r="D27" s="24" t="s">
        <v>1754</v>
      </c>
      <c r="E27" s="38">
        <f>+INPUT!B86</f>
        <v>0</v>
      </c>
      <c r="F27" s="40"/>
      <c r="G27" s="91">
        <f>+INPUT!C86</f>
        <v>0</v>
      </c>
      <c r="H27" s="40"/>
      <c r="I27" s="91">
        <f>+INPUT!D86</f>
        <v>0</v>
      </c>
      <c r="J27" s="40"/>
      <c r="K27" s="91">
        <f>+INPUT!E86</f>
        <v>0</v>
      </c>
      <c r="L27" s="91"/>
      <c r="M27" s="38">
        <f t="shared" si="0"/>
        <v>0</v>
      </c>
      <c r="N27" s="205"/>
      <c r="O27" s="38">
        <f t="shared" si="1"/>
        <v>0</v>
      </c>
      <c r="P27" s="24"/>
      <c r="Q27" s="24"/>
    </row>
    <row r="28" spans="1:17" ht="15">
      <c r="A28" s="24"/>
      <c r="B28" s="24"/>
      <c r="C28" s="24"/>
      <c r="D28" s="24" t="s">
        <v>1672</v>
      </c>
      <c r="E28" s="39">
        <f>+INPUT!B87</f>
        <v>48592478.412</v>
      </c>
      <c r="F28" s="40"/>
      <c r="G28" s="39">
        <f>+INPUT!C87</f>
        <v>0</v>
      </c>
      <c r="H28" s="40"/>
      <c r="I28" s="39">
        <f>+INPUT!D87</f>
        <v>48719328.72</v>
      </c>
      <c r="J28" s="40"/>
      <c r="K28" s="39">
        <f>+INPUT!E87</f>
        <v>0</v>
      </c>
      <c r="L28" s="91"/>
      <c r="M28" s="37">
        <f t="shared" si="0"/>
        <v>0</v>
      </c>
      <c r="N28" s="205"/>
      <c r="O28" s="37">
        <f t="shared" si="1"/>
        <v>126850.30799999833</v>
      </c>
      <c r="P28" s="24"/>
      <c r="Q28" s="24"/>
    </row>
    <row r="29" spans="2:17" ht="15">
      <c r="B29" s="24"/>
      <c r="C29" s="24"/>
      <c r="D29" s="30" t="s">
        <v>543</v>
      </c>
      <c r="E29" s="34">
        <f>SUM(E23:E28)</f>
        <v>48592478.412</v>
      </c>
      <c r="F29" s="24"/>
      <c r="G29" s="34">
        <f>SUM(G23:G28)</f>
        <v>48592478.412</v>
      </c>
      <c r="H29" s="24"/>
      <c r="I29" s="34">
        <f>SUM(I23:I28)</f>
        <v>48719328.72</v>
      </c>
      <c r="J29" s="24"/>
      <c r="K29" s="34">
        <f>SUM(K23:K28)</f>
        <v>48719328.72</v>
      </c>
      <c r="L29" s="34"/>
      <c r="M29" s="36">
        <f>SUM(M23:M28)</f>
        <v>126850.30800000252</v>
      </c>
      <c r="N29" s="46"/>
      <c r="O29" s="36">
        <f>SUM(O23:O28)</f>
        <v>126850.30799999833</v>
      </c>
      <c r="P29" s="24"/>
      <c r="Q29" s="24"/>
    </row>
    <row r="30" spans="1:17" ht="15">
      <c r="A30" s="24"/>
      <c r="B30" s="24"/>
      <c r="C30" s="24"/>
      <c r="D30" s="30"/>
      <c r="E30" s="34"/>
      <c r="F30" s="24"/>
      <c r="G30" s="34"/>
      <c r="H30" s="24"/>
      <c r="I30" s="34"/>
      <c r="J30" s="24"/>
      <c r="K30" s="34"/>
      <c r="L30" s="34"/>
      <c r="M30" s="24"/>
      <c r="N30" s="24"/>
      <c r="O30" s="24"/>
      <c r="P30" s="24"/>
      <c r="Q30" s="24"/>
    </row>
    <row r="31" spans="1:17" ht="15">
      <c r="A31" s="24" t="s">
        <v>1736</v>
      </c>
      <c r="B31" s="24"/>
      <c r="C31" s="24"/>
      <c r="D31" s="24" t="s">
        <v>926</v>
      </c>
      <c r="E31" s="34">
        <f>+'APPVII PG4'!C60</f>
        <v>1951597.9600000002</v>
      </c>
      <c r="F31" s="24"/>
      <c r="G31" s="34">
        <f>+'APPVII PG4'!E60</f>
        <v>3522193.9299999992</v>
      </c>
      <c r="H31" s="24"/>
      <c r="I31" s="36">
        <f>+'APPVII PG4'!G60</f>
        <v>1948775.7600000002</v>
      </c>
      <c r="J31" s="46"/>
      <c r="K31" s="36">
        <f>+'APPVII PG4'!I60</f>
        <v>3582130.0299999993</v>
      </c>
      <c r="L31" s="34"/>
      <c r="M31" s="34">
        <f>+'APPVII PG4'!K60</f>
        <v>62758.29999999956</v>
      </c>
      <c r="N31" s="24"/>
      <c r="O31" s="34">
        <f>+'APPVII PG4'!M60</f>
        <v>0</v>
      </c>
      <c r="P31" s="24"/>
      <c r="Q31" s="24"/>
    </row>
    <row r="32" spans="1:17" ht="15">
      <c r="A32" s="24" t="s">
        <v>217</v>
      </c>
      <c r="B32" s="24"/>
      <c r="C32" s="24"/>
      <c r="D32" s="24" t="s">
        <v>927</v>
      </c>
      <c r="E32" s="34">
        <f>+'APPVII PG4'!C61</f>
        <v>409823.37</v>
      </c>
      <c r="F32" s="24"/>
      <c r="G32" s="34">
        <f>+'APPVII PG4'!E61</f>
        <v>739633.11</v>
      </c>
      <c r="H32" s="24"/>
      <c r="I32" s="36">
        <f>+'APPVII PG4'!G61</f>
        <v>409230.46</v>
      </c>
      <c r="J32" s="46"/>
      <c r="K32" s="36">
        <f>+'APPVII PG4'!I61</f>
        <v>752220.2300000001</v>
      </c>
      <c r="L32" s="34"/>
      <c r="M32" s="34">
        <f>+'APPVII PG4'!K61</f>
        <v>13180.030000000135</v>
      </c>
      <c r="N32" s="24"/>
      <c r="O32" s="34">
        <f>+'APPVII PG4'!M61</f>
        <v>0</v>
      </c>
      <c r="P32" s="24"/>
      <c r="Q32" s="24"/>
    </row>
    <row r="33" spans="1:17" ht="15">
      <c r="A33" s="24"/>
      <c r="B33" s="24"/>
      <c r="C33" s="24"/>
      <c r="D33" s="24" t="s">
        <v>928</v>
      </c>
      <c r="E33" s="34">
        <f>+'APPVII PG4'!C62</f>
        <v>1302429.8900000001</v>
      </c>
      <c r="F33" s="24"/>
      <c r="G33" s="34">
        <f>+'APPVII PG4'!E62</f>
        <v>2350590.129999999</v>
      </c>
      <c r="H33" s="24"/>
      <c r="I33" s="36">
        <f>+'APPVII PG4'!G62</f>
        <v>1300545.76</v>
      </c>
      <c r="J33" s="46"/>
      <c r="K33" s="36">
        <f>+'APPVII PG4'!I62</f>
        <v>2390586.7800000007</v>
      </c>
      <c r="L33" s="34"/>
      <c r="M33" s="34">
        <f>+'APPVII PG4'!K62</f>
        <v>41880.78000000085</v>
      </c>
      <c r="N33" s="24"/>
      <c r="O33" s="34">
        <f>+'APPVII PG4'!M62</f>
        <v>0</v>
      </c>
      <c r="P33" s="24"/>
      <c r="Q33" s="24"/>
    </row>
    <row r="34" spans="1:17" ht="15">
      <c r="A34" s="24"/>
      <c r="B34" s="24"/>
      <c r="C34" s="24"/>
      <c r="D34" s="24" t="s">
        <v>929</v>
      </c>
      <c r="E34" s="34">
        <f>+'APPVII PG4'!C63</f>
        <v>2730639.64</v>
      </c>
      <c r="F34" s="24"/>
      <c r="G34" s="34">
        <f>+'APPVII PG4'!E63</f>
        <v>4928189.03</v>
      </c>
      <c r="H34" s="24"/>
      <c r="I34" s="36">
        <f>+'APPVII PG4'!G63</f>
        <v>2726691.03</v>
      </c>
      <c r="J34" s="46"/>
      <c r="K34" s="36">
        <f>+'APPVII PG4'!I63</f>
        <v>5012235.829999999</v>
      </c>
      <c r="L34" s="34"/>
      <c r="M34" s="34">
        <f>+'APPVII PG4'!K63</f>
        <v>87995.40999999952</v>
      </c>
      <c r="N34" s="24"/>
      <c r="O34" s="34">
        <f>+'APPVII PG4'!M63</f>
        <v>0</v>
      </c>
      <c r="P34" s="24"/>
      <c r="Q34" s="24"/>
    </row>
    <row r="35" spans="1:17" ht="15">
      <c r="A35" s="24"/>
      <c r="B35" s="24"/>
      <c r="C35" s="24"/>
      <c r="D35" s="24" t="s">
        <v>1754</v>
      </c>
      <c r="E35" s="91">
        <f>+'APPVII PG4'!C64</f>
        <v>0</v>
      </c>
      <c r="F35" s="40"/>
      <c r="G35" s="91">
        <f>+'APPVII PG4'!E64</f>
        <v>0</v>
      </c>
      <c r="H35" s="40"/>
      <c r="I35" s="38">
        <f>+'APPVII PG4'!G64</f>
        <v>0</v>
      </c>
      <c r="J35" s="205"/>
      <c r="K35" s="38">
        <f>+'APPVII PG4'!I64</f>
        <v>0</v>
      </c>
      <c r="L35" s="91"/>
      <c r="M35" s="91">
        <f>+'APPVII PG4'!K64</f>
        <v>0</v>
      </c>
      <c r="N35" s="40"/>
      <c r="O35" s="91">
        <f>+'APPVII PG4'!M64</f>
        <v>0</v>
      </c>
      <c r="P35" s="24"/>
      <c r="Q35" s="24"/>
    </row>
    <row r="36" spans="1:17" ht="15">
      <c r="A36" s="24"/>
      <c r="B36" s="24"/>
      <c r="C36" s="24"/>
      <c r="D36" s="24" t="s">
        <v>1672</v>
      </c>
      <c r="E36" s="39">
        <f>+'APPVII PG4'!C65</f>
        <v>11540606.199999997</v>
      </c>
      <c r="F36" s="24"/>
      <c r="G36" s="39">
        <f>+'APPVII PG4'!E65</f>
        <v>6394490.86</v>
      </c>
      <c r="H36" s="24"/>
      <c r="I36" s="37">
        <f>+'APPVII PG4'!G65</f>
        <v>11737172.87</v>
      </c>
      <c r="J36" s="46"/>
      <c r="K36" s="37">
        <f>+'APPVII PG4'!I65</f>
        <v>6385243.01</v>
      </c>
      <c r="L36" s="34"/>
      <c r="M36" s="39">
        <f>+'APPVII PG4'!K65</f>
        <v>0</v>
      </c>
      <c r="N36" s="24"/>
      <c r="O36" s="39">
        <f>+'APPVII PG4'!M65</f>
        <v>205814.52000000008</v>
      </c>
      <c r="P36" s="24"/>
      <c r="Q36" s="24"/>
    </row>
    <row r="37" spans="1:17" ht="15">
      <c r="A37" s="24"/>
      <c r="B37" s="24"/>
      <c r="C37" s="24"/>
      <c r="D37" s="30" t="s">
        <v>543</v>
      </c>
      <c r="E37" s="34">
        <f>SUM(E31:E36)</f>
        <v>17935097.06</v>
      </c>
      <c r="F37" s="24"/>
      <c r="G37" s="34">
        <f>SUM(G31:G36)</f>
        <v>17935097.06</v>
      </c>
      <c r="H37" s="24"/>
      <c r="I37" s="36">
        <f>SUM(I31:I36)</f>
        <v>18122415.88</v>
      </c>
      <c r="J37" s="46"/>
      <c r="K37" s="36">
        <f>SUM(K31:K36)</f>
        <v>18122415.880000003</v>
      </c>
      <c r="L37" s="34"/>
      <c r="M37" s="34">
        <f>SUM(M31:M36)</f>
        <v>205814.52000000008</v>
      </c>
      <c r="N37" s="24"/>
      <c r="O37" s="34">
        <f>SUM(O31:O36)</f>
        <v>205814.52000000008</v>
      </c>
      <c r="P37" s="24"/>
      <c r="Q37" s="24"/>
    </row>
    <row r="38" spans="1:17" ht="15">
      <c r="A38" s="24"/>
      <c r="B38" s="24"/>
      <c r="C38" s="24"/>
      <c r="D38" s="24"/>
      <c r="E38" s="24"/>
      <c r="F38" s="24"/>
      <c r="G38" s="24"/>
      <c r="H38" s="24"/>
      <c r="I38" s="46"/>
      <c r="J38" s="46"/>
      <c r="K38" s="46"/>
      <c r="L38" s="24"/>
      <c r="M38" s="24"/>
      <c r="N38" s="24"/>
      <c r="O38" s="24"/>
      <c r="P38" s="24"/>
      <c r="Q38" s="24"/>
    </row>
    <row r="39" spans="1:17" ht="15">
      <c r="A39" s="24" t="s">
        <v>313</v>
      </c>
      <c r="B39" s="24"/>
      <c r="C39" s="24"/>
      <c r="D39" s="24" t="s">
        <v>926</v>
      </c>
      <c r="E39" s="34">
        <f aca="true" t="shared" si="2" ref="E39:E44">+E23+E31</f>
        <v>1951597.9600000002</v>
      </c>
      <c r="F39" s="24"/>
      <c r="G39" s="34">
        <f aca="true" t="shared" si="3" ref="G39:G44">+G23+G31</f>
        <v>18352618.308964</v>
      </c>
      <c r="H39" s="24"/>
      <c r="I39" s="36">
        <f aca="true" t="shared" si="4" ref="I39:I44">+I23+I31</f>
        <v>1948775.7600000002</v>
      </c>
      <c r="J39" s="46"/>
      <c r="K39" s="36">
        <f aca="true" t="shared" si="5" ref="K39:K44">+K23+K31</f>
        <v>18451269.132064</v>
      </c>
      <c r="L39" s="34"/>
      <c r="M39" s="34">
        <f aca="true" t="shared" si="6" ref="M39:M44">+M23+M31</f>
        <v>101473.0231000024</v>
      </c>
      <c r="N39" s="24"/>
      <c r="O39" s="34">
        <f aca="true" t="shared" si="7" ref="O39:O44">+O23+O31</f>
        <v>0</v>
      </c>
      <c r="P39" s="24"/>
      <c r="Q39" s="24"/>
    </row>
    <row r="40" spans="1:17" ht="15">
      <c r="A40" s="228"/>
      <c r="B40" s="46"/>
      <c r="C40" s="24"/>
      <c r="D40" s="24" t="s">
        <v>927</v>
      </c>
      <c r="E40" s="34">
        <f t="shared" si="2"/>
        <v>409823.37</v>
      </c>
      <c r="F40" s="24"/>
      <c r="G40" s="34">
        <f t="shared" si="3"/>
        <v>3853925.0721563</v>
      </c>
      <c r="H40" s="24"/>
      <c r="I40" s="36">
        <f t="shared" si="4"/>
        <v>409230.46</v>
      </c>
      <c r="J40" s="46"/>
      <c r="K40" s="36">
        <f t="shared" si="5"/>
        <v>3874642.0227388</v>
      </c>
      <c r="L40" s="34"/>
      <c r="M40" s="34">
        <f t="shared" si="6"/>
        <v>21309.860582500107</v>
      </c>
      <c r="N40" s="24"/>
      <c r="O40" s="34">
        <f t="shared" si="7"/>
        <v>0</v>
      </c>
      <c r="P40" s="24"/>
      <c r="Q40" s="24"/>
    </row>
    <row r="41" spans="1:17" ht="15">
      <c r="A41" s="46"/>
      <c r="B41" s="46"/>
      <c r="C41" s="24"/>
      <c r="D41" s="24" t="s">
        <v>928</v>
      </c>
      <c r="E41" s="34">
        <f t="shared" si="2"/>
        <v>1302429.8900000001</v>
      </c>
      <c r="F41" s="24"/>
      <c r="G41" s="34">
        <f t="shared" si="3"/>
        <v>12247906.1460976</v>
      </c>
      <c r="H41" s="24"/>
      <c r="I41" s="36">
        <f t="shared" si="4"/>
        <v>1300545.76</v>
      </c>
      <c r="J41" s="46"/>
      <c r="K41" s="36">
        <f t="shared" si="5"/>
        <v>12313739.638137601</v>
      </c>
      <c r="L41" s="34"/>
      <c r="M41" s="34">
        <f t="shared" si="6"/>
        <v>67717.62203999946</v>
      </c>
      <c r="N41" s="24"/>
      <c r="O41" s="34">
        <f t="shared" si="7"/>
        <v>0</v>
      </c>
      <c r="P41" s="24"/>
      <c r="Q41" s="24"/>
    </row>
    <row r="42" spans="1:17" ht="15">
      <c r="A42" s="24"/>
      <c r="B42" s="24"/>
      <c r="C42" s="24"/>
      <c r="D42" s="24" t="s">
        <v>929</v>
      </c>
      <c r="E42" s="34">
        <f t="shared" si="2"/>
        <v>2730639.64</v>
      </c>
      <c r="F42" s="24"/>
      <c r="G42" s="34">
        <f t="shared" si="3"/>
        <v>25678635.0847821</v>
      </c>
      <c r="H42" s="24"/>
      <c r="I42" s="36">
        <f t="shared" si="4"/>
        <v>2726691.03</v>
      </c>
      <c r="J42" s="46"/>
      <c r="K42" s="36">
        <f t="shared" si="5"/>
        <v>25816850.7970596</v>
      </c>
      <c r="L42" s="34"/>
      <c r="M42" s="34">
        <f t="shared" si="6"/>
        <v>142164.32227750059</v>
      </c>
      <c r="N42" s="24"/>
      <c r="O42" s="34">
        <f t="shared" si="7"/>
        <v>0</v>
      </c>
      <c r="P42" s="24"/>
      <c r="Q42" s="24"/>
    </row>
    <row r="43" spans="1:17" ht="15">
      <c r="A43" s="24"/>
      <c r="B43" s="24"/>
      <c r="C43" s="24"/>
      <c r="D43" s="24" t="s">
        <v>1754</v>
      </c>
      <c r="E43" s="34">
        <f t="shared" si="2"/>
        <v>0</v>
      </c>
      <c r="F43" s="40"/>
      <c r="G43" s="34">
        <f t="shared" si="3"/>
        <v>0</v>
      </c>
      <c r="H43" s="40"/>
      <c r="I43" s="36">
        <f t="shared" si="4"/>
        <v>0</v>
      </c>
      <c r="J43" s="46"/>
      <c r="K43" s="36">
        <f t="shared" si="5"/>
        <v>0</v>
      </c>
      <c r="L43" s="91"/>
      <c r="M43" s="34">
        <f t="shared" si="6"/>
        <v>0</v>
      </c>
      <c r="N43" s="40"/>
      <c r="O43" s="34">
        <f t="shared" si="7"/>
        <v>0</v>
      </c>
      <c r="P43" s="24"/>
      <c r="Q43" s="24"/>
    </row>
    <row r="44" spans="1:17" ht="15">
      <c r="A44" s="24"/>
      <c r="B44" s="24"/>
      <c r="C44" s="24"/>
      <c r="D44" s="24" t="s">
        <v>1672</v>
      </c>
      <c r="E44" s="39">
        <f t="shared" si="2"/>
        <v>60133084.611999996</v>
      </c>
      <c r="F44" s="40"/>
      <c r="G44" s="39">
        <f t="shared" si="3"/>
        <v>6394490.86</v>
      </c>
      <c r="H44" s="40"/>
      <c r="I44" s="37">
        <f t="shared" si="4"/>
        <v>60456501.589999996</v>
      </c>
      <c r="J44" s="236"/>
      <c r="K44" s="37">
        <f t="shared" si="5"/>
        <v>6385243.01</v>
      </c>
      <c r="L44" s="91"/>
      <c r="M44" s="39">
        <f t="shared" si="6"/>
        <v>0</v>
      </c>
      <c r="N44" s="40"/>
      <c r="O44" s="39">
        <f t="shared" si="7"/>
        <v>332664.8279999984</v>
      </c>
      <c r="P44" s="24"/>
      <c r="Q44" s="24"/>
    </row>
    <row r="45" spans="1:17" ht="15">
      <c r="A45" s="24"/>
      <c r="B45" s="24"/>
      <c r="C45" s="24"/>
      <c r="D45" s="30" t="s">
        <v>543</v>
      </c>
      <c r="E45" s="34">
        <f>SUM(E39:E44)</f>
        <v>66527575.471999995</v>
      </c>
      <c r="F45" s="24"/>
      <c r="G45" s="34">
        <f>SUM(G39:G44)</f>
        <v>66527575.471999995</v>
      </c>
      <c r="H45" s="24"/>
      <c r="I45" s="36">
        <f>SUM(I39:I44)</f>
        <v>66841744.599999994</v>
      </c>
      <c r="J45" s="46"/>
      <c r="K45" s="36">
        <f>SUM(K39:K44)</f>
        <v>66841744.6</v>
      </c>
      <c r="L45" s="34"/>
      <c r="M45" s="34">
        <f>SUM(M39:M44)</f>
        <v>332664.82800000254</v>
      </c>
      <c r="N45" s="24"/>
      <c r="O45" s="34">
        <f>SUM(O39:O44)</f>
        <v>332664.8279999984</v>
      </c>
      <c r="P45" s="24"/>
      <c r="Q45" s="24"/>
    </row>
    <row r="46" spans="1:17" ht="15">
      <c r="A46" s="24"/>
      <c r="B46" s="24"/>
      <c r="C46" s="24"/>
      <c r="D46" s="30"/>
      <c r="E46" s="34"/>
      <c r="F46" s="24"/>
      <c r="G46" s="34"/>
      <c r="H46" s="24"/>
      <c r="I46" s="36"/>
      <c r="J46" s="46"/>
      <c r="K46" s="36"/>
      <c r="L46" s="34"/>
      <c r="M46" s="24"/>
      <c r="N46" s="24"/>
      <c r="O46" s="24"/>
      <c r="P46" s="24"/>
      <c r="Q46" s="24"/>
    </row>
    <row r="47" spans="1:18" ht="15">
      <c r="A47" s="24"/>
      <c r="B47" s="24"/>
      <c r="C47" s="24"/>
      <c r="D47" s="24"/>
      <c r="E47" s="24"/>
      <c r="F47" s="24"/>
      <c r="G47" s="24"/>
      <c r="H47" s="24"/>
      <c r="I47" s="46"/>
      <c r="J47" s="46"/>
      <c r="K47" s="46"/>
      <c r="L47" s="24"/>
      <c r="M47" s="24"/>
      <c r="N47" s="24"/>
      <c r="O47" s="24"/>
      <c r="P47" s="24"/>
      <c r="Q47" s="1197" t="s">
        <v>230</v>
      </c>
      <c r="R47" s="1197"/>
    </row>
    <row r="48" spans="1:18" ht="15">
      <c r="A48" s="24" t="s">
        <v>314</v>
      </c>
      <c r="B48" s="24"/>
      <c r="C48" s="24"/>
      <c r="D48" s="24" t="s">
        <v>926</v>
      </c>
      <c r="E48" s="34">
        <f aca="true" t="shared" si="8" ref="E48:E53">IF(E39-G39&lt;=0,0,E39-G39)</f>
        <v>0</v>
      </c>
      <c r="F48" s="34"/>
      <c r="G48" s="34">
        <f aca="true" t="shared" si="9" ref="G48:G53">IF(G39-E39&lt;=0,0,G39-E39)</f>
        <v>16401020.348963998</v>
      </c>
      <c r="H48" s="34"/>
      <c r="I48" s="36">
        <f aca="true" t="shared" si="10" ref="I48:I53">IF(I39-K39&lt;=0,0,I39-K39)</f>
        <v>0</v>
      </c>
      <c r="J48" s="36"/>
      <c r="K48" s="36">
        <f aca="true" t="shared" si="11" ref="K48:K53">IF(K39-I39&lt;=0,0,K39-I39)</f>
        <v>16502493.372064</v>
      </c>
      <c r="L48" s="34"/>
      <c r="M48" s="34">
        <f aca="true" t="shared" si="12" ref="M48:M53">IF(M39-O39&lt;=0,0,M39-O39)</f>
        <v>101473.0231000024</v>
      </c>
      <c r="N48" s="24"/>
      <c r="O48" s="34">
        <f aca="true" t="shared" si="13" ref="O48:O53">IF(O39-M39&lt;=0,0,O39-M39)</f>
        <v>0</v>
      </c>
      <c r="P48" s="24"/>
      <c r="Q48" s="34">
        <f aca="true" t="shared" si="14" ref="Q48:Q53">E48-I48</f>
        <v>0</v>
      </c>
      <c r="R48" s="34">
        <f aca="true" t="shared" si="15" ref="R48:R53">G48-K48</f>
        <v>-101473.02310000174</v>
      </c>
    </row>
    <row r="49" spans="1:18" ht="15">
      <c r="A49" s="77"/>
      <c r="B49" s="24"/>
      <c r="C49" s="24"/>
      <c r="D49" s="24" t="s">
        <v>927</v>
      </c>
      <c r="E49" s="34">
        <f t="shared" si="8"/>
        <v>0</v>
      </c>
      <c r="F49" s="34"/>
      <c r="G49" s="34">
        <f t="shared" si="9"/>
        <v>3444101.7021562997</v>
      </c>
      <c r="H49" s="34"/>
      <c r="I49" s="36">
        <f t="shared" si="10"/>
        <v>0</v>
      </c>
      <c r="J49" s="36"/>
      <c r="K49" s="36">
        <f t="shared" si="11"/>
        <v>3465411.5627388</v>
      </c>
      <c r="L49" s="34"/>
      <c r="M49" s="34">
        <f t="shared" si="12"/>
        <v>21309.860582500107</v>
      </c>
      <c r="N49" s="24"/>
      <c r="O49" s="34">
        <f t="shared" si="13"/>
        <v>0</v>
      </c>
      <c r="P49" s="24"/>
      <c r="Q49" s="34">
        <f t="shared" si="14"/>
        <v>0</v>
      </c>
      <c r="R49" s="34">
        <f t="shared" si="15"/>
        <v>-21309.86058250023</v>
      </c>
    </row>
    <row r="50" spans="1:18" ht="15">
      <c r="A50" s="24"/>
      <c r="B50" s="24"/>
      <c r="C50" s="24"/>
      <c r="D50" s="24" t="s">
        <v>928</v>
      </c>
      <c r="E50" s="34">
        <f t="shared" si="8"/>
        <v>0</v>
      </c>
      <c r="F50" s="34"/>
      <c r="G50" s="34">
        <f t="shared" si="9"/>
        <v>10945476.2560976</v>
      </c>
      <c r="H50" s="34"/>
      <c r="I50" s="36">
        <f t="shared" si="10"/>
        <v>0</v>
      </c>
      <c r="J50" s="36"/>
      <c r="K50" s="36">
        <f t="shared" si="11"/>
        <v>11013193.878137602</v>
      </c>
      <c r="L50" s="34"/>
      <c r="M50" s="34">
        <f t="shared" si="12"/>
        <v>67717.62203999946</v>
      </c>
      <c r="N50" s="24"/>
      <c r="O50" s="34">
        <f t="shared" si="13"/>
        <v>0</v>
      </c>
      <c r="P50" s="24"/>
      <c r="Q50" s="34">
        <f t="shared" si="14"/>
        <v>0</v>
      </c>
      <c r="R50" s="34">
        <f t="shared" si="15"/>
        <v>-67717.62204000168</v>
      </c>
    </row>
    <row r="51" spans="1:18" ht="15">
      <c r="A51" s="24"/>
      <c r="B51" s="24"/>
      <c r="C51" s="24"/>
      <c r="D51" s="24" t="s">
        <v>929</v>
      </c>
      <c r="E51" s="34">
        <f t="shared" si="8"/>
        <v>0</v>
      </c>
      <c r="F51" s="34"/>
      <c r="G51" s="34">
        <f t="shared" si="9"/>
        <v>22947995.4447821</v>
      </c>
      <c r="H51" s="34"/>
      <c r="I51" s="36">
        <f t="shared" si="10"/>
        <v>0</v>
      </c>
      <c r="J51" s="36"/>
      <c r="K51" s="36">
        <f t="shared" si="11"/>
        <v>23090159.767059598</v>
      </c>
      <c r="L51" s="34"/>
      <c r="M51" s="34">
        <f>IF(M42-O42&lt;=0,0,M42-O42)</f>
        <v>142164.32227750059</v>
      </c>
      <c r="N51" s="24"/>
      <c r="O51" s="34">
        <f t="shared" si="13"/>
        <v>0</v>
      </c>
      <c r="P51" s="24"/>
      <c r="Q51" s="34">
        <f t="shared" si="14"/>
        <v>0</v>
      </c>
      <c r="R51" s="34">
        <f t="shared" si="15"/>
        <v>-142164.3222774975</v>
      </c>
    </row>
    <row r="52" spans="1:18" ht="15">
      <c r="A52" s="24"/>
      <c r="B52" s="24"/>
      <c r="C52" s="24"/>
      <c r="D52" s="24" t="s">
        <v>1754</v>
      </c>
      <c r="E52" s="91">
        <f t="shared" si="8"/>
        <v>0</v>
      </c>
      <c r="F52" s="91"/>
      <c r="G52" s="91">
        <f t="shared" si="9"/>
        <v>0</v>
      </c>
      <c r="H52" s="91"/>
      <c r="I52" s="38">
        <f t="shared" si="10"/>
        <v>0</v>
      </c>
      <c r="J52" s="38"/>
      <c r="K52" s="38">
        <f t="shared" si="11"/>
        <v>0</v>
      </c>
      <c r="L52" s="91"/>
      <c r="M52" s="91">
        <f t="shared" si="12"/>
        <v>0</v>
      </c>
      <c r="N52" s="40"/>
      <c r="O52" s="91">
        <f t="shared" si="13"/>
        <v>0</v>
      </c>
      <c r="P52" s="24"/>
      <c r="Q52" s="34">
        <f t="shared" si="14"/>
        <v>0</v>
      </c>
      <c r="R52" s="34">
        <f t="shared" si="15"/>
        <v>0</v>
      </c>
    </row>
    <row r="53" spans="1:18" ht="15">
      <c r="A53" s="24"/>
      <c r="B53" s="24"/>
      <c r="C53" s="24"/>
      <c r="D53" s="24" t="s">
        <v>1672</v>
      </c>
      <c r="E53" s="39">
        <f t="shared" si="8"/>
        <v>53738593.752</v>
      </c>
      <c r="F53" s="34"/>
      <c r="G53" s="39">
        <f t="shared" si="9"/>
        <v>0</v>
      </c>
      <c r="H53" s="34"/>
      <c r="I53" s="37">
        <f t="shared" si="10"/>
        <v>54071258.58</v>
      </c>
      <c r="J53" s="38"/>
      <c r="K53" s="37">
        <f t="shared" si="11"/>
        <v>0</v>
      </c>
      <c r="L53" s="91"/>
      <c r="M53" s="39">
        <f t="shared" si="12"/>
        <v>0</v>
      </c>
      <c r="N53" s="40"/>
      <c r="O53" s="39">
        <f t="shared" si="13"/>
        <v>332664.8279999984</v>
      </c>
      <c r="P53" s="24"/>
      <c r="Q53" s="39">
        <f t="shared" si="14"/>
        <v>-332664.8280000016</v>
      </c>
      <c r="R53" s="39">
        <f t="shared" si="15"/>
        <v>0</v>
      </c>
    </row>
    <row r="54" spans="1:19" ht="15">
      <c r="A54" s="24"/>
      <c r="B54" s="24"/>
      <c r="C54" s="24"/>
      <c r="D54" s="30" t="s">
        <v>543</v>
      </c>
      <c r="E54" s="34">
        <f>SUM(E48:E53)</f>
        <v>53738593.752</v>
      </c>
      <c r="F54" s="34"/>
      <c r="G54" s="34">
        <f>SUM(G48:G53)</f>
        <v>53738593.752</v>
      </c>
      <c r="H54" s="34"/>
      <c r="I54" s="36">
        <f>SUM(I48:I53)</f>
        <v>54071258.58</v>
      </c>
      <c r="J54" s="36"/>
      <c r="K54" s="36">
        <f>SUM(K48:K53)</f>
        <v>54071258.58</v>
      </c>
      <c r="L54" s="34"/>
      <c r="M54" s="34">
        <f>SUM(M48:M53)</f>
        <v>332664.82800000254</v>
      </c>
      <c r="N54" s="24"/>
      <c r="O54" s="34">
        <f>SUM(O48:O53)</f>
        <v>332664.8279999984</v>
      </c>
      <c r="P54" s="24"/>
      <c r="Q54" s="34">
        <f>SUM(Q48:Q53)</f>
        <v>-332664.8280000016</v>
      </c>
      <c r="R54" s="34">
        <f>SUM(R48:R53)</f>
        <v>-332664.82800000114</v>
      </c>
      <c r="S54" s="12">
        <f>Q54-R54</f>
        <v>-4.656612873077393E-10</v>
      </c>
    </row>
    <row r="55" spans="1:17" ht="15">
      <c r="A55" s="24"/>
      <c r="B55" s="24"/>
      <c r="C55" s="24"/>
      <c r="D55" s="30"/>
      <c r="E55" s="34"/>
      <c r="F55" s="34"/>
      <c r="G55" s="34"/>
      <c r="H55" s="34"/>
      <c r="I55" s="34"/>
      <c r="J55" s="34"/>
      <c r="K55" s="34"/>
      <c r="L55" s="34"/>
      <c r="M55" s="24"/>
      <c r="N55" s="24"/>
      <c r="O55" s="24"/>
      <c r="P55" s="24"/>
      <c r="Q55" s="24"/>
    </row>
    <row r="56" spans="1:17" ht="15">
      <c r="A56" s="3" t="s">
        <v>1244</v>
      </c>
      <c r="B56" s="2" t="s">
        <v>572</v>
      </c>
      <c r="C56" s="46"/>
      <c r="D56" s="46"/>
      <c r="E56" s="46"/>
      <c r="F56" s="46"/>
      <c r="G56" s="46"/>
      <c r="H56" s="46"/>
      <c r="I56" s="46"/>
      <c r="J56" s="24"/>
      <c r="K56" s="24"/>
      <c r="L56" s="24"/>
      <c r="M56" s="24"/>
      <c r="N56" s="24"/>
      <c r="O56" s="24"/>
      <c r="P56" s="24"/>
      <c r="Q56" s="24"/>
    </row>
    <row r="57" spans="2:17" ht="15">
      <c r="B57" s="2" t="s">
        <v>1243</v>
      </c>
      <c r="C57" s="2"/>
      <c r="D57" s="2"/>
      <c r="E57" s="2"/>
      <c r="F57" s="2"/>
      <c r="G57" s="2"/>
      <c r="H57" s="46"/>
      <c r="I57" s="46"/>
      <c r="J57" s="46"/>
      <c r="K57" s="46"/>
      <c r="L57" s="24"/>
      <c r="M57" s="24"/>
      <c r="N57" s="24"/>
      <c r="O57" s="24"/>
      <c r="P57" s="24"/>
      <c r="Q57" s="24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4"/>
      <c r="Q58" s="24"/>
    </row>
    <row r="60" spans="5:15" ht="15">
      <c r="E60" s="34">
        <f aca="true" t="shared" si="16" ref="E60:E65">+E23-I23</f>
        <v>0</v>
      </c>
      <c r="F60" s="34"/>
      <c r="G60" s="34">
        <f aca="true" t="shared" si="17" ref="G60:G65">+I23-E23</f>
        <v>0</v>
      </c>
      <c r="H60" s="34"/>
      <c r="I60" s="34">
        <f aca="true" t="shared" si="18" ref="I60:I65">+G23-K23</f>
        <v>-38714.723100002855</v>
      </c>
      <c r="J60" s="34"/>
      <c r="K60" s="34">
        <f aca="true" t="shared" si="19" ref="K60:K65">+K23-G23</f>
        <v>38714.723100002855</v>
      </c>
      <c r="O60" s="12">
        <f>SUM(E60:K60)</f>
        <v>0</v>
      </c>
    </row>
    <row r="61" spans="5:15" ht="15">
      <c r="E61" s="34">
        <f t="shared" si="16"/>
        <v>0</v>
      </c>
      <c r="F61" s="34"/>
      <c r="G61" s="34">
        <f t="shared" si="17"/>
        <v>0</v>
      </c>
      <c r="H61" s="34"/>
      <c r="I61" s="34">
        <f t="shared" si="18"/>
        <v>-8129.83058249997</v>
      </c>
      <c r="J61" s="34"/>
      <c r="K61" s="34">
        <f t="shared" si="19"/>
        <v>8129.83058249997</v>
      </c>
      <c r="O61" s="12">
        <f aca="true" t="shared" si="20" ref="O61:O72">SUM(E61:K61)</f>
        <v>0</v>
      </c>
    </row>
    <row r="62" spans="5:15" ht="15">
      <c r="E62" s="34">
        <f t="shared" si="16"/>
        <v>0</v>
      </c>
      <c r="F62" s="34"/>
      <c r="G62" s="34">
        <f t="shared" si="17"/>
        <v>0</v>
      </c>
      <c r="H62" s="34"/>
      <c r="I62" s="34">
        <f t="shared" si="18"/>
        <v>-25836.84203999862</v>
      </c>
      <c r="J62" s="34"/>
      <c r="K62" s="34">
        <f t="shared" si="19"/>
        <v>25836.84203999862</v>
      </c>
      <c r="O62" s="12">
        <f t="shared" si="20"/>
        <v>0</v>
      </c>
    </row>
    <row r="63" spans="5:15" ht="15">
      <c r="E63" s="34">
        <f t="shared" si="16"/>
        <v>0</v>
      </c>
      <c r="F63" s="34"/>
      <c r="G63" s="34">
        <f t="shared" si="17"/>
        <v>0</v>
      </c>
      <c r="H63" s="34"/>
      <c r="I63" s="34">
        <f t="shared" si="18"/>
        <v>-54168.91227750108</v>
      </c>
      <c r="J63" s="34"/>
      <c r="K63" s="34">
        <f t="shared" si="19"/>
        <v>54168.91227750108</v>
      </c>
      <c r="O63" s="12">
        <f t="shared" si="20"/>
        <v>0</v>
      </c>
    </row>
    <row r="64" spans="5:15" ht="15">
      <c r="E64" s="34">
        <f t="shared" si="16"/>
        <v>0</v>
      </c>
      <c r="F64" s="34"/>
      <c r="G64" s="34">
        <f t="shared" si="17"/>
        <v>0</v>
      </c>
      <c r="H64" s="34"/>
      <c r="I64" s="34">
        <f t="shared" si="18"/>
        <v>0</v>
      </c>
      <c r="J64" s="34"/>
      <c r="K64" s="34">
        <f t="shared" si="19"/>
        <v>0</v>
      </c>
      <c r="O64" s="12">
        <f t="shared" si="20"/>
        <v>0</v>
      </c>
    </row>
    <row r="65" spans="5:15" ht="15">
      <c r="E65" s="34">
        <f t="shared" si="16"/>
        <v>-126850.30799999833</v>
      </c>
      <c r="F65" s="34"/>
      <c r="G65" s="34">
        <f t="shared" si="17"/>
        <v>126850.30799999833</v>
      </c>
      <c r="H65" s="34"/>
      <c r="I65" s="34">
        <f t="shared" si="18"/>
        <v>0</v>
      </c>
      <c r="J65" s="34"/>
      <c r="K65" s="34">
        <f t="shared" si="19"/>
        <v>0</v>
      </c>
      <c r="O65" s="12">
        <f t="shared" si="20"/>
        <v>0</v>
      </c>
    </row>
    <row r="66" ht="15">
      <c r="O66" s="12"/>
    </row>
    <row r="67" spans="5:15" ht="15">
      <c r="E67" s="34">
        <f aca="true" t="shared" si="21" ref="E67:E72">+E15-I15</f>
        <v>-6695</v>
      </c>
      <c r="F67" s="24"/>
      <c r="G67" s="34">
        <f aca="true" t="shared" si="22" ref="G67:G72">+I15-E15</f>
        <v>6695</v>
      </c>
      <c r="H67" s="24"/>
      <c r="I67" s="34">
        <f aca="true" t="shared" si="23" ref="I67:I72">+G15-K15</f>
        <v>0</v>
      </c>
      <c r="J67" s="24"/>
      <c r="K67" s="34">
        <f aca="true" t="shared" si="24" ref="K67:K72">+K15-G15</f>
        <v>0</v>
      </c>
      <c r="O67" s="12">
        <f t="shared" si="20"/>
        <v>0</v>
      </c>
    </row>
    <row r="68" spans="5:15" ht="15">
      <c r="E68" s="34">
        <f t="shared" si="21"/>
        <v>-1406</v>
      </c>
      <c r="F68" s="24"/>
      <c r="G68" s="34">
        <f t="shared" si="22"/>
        <v>1406</v>
      </c>
      <c r="H68" s="24"/>
      <c r="I68" s="34">
        <f t="shared" si="23"/>
        <v>0</v>
      </c>
      <c r="J68" s="24"/>
      <c r="K68" s="34">
        <f t="shared" si="24"/>
        <v>0</v>
      </c>
      <c r="O68" s="12">
        <f t="shared" si="20"/>
        <v>0</v>
      </c>
    </row>
    <row r="69" spans="5:15" ht="15">
      <c r="E69" s="34">
        <f t="shared" si="21"/>
        <v>-4469</v>
      </c>
      <c r="F69" s="24"/>
      <c r="G69" s="34">
        <f t="shared" si="22"/>
        <v>4469</v>
      </c>
      <c r="H69" s="24"/>
      <c r="I69" s="34">
        <f t="shared" si="23"/>
        <v>0</v>
      </c>
      <c r="J69" s="24"/>
      <c r="K69" s="34">
        <f t="shared" si="24"/>
        <v>0</v>
      </c>
      <c r="O69" s="12">
        <f t="shared" si="20"/>
        <v>0</v>
      </c>
    </row>
    <row r="70" spans="5:15" ht="15">
      <c r="E70" s="34">
        <f t="shared" si="21"/>
        <v>0</v>
      </c>
      <c r="F70" s="24"/>
      <c r="G70" s="34">
        <f t="shared" si="22"/>
        <v>0</v>
      </c>
      <c r="H70" s="24"/>
      <c r="I70" s="34">
        <f t="shared" si="23"/>
        <v>-12570</v>
      </c>
      <c r="J70" s="24"/>
      <c r="K70" s="34">
        <f t="shared" si="24"/>
        <v>12570</v>
      </c>
      <c r="O70" s="12">
        <f t="shared" si="20"/>
        <v>0</v>
      </c>
    </row>
    <row r="71" spans="5:15" ht="15">
      <c r="E71" s="34">
        <f t="shared" si="21"/>
        <v>0</v>
      </c>
      <c r="F71" s="24"/>
      <c r="G71" s="34">
        <f t="shared" si="22"/>
        <v>0</v>
      </c>
      <c r="H71" s="24"/>
      <c r="I71" s="34">
        <f t="shared" si="23"/>
        <v>0</v>
      </c>
      <c r="J71" s="24"/>
      <c r="K71" s="34">
        <f t="shared" si="24"/>
        <v>0</v>
      </c>
      <c r="O71" s="12">
        <f t="shared" si="20"/>
        <v>0</v>
      </c>
    </row>
    <row r="72" spans="5:15" ht="15">
      <c r="E72" s="34">
        <f t="shared" si="21"/>
        <v>-12570</v>
      </c>
      <c r="F72" s="24"/>
      <c r="G72" s="34">
        <f t="shared" si="22"/>
        <v>12570</v>
      </c>
      <c r="H72" s="24"/>
      <c r="I72" s="34">
        <f t="shared" si="23"/>
        <v>-12570</v>
      </c>
      <c r="J72" s="24"/>
      <c r="K72" s="34">
        <f t="shared" si="24"/>
        <v>12570</v>
      </c>
      <c r="O72" s="12">
        <f t="shared" si="20"/>
        <v>0</v>
      </c>
    </row>
    <row r="73" spans="5:11" ht="15">
      <c r="E73" s="24"/>
      <c r="F73" s="24"/>
      <c r="G73" s="24"/>
      <c r="H73" s="24"/>
      <c r="I73" s="24"/>
      <c r="J73" s="24"/>
      <c r="K73" s="24"/>
    </row>
    <row r="74" spans="5:11" ht="15">
      <c r="E74" s="24"/>
      <c r="F74" s="24"/>
      <c r="G74" s="24"/>
      <c r="H74" s="24"/>
      <c r="I74" s="24"/>
      <c r="J74" s="24"/>
      <c r="K74" s="24"/>
    </row>
    <row r="75" spans="5:11" ht="15">
      <c r="E75" s="24"/>
      <c r="F75" s="24"/>
      <c r="G75" s="24"/>
      <c r="H75" s="24"/>
      <c r="I75" s="24"/>
      <c r="J75" s="24"/>
      <c r="K75" s="24"/>
    </row>
    <row r="76" spans="5:11" ht="15">
      <c r="E76" s="24"/>
      <c r="F76" s="24"/>
      <c r="G76" s="24"/>
      <c r="H76" s="24"/>
      <c r="I76" s="24"/>
      <c r="J76" s="24"/>
      <c r="K76" s="24"/>
    </row>
  </sheetData>
  <sheetProtection/>
  <mergeCells count="11">
    <mergeCell ref="Z11:AA11"/>
    <mergeCell ref="AB12:AC12"/>
    <mergeCell ref="AB13:AC13"/>
    <mergeCell ref="AB11:AC11"/>
    <mergeCell ref="Q47:R47"/>
    <mergeCell ref="X12:Y12"/>
    <mergeCell ref="X13:Y13"/>
    <mergeCell ref="Z12:AA12"/>
    <mergeCell ref="Z13:AA13"/>
    <mergeCell ref="AF13:AG13"/>
    <mergeCell ref="AD13:AE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50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2.140625" style="155" customWidth="1"/>
    <col min="2" max="2" width="24.57421875" style="155" customWidth="1"/>
    <col min="3" max="3" width="9.140625" style="155" customWidth="1"/>
    <col min="4" max="4" width="8.28125" style="155" customWidth="1"/>
    <col min="5" max="5" width="5.421875" style="155" customWidth="1"/>
    <col min="6" max="6" width="13.28125" style="155" customWidth="1"/>
    <col min="7" max="7" width="8.57421875" style="155" bestFit="1" customWidth="1"/>
    <col min="8" max="10" width="8.28125" style="155" bestFit="1" customWidth="1"/>
    <col min="11" max="11" width="8.421875" style="155" bestFit="1" customWidth="1"/>
    <col min="12" max="12" width="9.7109375" style="155" bestFit="1" customWidth="1"/>
    <col min="13" max="13" width="8.8515625" style="155" bestFit="1" customWidth="1"/>
    <col min="14" max="14" width="8.57421875" style="155" bestFit="1" customWidth="1"/>
    <col min="15" max="15" width="9.28125" style="155" customWidth="1"/>
    <col min="16" max="16" width="9.7109375" style="155" bestFit="1" customWidth="1"/>
    <col min="17" max="17" width="8.8515625" style="155" bestFit="1" customWidth="1"/>
    <col min="18" max="18" width="8.28125" style="155" customWidth="1"/>
    <col min="19" max="19" width="10.28125" style="155" customWidth="1"/>
    <col min="20" max="20" width="13.8515625" style="155" bestFit="1" customWidth="1"/>
    <col min="21" max="21" width="13.140625" style="155" bestFit="1" customWidth="1"/>
    <col min="22" max="22" width="13.57421875" style="155" bestFit="1" customWidth="1"/>
    <col min="23" max="23" width="13.140625" style="155" bestFit="1" customWidth="1"/>
    <col min="24" max="24" width="13.57421875" style="155" bestFit="1" customWidth="1"/>
    <col min="25" max="16384" width="10.28125" style="155" customWidth="1"/>
  </cols>
  <sheetData>
    <row r="1" spans="1:18" ht="14.25">
      <c r="A1" s="161" t="s">
        <v>1294</v>
      </c>
      <c r="B1" s="156" t="str">
        <f>INPUT!C1</f>
        <v>February 2012</v>
      </c>
      <c r="C1" s="368" t="s">
        <v>508</v>
      </c>
      <c r="D1" s="368"/>
      <c r="E1" s="616"/>
      <c r="F1" s="616"/>
      <c r="G1" s="364"/>
      <c r="H1" s="364"/>
      <c r="I1" s="364"/>
      <c r="J1" s="617"/>
      <c r="K1" s="617"/>
      <c r="L1" s="617"/>
      <c r="M1" s="159"/>
      <c r="O1" s="159"/>
      <c r="P1" s="160"/>
      <c r="R1" s="197" t="s">
        <v>848</v>
      </c>
    </row>
    <row r="2" spans="1:18" ht="14.25">
      <c r="A2" s="161"/>
      <c r="B2" s="609"/>
      <c r="C2" s="368"/>
      <c r="D2" s="368"/>
      <c r="E2" s="616"/>
      <c r="F2" s="616"/>
      <c r="G2" s="364"/>
      <c r="H2" s="364"/>
      <c r="I2" s="364"/>
      <c r="J2" s="617"/>
      <c r="K2" s="617"/>
      <c r="L2" s="617"/>
      <c r="M2" s="159"/>
      <c r="N2" s="160"/>
      <c r="O2" s="159"/>
      <c r="P2" s="160"/>
      <c r="Q2" s="159"/>
      <c r="R2" s="192" t="s">
        <v>915</v>
      </c>
    </row>
    <row r="3" spans="2:15" ht="14.25">
      <c r="B3" s="161"/>
      <c r="C3" s="368"/>
      <c r="D3" s="368"/>
      <c r="E3" s="616"/>
      <c r="F3" s="616"/>
      <c r="G3" s="364"/>
      <c r="H3" s="364"/>
      <c r="I3" s="368"/>
      <c r="J3" s="618"/>
      <c r="K3" s="618"/>
      <c r="L3" s="618"/>
      <c r="M3" s="159"/>
      <c r="N3" s="160"/>
      <c r="O3" s="159"/>
    </row>
    <row r="4" spans="1:17" ht="15" thickBot="1">
      <c r="A4" s="364"/>
      <c r="B4" s="364"/>
      <c r="H4" s="163"/>
      <c r="I4" s="157"/>
      <c r="J4" s="162"/>
      <c r="K4" s="162"/>
      <c r="L4" s="162"/>
      <c r="M4" s="164"/>
      <c r="N4" s="165"/>
      <c r="O4" s="164"/>
      <c r="P4" s="165"/>
      <c r="Q4" s="164"/>
    </row>
    <row r="5" spans="1:15" ht="14.25">
      <c r="A5" s="166"/>
      <c r="B5" s="158"/>
      <c r="C5" s="158"/>
      <c r="D5" s="158"/>
      <c r="E5" s="158"/>
      <c r="F5" s="158"/>
      <c r="G5" s="167" t="s">
        <v>1386</v>
      </c>
      <c r="H5" s="168"/>
      <c r="I5" s="169"/>
      <c r="J5" s="168"/>
      <c r="K5" s="168"/>
      <c r="L5" s="170"/>
      <c r="O5" s="171" t="s">
        <v>1280</v>
      </c>
    </row>
    <row r="6" spans="1:18" s="171" customFormat="1" ht="15" thickBot="1">
      <c r="A6" s="172" t="s">
        <v>1281</v>
      </c>
      <c r="E6" s="171" t="s">
        <v>1107</v>
      </c>
      <c r="F6" s="173" t="s">
        <v>539</v>
      </c>
      <c r="G6" s="174">
        <f>INPUT!C5</f>
        <v>0.3052</v>
      </c>
      <c r="H6" s="174">
        <f>INPUT!C6</f>
        <v>0.06409</v>
      </c>
      <c r="I6" s="174">
        <f>INPUT!C7</f>
        <v>0.20368</v>
      </c>
      <c r="J6" s="174">
        <f>INPUT!C8</f>
        <v>0.42703</v>
      </c>
      <c r="K6" s="174">
        <f>INPUT!C9</f>
        <v>0</v>
      </c>
      <c r="L6" s="175">
        <f>SUM(G6:K6)</f>
        <v>1</v>
      </c>
      <c r="M6" s="173"/>
      <c r="N6" s="173"/>
      <c r="O6" s="173"/>
      <c r="P6" s="173"/>
      <c r="Q6" s="173"/>
      <c r="R6" s="173"/>
    </row>
    <row r="7" spans="1:18" s="172" customFormat="1" ht="14.25">
      <c r="A7" s="172" t="s">
        <v>1108</v>
      </c>
      <c r="B7" s="172" t="s">
        <v>1109</v>
      </c>
      <c r="D7" s="172" t="s">
        <v>1110</v>
      </c>
      <c r="E7" s="172" t="s">
        <v>1111</v>
      </c>
      <c r="F7" s="172" t="s">
        <v>1112</v>
      </c>
      <c r="G7" s="172" t="s">
        <v>926</v>
      </c>
      <c r="H7" s="172" t="s">
        <v>927</v>
      </c>
      <c r="I7" s="172" t="s">
        <v>928</v>
      </c>
      <c r="J7" s="172" t="s">
        <v>929</v>
      </c>
      <c r="K7" s="172" t="s">
        <v>1754</v>
      </c>
      <c r="L7" s="176" t="s">
        <v>1279</v>
      </c>
      <c r="M7" s="172" t="s">
        <v>926</v>
      </c>
      <c r="N7" s="172" t="s">
        <v>927</v>
      </c>
      <c r="O7" s="172" t="s">
        <v>928</v>
      </c>
      <c r="P7" s="172" t="s">
        <v>929</v>
      </c>
      <c r="Q7" s="172" t="s">
        <v>1754</v>
      </c>
      <c r="R7" s="176" t="s">
        <v>64</v>
      </c>
    </row>
    <row r="8" spans="1:18" s="172" customFormat="1" ht="14.25">
      <c r="A8" s="177"/>
      <c r="B8" s="177" t="s">
        <v>1113</v>
      </c>
      <c r="C8" s="177"/>
      <c r="D8" s="177"/>
      <c r="E8" s="177"/>
      <c r="F8" s="178">
        <f>SUM(F9:F83)</f>
        <v>122394.97</v>
      </c>
      <c r="G8" s="178">
        <f aca="true" t="shared" si="0" ref="G8:R8">SUM(G9:G83)</f>
        <v>37355</v>
      </c>
      <c r="H8" s="178">
        <f t="shared" si="0"/>
        <v>7845</v>
      </c>
      <c r="I8" s="611">
        <f t="shared" si="0"/>
        <v>24930</v>
      </c>
      <c r="J8" s="611">
        <f t="shared" si="0"/>
        <v>52266</v>
      </c>
      <c r="K8" s="178">
        <f t="shared" si="0"/>
        <v>0</v>
      </c>
      <c r="L8" s="178">
        <f t="shared" si="0"/>
        <v>122396</v>
      </c>
      <c r="M8" s="178">
        <f t="shared" si="0"/>
        <v>-37355</v>
      </c>
      <c r="N8" s="178">
        <f t="shared" si="0"/>
        <v>-7845</v>
      </c>
      <c r="O8" s="178">
        <f t="shared" si="0"/>
        <v>-24930</v>
      </c>
      <c r="P8" s="178">
        <f t="shared" si="0"/>
        <v>70130</v>
      </c>
      <c r="Q8" s="178">
        <f t="shared" si="0"/>
        <v>0</v>
      </c>
      <c r="R8" s="178">
        <f t="shared" si="0"/>
        <v>0</v>
      </c>
    </row>
    <row r="9" spans="1:18" ht="12.75">
      <c r="A9" s="231" t="s">
        <v>962</v>
      </c>
      <c r="B9" s="234"/>
      <c r="C9" s="234"/>
      <c r="D9" s="234"/>
      <c r="E9" s="234"/>
      <c r="F9" s="234"/>
      <c r="G9" s="231"/>
      <c r="H9" s="234"/>
      <c r="I9" s="234"/>
      <c r="J9" s="234"/>
      <c r="K9" s="234"/>
      <c r="L9" s="234"/>
      <c r="M9" s="231"/>
      <c r="N9" s="234"/>
      <c r="O9" s="234"/>
      <c r="P9" s="234"/>
      <c r="Q9" s="234"/>
      <c r="R9" s="237"/>
    </row>
    <row r="10" spans="1:24" ht="17.25" customHeight="1">
      <c r="A10" s="190"/>
      <c r="B10" s="182"/>
      <c r="C10" s="182"/>
      <c r="D10" s="182"/>
      <c r="E10" s="182"/>
      <c r="F10" s="182"/>
      <c r="G10" s="190"/>
      <c r="H10" s="182"/>
      <c r="I10" s="182"/>
      <c r="J10" s="182"/>
      <c r="K10" s="182"/>
      <c r="L10" s="182"/>
      <c r="M10" s="190"/>
      <c r="N10" s="182"/>
      <c r="O10" s="182"/>
      <c r="P10" s="182"/>
      <c r="Q10" s="182"/>
      <c r="R10" s="191"/>
      <c r="T10" s="157" t="s">
        <v>926</v>
      </c>
      <c r="U10" s="157" t="s">
        <v>927</v>
      </c>
      <c r="V10" s="157" t="s">
        <v>928</v>
      </c>
      <c r="W10" s="157" t="s">
        <v>929</v>
      </c>
      <c r="X10" s="157" t="s">
        <v>1754</v>
      </c>
    </row>
    <row r="11" spans="1:24" ht="16.5" customHeight="1" hidden="1">
      <c r="A11" s="179" t="s">
        <v>1114</v>
      </c>
      <c r="B11" s="606" t="str">
        <f>VLOOKUP(A11,'APPVI VLOOKUP NAMES'!$A$2:$C$300,3,FALSE)</f>
        <v>Allegheny Power GM</v>
      </c>
      <c r="C11" s="183"/>
      <c r="D11" s="182">
        <f aca="true" t="shared" si="1" ref="D11:D18">IF(C11="(2)",4210020,4470066)</f>
        <v>4470066</v>
      </c>
      <c r="E11" s="183" t="s">
        <v>1115</v>
      </c>
      <c r="F11" s="232"/>
      <c r="G11" s="185">
        <f>ROUND(+G$6*$F11,0)</f>
        <v>0</v>
      </c>
      <c r="H11" s="160">
        <f>ROUND(+H$6*$F11,0)</f>
        <v>0</v>
      </c>
      <c r="I11" s="160">
        <f>ROUND(+I$6*$F11,0)</f>
        <v>0</v>
      </c>
      <c r="J11" s="160">
        <f>ROUND(+J$6*$F11,0)</f>
        <v>0</v>
      </c>
      <c r="K11" s="160">
        <f>ROUND(+K$6*$F11,0)</f>
        <v>0</v>
      </c>
      <c r="L11" s="160">
        <f aca="true" t="shared" si="2" ref="L11:L65">SUM(G11:K11)</f>
        <v>0</v>
      </c>
      <c r="M11" s="187">
        <f aca="true" t="shared" si="3" ref="M11:M65">IF($E11="02",$L11-G11,-G11)</f>
        <v>0</v>
      </c>
      <c r="N11" s="188">
        <f aca="true" t="shared" si="4" ref="N11:N65">IF($E11="03",$L11-H11,-H11)</f>
        <v>0</v>
      </c>
      <c r="O11" s="188">
        <f aca="true" t="shared" si="5" ref="O11:O65">IF($E11="04",$L11-I11,-I11)</f>
        <v>0</v>
      </c>
      <c r="P11" s="188">
        <f aca="true" t="shared" si="6" ref="P11:P65">IF($E11="07",$L11-J11,-J11)</f>
        <v>0</v>
      </c>
      <c r="Q11" s="188">
        <f aca="true" t="shared" si="7" ref="Q11:Q65">IF($E11="10",$L11-K11,-K11)</f>
        <v>0</v>
      </c>
      <c r="R11" s="189">
        <f aca="true" t="shared" si="8" ref="R11:R65">+Q11+P11+O11+N11+M11</f>
        <v>0</v>
      </c>
      <c r="T11" s="200">
        <f>ROUND(+G$6*$F11,5)</f>
        <v>0</v>
      </c>
      <c r="U11" s="200">
        <f>ROUND(+H$6*$F11,5)</f>
        <v>0</v>
      </c>
      <c r="V11" s="200">
        <f>ROUND(+I$6*$F11,5)</f>
        <v>0</v>
      </c>
      <c r="W11" s="200">
        <f>ROUND(+J$6*$F11,5)</f>
        <v>0</v>
      </c>
      <c r="X11" s="201">
        <f>ROUND(+K$6*$F11,5)</f>
        <v>0</v>
      </c>
    </row>
    <row r="12" spans="1:24" ht="16.5" customHeight="1" hidden="1">
      <c r="A12" s="179" t="s">
        <v>1025</v>
      </c>
      <c r="B12" s="180" t="str">
        <f>VLOOKUP(A12,'APPVI VLOOKUP NAMES'!$A$2:$C$300,3,FALSE)</f>
        <v>Allegheny Energy</v>
      </c>
      <c r="C12" s="183"/>
      <c r="D12" s="182">
        <f t="shared" si="1"/>
        <v>4470066</v>
      </c>
      <c r="E12" s="183" t="s">
        <v>1115</v>
      </c>
      <c r="F12" s="232"/>
      <c r="G12" s="185">
        <f aca="true" t="shared" si="9" ref="G12:K17">ROUND(+G$6*$F12,0)</f>
        <v>0</v>
      </c>
      <c r="H12" s="160">
        <f t="shared" si="9"/>
        <v>0</v>
      </c>
      <c r="I12" s="160">
        <f t="shared" si="9"/>
        <v>0</v>
      </c>
      <c r="J12" s="160">
        <f>ROUND(+J$6*$F12,0)</f>
        <v>0</v>
      </c>
      <c r="K12" s="160">
        <f t="shared" si="9"/>
        <v>0</v>
      </c>
      <c r="L12" s="233">
        <f t="shared" si="2"/>
        <v>0</v>
      </c>
      <c r="M12" s="187">
        <f t="shared" si="3"/>
        <v>0</v>
      </c>
      <c r="N12" s="188">
        <f t="shared" si="4"/>
        <v>0</v>
      </c>
      <c r="O12" s="188">
        <f t="shared" si="5"/>
        <v>0</v>
      </c>
      <c r="P12" s="188">
        <f t="shared" si="6"/>
        <v>0</v>
      </c>
      <c r="Q12" s="188">
        <f t="shared" si="7"/>
        <v>0</v>
      </c>
      <c r="R12" s="189">
        <f>+Q12+P12+O12+N12+M12</f>
        <v>0</v>
      </c>
      <c r="T12" s="198">
        <f aca="true" t="shared" si="10" ref="T12:X18">ROUND(+G$6*$F12,5)</f>
        <v>0</v>
      </c>
      <c r="U12" s="198">
        <f t="shared" si="10"/>
        <v>0</v>
      </c>
      <c r="V12" s="198">
        <f t="shared" si="10"/>
        <v>0</v>
      </c>
      <c r="W12" s="198">
        <f t="shared" si="10"/>
        <v>0</v>
      </c>
      <c r="X12" s="199">
        <f t="shared" si="10"/>
        <v>0</v>
      </c>
    </row>
    <row r="13" spans="1:24" ht="16.5" customHeight="1" hidden="1">
      <c r="A13" s="179" t="s">
        <v>1025</v>
      </c>
      <c r="B13" s="180" t="str">
        <f>VLOOKUP(A13,'APPVI VLOOKUP NAMES'!$A$2:$C$300,3,FALSE)</f>
        <v>Allegheny Energy</v>
      </c>
      <c r="C13" s="252"/>
      <c r="D13" s="182">
        <f t="shared" si="1"/>
        <v>4470066</v>
      </c>
      <c r="E13" s="183" t="s">
        <v>1115</v>
      </c>
      <c r="F13" s="232"/>
      <c r="G13" s="185">
        <f t="shared" si="9"/>
        <v>0</v>
      </c>
      <c r="H13" s="160">
        <f t="shared" si="9"/>
        <v>0</v>
      </c>
      <c r="I13" s="160">
        <f t="shared" si="9"/>
        <v>0</v>
      </c>
      <c r="J13" s="160">
        <f>ROUND(+J$6*$F13,0)</f>
        <v>0</v>
      </c>
      <c r="K13" s="160">
        <f t="shared" si="9"/>
        <v>0</v>
      </c>
      <c r="L13" s="233">
        <f>SUM(G13:K13)</f>
        <v>0</v>
      </c>
      <c r="M13" s="187">
        <f>IF($E13="02",$L13-G13,-G13)</f>
        <v>0</v>
      </c>
      <c r="N13" s="188">
        <f>IF($E13="03",$L13-H13,-H13)</f>
        <v>0</v>
      </c>
      <c r="O13" s="188">
        <f>IF($E13="04",$L13-I13,-I13)</f>
        <v>0</v>
      </c>
      <c r="P13" s="188">
        <f>IF($E13="07",$L13-J13,-J13)</f>
        <v>0</v>
      </c>
      <c r="Q13" s="188">
        <f>IF($E13="10",$L13-K13,-K13)</f>
        <v>0</v>
      </c>
      <c r="R13" s="189">
        <f>+Q13+P13+O13+N13+M13</f>
        <v>0</v>
      </c>
      <c r="T13" s="198">
        <f>ROUND(+G$6*$F13,5)</f>
        <v>0</v>
      </c>
      <c r="U13" s="198">
        <f>ROUND(+H$6*$F13,5)</f>
        <v>0</v>
      </c>
      <c r="V13" s="198">
        <f>ROUND(+I$6*$F13,5)</f>
        <v>0</v>
      </c>
      <c r="W13" s="198">
        <f>ROUND(+J$6*$F13,5)</f>
        <v>0</v>
      </c>
      <c r="X13" s="199">
        <f>ROUND(+K$6*$F13,5)</f>
        <v>0</v>
      </c>
    </row>
    <row r="14" spans="1:24" ht="16.5" customHeight="1" hidden="1">
      <c r="A14" s="179" t="s">
        <v>131</v>
      </c>
      <c r="B14" s="180" t="str">
        <f>VLOOKUP(A14,'APPVI VLOOKUP NAMES'!$A$2:$C$300,3,FALSE)</f>
        <v>Ameren Energy, Inc.</v>
      </c>
      <c r="C14" s="183"/>
      <c r="D14" s="182">
        <f t="shared" si="1"/>
        <v>4470066</v>
      </c>
      <c r="E14" s="183" t="s">
        <v>1120</v>
      </c>
      <c r="F14" s="232"/>
      <c r="G14" s="185">
        <f t="shared" si="9"/>
        <v>0</v>
      </c>
      <c r="H14" s="160">
        <f>ROUND(+H$6*$F14,0)</f>
        <v>0</v>
      </c>
      <c r="I14" s="160">
        <f t="shared" si="9"/>
        <v>0</v>
      </c>
      <c r="J14" s="160">
        <f t="shared" si="9"/>
        <v>0</v>
      </c>
      <c r="K14" s="160">
        <f>ROUND(+K$6*$F14,0)</f>
        <v>0</v>
      </c>
      <c r="L14" s="233">
        <f t="shared" si="2"/>
        <v>0</v>
      </c>
      <c r="M14" s="187">
        <f t="shared" si="3"/>
        <v>0</v>
      </c>
      <c r="N14" s="188">
        <f t="shared" si="4"/>
        <v>0</v>
      </c>
      <c r="O14" s="188">
        <f t="shared" si="5"/>
        <v>0</v>
      </c>
      <c r="P14" s="188">
        <f t="shared" si="6"/>
        <v>0</v>
      </c>
      <c r="Q14" s="188">
        <f t="shared" si="7"/>
        <v>0</v>
      </c>
      <c r="R14" s="189">
        <f t="shared" si="8"/>
        <v>0</v>
      </c>
      <c r="T14" s="198">
        <f t="shared" si="10"/>
        <v>0</v>
      </c>
      <c r="U14" s="198">
        <f t="shared" si="10"/>
        <v>0</v>
      </c>
      <c r="V14" s="198">
        <f t="shared" si="10"/>
        <v>0</v>
      </c>
      <c r="W14" s="198">
        <f t="shared" si="10"/>
        <v>0</v>
      </c>
      <c r="X14" s="199">
        <f t="shared" si="10"/>
        <v>0</v>
      </c>
    </row>
    <row r="15" spans="1:24" ht="16.5" customHeight="1" hidden="1">
      <c r="A15" s="179" t="s">
        <v>1335</v>
      </c>
      <c r="B15" s="180" t="str">
        <f>VLOOKUP(A15,'APPVI VLOOKUP NAMES'!$A$2:$C$300,3,FALSE)</f>
        <v>Associated Elect Cooperative</v>
      </c>
      <c r="C15" s="183"/>
      <c r="D15" s="182">
        <f t="shared" si="1"/>
        <v>4470066</v>
      </c>
      <c r="E15" s="183" t="s">
        <v>1115</v>
      </c>
      <c r="F15" s="232"/>
      <c r="G15" s="185">
        <f t="shared" si="9"/>
        <v>0</v>
      </c>
      <c r="H15" s="160">
        <f t="shared" si="9"/>
        <v>0</v>
      </c>
      <c r="I15" s="160">
        <f t="shared" si="9"/>
        <v>0</v>
      </c>
      <c r="J15" s="160">
        <f t="shared" si="9"/>
        <v>0</v>
      </c>
      <c r="K15" s="160">
        <f t="shared" si="9"/>
        <v>0</v>
      </c>
      <c r="L15" s="233">
        <f t="shared" si="2"/>
        <v>0</v>
      </c>
      <c r="M15" s="187">
        <f t="shared" si="3"/>
        <v>0</v>
      </c>
      <c r="N15" s="188">
        <f t="shared" si="4"/>
        <v>0</v>
      </c>
      <c r="O15" s="188">
        <f t="shared" si="5"/>
        <v>0</v>
      </c>
      <c r="P15" s="188">
        <f t="shared" si="6"/>
        <v>0</v>
      </c>
      <c r="Q15" s="188">
        <f t="shared" si="7"/>
        <v>0</v>
      </c>
      <c r="R15" s="189">
        <f t="shared" si="8"/>
        <v>0</v>
      </c>
      <c r="T15" s="198">
        <f t="shared" si="10"/>
        <v>0</v>
      </c>
      <c r="U15" s="198">
        <f t="shared" si="10"/>
        <v>0</v>
      </c>
      <c r="V15" s="198">
        <f t="shared" si="10"/>
        <v>0</v>
      </c>
      <c r="W15" s="198">
        <f t="shared" si="10"/>
        <v>0</v>
      </c>
      <c r="X15" s="199">
        <f t="shared" si="10"/>
        <v>0</v>
      </c>
    </row>
    <row r="16" spans="1:24" ht="16.5" customHeight="1" hidden="1">
      <c r="A16" s="179" t="s">
        <v>1339</v>
      </c>
      <c r="B16" s="180" t="str">
        <f>VLOOKUP(A16,'APPVI VLOOKUP NAMES'!$A$2:$C$300,3,FALSE)</f>
        <v>Arizona Public Svc</v>
      </c>
      <c r="C16" s="183"/>
      <c r="D16" s="182">
        <f t="shared" si="1"/>
        <v>4470066</v>
      </c>
      <c r="E16" s="183" t="s">
        <v>1115</v>
      </c>
      <c r="F16" s="232"/>
      <c r="G16" s="185">
        <f t="shared" si="9"/>
        <v>0</v>
      </c>
      <c r="H16" s="160">
        <f t="shared" si="9"/>
        <v>0</v>
      </c>
      <c r="I16" s="160">
        <f t="shared" si="9"/>
        <v>0</v>
      </c>
      <c r="J16" s="160">
        <f t="shared" si="9"/>
        <v>0</v>
      </c>
      <c r="K16" s="160">
        <f t="shared" si="9"/>
        <v>0</v>
      </c>
      <c r="L16" s="233">
        <f t="shared" si="2"/>
        <v>0</v>
      </c>
      <c r="M16" s="187">
        <f t="shared" si="3"/>
        <v>0</v>
      </c>
      <c r="N16" s="188">
        <f t="shared" si="4"/>
        <v>0</v>
      </c>
      <c r="O16" s="188">
        <f t="shared" si="5"/>
        <v>0</v>
      </c>
      <c r="P16" s="188">
        <f t="shared" si="6"/>
        <v>0</v>
      </c>
      <c r="Q16" s="188">
        <f t="shared" si="7"/>
        <v>0</v>
      </c>
      <c r="R16" s="189">
        <f t="shared" si="8"/>
        <v>0</v>
      </c>
      <c r="T16" s="198">
        <f t="shared" si="10"/>
        <v>0</v>
      </c>
      <c r="U16" s="198">
        <f t="shared" si="10"/>
        <v>0</v>
      </c>
      <c r="V16" s="198">
        <f t="shared" si="10"/>
        <v>0</v>
      </c>
      <c r="W16" s="198">
        <f t="shared" si="10"/>
        <v>0</v>
      </c>
      <c r="X16" s="199">
        <f t="shared" si="10"/>
        <v>0</v>
      </c>
    </row>
    <row r="17" spans="1:24" s="364" customFormat="1" ht="14.25" customHeight="1">
      <c r="A17" s="230" t="s">
        <v>1116</v>
      </c>
      <c r="B17" s="606" t="str">
        <f>VLOOKUP(A17,'APPVI VLOOKUP NAMES'!$A$2:$C$300,3,FALSE)</f>
        <v>Progress Energy</v>
      </c>
      <c r="C17" s="376"/>
      <c r="D17" s="771">
        <f t="shared" si="1"/>
        <v>4470066</v>
      </c>
      <c r="E17" s="239" t="s">
        <v>1115</v>
      </c>
      <c r="F17" s="430">
        <v>479.92</v>
      </c>
      <c r="G17" s="372">
        <f>ROUND(+G$6*$F17,0)</f>
        <v>146</v>
      </c>
      <c r="H17" s="233">
        <f>ROUND(+H$6*$F17,0)</f>
        <v>31</v>
      </c>
      <c r="I17" s="233">
        <f>ROUND(+I$6*$F17,0)</f>
        <v>98</v>
      </c>
      <c r="J17" s="233">
        <f t="shared" si="9"/>
        <v>205</v>
      </c>
      <c r="K17" s="233">
        <f>ROUND(+K$6*$F17,0)</f>
        <v>0</v>
      </c>
      <c r="L17" s="233">
        <f>SUM(G17:K17)</f>
        <v>480</v>
      </c>
      <c r="M17" s="373">
        <f t="shared" si="3"/>
        <v>-146</v>
      </c>
      <c r="N17" s="374">
        <f t="shared" si="4"/>
        <v>-31</v>
      </c>
      <c r="O17" s="374">
        <f t="shared" si="5"/>
        <v>-98</v>
      </c>
      <c r="P17" s="374">
        <f t="shared" si="6"/>
        <v>275</v>
      </c>
      <c r="Q17" s="374">
        <f t="shared" si="7"/>
        <v>0</v>
      </c>
      <c r="R17" s="375">
        <f t="shared" si="8"/>
        <v>0</v>
      </c>
      <c r="T17" s="607">
        <f t="shared" si="10"/>
        <v>146.47158</v>
      </c>
      <c r="U17" s="607">
        <f t="shared" si="10"/>
        <v>30.75807</v>
      </c>
      <c r="V17" s="607">
        <f t="shared" si="10"/>
        <v>97.75011</v>
      </c>
      <c r="W17" s="607">
        <f t="shared" si="10"/>
        <v>204.94024</v>
      </c>
      <c r="X17" s="608">
        <f t="shared" si="10"/>
        <v>0</v>
      </c>
    </row>
    <row r="18" spans="1:24" ht="16.5" customHeight="1" hidden="1">
      <c r="A18" s="179" t="s">
        <v>1118</v>
      </c>
      <c r="B18" s="180" t="str">
        <f>VLOOKUP(A18,'APPVI VLOOKUP NAMES'!$A$2:$C$300,3,FALSE)</f>
        <v>Cinergy Power Mktg &amp; Trading</v>
      </c>
      <c r="C18" s="300"/>
      <c r="D18" s="182">
        <f t="shared" si="1"/>
        <v>4470066</v>
      </c>
      <c r="E18" s="183" t="s">
        <v>1115</v>
      </c>
      <c r="F18" s="430"/>
      <c r="G18" s="185">
        <f aca="true" t="shared" si="11" ref="G18:K36">ROUND(+G$6*$F18,0)</f>
        <v>0</v>
      </c>
      <c r="H18" s="160">
        <f t="shared" si="11"/>
        <v>0</v>
      </c>
      <c r="I18" s="160">
        <f t="shared" si="11"/>
        <v>0</v>
      </c>
      <c r="J18" s="160">
        <f t="shared" si="11"/>
        <v>0</v>
      </c>
      <c r="K18" s="160">
        <f t="shared" si="11"/>
        <v>0</v>
      </c>
      <c r="L18" s="233">
        <f t="shared" si="2"/>
        <v>0</v>
      </c>
      <c r="M18" s="187">
        <f t="shared" si="3"/>
        <v>0</v>
      </c>
      <c r="N18" s="188">
        <f t="shared" si="4"/>
        <v>0</v>
      </c>
      <c r="O18" s="188">
        <f t="shared" si="5"/>
        <v>0</v>
      </c>
      <c r="P18" s="188">
        <f t="shared" si="6"/>
        <v>0</v>
      </c>
      <c r="Q18" s="188">
        <f t="shared" si="7"/>
        <v>0</v>
      </c>
      <c r="R18" s="189">
        <f t="shared" si="8"/>
        <v>0</v>
      </c>
      <c r="T18" s="198">
        <f t="shared" si="10"/>
        <v>0</v>
      </c>
      <c r="U18" s="198">
        <f t="shared" si="10"/>
        <v>0</v>
      </c>
      <c r="V18" s="198">
        <f t="shared" si="10"/>
        <v>0</v>
      </c>
      <c r="W18" s="198">
        <f t="shared" si="10"/>
        <v>0</v>
      </c>
      <c r="X18" s="199">
        <f t="shared" si="10"/>
        <v>0</v>
      </c>
    </row>
    <row r="19" spans="1:24" ht="16.5" customHeight="1" hidden="1">
      <c r="A19" s="179" t="s">
        <v>615</v>
      </c>
      <c r="B19" s="180" t="str">
        <f>VLOOKUP(A19,'APPVI VLOOKUP NAMES'!$A$2:$C$300,3,FALSE)</f>
        <v>Consumers Energy Traders</v>
      </c>
      <c r="C19" s="183"/>
      <c r="D19" s="182">
        <f>IF(C19="(2)",4210020,4470066)</f>
        <v>4470066</v>
      </c>
      <c r="E19" s="183" t="s">
        <v>1120</v>
      </c>
      <c r="F19" s="430"/>
      <c r="G19" s="185">
        <f t="shared" si="11"/>
        <v>0</v>
      </c>
      <c r="H19" s="160">
        <f t="shared" si="11"/>
        <v>0</v>
      </c>
      <c r="I19" s="160">
        <f t="shared" si="11"/>
        <v>0</v>
      </c>
      <c r="J19" s="160">
        <f t="shared" si="11"/>
        <v>0</v>
      </c>
      <c r="K19" s="160">
        <f t="shared" si="11"/>
        <v>0</v>
      </c>
      <c r="L19" s="233">
        <f t="shared" si="2"/>
        <v>0</v>
      </c>
      <c r="M19" s="187">
        <f t="shared" si="3"/>
        <v>0</v>
      </c>
      <c r="N19" s="188">
        <f t="shared" si="4"/>
        <v>0</v>
      </c>
      <c r="O19" s="188">
        <f t="shared" si="5"/>
        <v>0</v>
      </c>
      <c r="P19" s="188">
        <f t="shared" si="6"/>
        <v>0</v>
      </c>
      <c r="Q19" s="188">
        <f t="shared" si="7"/>
        <v>0</v>
      </c>
      <c r="R19" s="189">
        <f t="shared" si="8"/>
        <v>0</v>
      </c>
      <c r="T19" s="198">
        <f>ROUND(+G$6*$F19,5)</f>
        <v>0</v>
      </c>
      <c r="U19" s="198">
        <f>ROUND(+H$6*$F19,5)</f>
        <v>0</v>
      </c>
      <c r="V19" s="198">
        <f>ROUND(+I$6*$F19,5)</f>
        <v>0</v>
      </c>
      <c r="W19" s="198">
        <f>ROUND(+J$6*$F19,5)</f>
        <v>0</v>
      </c>
      <c r="X19" s="199">
        <f>ROUND(+K$6*$F19,5)</f>
        <v>0</v>
      </c>
    </row>
    <row r="20" spans="1:24" ht="16.5" customHeight="1" hidden="1">
      <c r="A20" s="179" t="s">
        <v>1119</v>
      </c>
      <c r="B20" s="180" t="str">
        <f>VLOOKUP(A20,'APPVI VLOOKUP NAMES'!$A$2:$C$300,3,FALSE)</f>
        <v>ComEd Wholesale Marketing</v>
      </c>
      <c r="C20" s="302"/>
      <c r="D20" s="182">
        <f>IF(C20="(2)",4210020,4470066)</f>
        <v>4470066</v>
      </c>
      <c r="E20" s="183" t="s">
        <v>1120</v>
      </c>
      <c r="F20" s="430"/>
      <c r="G20" s="185">
        <f t="shared" si="11"/>
        <v>0</v>
      </c>
      <c r="H20" s="160">
        <f t="shared" si="11"/>
        <v>0</v>
      </c>
      <c r="I20" s="160">
        <f t="shared" si="11"/>
        <v>0</v>
      </c>
      <c r="J20" s="160">
        <f t="shared" si="11"/>
        <v>0</v>
      </c>
      <c r="K20" s="160">
        <f t="shared" si="11"/>
        <v>0</v>
      </c>
      <c r="L20" s="233">
        <f t="shared" si="2"/>
        <v>0</v>
      </c>
      <c r="M20" s="187">
        <f t="shared" si="3"/>
        <v>0</v>
      </c>
      <c r="N20" s="188">
        <f t="shared" si="4"/>
        <v>0</v>
      </c>
      <c r="O20" s="188">
        <f t="shared" si="5"/>
        <v>0</v>
      </c>
      <c r="P20" s="188">
        <f t="shared" si="6"/>
        <v>0</v>
      </c>
      <c r="Q20" s="188">
        <f t="shared" si="7"/>
        <v>0</v>
      </c>
      <c r="R20" s="189">
        <f t="shared" si="8"/>
        <v>0</v>
      </c>
      <c r="T20" s="198">
        <f aca="true" t="shared" si="12" ref="T20:X28">ROUND(+G$6*$F20,5)</f>
        <v>0</v>
      </c>
      <c r="U20" s="198">
        <f t="shared" si="12"/>
        <v>0</v>
      </c>
      <c r="V20" s="198">
        <f t="shared" si="12"/>
        <v>0</v>
      </c>
      <c r="W20" s="198">
        <f t="shared" si="12"/>
        <v>0</v>
      </c>
      <c r="X20" s="199">
        <f t="shared" si="12"/>
        <v>0</v>
      </c>
    </row>
    <row r="21" spans="1:24" ht="16.5" customHeight="1" hidden="1">
      <c r="A21" s="179" t="s">
        <v>1205</v>
      </c>
      <c r="B21" s="180" t="str">
        <f>VLOOKUP(A21,'APPVI VLOOKUP NAMES'!$A$2:$C$300,3,FALSE)</f>
        <v>Constellation Power Source</v>
      </c>
      <c r="C21" s="183"/>
      <c r="D21" s="182">
        <f>IF(C21="(2)",4210020,4470066)</f>
        <v>4470066</v>
      </c>
      <c r="E21" s="183" t="s">
        <v>1115</v>
      </c>
      <c r="F21" s="430"/>
      <c r="G21" s="185">
        <f t="shared" si="11"/>
        <v>0</v>
      </c>
      <c r="H21" s="160">
        <f t="shared" si="11"/>
        <v>0</v>
      </c>
      <c r="I21" s="160">
        <f t="shared" si="11"/>
        <v>0</v>
      </c>
      <c r="J21" s="160">
        <f t="shared" si="11"/>
        <v>0</v>
      </c>
      <c r="K21" s="160">
        <f t="shared" si="11"/>
        <v>0</v>
      </c>
      <c r="L21" s="233">
        <f t="shared" si="2"/>
        <v>0</v>
      </c>
      <c r="M21" s="187">
        <f t="shared" si="3"/>
        <v>0</v>
      </c>
      <c r="N21" s="188">
        <f t="shared" si="4"/>
        <v>0</v>
      </c>
      <c r="O21" s="188">
        <f t="shared" si="5"/>
        <v>0</v>
      </c>
      <c r="P21" s="188">
        <f t="shared" si="6"/>
        <v>0</v>
      </c>
      <c r="Q21" s="188">
        <f t="shared" si="7"/>
        <v>0</v>
      </c>
      <c r="R21" s="189">
        <f t="shared" si="8"/>
        <v>0</v>
      </c>
      <c r="T21" s="198">
        <f t="shared" si="12"/>
        <v>0</v>
      </c>
      <c r="U21" s="198">
        <f t="shared" si="12"/>
        <v>0</v>
      </c>
      <c r="V21" s="198">
        <f t="shared" si="12"/>
        <v>0</v>
      </c>
      <c r="W21" s="198">
        <f t="shared" si="12"/>
        <v>0</v>
      </c>
      <c r="X21" s="199">
        <f t="shared" si="12"/>
        <v>0</v>
      </c>
    </row>
    <row r="22" spans="1:24" s="364" customFormat="1" ht="16.5" customHeight="1">
      <c r="A22" s="230" t="s">
        <v>1030</v>
      </c>
      <c r="B22" s="606" t="str">
        <f>VLOOKUP(A22,'APPVI VLOOKUP NAMES'!$A$2:$C$300,3,FALSE)</f>
        <v>Duke Power Company</v>
      </c>
      <c r="C22" s="371"/>
      <c r="D22" s="771">
        <f>IF(C22="(2)",4210020,4470066)</f>
        <v>4470066</v>
      </c>
      <c r="E22" s="239" t="s">
        <v>1115</v>
      </c>
      <c r="F22" s="430">
        <v>587.75</v>
      </c>
      <c r="G22" s="372">
        <f t="shared" si="11"/>
        <v>179</v>
      </c>
      <c r="H22" s="233">
        <f>ROUND(+H$6*$F22,0)</f>
        <v>38</v>
      </c>
      <c r="I22" s="233">
        <f t="shared" si="11"/>
        <v>120</v>
      </c>
      <c r="J22" s="233">
        <f>ROUND(+J$6*$F22,0)</f>
        <v>251</v>
      </c>
      <c r="K22" s="233">
        <f>ROUND(+K$6*$F22,0)</f>
        <v>0</v>
      </c>
      <c r="L22" s="233">
        <f>SUM(G22:K22)</f>
        <v>588</v>
      </c>
      <c r="M22" s="373">
        <f>IF($E22="02",$L22-G22,-G22)</f>
        <v>-179</v>
      </c>
      <c r="N22" s="374">
        <f>IF($E22="03",$L22-H22,-H22)</f>
        <v>-38</v>
      </c>
      <c r="O22" s="374">
        <f>IF($E22="04",$L22-I22,-I22)</f>
        <v>-120</v>
      </c>
      <c r="P22" s="374">
        <f>IF($E22="07",$L22-J22,-J22)</f>
        <v>337</v>
      </c>
      <c r="Q22" s="374">
        <f>IF($E22="10",$L22-K22,-K22)</f>
        <v>0</v>
      </c>
      <c r="R22" s="375">
        <f>+Q22+P22+O22+N22+M22</f>
        <v>0</v>
      </c>
      <c r="T22" s="607">
        <f aca="true" t="shared" si="13" ref="T22:X23">ROUND(+G$6*$F22,5)</f>
        <v>179.3813</v>
      </c>
      <c r="U22" s="607">
        <f t="shared" si="13"/>
        <v>37.6689</v>
      </c>
      <c r="V22" s="607">
        <f t="shared" si="13"/>
        <v>119.71292</v>
      </c>
      <c r="W22" s="607">
        <f t="shared" si="13"/>
        <v>250.98688</v>
      </c>
      <c r="X22" s="608">
        <f t="shared" si="13"/>
        <v>0</v>
      </c>
    </row>
    <row r="23" spans="1:24" s="364" customFormat="1" ht="16.5" customHeight="1">
      <c r="A23" s="230" t="s">
        <v>1913</v>
      </c>
      <c r="B23" s="606" t="str">
        <f>VLOOKUP(A23,'APPVI VLOOKUP NAMES'!$A$2:$C$300,3,FALSE)</f>
        <v>Duke Energy Ohio</v>
      </c>
      <c r="C23" s="371" t="s">
        <v>119</v>
      </c>
      <c r="D23" s="771">
        <f>IF(C23="(2)",4210020,4470006)</f>
        <v>4470006</v>
      </c>
      <c r="E23" s="239" t="s">
        <v>1115</v>
      </c>
      <c r="F23" s="430">
        <v>5010.5599999999995</v>
      </c>
      <c r="G23" s="372">
        <f>ROUND(+G$6*$F23,0)</f>
        <v>1529</v>
      </c>
      <c r="H23" s="233">
        <f>ROUND(+H$6*$F23,0)</f>
        <v>321</v>
      </c>
      <c r="I23" s="233">
        <f t="shared" si="11"/>
        <v>1021</v>
      </c>
      <c r="J23" s="233">
        <f t="shared" si="11"/>
        <v>2140</v>
      </c>
      <c r="K23" s="233">
        <f t="shared" si="11"/>
        <v>0</v>
      </c>
      <c r="L23" s="233">
        <f>SUM(G23:K23)</f>
        <v>5011</v>
      </c>
      <c r="M23" s="373">
        <f>IF($E23="02",$L23-G23,-G23)</f>
        <v>-1529</v>
      </c>
      <c r="N23" s="374">
        <f>IF($E23="03",$L23-H23,-H23)</f>
        <v>-321</v>
      </c>
      <c r="O23" s="374">
        <f>IF($E23="04",$L23-I23,-I23)</f>
        <v>-1021</v>
      </c>
      <c r="P23" s="374">
        <f>IF($E23="07",$L23-J23,-J23)</f>
        <v>2871</v>
      </c>
      <c r="Q23" s="374">
        <f>IF($E23="10",$L23-K23,-K23)</f>
        <v>0</v>
      </c>
      <c r="R23" s="375">
        <f>+Q23+P23+O23+N23+M23</f>
        <v>0</v>
      </c>
      <c r="T23" s="607">
        <f t="shared" si="13"/>
        <v>1529.22291</v>
      </c>
      <c r="U23" s="607">
        <f t="shared" si="13"/>
        <v>321.12679</v>
      </c>
      <c r="V23" s="607">
        <f t="shared" si="13"/>
        <v>1020.55086</v>
      </c>
      <c r="W23" s="607">
        <f t="shared" si="13"/>
        <v>2139.65944</v>
      </c>
      <c r="X23" s="608">
        <f t="shared" si="13"/>
        <v>0</v>
      </c>
    </row>
    <row r="24" spans="1:24" s="364" customFormat="1" ht="16.5" customHeight="1">
      <c r="A24" s="230" t="s">
        <v>1470</v>
      </c>
      <c r="B24" s="606" t="str">
        <f>VLOOKUP(A24,'APPVI VLOOKUP NAMES'!$A$2:$C$300,3,FALSE)</f>
        <v>DTE Energy Trading, Inc.</v>
      </c>
      <c r="C24" s="371" t="s">
        <v>119</v>
      </c>
      <c r="D24" s="771">
        <f>IF(C24="(2)",4210020,4470006)</f>
        <v>4470006</v>
      </c>
      <c r="E24" s="239" t="s">
        <v>1115</v>
      </c>
      <c r="F24" s="430">
        <v>13033.9</v>
      </c>
      <c r="G24" s="372">
        <f>ROUND(+G$6*$F24,0)</f>
        <v>3978</v>
      </c>
      <c r="H24" s="233">
        <f t="shared" si="11"/>
        <v>835</v>
      </c>
      <c r="I24" s="233">
        <f>ROUND(+I$6*$F24,0)</f>
        <v>2655</v>
      </c>
      <c r="J24" s="233">
        <f t="shared" si="11"/>
        <v>5566</v>
      </c>
      <c r="K24" s="233">
        <f t="shared" si="11"/>
        <v>0</v>
      </c>
      <c r="L24" s="233">
        <f t="shared" si="2"/>
        <v>13034</v>
      </c>
      <c r="M24" s="373">
        <f t="shared" si="3"/>
        <v>-3978</v>
      </c>
      <c r="N24" s="374">
        <f t="shared" si="4"/>
        <v>-835</v>
      </c>
      <c r="O24" s="374">
        <f t="shared" si="5"/>
        <v>-2655</v>
      </c>
      <c r="P24" s="374">
        <f t="shared" si="6"/>
        <v>7468</v>
      </c>
      <c r="Q24" s="374">
        <f t="shared" si="7"/>
        <v>0</v>
      </c>
      <c r="R24" s="375">
        <f t="shared" si="8"/>
        <v>0</v>
      </c>
      <c r="T24" s="607">
        <f t="shared" si="12"/>
        <v>3977.94628</v>
      </c>
      <c r="U24" s="607">
        <f t="shared" si="12"/>
        <v>835.34265</v>
      </c>
      <c r="V24" s="607">
        <f t="shared" si="12"/>
        <v>2654.74475</v>
      </c>
      <c r="W24" s="607">
        <f t="shared" si="12"/>
        <v>5565.86632</v>
      </c>
      <c r="X24" s="608">
        <f t="shared" si="12"/>
        <v>0</v>
      </c>
    </row>
    <row r="25" spans="1:24" s="364" customFormat="1" ht="16.5" customHeight="1" hidden="1">
      <c r="A25" s="230" t="s">
        <v>1030</v>
      </c>
      <c r="B25" s="606" t="str">
        <f>VLOOKUP(A25,'APPVI VLOOKUP NAMES'!$A$2:$C$300,3,FALSE)</f>
        <v>Duke Power Company</v>
      </c>
      <c r="C25" s="371"/>
      <c r="D25" s="771">
        <f aca="true" t="shared" si="14" ref="D25:D83">IF(C25="(2)",4210020,4470066)</f>
        <v>4470066</v>
      </c>
      <c r="E25" s="239" t="s">
        <v>1115</v>
      </c>
      <c r="F25" s="430"/>
      <c r="G25" s="631">
        <f>ROUND(+G$6*$F25,0)</f>
        <v>0</v>
      </c>
      <c r="H25" s="632">
        <f>ROUND(+H$6*$F25,0)</f>
        <v>0</v>
      </c>
      <c r="I25" s="632">
        <f t="shared" si="11"/>
        <v>0</v>
      </c>
      <c r="J25" s="632">
        <f>ROUND(+J$6*$F25,0)</f>
        <v>0</v>
      </c>
      <c r="K25" s="632">
        <f t="shared" si="11"/>
        <v>0</v>
      </c>
      <c r="L25" s="632">
        <f>SUM(G25:K25)</f>
        <v>0</v>
      </c>
      <c r="M25" s="373">
        <f>IF($E25="02",$L25-G25,-G25)</f>
        <v>0</v>
      </c>
      <c r="N25" s="374">
        <f>IF($E25="03",$L25-H25,-H25)</f>
        <v>0</v>
      </c>
      <c r="O25" s="374">
        <f>IF($E25="04",$L25-I25,-I25)</f>
        <v>0</v>
      </c>
      <c r="P25" s="374">
        <f>IF($E25="07",$L25-J25,-J25)</f>
        <v>0</v>
      </c>
      <c r="Q25" s="374">
        <f>IF($E25="10",$L25-K25,-K25)</f>
        <v>0</v>
      </c>
      <c r="R25" s="375">
        <f>+Q25+P25+O25+N25+M25</f>
        <v>0</v>
      </c>
      <c r="T25" s="607">
        <f t="shared" si="12"/>
        <v>0</v>
      </c>
      <c r="U25" s="607">
        <f>ROUND(+H$6*$F25,5)</f>
        <v>0</v>
      </c>
      <c r="V25" s="607">
        <f t="shared" si="12"/>
        <v>0</v>
      </c>
      <c r="W25" s="607">
        <f>ROUND(+J$6*$F25,5)</f>
        <v>0</v>
      </c>
      <c r="X25" s="608">
        <f t="shared" si="12"/>
        <v>0</v>
      </c>
    </row>
    <row r="26" spans="1:24" s="364" customFormat="1" ht="16.5" customHeight="1" hidden="1">
      <c r="A26" s="230" t="s">
        <v>1030</v>
      </c>
      <c r="B26" s="606" t="str">
        <f>VLOOKUP(A26,'APPVI VLOOKUP NAMES'!$A$2:$C$300,3,FALSE)</f>
        <v>Duke Power Company</v>
      </c>
      <c r="C26" s="371"/>
      <c r="D26" s="771">
        <f>IF(C26="(2)",4210020,4470066)</f>
        <v>4470066</v>
      </c>
      <c r="E26" s="239" t="s">
        <v>1115</v>
      </c>
      <c r="F26" s="430"/>
      <c r="G26" s="631">
        <f>ROUND(+G$6*$F26,0)</f>
        <v>0</v>
      </c>
      <c r="H26" s="632">
        <f t="shared" si="11"/>
        <v>0</v>
      </c>
      <c r="I26" s="632">
        <f t="shared" si="11"/>
        <v>0</v>
      </c>
      <c r="J26" s="632">
        <f>ROUND(+J$6*$F26,0)</f>
        <v>0</v>
      </c>
      <c r="K26" s="632">
        <f t="shared" si="11"/>
        <v>0</v>
      </c>
      <c r="L26" s="632">
        <f>SUM(G26:K26)</f>
        <v>0</v>
      </c>
      <c r="M26" s="373">
        <f>IF($E26="02",$L26-G26,-G26)</f>
        <v>0</v>
      </c>
      <c r="N26" s="374">
        <f>IF($E26="03",$L26-H26,-H26)</f>
        <v>0</v>
      </c>
      <c r="O26" s="374">
        <f>IF($E26="04",$L26-I26,-I26)</f>
        <v>0</v>
      </c>
      <c r="P26" s="374">
        <f>IF($E26="07",$L26-J26,-J26)</f>
        <v>0</v>
      </c>
      <c r="Q26" s="374">
        <f>IF($E26="10",$L26-K26,-K26)</f>
        <v>0</v>
      </c>
      <c r="R26" s="375">
        <f>+Q26+P26+O26+N26+M26</f>
        <v>0</v>
      </c>
      <c r="T26" s="607">
        <f>ROUND(+G$6*$F26,5)</f>
        <v>0</v>
      </c>
      <c r="U26" s="607">
        <f>ROUND(+H$6*$F26,5)</f>
        <v>0</v>
      </c>
      <c r="V26" s="607">
        <f>ROUND(+I$6*$F26,5)</f>
        <v>0</v>
      </c>
      <c r="W26" s="607">
        <f>ROUND(+J$6*$F26,5)</f>
        <v>0</v>
      </c>
      <c r="X26" s="608">
        <f>ROUND(+K$6*$F26,5)</f>
        <v>0</v>
      </c>
    </row>
    <row r="27" spans="1:24" ht="16.5" customHeight="1" hidden="1">
      <c r="A27" s="179" t="s">
        <v>1711</v>
      </c>
      <c r="B27" s="180" t="str">
        <f>VLOOKUP(A27,'APPVI VLOOKUP NAMES'!$A$2:$C$300,3,FALSE)</f>
        <v>Engage Energy America, LLC</v>
      </c>
      <c r="C27" s="183"/>
      <c r="D27" s="182">
        <f t="shared" si="14"/>
        <v>4470066</v>
      </c>
      <c r="E27" s="183" t="s">
        <v>1115</v>
      </c>
      <c r="F27" s="430"/>
      <c r="G27" s="185">
        <f t="shared" si="11"/>
        <v>0</v>
      </c>
      <c r="H27" s="160">
        <f t="shared" si="11"/>
        <v>0</v>
      </c>
      <c r="I27" s="160">
        <f t="shared" si="11"/>
        <v>0</v>
      </c>
      <c r="J27" s="160">
        <f t="shared" si="11"/>
        <v>0</v>
      </c>
      <c r="K27" s="160">
        <f t="shared" si="11"/>
        <v>0</v>
      </c>
      <c r="L27" s="233">
        <f t="shared" si="2"/>
        <v>0</v>
      </c>
      <c r="M27" s="187">
        <f t="shared" si="3"/>
        <v>0</v>
      </c>
      <c r="N27" s="188">
        <f t="shared" si="4"/>
        <v>0</v>
      </c>
      <c r="O27" s="188">
        <f t="shared" si="5"/>
        <v>0</v>
      </c>
      <c r="P27" s="188">
        <f t="shared" si="6"/>
        <v>0</v>
      </c>
      <c r="Q27" s="188">
        <f t="shared" si="7"/>
        <v>0</v>
      </c>
      <c r="R27" s="189">
        <f t="shared" si="8"/>
        <v>0</v>
      </c>
      <c r="T27" s="198">
        <f t="shared" si="12"/>
        <v>0</v>
      </c>
      <c r="U27" s="198">
        <f t="shared" si="12"/>
        <v>0</v>
      </c>
      <c r="V27" s="198">
        <f t="shared" si="12"/>
        <v>0</v>
      </c>
      <c r="W27" s="198">
        <f t="shared" si="12"/>
        <v>0</v>
      </c>
      <c r="X27" s="199">
        <f t="shared" si="12"/>
        <v>0</v>
      </c>
    </row>
    <row r="28" spans="1:24" ht="16.5" customHeight="1">
      <c r="A28" s="179" t="s">
        <v>1311</v>
      </c>
      <c r="B28" s="180" t="str">
        <f>VLOOKUP(A28,'APPVI VLOOKUP NAMES'!$A$2:$C$300,3,FALSE)</f>
        <v>East KY Power Co-Op </v>
      </c>
      <c r="C28" s="183"/>
      <c r="D28" s="182">
        <f t="shared" si="14"/>
        <v>4470066</v>
      </c>
      <c r="E28" s="183" t="s">
        <v>1115</v>
      </c>
      <c r="F28" s="430">
        <v>48</v>
      </c>
      <c r="G28" s="372">
        <f>ROUND(+G$6*$F28,0)</f>
        <v>15</v>
      </c>
      <c r="H28" s="233">
        <f>ROUND(+H$6*$F28,0)</f>
        <v>3</v>
      </c>
      <c r="I28" s="233">
        <f t="shared" si="11"/>
        <v>10</v>
      </c>
      <c r="J28" s="233">
        <f aca="true" t="shared" si="15" ref="J28:J33">ROUND(+J$6*$F28,0)</f>
        <v>20</v>
      </c>
      <c r="K28" s="233">
        <f t="shared" si="11"/>
        <v>0</v>
      </c>
      <c r="L28" s="233">
        <f>SUM(G28:K28)</f>
        <v>48</v>
      </c>
      <c r="M28" s="373">
        <f>IF($E28="02",$L28-G28,-G28)</f>
        <v>-15</v>
      </c>
      <c r="N28" s="374">
        <f>IF($E28="03",$L28-H28,-H28)</f>
        <v>-3</v>
      </c>
      <c r="O28" s="374">
        <f>IF($E28="04",$L28-I28,-I28)</f>
        <v>-10</v>
      </c>
      <c r="P28" s="374">
        <f>IF($E28="07",$L28-J28,-J28)</f>
        <v>28</v>
      </c>
      <c r="Q28" s="374">
        <f>IF($E28="10",$L28-K28,-K28)</f>
        <v>0</v>
      </c>
      <c r="R28" s="189">
        <f>+Q28+P28+O28+N28+M28</f>
        <v>0</v>
      </c>
      <c r="T28" s="198">
        <f t="shared" si="12"/>
        <v>14.6496</v>
      </c>
      <c r="U28" s="198">
        <f t="shared" si="12"/>
        <v>3.07632</v>
      </c>
      <c r="V28" s="198">
        <f t="shared" si="12"/>
        <v>9.77664</v>
      </c>
      <c r="W28" s="198">
        <f t="shared" si="12"/>
        <v>20.49744</v>
      </c>
      <c r="X28" s="199">
        <f t="shared" si="12"/>
        <v>0</v>
      </c>
    </row>
    <row r="29" spans="1:24" s="364" customFormat="1" ht="16.5" customHeight="1">
      <c r="A29" s="230" t="s">
        <v>1121</v>
      </c>
      <c r="B29" s="606" t="str">
        <f>VLOOKUP(A29,'APPVI VLOOKUP NAMES'!$A$2:$C$300,3,FALSE)</f>
        <v>Entergy Power Serv</v>
      </c>
      <c r="C29" s="371"/>
      <c r="D29" s="771">
        <f>IF(C29="(2)",4210020,4470066)</f>
        <v>4470066</v>
      </c>
      <c r="E29" s="239" t="s">
        <v>1115</v>
      </c>
      <c r="F29" s="430">
        <v>59.37</v>
      </c>
      <c r="G29" s="372">
        <f>ROUND(+G$6*$F29,0)</f>
        <v>18</v>
      </c>
      <c r="H29" s="233">
        <f>ROUND(+H$6*$F29,0)</f>
        <v>4</v>
      </c>
      <c r="I29" s="233">
        <f>ROUND(+I$6*$F29,0)</f>
        <v>12</v>
      </c>
      <c r="J29" s="233">
        <f t="shared" si="15"/>
        <v>25</v>
      </c>
      <c r="K29" s="233">
        <f>ROUND(+K$6*$F29,0)</f>
        <v>0</v>
      </c>
      <c r="L29" s="233">
        <f t="shared" si="2"/>
        <v>59</v>
      </c>
      <c r="M29" s="373">
        <f t="shared" si="3"/>
        <v>-18</v>
      </c>
      <c r="N29" s="374">
        <f t="shared" si="4"/>
        <v>-4</v>
      </c>
      <c r="O29" s="374">
        <f>IF($E29="04",$L29-I29,-I29)</f>
        <v>-12</v>
      </c>
      <c r="P29" s="374">
        <f t="shared" si="6"/>
        <v>34</v>
      </c>
      <c r="Q29" s="374">
        <f t="shared" si="7"/>
        <v>0</v>
      </c>
      <c r="R29" s="375">
        <f t="shared" si="8"/>
        <v>0</v>
      </c>
      <c r="T29" s="607">
        <f>ROUND(+G$6*$F29,5)</f>
        <v>18.11972</v>
      </c>
      <c r="U29" s="607">
        <f>ROUND(+H$6*$F29,5)</f>
        <v>3.80502</v>
      </c>
      <c r="V29" s="607">
        <f>ROUND(+I$6*$F29,5)</f>
        <v>12.09248</v>
      </c>
      <c r="W29" s="607">
        <f>ROUND(+J$6*$F29,5)</f>
        <v>25.35277</v>
      </c>
      <c r="X29" s="608">
        <f>ROUND(+K$6*$F29,5)</f>
        <v>0</v>
      </c>
    </row>
    <row r="30" spans="1:24" s="364" customFormat="1" ht="16.5" customHeight="1" hidden="1">
      <c r="A30" s="230" t="s">
        <v>1121</v>
      </c>
      <c r="B30" s="606" t="str">
        <f>VLOOKUP(A30,'APPVI VLOOKUP NAMES'!$A$2:$C$300,3,FALSE)</f>
        <v>Entergy Power Serv</v>
      </c>
      <c r="C30" s="239"/>
      <c r="D30" s="771">
        <f t="shared" si="14"/>
        <v>4470066</v>
      </c>
      <c r="E30" s="239" t="s">
        <v>1115</v>
      </c>
      <c r="F30" s="430"/>
      <c r="G30" s="372">
        <f>ROUND(+G$6*$F30,0)</f>
        <v>0</v>
      </c>
      <c r="H30" s="233">
        <f t="shared" si="11"/>
        <v>0</v>
      </c>
      <c r="I30" s="233">
        <f>ROUND(+I$6*$F30,0)</f>
        <v>0</v>
      </c>
      <c r="J30" s="233">
        <f t="shared" si="15"/>
        <v>0</v>
      </c>
      <c r="K30" s="233">
        <f t="shared" si="11"/>
        <v>0</v>
      </c>
      <c r="L30" s="233">
        <f>SUM(G30:K30)</f>
        <v>0</v>
      </c>
      <c r="M30" s="373">
        <f>IF($E30="02",$L30-G30,-G30)</f>
        <v>0</v>
      </c>
      <c r="N30" s="374">
        <f>IF($E30="03",$L30-H30,-H30)</f>
        <v>0</v>
      </c>
      <c r="O30" s="374">
        <f>IF($E30="04",$L30-I30,-I30)</f>
        <v>0</v>
      </c>
      <c r="P30" s="374">
        <f>IF($E30="07",$L30-J30,-J30)</f>
        <v>0</v>
      </c>
      <c r="Q30" s="374">
        <f>IF($E30="10",$L30-K30,-K30)</f>
        <v>0</v>
      </c>
      <c r="R30" s="375">
        <f>+Q30+P30+O30+N30+M30</f>
        <v>0</v>
      </c>
      <c r="T30" s="607">
        <f aca="true" t="shared" si="16" ref="T30:X45">ROUND(+G$6*$F30,5)</f>
        <v>0</v>
      </c>
      <c r="U30" s="607">
        <f t="shared" si="16"/>
        <v>0</v>
      </c>
      <c r="V30" s="607">
        <f t="shared" si="16"/>
        <v>0</v>
      </c>
      <c r="W30" s="607">
        <f t="shared" si="16"/>
        <v>0</v>
      </c>
      <c r="X30" s="608">
        <f t="shared" si="16"/>
        <v>0</v>
      </c>
    </row>
    <row r="31" spans="1:24" ht="16.5" customHeight="1" hidden="1">
      <c r="A31" s="179" t="s">
        <v>916</v>
      </c>
      <c r="B31" s="180" t="str">
        <f>VLOOKUP(A31,'APPVI VLOOKUP NAMES'!$A$2:$C$300,3,FALSE)</f>
        <v>ERCOT ISO</v>
      </c>
      <c r="C31" s="181"/>
      <c r="D31" s="182">
        <f t="shared" si="14"/>
        <v>4470066</v>
      </c>
      <c r="E31" s="183" t="s">
        <v>1115</v>
      </c>
      <c r="F31" s="430"/>
      <c r="G31" s="185">
        <f t="shared" si="11"/>
        <v>0</v>
      </c>
      <c r="H31" s="160">
        <f t="shared" si="11"/>
        <v>0</v>
      </c>
      <c r="I31" s="160">
        <f t="shared" si="11"/>
        <v>0</v>
      </c>
      <c r="J31" s="160">
        <f t="shared" si="15"/>
        <v>0</v>
      </c>
      <c r="K31" s="160">
        <f t="shared" si="11"/>
        <v>0</v>
      </c>
      <c r="L31" s="233">
        <f t="shared" si="2"/>
        <v>0</v>
      </c>
      <c r="M31" s="187">
        <f t="shared" si="3"/>
        <v>0</v>
      </c>
      <c r="N31" s="188">
        <f t="shared" si="4"/>
        <v>0</v>
      </c>
      <c r="O31" s="188">
        <f t="shared" si="5"/>
        <v>0</v>
      </c>
      <c r="P31" s="188">
        <f t="shared" si="6"/>
        <v>0</v>
      </c>
      <c r="Q31" s="188">
        <f t="shared" si="7"/>
        <v>0</v>
      </c>
      <c r="R31" s="189">
        <f t="shared" si="8"/>
        <v>0</v>
      </c>
      <c r="T31" s="198">
        <f t="shared" si="16"/>
        <v>0</v>
      </c>
      <c r="U31" s="198">
        <f t="shared" si="16"/>
        <v>0</v>
      </c>
      <c r="V31" s="198">
        <f t="shared" si="16"/>
        <v>0</v>
      </c>
      <c r="W31" s="198">
        <f t="shared" si="16"/>
        <v>0</v>
      </c>
      <c r="X31" s="199">
        <f t="shared" si="16"/>
        <v>0</v>
      </c>
    </row>
    <row r="32" spans="1:24" ht="16.5" customHeight="1" hidden="1">
      <c r="A32" s="179" t="s">
        <v>295</v>
      </c>
      <c r="B32" s="180" t="str">
        <f>VLOOKUP(A32,'APPVI VLOOKUP NAMES'!$A$2:$C$300,3,FALSE)</f>
        <v>Exelon Generation Company</v>
      </c>
      <c r="C32" s="300"/>
      <c r="D32" s="182">
        <f t="shared" si="14"/>
        <v>4470066</v>
      </c>
      <c r="E32" s="183" t="s">
        <v>1115</v>
      </c>
      <c r="F32" s="430"/>
      <c r="G32" s="185">
        <f t="shared" si="11"/>
        <v>0</v>
      </c>
      <c r="H32" s="160">
        <f>ROUND(+H$6*$F32,0)</f>
        <v>0</v>
      </c>
      <c r="I32" s="160">
        <f t="shared" si="11"/>
        <v>0</v>
      </c>
      <c r="J32" s="160">
        <f t="shared" si="15"/>
        <v>0</v>
      </c>
      <c r="K32" s="160">
        <f t="shared" si="11"/>
        <v>0</v>
      </c>
      <c r="L32" s="233">
        <f>SUM(G32:K32)</f>
        <v>0</v>
      </c>
      <c r="M32" s="187">
        <f>IF($E32="02",$L32-G32,-G32)</f>
        <v>0</v>
      </c>
      <c r="N32" s="188">
        <f>IF($E32="03",$L32-H32,-H32)</f>
        <v>0</v>
      </c>
      <c r="O32" s="188">
        <f>IF($E32="04",$L32-I32,-I32)</f>
        <v>0</v>
      </c>
      <c r="P32" s="188">
        <f>IF($E32="07",$L32-J32,-J32)</f>
        <v>0</v>
      </c>
      <c r="Q32" s="188">
        <f>IF($E32="10",$L32-K32,-K32)</f>
        <v>0</v>
      </c>
      <c r="R32" s="189">
        <f>+Q32+P32+O32+N32+M32</f>
        <v>0</v>
      </c>
      <c r="T32" s="198">
        <f>ROUND(+G$6*$F32,5)</f>
        <v>0</v>
      </c>
      <c r="U32" s="198">
        <f>ROUND(+H$6*$F32,5)</f>
        <v>0</v>
      </c>
      <c r="V32" s="198">
        <f>ROUND(+I$6*$F32,5)</f>
        <v>0</v>
      </c>
      <c r="W32" s="198">
        <f>ROUND(+J$6*$F32,5)</f>
        <v>0</v>
      </c>
      <c r="X32" s="199">
        <f>ROUND(+K$6*$F32,5)</f>
        <v>0</v>
      </c>
    </row>
    <row r="33" spans="1:24" ht="16.5" customHeight="1" hidden="1">
      <c r="A33" s="179" t="s">
        <v>1122</v>
      </c>
      <c r="B33" s="180" t="str">
        <f>VLOOKUP(A33,'APPVI VLOOKUP NAMES'!$A$2:$C$300,3,FALSE)</f>
        <v>First Energy Wholesale Pwr Mkt</v>
      </c>
      <c r="C33" s="300"/>
      <c r="D33" s="182">
        <f t="shared" si="14"/>
        <v>4470066</v>
      </c>
      <c r="E33" s="183" t="s">
        <v>1115</v>
      </c>
      <c r="F33" s="430"/>
      <c r="G33" s="185">
        <f t="shared" si="11"/>
        <v>0</v>
      </c>
      <c r="H33" s="160">
        <f t="shared" si="11"/>
        <v>0</v>
      </c>
      <c r="I33" s="160">
        <f t="shared" si="11"/>
        <v>0</v>
      </c>
      <c r="J33" s="160">
        <f t="shared" si="15"/>
        <v>0</v>
      </c>
      <c r="K33" s="160">
        <f t="shared" si="11"/>
        <v>0</v>
      </c>
      <c r="L33" s="233">
        <f t="shared" si="2"/>
        <v>0</v>
      </c>
      <c r="M33" s="187">
        <f t="shared" si="3"/>
        <v>0</v>
      </c>
      <c r="N33" s="188">
        <f t="shared" si="4"/>
        <v>0</v>
      </c>
      <c r="O33" s="188">
        <f t="shared" si="5"/>
        <v>0</v>
      </c>
      <c r="P33" s="188">
        <f t="shared" si="6"/>
        <v>0</v>
      </c>
      <c r="Q33" s="188">
        <f t="shared" si="7"/>
        <v>0</v>
      </c>
      <c r="R33" s="189">
        <f t="shared" si="8"/>
        <v>0</v>
      </c>
      <c r="T33" s="198">
        <f t="shared" si="16"/>
        <v>0</v>
      </c>
      <c r="U33" s="198">
        <f t="shared" si="16"/>
        <v>0</v>
      </c>
      <c r="V33" s="198">
        <f t="shared" si="16"/>
        <v>0</v>
      </c>
      <c r="W33" s="198">
        <f t="shared" si="16"/>
        <v>0</v>
      </c>
      <c r="X33" s="199">
        <f t="shared" si="16"/>
        <v>0</v>
      </c>
    </row>
    <row r="34" spans="1:24" ht="16.5" customHeight="1" hidden="1">
      <c r="A34" s="179" t="s">
        <v>2007</v>
      </c>
      <c r="B34" s="180" t="str">
        <f>VLOOKUP(A34,'APPVI VLOOKUP NAMES'!$A$2:$C$300,3,FALSE)</f>
        <v>Georgia Transmission Corporation</v>
      </c>
      <c r="C34" s="300"/>
      <c r="D34" s="182">
        <f t="shared" si="14"/>
        <v>4470066</v>
      </c>
      <c r="E34" s="183" t="s">
        <v>1117</v>
      </c>
      <c r="F34" s="430"/>
      <c r="G34" s="185">
        <f t="shared" si="11"/>
        <v>0</v>
      </c>
      <c r="H34" s="160">
        <f>ROUND(+H$6*$F34,0)</f>
        <v>0</v>
      </c>
      <c r="I34" s="160">
        <f>ROUND(+I$6*$F34,0)</f>
        <v>0</v>
      </c>
      <c r="J34" s="160">
        <f aca="true" t="shared" si="17" ref="I34:K36">ROUND(+J$6*$F34,0)</f>
        <v>0</v>
      </c>
      <c r="K34" s="160">
        <f t="shared" si="11"/>
        <v>0</v>
      </c>
      <c r="L34" s="233">
        <f t="shared" si="2"/>
        <v>0</v>
      </c>
      <c r="M34" s="187">
        <f t="shared" si="3"/>
        <v>0</v>
      </c>
      <c r="N34" s="188">
        <f t="shared" si="4"/>
        <v>0</v>
      </c>
      <c r="O34" s="188">
        <f t="shared" si="5"/>
        <v>0</v>
      </c>
      <c r="P34" s="188">
        <f t="shared" si="6"/>
        <v>0</v>
      </c>
      <c r="Q34" s="188">
        <f t="shared" si="7"/>
        <v>0</v>
      </c>
      <c r="R34" s="189">
        <f t="shared" si="8"/>
        <v>0</v>
      </c>
      <c r="T34" s="198">
        <f t="shared" si="16"/>
        <v>0</v>
      </c>
      <c r="U34" s="198">
        <f t="shared" si="16"/>
        <v>0</v>
      </c>
      <c r="V34" s="198">
        <f t="shared" si="16"/>
        <v>0</v>
      </c>
      <c r="W34" s="198">
        <f t="shared" si="16"/>
        <v>0</v>
      </c>
      <c r="X34" s="199">
        <f t="shared" si="16"/>
        <v>0</v>
      </c>
    </row>
    <row r="35" spans="1:24" ht="16.5" customHeight="1" hidden="1">
      <c r="A35" s="179" t="s">
        <v>1656</v>
      </c>
      <c r="B35" s="180" t="str">
        <f>VLOOKUP(A35,'APPVI VLOOKUP NAMES'!$A$2:$C$300,3,FALSE)</f>
        <v>Illinois Power Company</v>
      </c>
      <c r="C35" s="301"/>
      <c r="D35" s="182">
        <f t="shared" si="14"/>
        <v>4470066</v>
      </c>
      <c r="E35" s="183" t="s">
        <v>1120</v>
      </c>
      <c r="F35" s="619"/>
      <c r="G35" s="185">
        <f t="shared" si="11"/>
        <v>0</v>
      </c>
      <c r="H35" s="160">
        <f>ROUND(+H$6*$F35,0)</f>
        <v>0</v>
      </c>
      <c r="I35" s="160">
        <f t="shared" si="17"/>
        <v>0</v>
      </c>
      <c r="J35" s="160">
        <f t="shared" si="17"/>
        <v>0</v>
      </c>
      <c r="K35" s="160">
        <f t="shared" si="17"/>
        <v>0</v>
      </c>
      <c r="L35" s="204">
        <f t="shared" si="2"/>
        <v>0</v>
      </c>
      <c r="M35" s="187">
        <f t="shared" si="3"/>
        <v>0</v>
      </c>
      <c r="N35" s="188">
        <f t="shared" si="4"/>
        <v>0</v>
      </c>
      <c r="O35" s="188">
        <f t="shared" si="5"/>
        <v>0</v>
      </c>
      <c r="P35" s="188">
        <f t="shared" si="6"/>
        <v>0</v>
      </c>
      <c r="Q35" s="188">
        <f t="shared" si="7"/>
        <v>0</v>
      </c>
      <c r="R35" s="189">
        <f t="shared" si="8"/>
        <v>0</v>
      </c>
      <c r="T35" s="198">
        <f t="shared" si="16"/>
        <v>0</v>
      </c>
      <c r="U35" s="198">
        <f t="shared" si="16"/>
        <v>0</v>
      </c>
      <c r="V35" s="198">
        <f t="shared" si="16"/>
        <v>0</v>
      </c>
      <c r="W35" s="198">
        <f t="shared" si="16"/>
        <v>0</v>
      </c>
      <c r="X35" s="199">
        <f t="shared" si="16"/>
        <v>0</v>
      </c>
    </row>
    <row r="36" spans="1:24" ht="16.5" customHeight="1" hidden="1">
      <c r="A36" s="179" t="s">
        <v>1660</v>
      </c>
      <c r="B36" s="180" t="str">
        <f>VLOOKUP(A36,'APPVI VLOOKUP NAMES'!$A$2:$C$300,3,FALSE)</f>
        <v>Indianapolis Power &amp; Light Co</v>
      </c>
      <c r="C36" s="301"/>
      <c r="D36" s="182">
        <f t="shared" si="14"/>
        <v>4470066</v>
      </c>
      <c r="E36" s="183" t="s">
        <v>1115</v>
      </c>
      <c r="F36" s="619"/>
      <c r="G36" s="185">
        <f t="shared" si="11"/>
        <v>0</v>
      </c>
      <c r="H36" s="160">
        <f>ROUND(+H$6*$F36,0)</f>
        <v>0</v>
      </c>
      <c r="I36" s="160">
        <f t="shared" si="17"/>
        <v>0</v>
      </c>
      <c r="J36" s="160">
        <f t="shared" si="17"/>
        <v>0</v>
      </c>
      <c r="K36" s="160">
        <f t="shared" si="17"/>
        <v>0</v>
      </c>
      <c r="L36" s="204">
        <f t="shared" si="2"/>
        <v>0</v>
      </c>
      <c r="M36" s="187">
        <f t="shared" si="3"/>
        <v>0</v>
      </c>
      <c r="N36" s="188">
        <f t="shared" si="4"/>
        <v>0</v>
      </c>
      <c r="O36" s="188">
        <f t="shared" si="5"/>
        <v>0</v>
      </c>
      <c r="P36" s="188">
        <f t="shared" si="6"/>
        <v>0</v>
      </c>
      <c r="Q36" s="188">
        <f t="shared" si="7"/>
        <v>0</v>
      </c>
      <c r="R36" s="189">
        <f t="shared" si="8"/>
        <v>0</v>
      </c>
      <c r="T36" s="198">
        <f t="shared" si="16"/>
        <v>0</v>
      </c>
      <c r="U36" s="198">
        <f t="shared" si="16"/>
        <v>0</v>
      </c>
      <c r="V36" s="198">
        <f t="shared" si="16"/>
        <v>0</v>
      </c>
      <c r="W36" s="198">
        <f t="shared" si="16"/>
        <v>0</v>
      </c>
      <c r="X36" s="199">
        <f t="shared" si="16"/>
        <v>0</v>
      </c>
    </row>
    <row r="37" spans="1:24" ht="16.5" customHeight="1" hidden="1">
      <c r="A37" s="230" t="s">
        <v>2009</v>
      </c>
      <c r="B37" s="180" t="str">
        <f>VLOOKUP(A37,'APPVI VLOOKUP NAMES'!$A$2:$C$300,3,FALSE)</f>
        <v>Long Island Power Authority - KeySpan</v>
      </c>
      <c r="C37" s="300"/>
      <c r="D37" s="182">
        <f t="shared" si="14"/>
        <v>4470066</v>
      </c>
      <c r="E37" s="183" t="s">
        <v>1120</v>
      </c>
      <c r="F37" s="619"/>
      <c r="G37" s="185">
        <f aca="true" t="shared" si="18" ref="G37:K51">ROUND(+G$6*$F37,0)</f>
        <v>0</v>
      </c>
      <c r="H37" s="160">
        <f t="shared" si="18"/>
        <v>0</v>
      </c>
      <c r="I37" s="160">
        <f t="shared" si="18"/>
        <v>0</v>
      </c>
      <c r="J37" s="160">
        <f t="shared" si="18"/>
        <v>0</v>
      </c>
      <c r="K37" s="160">
        <f t="shared" si="18"/>
        <v>0</v>
      </c>
      <c r="L37" s="204">
        <f t="shared" si="2"/>
        <v>0</v>
      </c>
      <c r="M37" s="187">
        <f t="shared" si="3"/>
        <v>0</v>
      </c>
      <c r="N37" s="188">
        <f t="shared" si="4"/>
        <v>0</v>
      </c>
      <c r="O37" s="188">
        <f t="shared" si="5"/>
        <v>0</v>
      </c>
      <c r="P37" s="188">
        <f t="shared" si="6"/>
        <v>0</v>
      </c>
      <c r="Q37" s="188">
        <f t="shared" si="7"/>
        <v>0</v>
      </c>
      <c r="R37" s="189">
        <f t="shared" si="8"/>
        <v>0</v>
      </c>
      <c r="T37" s="198">
        <f t="shared" si="16"/>
        <v>0</v>
      </c>
      <c r="U37" s="198">
        <f t="shared" si="16"/>
        <v>0</v>
      </c>
      <c r="V37" s="198">
        <f t="shared" si="16"/>
        <v>0</v>
      </c>
      <c r="W37" s="198">
        <f t="shared" si="16"/>
        <v>0</v>
      </c>
      <c r="X37" s="199">
        <f t="shared" si="16"/>
        <v>0</v>
      </c>
    </row>
    <row r="38" spans="1:24" ht="16.5" customHeight="1" hidden="1">
      <c r="A38" s="179" t="s">
        <v>774</v>
      </c>
      <c r="B38" s="180" t="str">
        <f>VLOOKUP(A38,'APPVI VLOOKUP NAMES'!$A$2:$C$300,3,FALSE)</f>
        <v>Lower Colorado River Authority</v>
      </c>
      <c r="C38" s="300"/>
      <c r="D38" s="182">
        <f t="shared" si="14"/>
        <v>4470066</v>
      </c>
      <c r="E38" s="183" t="s">
        <v>1120</v>
      </c>
      <c r="F38" s="619"/>
      <c r="G38" s="185">
        <f t="shared" si="18"/>
        <v>0</v>
      </c>
      <c r="H38" s="160">
        <f t="shared" si="18"/>
        <v>0</v>
      </c>
      <c r="I38" s="160">
        <f t="shared" si="18"/>
        <v>0</v>
      </c>
      <c r="J38" s="160">
        <f t="shared" si="18"/>
        <v>0</v>
      </c>
      <c r="K38" s="160">
        <f t="shared" si="18"/>
        <v>0</v>
      </c>
      <c r="L38" s="204">
        <f t="shared" si="2"/>
        <v>0</v>
      </c>
      <c r="M38" s="187">
        <f t="shared" si="3"/>
        <v>0</v>
      </c>
      <c r="N38" s="188">
        <f t="shared" si="4"/>
        <v>0</v>
      </c>
      <c r="O38" s="188">
        <f t="shared" si="5"/>
        <v>0</v>
      </c>
      <c r="P38" s="188">
        <f t="shared" si="6"/>
        <v>0</v>
      </c>
      <c r="Q38" s="188">
        <f t="shared" si="7"/>
        <v>0</v>
      </c>
      <c r="R38" s="189">
        <f t="shared" si="8"/>
        <v>0</v>
      </c>
      <c r="T38" s="198">
        <f t="shared" si="16"/>
        <v>0</v>
      </c>
      <c r="U38" s="198">
        <f t="shared" si="16"/>
        <v>0</v>
      </c>
      <c r="V38" s="198">
        <f t="shared" si="16"/>
        <v>0</v>
      </c>
      <c r="W38" s="198">
        <f t="shared" si="16"/>
        <v>0</v>
      </c>
      <c r="X38" s="199">
        <f t="shared" si="16"/>
        <v>0</v>
      </c>
    </row>
    <row r="39" spans="1:24" ht="16.5" customHeight="1" hidden="1">
      <c r="A39" s="179" t="s">
        <v>791</v>
      </c>
      <c r="B39" s="180" t="str">
        <f>VLOOKUP(A39,'APPVI VLOOKUP NAMES'!$A$2:$C$300,3,FALSE)</f>
        <v>Louisville Gas &amp; Electric, Co.</v>
      </c>
      <c r="C39" s="300"/>
      <c r="D39" s="182">
        <f t="shared" si="14"/>
        <v>4470066</v>
      </c>
      <c r="E39" s="183" t="s">
        <v>1120</v>
      </c>
      <c r="F39" s="619"/>
      <c r="G39" s="185">
        <f t="shared" si="18"/>
        <v>0</v>
      </c>
      <c r="H39" s="160">
        <f t="shared" si="18"/>
        <v>0</v>
      </c>
      <c r="I39" s="160">
        <f t="shared" si="18"/>
        <v>0</v>
      </c>
      <c r="J39" s="160">
        <f t="shared" si="18"/>
        <v>0</v>
      </c>
      <c r="K39" s="160">
        <f t="shared" si="18"/>
        <v>0</v>
      </c>
      <c r="L39" s="204">
        <f>SUM(G39:K39)</f>
        <v>0</v>
      </c>
      <c r="M39" s="187">
        <f>IF($E39="02",$L39-G39,-G39)</f>
        <v>0</v>
      </c>
      <c r="N39" s="188">
        <f>IF($E39="03",$L39-H39,-H39)</f>
        <v>0</v>
      </c>
      <c r="O39" s="188">
        <f>IF($E39="04",$L39-I39,-I39)</f>
        <v>0</v>
      </c>
      <c r="P39" s="188">
        <f>IF($E39="07",$L39-J39,-J39)</f>
        <v>0</v>
      </c>
      <c r="Q39" s="188">
        <f>IF($E39="10",$L39-K39,-K39)</f>
        <v>0</v>
      </c>
      <c r="R39" s="189">
        <f>+Q39+P39+O39+N39+M39</f>
        <v>0</v>
      </c>
      <c r="T39" s="198">
        <f t="shared" si="16"/>
        <v>0</v>
      </c>
      <c r="U39" s="198">
        <f t="shared" si="16"/>
        <v>0</v>
      </c>
      <c r="V39" s="198">
        <f t="shared" si="16"/>
        <v>0</v>
      </c>
      <c r="W39" s="198">
        <f t="shared" si="16"/>
        <v>0</v>
      </c>
      <c r="X39" s="199">
        <f t="shared" si="16"/>
        <v>0</v>
      </c>
    </row>
    <row r="40" spans="1:24" ht="16.5" customHeight="1" hidden="1">
      <c r="A40" s="179" t="s">
        <v>904</v>
      </c>
      <c r="B40" s="180" t="str">
        <f>VLOOKUP(A40,'APPVI VLOOKUP NAMES'!$A$2:$C$300,3,FALSE)</f>
        <v>Mid-Continent Area Power Pool</v>
      </c>
      <c r="C40" s="300"/>
      <c r="D40" s="182">
        <f t="shared" si="14"/>
        <v>4470066</v>
      </c>
      <c r="E40" s="183" t="s">
        <v>1115</v>
      </c>
      <c r="F40" s="620"/>
      <c r="G40" s="185">
        <f t="shared" si="18"/>
        <v>0</v>
      </c>
      <c r="H40" s="160">
        <f t="shared" si="18"/>
        <v>0</v>
      </c>
      <c r="I40" s="160">
        <f t="shared" si="18"/>
        <v>0</v>
      </c>
      <c r="J40" s="160">
        <f t="shared" si="18"/>
        <v>0</v>
      </c>
      <c r="K40" s="160">
        <f t="shared" si="18"/>
        <v>0</v>
      </c>
      <c r="L40" s="204">
        <f>SUM(G40:K40)</f>
        <v>0</v>
      </c>
      <c r="M40" s="187">
        <f>IF($E40="02",$L40-G40,-G40)</f>
        <v>0</v>
      </c>
      <c r="N40" s="188">
        <f>IF($E40="03",$L40-H40,-H40)</f>
        <v>0</v>
      </c>
      <c r="O40" s="188">
        <f>IF($E40="04",$L40-I40,-I40)</f>
        <v>0</v>
      </c>
      <c r="P40" s="188">
        <f>IF($E40="07",$L40-J40,-J40)</f>
        <v>0</v>
      </c>
      <c r="Q40" s="188">
        <f>IF($E40="10",$L40-K40,-K40)</f>
        <v>0</v>
      </c>
      <c r="R40" s="189">
        <f>+Q40+P40+O40+N40+M40</f>
        <v>0</v>
      </c>
      <c r="T40" s="198">
        <f t="shared" si="16"/>
        <v>0</v>
      </c>
      <c r="U40" s="198">
        <f t="shared" si="16"/>
        <v>0</v>
      </c>
      <c r="V40" s="198">
        <f t="shared" si="16"/>
        <v>0</v>
      </c>
      <c r="W40" s="198">
        <f t="shared" si="16"/>
        <v>0</v>
      </c>
      <c r="X40" s="199">
        <f t="shared" si="16"/>
        <v>0</v>
      </c>
    </row>
    <row r="41" spans="1:24" ht="16.5" customHeight="1" hidden="1">
      <c r="A41" s="230" t="s">
        <v>882</v>
      </c>
      <c r="B41" s="180" t="str">
        <f>VLOOKUP(A41,'APPVI VLOOKUP NAMES'!$A$2:$C$300,3,FALSE)</f>
        <v>Mid-Continent Power Corp.</v>
      </c>
      <c r="C41" s="300"/>
      <c r="D41" s="182">
        <f>IF(C41="(2)",4470066,4210020)</f>
        <v>4210020</v>
      </c>
      <c r="E41" s="183" t="s">
        <v>1115</v>
      </c>
      <c r="F41" s="619"/>
      <c r="G41" s="185">
        <f t="shared" si="18"/>
        <v>0</v>
      </c>
      <c r="H41" s="160">
        <f>ROUND(+H$6*$F41,0)</f>
        <v>0</v>
      </c>
      <c r="I41" s="160">
        <f>ROUND(+I$6*$F41,0)</f>
        <v>0</v>
      </c>
      <c r="J41" s="160">
        <f>ROUND(+J$6*$F41,0)</f>
        <v>0</v>
      </c>
      <c r="K41" s="160">
        <f>ROUND(+K$6*$F41,0)</f>
        <v>0</v>
      </c>
      <c r="L41" s="204">
        <f t="shared" si="2"/>
        <v>0</v>
      </c>
      <c r="M41" s="187">
        <f t="shared" si="3"/>
        <v>0</v>
      </c>
      <c r="N41" s="188">
        <f t="shared" si="4"/>
        <v>0</v>
      </c>
      <c r="O41" s="188">
        <f t="shared" si="5"/>
        <v>0</v>
      </c>
      <c r="P41" s="188">
        <f t="shared" si="6"/>
        <v>0</v>
      </c>
      <c r="Q41" s="188">
        <f t="shared" si="7"/>
        <v>0</v>
      </c>
      <c r="R41" s="189">
        <f t="shared" si="8"/>
        <v>0</v>
      </c>
      <c r="T41" s="198">
        <f t="shared" si="16"/>
        <v>0</v>
      </c>
      <c r="U41" s="198">
        <f t="shared" si="16"/>
        <v>0</v>
      </c>
      <c r="V41" s="198">
        <f t="shared" si="16"/>
        <v>0</v>
      </c>
      <c r="W41" s="198">
        <f t="shared" si="16"/>
        <v>0</v>
      </c>
      <c r="X41" s="199">
        <f t="shared" si="16"/>
        <v>0</v>
      </c>
    </row>
    <row r="42" spans="1:24" ht="16.5" customHeight="1" hidden="1">
      <c r="A42" s="230" t="s">
        <v>791</v>
      </c>
      <c r="B42" s="180" t="str">
        <f>VLOOKUP(A42,'APPVI VLOOKUP NAMES'!$A$2:$C$300,3,FALSE)</f>
        <v>Louisville Gas &amp; Electric, Co.</v>
      </c>
      <c r="C42" s="371"/>
      <c r="D42" s="182">
        <f>IF(C42="(2)",4470066,4210020)</f>
        <v>4210020</v>
      </c>
      <c r="E42" s="239" t="s">
        <v>1115</v>
      </c>
      <c r="F42" s="619"/>
      <c r="G42" s="372">
        <f t="shared" si="18"/>
        <v>0</v>
      </c>
      <c r="H42" s="233">
        <f t="shared" si="18"/>
        <v>0</v>
      </c>
      <c r="I42" s="233">
        <f t="shared" si="18"/>
        <v>0</v>
      </c>
      <c r="J42" s="233">
        <f t="shared" si="18"/>
        <v>0</v>
      </c>
      <c r="K42" s="233">
        <f>ROUND(+K$6*$F42,0)</f>
        <v>0</v>
      </c>
      <c r="L42" s="204">
        <f t="shared" si="2"/>
        <v>0</v>
      </c>
      <c r="M42" s="373">
        <f t="shared" si="3"/>
        <v>0</v>
      </c>
      <c r="N42" s="374">
        <f t="shared" si="4"/>
        <v>0</v>
      </c>
      <c r="O42" s="374">
        <f t="shared" si="5"/>
        <v>0</v>
      </c>
      <c r="P42" s="374">
        <f t="shared" si="6"/>
        <v>0</v>
      </c>
      <c r="Q42" s="374">
        <f t="shared" si="7"/>
        <v>0</v>
      </c>
      <c r="R42" s="375">
        <f t="shared" si="8"/>
        <v>0</v>
      </c>
      <c r="T42" s="198">
        <f t="shared" si="16"/>
        <v>0</v>
      </c>
      <c r="U42" s="198">
        <f t="shared" si="16"/>
        <v>0</v>
      </c>
      <c r="V42" s="198">
        <f t="shared" si="16"/>
        <v>0</v>
      </c>
      <c r="W42" s="198">
        <f t="shared" si="16"/>
        <v>0</v>
      </c>
      <c r="X42" s="199">
        <f t="shared" si="16"/>
        <v>0</v>
      </c>
    </row>
    <row r="43" spans="1:24" ht="16.5" customHeight="1" hidden="1">
      <c r="A43" s="230" t="s">
        <v>1123</v>
      </c>
      <c r="B43" s="180" t="str">
        <f>VLOOKUP(A43,'APPVI VLOOKUP NAMES'!$A$2:$C$300,3,FALSE)</f>
        <v>MI Elect Coord Syst-Joint Mer</v>
      </c>
      <c r="C43" s="371"/>
      <c r="D43" s="771">
        <f>IF(C43="(2)",4470066,4470006)</f>
        <v>4470006</v>
      </c>
      <c r="E43" s="239" t="s">
        <v>1120</v>
      </c>
      <c r="F43" s="619"/>
      <c r="G43" s="372">
        <f t="shared" si="18"/>
        <v>0</v>
      </c>
      <c r="H43" s="233">
        <f t="shared" si="18"/>
        <v>0</v>
      </c>
      <c r="I43" s="233">
        <f t="shared" si="18"/>
        <v>0</v>
      </c>
      <c r="J43" s="233">
        <f t="shared" si="18"/>
        <v>0</v>
      </c>
      <c r="K43" s="233">
        <f t="shared" si="18"/>
        <v>0</v>
      </c>
      <c r="L43" s="204">
        <f t="shared" si="2"/>
        <v>0</v>
      </c>
      <c r="M43" s="373">
        <f t="shared" si="3"/>
        <v>0</v>
      </c>
      <c r="N43" s="374">
        <f t="shared" si="4"/>
        <v>0</v>
      </c>
      <c r="O43" s="374">
        <f t="shared" si="5"/>
        <v>0</v>
      </c>
      <c r="P43" s="374">
        <f t="shared" si="6"/>
        <v>0</v>
      </c>
      <c r="Q43" s="374">
        <f t="shared" si="7"/>
        <v>0</v>
      </c>
      <c r="R43" s="375">
        <f t="shared" si="8"/>
        <v>0</v>
      </c>
      <c r="T43" s="198">
        <f t="shared" si="16"/>
        <v>0</v>
      </c>
      <c r="U43" s="198">
        <f t="shared" si="16"/>
        <v>0</v>
      </c>
      <c r="V43" s="198">
        <f t="shared" si="16"/>
        <v>0</v>
      </c>
      <c r="W43" s="198">
        <f t="shared" si="16"/>
        <v>0</v>
      </c>
      <c r="X43" s="199">
        <f t="shared" si="16"/>
        <v>0</v>
      </c>
    </row>
    <row r="44" spans="1:24" s="364" customFormat="1" ht="16.5" customHeight="1" hidden="1">
      <c r="A44" s="230" t="s">
        <v>976</v>
      </c>
      <c r="B44" s="180" t="str">
        <f>VLOOKUP(A44,'APPVI VLOOKUP NAMES'!$A$2:$C$300,3,FALSE)</f>
        <v>Midwest Retail</v>
      </c>
      <c r="C44" s="371"/>
      <c r="D44" s="182">
        <f t="shared" si="14"/>
        <v>4470066</v>
      </c>
      <c r="E44" s="239" t="s">
        <v>1115</v>
      </c>
      <c r="F44" s="619"/>
      <c r="G44" s="372">
        <f aca="true" t="shared" si="19" ref="G44:I45">ROUND(+G$6*$F44,0)</f>
        <v>0</v>
      </c>
      <c r="H44" s="233">
        <f t="shared" si="19"/>
        <v>0</v>
      </c>
      <c r="I44" s="233">
        <f t="shared" si="19"/>
        <v>0</v>
      </c>
      <c r="J44" s="233">
        <f t="shared" si="18"/>
        <v>0</v>
      </c>
      <c r="K44" s="233">
        <f t="shared" si="18"/>
        <v>0</v>
      </c>
      <c r="L44" s="633">
        <f>SUM(G44:K44)</f>
        <v>0</v>
      </c>
      <c r="M44" s="373">
        <f>IF($E44="02",$L44-G44,-G44)</f>
        <v>0</v>
      </c>
      <c r="N44" s="374">
        <f>IF($E44="03",$L44-H44,-H44)</f>
        <v>0</v>
      </c>
      <c r="O44" s="374">
        <f>IF($E44="04",$L44-I44,-I44)</f>
        <v>0</v>
      </c>
      <c r="P44" s="374">
        <f>IF($E44="07",$L44-J44,-J44)</f>
        <v>0</v>
      </c>
      <c r="Q44" s="374">
        <f>IF($E44="10",$L44-K44,-K44)</f>
        <v>0</v>
      </c>
      <c r="R44" s="375">
        <f>+Q44+P44+O44+N44+M44</f>
        <v>0</v>
      </c>
      <c r="T44" s="607">
        <f t="shared" si="16"/>
        <v>0</v>
      </c>
      <c r="U44" s="607">
        <f t="shared" si="16"/>
        <v>0</v>
      </c>
      <c r="V44" s="607">
        <f t="shared" si="16"/>
        <v>0</v>
      </c>
      <c r="W44" s="607">
        <f t="shared" si="16"/>
        <v>0</v>
      </c>
      <c r="X44" s="608">
        <f t="shared" si="16"/>
        <v>0</v>
      </c>
    </row>
    <row r="45" spans="1:24" s="364" customFormat="1" ht="16.5" customHeight="1">
      <c r="A45" s="230" t="s">
        <v>509</v>
      </c>
      <c r="B45" s="606" t="str">
        <f>VLOOKUP(A45,'APPVI VLOOKUP NAMES'!$A$2:$C$300,3,FALSE)</f>
        <v>Midwest Trading</v>
      </c>
      <c r="C45" s="371" t="s">
        <v>119</v>
      </c>
      <c r="D45" s="771">
        <f>IF(C45="(2)",4210020,4470006)</f>
        <v>4470006</v>
      </c>
      <c r="E45" s="239" t="s">
        <v>1115</v>
      </c>
      <c r="F45" s="619">
        <v>100669.87</v>
      </c>
      <c r="G45" s="372">
        <f>ROUND(+G$6*$F45,0)+1</f>
        <v>30725</v>
      </c>
      <c r="H45" s="233">
        <f t="shared" si="19"/>
        <v>6452</v>
      </c>
      <c r="I45" s="233">
        <f t="shared" si="19"/>
        <v>20504</v>
      </c>
      <c r="J45" s="233">
        <f>ROUND(+J$6*$F45,0)</f>
        <v>42989</v>
      </c>
      <c r="K45" s="233">
        <f>ROUND(+K$6*$F45,0)</f>
        <v>0</v>
      </c>
      <c r="L45" s="204">
        <f>SUM(G45:K45)</f>
        <v>100670</v>
      </c>
      <c r="M45" s="373">
        <f>IF($E45="02",$L45-G45,-G45)</f>
        <v>-30725</v>
      </c>
      <c r="N45" s="374">
        <f>IF($E45="03",$L45-H45,-H45)</f>
        <v>-6452</v>
      </c>
      <c r="O45" s="374">
        <f>IF($E45="04",$L45-I45,-I45)</f>
        <v>-20504</v>
      </c>
      <c r="P45" s="374">
        <f>IF($E45="07",$L45-J45,-J45)</f>
        <v>57681</v>
      </c>
      <c r="Q45" s="374">
        <f>IF($E45="10",$L45-K45,-K45)</f>
        <v>0</v>
      </c>
      <c r="R45" s="375">
        <f>+Q45+P45+O45+N45+M45</f>
        <v>0</v>
      </c>
      <c r="T45" s="607">
        <f t="shared" si="16"/>
        <v>30724.44432</v>
      </c>
      <c r="U45" s="607">
        <f t="shared" si="16"/>
        <v>6451.93197</v>
      </c>
      <c r="V45" s="607">
        <f t="shared" si="16"/>
        <v>20504.43912</v>
      </c>
      <c r="W45" s="607">
        <f t="shared" si="16"/>
        <v>42989.05459</v>
      </c>
      <c r="X45" s="608">
        <f t="shared" si="16"/>
        <v>0</v>
      </c>
    </row>
    <row r="46" spans="1:24" s="364" customFormat="1" ht="16.5" customHeight="1" hidden="1">
      <c r="A46" s="230" t="s">
        <v>510</v>
      </c>
      <c r="B46" s="180" t="str">
        <f>VLOOKUP(A46,'APPVI VLOOKUP NAMES'!$A$2:$C$300,3,FALSE)</f>
        <v>Midwest Auction</v>
      </c>
      <c r="C46" s="371"/>
      <c r="D46" s="771">
        <f>IF(C46="(2)",4210020,5550099)</f>
        <v>5550099</v>
      </c>
      <c r="E46" s="239" t="s">
        <v>1115</v>
      </c>
      <c r="F46" s="619"/>
      <c r="G46" s="631">
        <f t="shared" si="18"/>
        <v>0</v>
      </c>
      <c r="H46" s="632">
        <f t="shared" si="18"/>
        <v>0</v>
      </c>
      <c r="I46" s="632">
        <f>ROUND(+I$6*$F46,0)</f>
        <v>0</v>
      </c>
      <c r="J46" s="632">
        <f t="shared" si="18"/>
        <v>0</v>
      </c>
      <c r="K46" s="632">
        <f t="shared" si="18"/>
        <v>0</v>
      </c>
      <c r="L46" s="633">
        <f>SUM(G46:K46)</f>
        <v>0</v>
      </c>
      <c r="M46" s="373">
        <f>IF($E46="02",$L46-G46,-G46)</f>
        <v>0</v>
      </c>
      <c r="N46" s="374">
        <f>IF($E46="03",$L46-H46,-H46)</f>
        <v>0</v>
      </c>
      <c r="O46" s="374">
        <f>IF($E46="04",$L46-I46,-I46)</f>
        <v>0</v>
      </c>
      <c r="P46" s="374">
        <f>IF($E46="07",$L46-J46,-J46)</f>
        <v>0</v>
      </c>
      <c r="Q46" s="374">
        <f>IF($E46="10",$L46-K46,-K46)</f>
        <v>0</v>
      </c>
      <c r="R46" s="375">
        <f>+Q46+P46+O46+N46+M46</f>
        <v>0</v>
      </c>
      <c r="T46" s="607">
        <f aca="true" t="shared" si="20" ref="T46:X51">ROUND(+G$6*$F46,5)</f>
        <v>0</v>
      </c>
      <c r="U46" s="607">
        <f t="shared" si="20"/>
        <v>0</v>
      </c>
      <c r="V46" s="607">
        <f t="shared" si="20"/>
        <v>0</v>
      </c>
      <c r="W46" s="607">
        <f t="shared" si="20"/>
        <v>0</v>
      </c>
      <c r="X46" s="608">
        <f t="shared" si="20"/>
        <v>0</v>
      </c>
    </row>
    <row r="47" spans="1:24" ht="16.5" customHeight="1" hidden="1">
      <c r="A47" s="230" t="s">
        <v>1544</v>
      </c>
      <c r="B47" s="180" t="str">
        <f>VLOOKUP(A47,'APPVI VLOOKUP NAMES'!$A$2:$C$300,3,FALSE)</f>
        <v>Morgan Stanley Capt.</v>
      </c>
      <c r="C47" s="376"/>
      <c r="D47" s="182">
        <f t="shared" si="14"/>
        <v>4470066</v>
      </c>
      <c r="E47" s="239" t="s">
        <v>1115</v>
      </c>
      <c r="F47" s="619"/>
      <c r="G47" s="372">
        <f t="shared" si="18"/>
        <v>0</v>
      </c>
      <c r="H47" s="233">
        <f t="shared" si="18"/>
        <v>0</v>
      </c>
      <c r="I47" s="233">
        <f t="shared" si="18"/>
        <v>0</v>
      </c>
      <c r="J47" s="233">
        <f t="shared" si="18"/>
        <v>0</v>
      </c>
      <c r="K47" s="233">
        <f t="shared" si="18"/>
        <v>0</v>
      </c>
      <c r="L47" s="204">
        <f>SUM(G47:K47)</f>
        <v>0</v>
      </c>
      <c r="M47" s="373">
        <f>IF($E47="02",$L47-G47,-G47)</f>
        <v>0</v>
      </c>
      <c r="N47" s="374">
        <f>IF($E47="03",$L47-H47,-H47)</f>
        <v>0</v>
      </c>
      <c r="O47" s="374">
        <f>IF($E47="04",$L47-I47,-I47)</f>
        <v>0</v>
      </c>
      <c r="P47" s="374">
        <f>IF($E47="07",$L47-J47,-J47)</f>
        <v>0</v>
      </c>
      <c r="Q47" s="374">
        <f>IF($E47="10",$L47-K47,-K47)</f>
        <v>0</v>
      </c>
      <c r="R47" s="375">
        <f>+Q47+P47+O47+N47+M47</f>
        <v>0</v>
      </c>
      <c r="T47" s="198">
        <f t="shared" si="20"/>
        <v>0</v>
      </c>
      <c r="U47" s="198">
        <f t="shared" si="20"/>
        <v>0</v>
      </c>
      <c r="V47" s="198">
        <f t="shared" si="20"/>
        <v>0</v>
      </c>
      <c r="W47" s="198">
        <f t="shared" si="20"/>
        <v>0</v>
      </c>
      <c r="X47" s="199">
        <f t="shared" si="20"/>
        <v>0</v>
      </c>
    </row>
    <row r="48" spans="1:24" ht="16.5" customHeight="1" hidden="1">
      <c r="A48" s="230" t="s">
        <v>426</v>
      </c>
      <c r="B48" s="180" t="str">
        <f>VLOOKUP(A48,'APPVI VLOOKUP NAMES'!$A$2:$C$300,3,FALSE)</f>
        <v>NRG Power Marketing, Inc.</v>
      </c>
      <c r="C48" s="376"/>
      <c r="D48" s="182">
        <f t="shared" si="14"/>
        <v>4470066</v>
      </c>
      <c r="E48" s="239" t="s">
        <v>1115</v>
      </c>
      <c r="F48" s="619"/>
      <c r="G48" s="372">
        <f t="shared" si="18"/>
        <v>0</v>
      </c>
      <c r="H48" s="233">
        <f t="shared" si="18"/>
        <v>0</v>
      </c>
      <c r="I48" s="233">
        <f t="shared" si="18"/>
        <v>0</v>
      </c>
      <c r="J48" s="233">
        <f t="shared" si="18"/>
        <v>0</v>
      </c>
      <c r="K48" s="233">
        <f t="shared" si="18"/>
        <v>0</v>
      </c>
      <c r="L48" s="204">
        <f>SUM(G48:K48)</f>
        <v>0</v>
      </c>
      <c r="M48" s="373">
        <f>IF($E48="02",$L48-G48,-G48)</f>
        <v>0</v>
      </c>
      <c r="N48" s="374">
        <f>IF($E48="03",$L48-H48,-H48)</f>
        <v>0</v>
      </c>
      <c r="O48" s="374">
        <f>IF($E48="04",$L48-I48,-I48)</f>
        <v>0</v>
      </c>
      <c r="P48" s="374">
        <f>IF($E48="07",$L48-J48,-J48)</f>
        <v>0</v>
      </c>
      <c r="Q48" s="374">
        <f>IF($E48="10",$L48-K48,-K48)</f>
        <v>0</v>
      </c>
      <c r="R48" s="375">
        <f>+Q48+P48+O48+N48+M48</f>
        <v>0</v>
      </c>
      <c r="T48" s="198">
        <f t="shared" si="20"/>
        <v>0</v>
      </c>
      <c r="U48" s="198">
        <f t="shared" si="20"/>
        <v>0</v>
      </c>
      <c r="V48" s="198">
        <f t="shared" si="20"/>
        <v>0</v>
      </c>
      <c r="W48" s="198">
        <f t="shared" si="20"/>
        <v>0</v>
      </c>
      <c r="X48" s="199">
        <f t="shared" si="20"/>
        <v>0</v>
      </c>
    </row>
    <row r="49" spans="1:24" ht="16.5" customHeight="1" hidden="1">
      <c r="A49" s="230" t="s">
        <v>1548</v>
      </c>
      <c r="B49" s="180" t="str">
        <f>VLOOKUP(A49,'APPVI VLOOKUP NAMES'!$A$2:$C$300,3,FALSE)</f>
        <v>NC Electric Membership Corp.</v>
      </c>
      <c r="C49" s="239"/>
      <c r="D49" s="182">
        <f t="shared" si="14"/>
        <v>4470066</v>
      </c>
      <c r="E49" s="239" t="s">
        <v>1117</v>
      </c>
      <c r="F49" s="619"/>
      <c r="G49" s="372">
        <f t="shared" si="18"/>
        <v>0</v>
      </c>
      <c r="H49" s="233">
        <f t="shared" si="18"/>
        <v>0</v>
      </c>
      <c r="I49" s="233">
        <f t="shared" si="18"/>
        <v>0</v>
      </c>
      <c r="J49" s="233">
        <f t="shared" si="18"/>
        <v>0</v>
      </c>
      <c r="K49" s="233">
        <f t="shared" si="18"/>
        <v>0</v>
      </c>
      <c r="L49" s="204">
        <f t="shared" si="2"/>
        <v>0</v>
      </c>
      <c r="M49" s="373">
        <f t="shared" si="3"/>
        <v>0</v>
      </c>
      <c r="N49" s="374">
        <f t="shared" si="4"/>
        <v>0</v>
      </c>
      <c r="O49" s="374">
        <f t="shared" si="5"/>
        <v>0</v>
      </c>
      <c r="P49" s="374">
        <f t="shared" si="6"/>
        <v>0</v>
      </c>
      <c r="Q49" s="374">
        <f t="shared" si="7"/>
        <v>0</v>
      </c>
      <c r="R49" s="375">
        <f t="shared" si="8"/>
        <v>0</v>
      </c>
      <c r="T49" s="198">
        <f t="shared" si="20"/>
        <v>0</v>
      </c>
      <c r="U49" s="198">
        <f t="shared" si="20"/>
        <v>0</v>
      </c>
      <c r="V49" s="198">
        <f t="shared" si="20"/>
        <v>0</v>
      </c>
      <c r="W49" s="198">
        <f t="shared" si="20"/>
        <v>0</v>
      </c>
      <c r="X49" s="199">
        <f t="shared" si="20"/>
        <v>0</v>
      </c>
    </row>
    <row r="50" spans="1:24" ht="16.5" customHeight="1" hidden="1">
      <c r="A50" s="230" t="s">
        <v>1561</v>
      </c>
      <c r="B50" s="180" t="str">
        <f>VLOOKUP(A50,'APPVI VLOOKUP NAMES'!$A$2:$C$300,3,FALSE)</f>
        <v>NIPSCO Energy Management</v>
      </c>
      <c r="C50" s="239"/>
      <c r="D50" s="182">
        <f t="shared" si="14"/>
        <v>4470066</v>
      </c>
      <c r="E50" s="239" t="s">
        <v>1120</v>
      </c>
      <c r="F50" s="619"/>
      <c r="G50" s="372">
        <f t="shared" si="18"/>
        <v>0</v>
      </c>
      <c r="H50" s="233">
        <f t="shared" si="18"/>
        <v>0</v>
      </c>
      <c r="I50" s="233">
        <f t="shared" si="18"/>
        <v>0</v>
      </c>
      <c r="J50" s="233">
        <f t="shared" si="18"/>
        <v>0</v>
      </c>
      <c r="K50" s="233">
        <f t="shared" si="18"/>
        <v>0</v>
      </c>
      <c r="L50" s="204">
        <f t="shared" si="2"/>
        <v>0</v>
      </c>
      <c r="M50" s="373">
        <f t="shared" si="3"/>
        <v>0</v>
      </c>
      <c r="N50" s="374">
        <f t="shared" si="4"/>
        <v>0</v>
      </c>
      <c r="O50" s="374">
        <f t="shared" si="5"/>
        <v>0</v>
      </c>
      <c r="P50" s="374">
        <f t="shared" si="6"/>
        <v>0</v>
      </c>
      <c r="Q50" s="374">
        <f t="shared" si="7"/>
        <v>0</v>
      </c>
      <c r="R50" s="375">
        <f t="shared" si="8"/>
        <v>0</v>
      </c>
      <c r="T50" s="198">
        <f t="shared" si="20"/>
        <v>0</v>
      </c>
      <c r="U50" s="198">
        <f t="shared" si="20"/>
        <v>0</v>
      </c>
      <c r="V50" s="198">
        <f t="shared" si="20"/>
        <v>0</v>
      </c>
      <c r="W50" s="198">
        <f t="shared" si="20"/>
        <v>0</v>
      </c>
      <c r="X50" s="199">
        <f t="shared" si="20"/>
        <v>0</v>
      </c>
    </row>
    <row r="51" spans="1:24" ht="16.5" customHeight="1" hidden="1">
      <c r="A51" s="230" t="s">
        <v>459</v>
      </c>
      <c r="B51" s="180" t="str">
        <f>VLOOKUP(A51,'APPVI VLOOKUP NAMES'!$A$2:$C$300,3,FALSE)</f>
        <v>Nevada Power Co.- Power Mktg</v>
      </c>
      <c r="C51" s="239"/>
      <c r="D51" s="182">
        <f t="shared" si="14"/>
        <v>4470066</v>
      </c>
      <c r="E51" s="239" t="s">
        <v>1115</v>
      </c>
      <c r="F51" s="619"/>
      <c r="G51" s="372">
        <f t="shared" si="18"/>
        <v>0</v>
      </c>
      <c r="H51" s="233">
        <f t="shared" si="18"/>
        <v>0</v>
      </c>
      <c r="I51" s="233">
        <f t="shared" si="18"/>
        <v>0</v>
      </c>
      <c r="J51" s="233">
        <f t="shared" si="18"/>
        <v>0</v>
      </c>
      <c r="K51" s="233">
        <f t="shared" si="18"/>
        <v>0</v>
      </c>
      <c r="L51" s="204">
        <f t="shared" si="2"/>
        <v>0</v>
      </c>
      <c r="M51" s="373">
        <f t="shared" si="3"/>
        <v>0</v>
      </c>
      <c r="N51" s="374">
        <f t="shared" si="4"/>
        <v>0</v>
      </c>
      <c r="O51" s="374">
        <f t="shared" si="5"/>
        <v>0</v>
      </c>
      <c r="P51" s="374">
        <f t="shared" si="6"/>
        <v>0</v>
      </c>
      <c r="Q51" s="374">
        <f t="shared" si="7"/>
        <v>0</v>
      </c>
      <c r="R51" s="375">
        <f t="shared" si="8"/>
        <v>0</v>
      </c>
      <c r="T51" s="198">
        <f t="shared" si="20"/>
        <v>0</v>
      </c>
      <c r="U51" s="198">
        <f t="shared" si="20"/>
        <v>0</v>
      </c>
      <c r="V51" s="198">
        <f t="shared" si="20"/>
        <v>0</v>
      </c>
      <c r="W51" s="198">
        <f t="shared" si="20"/>
        <v>0</v>
      </c>
      <c r="X51" s="199">
        <f t="shared" si="20"/>
        <v>0</v>
      </c>
    </row>
    <row r="52" spans="1:24" ht="16.5" customHeight="1" hidden="1">
      <c r="A52" s="230" t="s">
        <v>491</v>
      </c>
      <c r="B52" s="180" t="str">
        <f>VLOOKUP(A52,'APPVI VLOOKUP NAMES'!$A$2:$C$300,3,FALSE)</f>
        <v>OPPD Energy Marketing</v>
      </c>
      <c r="C52" s="239"/>
      <c r="D52" s="182">
        <f t="shared" si="14"/>
        <v>4470066</v>
      </c>
      <c r="E52" s="239" t="s">
        <v>1115</v>
      </c>
      <c r="F52" s="619"/>
      <c r="G52" s="372">
        <f>ROUND(+G$6*$F52,0)</f>
        <v>0</v>
      </c>
      <c r="H52" s="233">
        <f>ROUND(+H$6*$F52,0)</f>
        <v>0</v>
      </c>
      <c r="I52" s="233">
        <f>ROUND(+I$6*$F52,0)</f>
        <v>0</v>
      </c>
      <c r="J52" s="233">
        <f>ROUND(+J$6*$F52,0)</f>
        <v>0</v>
      </c>
      <c r="K52" s="233">
        <f>ROUND(+K$6*$F52,0)</f>
        <v>0</v>
      </c>
      <c r="L52" s="204">
        <f>SUM(G52:K52)</f>
        <v>0</v>
      </c>
      <c r="M52" s="373">
        <f>IF($E52="02",$L52-G52,-G52)</f>
        <v>0</v>
      </c>
      <c r="N52" s="374">
        <f>IF($E52="03",$L52-H52,-H52)</f>
        <v>0</v>
      </c>
      <c r="O52" s="374">
        <f>IF($E52="04",$L52-I52,-I52)</f>
        <v>0</v>
      </c>
      <c r="P52" s="374">
        <f>IF($E52="07",$L52-J52,-J52)</f>
        <v>0</v>
      </c>
      <c r="Q52" s="374">
        <f>IF($E52="10",$L52-K52,-K52)</f>
        <v>0</v>
      </c>
      <c r="R52" s="375">
        <f>+Q52+P52+O52+N52+M52</f>
        <v>0</v>
      </c>
      <c r="T52" s="198">
        <f>ROUND(+G$6*$F52,5)</f>
        <v>0</v>
      </c>
      <c r="U52" s="198">
        <f>ROUND(+H$6*$F52,5)</f>
        <v>0</v>
      </c>
      <c r="V52" s="198">
        <f>ROUND(+I$6*$F52,5)</f>
        <v>0</v>
      </c>
      <c r="W52" s="198">
        <f>ROUND(+J$6*$F52,5)</f>
        <v>0</v>
      </c>
      <c r="X52" s="199">
        <f>ROUND(+K$6*$F52,5)</f>
        <v>0</v>
      </c>
    </row>
    <row r="53" spans="1:24" ht="16.5" customHeight="1" hidden="1">
      <c r="A53" s="230" t="s">
        <v>1124</v>
      </c>
      <c r="B53" s="180" t="str">
        <f>VLOOKUP(A53,'APPVI VLOOKUP NAMES'!$A$2:$C$300,3,FALSE)</f>
        <v>OVEC Power Scheduling</v>
      </c>
      <c r="C53" s="239"/>
      <c r="D53" s="182">
        <f t="shared" si="14"/>
        <v>4470066</v>
      </c>
      <c r="E53" s="239" t="s">
        <v>1115</v>
      </c>
      <c r="F53" s="619"/>
      <c r="G53" s="372">
        <f aca="true" t="shared" si="21" ref="G53:K68">ROUND(+G$6*$F53,0)</f>
        <v>0</v>
      </c>
      <c r="H53" s="233">
        <f t="shared" si="21"/>
        <v>0</v>
      </c>
      <c r="I53" s="233">
        <f t="shared" si="21"/>
        <v>0</v>
      </c>
      <c r="J53" s="233">
        <f t="shared" si="21"/>
        <v>0</v>
      </c>
      <c r="K53" s="233">
        <f t="shared" si="21"/>
        <v>0</v>
      </c>
      <c r="L53" s="204">
        <f t="shared" si="2"/>
        <v>0</v>
      </c>
      <c r="M53" s="373">
        <f t="shared" si="3"/>
        <v>0</v>
      </c>
      <c r="N53" s="374">
        <f t="shared" si="4"/>
        <v>0</v>
      </c>
      <c r="O53" s="374">
        <f t="shared" si="5"/>
        <v>0</v>
      </c>
      <c r="P53" s="374">
        <f t="shared" si="6"/>
        <v>0</v>
      </c>
      <c r="Q53" s="374">
        <f t="shared" si="7"/>
        <v>0</v>
      </c>
      <c r="R53" s="375">
        <f t="shared" si="8"/>
        <v>0</v>
      </c>
      <c r="T53" s="198">
        <f aca="true" t="shared" si="22" ref="T53:X65">ROUND(+G$6*$F53,5)</f>
        <v>0</v>
      </c>
      <c r="U53" s="198">
        <f t="shared" si="22"/>
        <v>0</v>
      </c>
      <c r="V53" s="198">
        <f t="shared" si="22"/>
        <v>0</v>
      </c>
      <c r="W53" s="198">
        <f t="shared" si="22"/>
        <v>0</v>
      </c>
      <c r="X53" s="199">
        <f t="shared" si="22"/>
        <v>0</v>
      </c>
    </row>
    <row r="54" spans="1:24" ht="16.5" customHeight="1" hidden="1">
      <c r="A54" s="230" t="s">
        <v>609</v>
      </c>
      <c r="B54" s="180" t="str">
        <f>VLOOKUP(A54,'APPVI VLOOKUP NAMES'!$A$2:$C$300,3,FALSE)</f>
        <v>Pacific NW Generating Co-Op</v>
      </c>
      <c r="C54" s="240"/>
      <c r="D54" s="182">
        <f t="shared" si="14"/>
        <v>4470066</v>
      </c>
      <c r="E54" s="239" t="s">
        <v>1115</v>
      </c>
      <c r="F54" s="619"/>
      <c r="G54" s="372">
        <f t="shared" si="21"/>
        <v>0</v>
      </c>
      <c r="H54" s="233">
        <f t="shared" si="21"/>
        <v>0</v>
      </c>
      <c r="I54" s="233">
        <f t="shared" si="21"/>
        <v>0</v>
      </c>
      <c r="J54" s="233">
        <f t="shared" si="21"/>
        <v>0</v>
      </c>
      <c r="K54" s="233">
        <f t="shared" si="21"/>
        <v>0</v>
      </c>
      <c r="L54" s="204">
        <f t="shared" si="2"/>
        <v>0</v>
      </c>
      <c r="M54" s="373">
        <f t="shared" si="3"/>
        <v>0</v>
      </c>
      <c r="N54" s="374">
        <f t="shared" si="4"/>
        <v>0</v>
      </c>
      <c r="O54" s="374">
        <f t="shared" si="5"/>
        <v>0</v>
      </c>
      <c r="P54" s="374">
        <f t="shared" si="6"/>
        <v>0</v>
      </c>
      <c r="Q54" s="374">
        <f t="shared" si="7"/>
        <v>0</v>
      </c>
      <c r="R54" s="375">
        <f t="shared" si="8"/>
        <v>0</v>
      </c>
      <c r="T54" s="198">
        <f t="shared" si="22"/>
        <v>0</v>
      </c>
      <c r="U54" s="198">
        <f t="shared" si="22"/>
        <v>0</v>
      </c>
      <c r="V54" s="198">
        <f t="shared" si="22"/>
        <v>0</v>
      </c>
      <c r="W54" s="198">
        <f t="shared" si="22"/>
        <v>0</v>
      </c>
      <c r="X54" s="199">
        <f t="shared" si="22"/>
        <v>0</v>
      </c>
    </row>
    <row r="55" spans="1:24" ht="16.5" customHeight="1" hidden="1">
      <c r="A55" s="230" t="s">
        <v>1125</v>
      </c>
      <c r="B55" s="180" t="str">
        <f>VLOOKUP(A55,'APPVI VLOOKUP NAMES'!$A$2:$C$300,3,FALSE)</f>
        <v>PJM Interconnection</v>
      </c>
      <c r="C55" s="240"/>
      <c r="D55" s="182">
        <f t="shared" si="14"/>
        <v>4470066</v>
      </c>
      <c r="E55" s="239" t="s">
        <v>1115</v>
      </c>
      <c r="F55" s="619"/>
      <c r="G55" s="372">
        <f t="shared" si="21"/>
        <v>0</v>
      </c>
      <c r="H55" s="233">
        <f t="shared" si="21"/>
        <v>0</v>
      </c>
      <c r="I55" s="233">
        <f t="shared" si="21"/>
        <v>0</v>
      </c>
      <c r="J55" s="233">
        <f t="shared" si="21"/>
        <v>0</v>
      </c>
      <c r="K55" s="233">
        <f t="shared" si="21"/>
        <v>0</v>
      </c>
      <c r="L55" s="204">
        <f t="shared" si="2"/>
        <v>0</v>
      </c>
      <c r="M55" s="373">
        <f t="shared" si="3"/>
        <v>0</v>
      </c>
      <c r="N55" s="374">
        <f t="shared" si="4"/>
        <v>0</v>
      </c>
      <c r="O55" s="374">
        <f t="shared" si="5"/>
        <v>0</v>
      </c>
      <c r="P55" s="374">
        <f t="shared" si="6"/>
        <v>0</v>
      </c>
      <c r="Q55" s="374">
        <f t="shared" si="7"/>
        <v>0</v>
      </c>
      <c r="R55" s="375">
        <f t="shared" si="8"/>
        <v>0</v>
      </c>
      <c r="T55" s="198">
        <f t="shared" si="22"/>
        <v>0</v>
      </c>
      <c r="U55" s="198">
        <f t="shared" si="22"/>
        <v>0</v>
      </c>
      <c r="V55" s="198">
        <f t="shared" si="22"/>
        <v>0</v>
      </c>
      <c r="W55" s="198">
        <f t="shared" si="22"/>
        <v>0</v>
      </c>
      <c r="X55" s="199">
        <f t="shared" si="22"/>
        <v>0</v>
      </c>
    </row>
    <row r="56" spans="1:24" ht="16.5" customHeight="1" hidden="1">
      <c r="A56" s="230" t="s">
        <v>606</v>
      </c>
      <c r="B56" s="180" t="str">
        <f>VLOOKUP(A56,'APPVI VLOOKUP NAMES'!$A$2:$C$300,3,FALSE)</f>
        <v>PJM Interconnection Pool</v>
      </c>
      <c r="C56" s="239"/>
      <c r="D56" s="182">
        <f t="shared" si="14"/>
        <v>4470066</v>
      </c>
      <c r="E56" s="239" t="s">
        <v>1115</v>
      </c>
      <c r="F56" s="619"/>
      <c r="G56" s="372">
        <f t="shared" si="21"/>
        <v>0</v>
      </c>
      <c r="H56" s="233">
        <f t="shared" si="21"/>
        <v>0</v>
      </c>
      <c r="I56" s="233">
        <f t="shared" si="21"/>
        <v>0</v>
      </c>
      <c r="J56" s="233">
        <f t="shared" si="21"/>
        <v>0</v>
      </c>
      <c r="K56" s="233">
        <f t="shared" si="21"/>
        <v>0</v>
      </c>
      <c r="L56" s="204">
        <f t="shared" si="2"/>
        <v>0</v>
      </c>
      <c r="M56" s="373">
        <f t="shared" si="3"/>
        <v>0</v>
      </c>
      <c r="N56" s="374">
        <f t="shared" si="4"/>
        <v>0</v>
      </c>
      <c r="O56" s="374">
        <f t="shared" si="5"/>
        <v>0</v>
      </c>
      <c r="P56" s="374">
        <f t="shared" si="6"/>
        <v>0</v>
      </c>
      <c r="Q56" s="374">
        <f t="shared" si="7"/>
        <v>0</v>
      </c>
      <c r="R56" s="375">
        <f t="shared" si="8"/>
        <v>0</v>
      </c>
      <c r="T56" s="198">
        <f t="shared" si="22"/>
        <v>0</v>
      </c>
      <c r="U56" s="198">
        <f t="shared" si="22"/>
        <v>0</v>
      </c>
      <c r="V56" s="198">
        <f t="shared" si="22"/>
        <v>0</v>
      </c>
      <c r="W56" s="198">
        <f t="shared" si="22"/>
        <v>0</v>
      </c>
      <c r="X56" s="199">
        <f t="shared" si="22"/>
        <v>0</v>
      </c>
    </row>
    <row r="57" spans="1:24" ht="16.5" customHeight="1" hidden="1">
      <c r="A57" s="230" t="s">
        <v>1072</v>
      </c>
      <c r="B57" s="180" t="str">
        <f>VLOOKUP(A57,'APPVI VLOOKUP NAMES'!$A$2:$C$300,3,FALSE)</f>
        <v>Union Power Partners</v>
      </c>
      <c r="C57" s="239"/>
      <c r="D57" s="182">
        <f t="shared" si="14"/>
        <v>4470066</v>
      </c>
      <c r="E57" s="239" t="s">
        <v>1115</v>
      </c>
      <c r="F57" s="619"/>
      <c r="G57" s="372">
        <f t="shared" si="21"/>
        <v>0</v>
      </c>
      <c r="H57" s="233">
        <f t="shared" si="21"/>
        <v>0</v>
      </c>
      <c r="I57" s="233">
        <f t="shared" si="21"/>
        <v>0</v>
      </c>
      <c r="J57" s="233">
        <f t="shared" si="21"/>
        <v>0</v>
      </c>
      <c r="K57" s="233">
        <f t="shared" si="21"/>
        <v>0</v>
      </c>
      <c r="L57" s="204">
        <f>SUM(G57:K57)</f>
        <v>0</v>
      </c>
      <c r="M57" s="373">
        <f>IF($E57="02",$L57-G57,-G57)</f>
        <v>0</v>
      </c>
      <c r="N57" s="374">
        <f>IF($E57="03",$L57-H57,-H57)</f>
        <v>0</v>
      </c>
      <c r="O57" s="374">
        <f>IF($E57="04",$L57-I57,-I57)</f>
        <v>0</v>
      </c>
      <c r="P57" s="374">
        <f>IF($E57="07",$L57-J57,-J57)</f>
        <v>0</v>
      </c>
      <c r="Q57" s="374">
        <f>IF($E57="10",$L57-K57,-K57)</f>
        <v>0</v>
      </c>
      <c r="R57" s="375">
        <f>+Q57+P57+O57+N57+M57</f>
        <v>0</v>
      </c>
      <c r="T57" s="198">
        <f t="shared" si="22"/>
        <v>0</v>
      </c>
      <c r="U57" s="198">
        <f t="shared" si="22"/>
        <v>0</v>
      </c>
      <c r="V57" s="198">
        <f t="shared" si="22"/>
        <v>0</v>
      </c>
      <c r="W57" s="198">
        <f t="shared" si="22"/>
        <v>0</v>
      </c>
      <c r="X57" s="199">
        <f t="shared" si="22"/>
        <v>0</v>
      </c>
    </row>
    <row r="58" spans="1:24" ht="16.5" customHeight="1" hidden="1">
      <c r="A58" s="230" t="s">
        <v>1418</v>
      </c>
      <c r="B58" s="180" t="str">
        <f>VLOOKUP(A58,'APPVI VLOOKUP NAMES'!$A$2:$C$300,3,FALSE)</f>
        <v>Reliant Energy Serv.</v>
      </c>
      <c r="C58" s="239"/>
      <c r="D58" s="182">
        <f t="shared" si="14"/>
        <v>4470066</v>
      </c>
      <c r="E58" s="239" t="s">
        <v>1115</v>
      </c>
      <c r="F58" s="619"/>
      <c r="G58" s="372">
        <f t="shared" si="21"/>
        <v>0</v>
      </c>
      <c r="H58" s="233">
        <f t="shared" si="21"/>
        <v>0</v>
      </c>
      <c r="I58" s="233">
        <f t="shared" si="21"/>
        <v>0</v>
      </c>
      <c r="J58" s="233">
        <f t="shared" si="21"/>
        <v>0</v>
      </c>
      <c r="K58" s="233">
        <f t="shared" si="21"/>
        <v>0</v>
      </c>
      <c r="L58" s="204">
        <f t="shared" si="2"/>
        <v>0</v>
      </c>
      <c r="M58" s="373">
        <f t="shared" si="3"/>
        <v>0</v>
      </c>
      <c r="N58" s="374">
        <f t="shared" si="4"/>
        <v>0</v>
      </c>
      <c r="O58" s="374">
        <f t="shared" si="5"/>
        <v>0</v>
      </c>
      <c r="P58" s="374">
        <f t="shared" si="6"/>
        <v>0</v>
      </c>
      <c r="Q58" s="374">
        <f t="shared" si="7"/>
        <v>0</v>
      </c>
      <c r="R58" s="375">
        <f t="shared" si="8"/>
        <v>0</v>
      </c>
      <c r="T58" s="198">
        <f t="shared" si="22"/>
        <v>0</v>
      </c>
      <c r="U58" s="198">
        <f t="shared" si="22"/>
        <v>0</v>
      </c>
      <c r="V58" s="198">
        <f t="shared" si="22"/>
        <v>0</v>
      </c>
      <c r="W58" s="198">
        <f t="shared" si="22"/>
        <v>0</v>
      </c>
      <c r="X58" s="199">
        <f t="shared" si="22"/>
        <v>0</v>
      </c>
    </row>
    <row r="59" spans="1:24" ht="16.5" customHeight="1" hidden="1">
      <c r="A59" s="230" t="s">
        <v>204</v>
      </c>
      <c r="B59" s="180" t="str">
        <f>VLOOKUP(A59,'APPVI VLOOKUP NAMES'!$A$2:$C$300,3,FALSE)</f>
        <v>SIGE Power Marketing</v>
      </c>
      <c r="C59" s="239"/>
      <c r="D59" s="182">
        <f t="shared" si="14"/>
        <v>4470066</v>
      </c>
      <c r="E59" s="239" t="s">
        <v>1120</v>
      </c>
      <c r="F59" s="619"/>
      <c r="G59" s="372">
        <f t="shared" si="21"/>
        <v>0</v>
      </c>
      <c r="H59" s="233">
        <f t="shared" si="21"/>
        <v>0</v>
      </c>
      <c r="I59" s="233">
        <f t="shared" si="21"/>
        <v>0</v>
      </c>
      <c r="J59" s="233">
        <f t="shared" si="21"/>
        <v>0</v>
      </c>
      <c r="K59" s="233">
        <f t="shared" si="21"/>
        <v>0</v>
      </c>
      <c r="L59" s="204">
        <f t="shared" si="2"/>
        <v>0</v>
      </c>
      <c r="M59" s="373">
        <f t="shared" si="3"/>
        <v>0</v>
      </c>
      <c r="N59" s="374">
        <f t="shared" si="4"/>
        <v>0</v>
      </c>
      <c r="O59" s="374">
        <f t="shared" si="5"/>
        <v>0</v>
      </c>
      <c r="P59" s="374">
        <f t="shared" si="6"/>
        <v>0</v>
      </c>
      <c r="Q59" s="374">
        <f t="shared" si="7"/>
        <v>0</v>
      </c>
      <c r="R59" s="375">
        <f t="shared" si="8"/>
        <v>0</v>
      </c>
      <c r="T59" s="198">
        <f t="shared" si="22"/>
        <v>0</v>
      </c>
      <c r="U59" s="198">
        <f t="shared" si="22"/>
        <v>0</v>
      </c>
      <c r="V59" s="198">
        <f t="shared" si="22"/>
        <v>0</v>
      </c>
      <c r="W59" s="198">
        <f t="shared" si="22"/>
        <v>0</v>
      </c>
      <c r="X59" s="199">
        <f t="shared" si="22"/>
        <v>0</v>
      </c>
    </row>
    <row r="60" spans="1:24" s="364" customFormat="1" ht="16.5" customHeight="1" hidden="1">
      <c r="A60" s="230" t="s">
        <v>1126</v>
      </c>
      <c r="B60" s="180" t="str">
        <f>VLOOKUP(A60,'APPVI VLOOKUP NAMES'!$A$2:$C$300,3,FALSE)</f>
        <v>Southern Company</v>
      </c>
      <c r="C60" s="371"/>
      <c r="D60" s="182">
        <f t="shared" si="14"/>
        <v>4470066</v>
      </c>
      <c r="E60" s="239" t="s">
        <v>1115</v>
      </c>
      <c r="F60" s="619"/>
      <c r="G60" s="631">
        <f>ROUND(+G$6*$F60,0)</f>
        <v>0</v>
      </c>
      <c r="H60" s="632">
        <f>ROUND(+H$6*$F60,0)</f>
        <v>0</v>
      </c>
      <c r="I60" s="632">
        <f>ROUND(+I$6*$F60,0)</f>
        <v>0</v>
      </c>
      <c r="J60" s="632">
        <f>ROUND(+J$6*$F60,0)</f>
        <v>0</v>
      </c>
      <c r="K60" s="632">
        <f>ROUND(+K$6*$F60,0)</f>
        <v>0</v>
      </c>
      <c r="L60" s="633">
        <f>SUM(G60:K60)</f>
        <v>0</v>
      </c>
      <c r="M60" s="373">
        <f t="shared" si="3"/>
        <v>0</v>
      </c>
      <c r="N60" s="374">
        <f t="shared" si="4"/>
        <v>0</v>
      </c>
      <c r="O60" s="374">
        <f t="shared" si="5"/>
        <v>0</v>
      </c>
      <c r="P60" s="374">
        <f t="shared" si="6"/>
        <v>0</v>
      </c>
      <c r="Q60" s="374">
        <f t="shared" si="7"/>
        <v>0</v>
      </c>
      <c r="R60" s="375">
        <f t="shared" si="8"/>
        <v>0</v>
      </c>
      <c r="T60" s="607">
        <f t="shared" si="22"/>
        <v>0</v>
      </c>
      <c r="U60" s="607">
        <f t="shared" si="22"/>
        <v>0</v>
      </c>
      <c r="V60" s="607">
        <f t="shared" si="22"/>
        <v>0</v>
      </c>
      <c r="W60" s="607">
        <f>ROUND(+J$6*$F60,5)</f>
        <v>0</v>
      </c>
      <c r="X60" s="608">
        <f t="shared" si="22"/>
        <v>0</v>
      </c>
    </row>
    <row r="61" spans="1:24" ht="16.5" customHeight="1" hidden="1">
      <c r="A61" s="179" t="s">
        <v>1127</v>
      </c>
      <c r="B61" s="180" t="str">
        <f>VLOOKUP(A61,'APPVI VLOOKUP NAMES'!$A$2:$C$300,3,FALSE)</f>
        <v>Southwest Power Pool</v>
      </c>
      <c r="C61" s="183"/>
      <c r="D61" s="182">
        <f t="shared" si="14"/>
        <v>4470066</v>
      </c>
      <c r="E61" s="183" t="s">
        <v>1115</v>
      </c>
      <c r="F61" s="619"/>
      <c r="G61" s="185">
        <f t="shared" si="21"/>
        <v>0</v>
      </c>
      <c r="H61" s="160">
        <f t="shared" si="21"/>
        <v>0</v>
      </c>
      <c r="I61" s="160">
        <f t="shared" si="21"/>
        <v>0</v>
      </c>
      <c r="J61" s="160">
        <f t="shared" si="21"/>
        <v>0</v>
      </c>
      <c r="K61" s="160">
        <f t="shared" si="21"/>
        <v>0</v>
      </c>
      <c r="L61" s="204">
        <f>SUM(G61:K61)</f>
        <v>0</v>
      </c>
      <c r="M61" s="187">
        <f>IF($E61="02",$L61-G61,-G61)</f>
        <v>0</v>
      </c>
      <c r="N61" s="188">
        <f>IF($E61="03",$L61-H61,-H61)</f>
        <v>0</v>
      </c>
      <c r="O61" s="188">
        <f>IF($E61="04",$L61-I61,-I61)</f>
        <v>0</v>
      </c>
      <c r="P61" s="188">
        <f>IF($E61="07",$L61-J61,-J61)</f>
        <v>0</v>
      </c>
      <c r="Q61" s="188">
        <f>IF($E61="10",$L61-K61,-K61)</f>
        <v>0</v>
      </c>
      <c r="R61" s="189">
        <f>+Q61+P61+O61+N61+M61</f>
        <v>0</v>
      </c>
      <c r="T61" s="198">
        <f t="shared" si="22"/>
        <v>0</v>
      </c>
      <c r="U61" s="198">
        <f t="shared" si="22"/>
        <v>0</v>
      </c>
      <c r="V61" s="198">
        <f t="shared" si="22"/>
        <v>0</v>
      </c>
      <c r="W61" s="198">
        <f t="shared" si="22"/>
        <v>0</v>
      </c>
      <c r="X61" s="199">
        <f t="shared" si="22"/>
        <v>0</v>
      </c>
    </row>
    <row r="62" spans="1:24" ht="16.5" customHeight="1" hidden="1">
      <c r="A62" s="179" t="s">
        <v>670</v>
      </c>
      <c r="B62" s="180" t="str">
        <f>VLOOKUP(A62,'APPVI VLOOKUP NAMES'!$A$2:$C$300,3,FALSE)</f>
        <v>Split Rock Energy</v>
      </c>
      <c r="C62" s="183"/>
      <c r="D62" s="182">
        <f t="shared" si="14"/>
        <v>4470066</v>
      </c>
      <c r="E62" s="183" t="s">
        <v>1120</v>
      </c>
      <c r="F62" s="619"/>
      <c r="G62" s="185">
        <f t="shared" si="21"/>
        <v>0</v>
      </c>
      <c r="H62" s="160">
        <f t="shared" si="21"/>
        <v>0</v>
      </c>
      <c r="I62" s="160">
        <f t="shared" si="21"/>
        <v>0</v>
      </c>
      <c r="J62" s="160">
        <f t="shared" si="21"/>
        <v>0</v>
      </c>
      <c r="K62" s="160">
        <f t="shared" si="21"/>
        <v>0</v>
      </c>
      <c r="L62" s="204">
        <f>SUM(G62:K62)</f>
        <v>0</v>
      </c>
      <c r="M62" s="187">
        <f>IF($E62="02",$L62-G62,-G62)</f>
        <v>0</v>
      </c>
      <c r="N62" s="188">
        <f>IF($E62="03",$L62-H62,-H62)</f>
        <v>0</v>
      </c>
      <c r="O62" s="188">
        <f>IF($E62="04",$L62-I62,-I62)</f>
        <v>0</v>
      </c>
      <c r="P62" s="188">
        <f>IF($E62="07",$L62-J62,-J62)</f>
        <v>0</v>
      </c>
      <c r="Q62" s="188">
        <f>IF($E62="10",$L62-K62,-K62)</f>
        <v>0</v>
      </c>
      <c r="R62" s="189">
        <f>+Q62+P62+O62+N62+M62</f>
        <v>0</v>
      </c>
      <c r="T62" s="198">
        <f t="shared" si="22"/>
        <v>0</v>
      </c>
      <c r="U62" s="198">
        <f t="shared" si="22"/>
        <v>0</v>
      </c>
      <c r="V62" s="198">
        <f t="shared" si="22"/>
        <v>0</v>
      </c>
      <c r="W62" s="198">
        <f t="shared" si="22"/>
        <v>0</v>
      </c>
      <c r="X62" s="199">
        <f t="shared" si="22"/>
        <v>0</v>
      </c>
    </row>
    <row r="63" spans="1:24" ht="16.5" customHeight="1" hidden="1">
      <c r="A63" s="230" t="s">
        <v>71</v>
      </c>
      <c r="B63" s="180" t="str">
        <f>VLOOKUP(A63,'APPVI VLOOKUP NAMES'!$A$2:$C$300,3,FALSE)</f>
        <v>TECO Energy Source</v>
      </c>
      <c r="C63" s="183"/>
      <c r="D63" s="182">
        <f t="shared" si="14"/>
        <v>4470066</v>
      </c>
      <c r="E63" s="183" t="s">
        <v>1117</v>
      </c>
      <c r="F63" s="619"/>
      <c r="G63" s="185">
        <f t="shared" si="21"/>
        <v>0</v>
      </c>
      <c r="H63" s="160">
        <f t="shared" si="21"/>
        <v>0</v>
      </c>
      <c r="I63" s="160">
        <f t="shared" si="21"/>
        <v>0</v>
      </c>
      <c r="J63" s="160">
        <f t="shared" si="21"/>
        <v>0</v>
      </c>
      <c r="K63" s="160">
        <f t="shared" si="21"/>
        <v>0</v>
      </c>
      <c r="L63" s="204">
        <f t="shared" si="2"/>
        <v>0</v>
      </c>
      <c r="M63" s="187">
        <f t="shared" si="3"/>
        <v>0</v>
      </c>
      <c r="N63" s="188">
        <f t="shared" si="4"/>
        <v>0</v>
      </c>
      <c r="O63" s="188">
        <f t="shared" si="5"/>
        <v>0</v>
      </c>
      <c r="P63" s="188">
        <f t="shared" si="6"/>
        <v>0</v>
      </c>
      <c r="Q63" s="188">
        <f t="shared" si="7"/>
        <v>0</v>
      </c>
      <c r="R63" s="189">
        <f t="shared" si="8"/>
        <v>0</v>
      </c>
      <c r="T63" s="198">
        <f t="shared" si="22"/>
        <v>0</v>
      </c>
      <c r="U63" s="198">
        <f t="shared" si="22"/>
        <v>0</v>
      </c>
      <c r="V63" s="198">
        <f t="shared" si="22"/>
        <v>0</v>
      </c>
      <c r="W63" s="198">
        <f t="shared" si="22"/>
        <v>0</v>
      </c>
      <c r="X63" s="199">
        <f t="shared" si="22"/>
        <v>0</v>
      </c>
    </row>
    <row r="64" spans="1:24" s="364" customFormat="1" ht="16.5" customHeight="1">
      <c r="A64" s="230" t="s">
        <v>1128</v>
      </c>
      <c r="B64" s="606" t="str">
        <f>VLOOKUP(A64,'APPVI VLOOKUP NAMES'!$A$2:$C$300,3,FALSE)</f>
        <v>TVA Bulk Power Trading</v>
      </c>
      <c r="C64" s="371"/>
      <c r="D64" s="771">
        <f t="shared" si="14"/>
        <v>4470066</v>
      </c>
      <c r="E64" s="239" t="s">
        <v>1115</v>
      </c>
      <c r="F64" s="619">
        <v>2505.6</v>
      </c>
      <c r="G64" s="372">
        <f>ROUND(+G$6*$F64,0)</f>
        <v>765</v>
      </c>
      <c r="H64" s="233">
        <f>ROUND(+H$6*$F64,0)</f>
        <v>161</v>
      </c>
      <c r="I64" s="233">
        <f>ROUND(+I$6*$F64,0)</f>
        <v>510</v>
      </c>
      <c r="J64" s="233">
        <f>ROUND(+J$6*$F64,0)</f>
        <v>1070</v>
      </c>
      <c r="K64" s="233">
        <f>ROUND(+K$6*$F64,0)</f>
        <v>0</v>
      </c>
      <c r="L64" s="204">
        <f t="shared" si="2"/>
        <v>2506</v>
      </c>
      <c r="M64" s="373">
        <f t="shared" si="3"/>
        <v>-765</v>
      </c>
      <c r="N64" s="374">
        <f t="shared" si="4"/>
        <v>-161</v>
      </c>
      <c r="O64" s="374">
        <f t="shared" si="5"/>
        <v>-510</v>
      </c>
      <c r="P64" s="374">
        <f t="shared" si="6"/>
        <v>1436</v>
      </c>
      <c r="Q64" s="374">
        <f t="shared" si="7"/>
        <v>0</v>
      </c>
      <c r="R64" s="375">
        <f t="shared" si="8"/>
        <v>0</v>
      </c>
      <c r="T64" s="607">
        <f t="shared" si="22"/>
        <v>764.70912</v>
      </c>
      <c r="U64" s="607">
        <f t="shared" si="22"/>
        <v>160.5839</v>
      </c>
      <c r="V64" s="607">
        <f t="shared" si="22"/>
        <v>510.34061</v>
      </c>
      <c r="W64" s="607">
        <f t="shared" si="22"/>
        <v>1069.96637</v>
      </c>
      <c r="X64" s="608">
        <f t="shared" si="22"/>
        <v>0</v>
      </c>
    </row>
    <row r="65" spans="1:24" ht="14.25" hidden="1">
      <c r="A65" s="179" t="s">
        <v>1129</v>
      </c>
      <c r="B65" s="180" t="str">
        <f>VLOOKUP(A65,'APPVI VLOOKUP NAMES'!$A$2:$C$300,3,FALSE)</f>
        <v>Virginia Power Marketing</v>
      </c>
      <c r="C65" s="183"/>
      <c r="D65" s="182">
        <f t="shared" si="14"/>
        <v>4470066</v>
      </c>
      <c r="E65" s="183" t="s">
        <v>1117</v>
      </c>
      <c r="F65" s="184"/>
      <c r="G65" s="185">
        <f t="shared" si="21"/>
        <v>0</v>
      </c>
      <c r="H65" s="160">
        <f t="shared" si="21"/>
        <v>0</v>
      </c>
      <c r="I65" s="160">
        <f t="shared" si="21"/>
        <v>0</v>
      </c>
      <c r="J65" s="160">
        <f t="shared" si="21"/>
        <v>0</v>
      </c>
      <c r="K65" s="160">
        <f t="shared" si="21"/>
        <v>0</v>
      </c>
      <c r="L65" s="204">
        <f t="shared" si="2"/>
        <v>0</v>
      </c>
      <c r="M65" s="187">
        <f t="shared" si="3"/>
        <v>0</v>
      </c>
      <c r="N65" s="188">
        <f t="shared" si="4"/>
        <v>0</v>
      </c>
      <c r="O65" s="188">
        <f t="shared" si="5"/>
        <v>0</v>
      </c>
      <c r="P65" s="188">
        <f t="shared" si="6"/>
        <v>0</v>
      </c>
      <c r="Q65" s="188">
        <f t="shared" si="7"/>
        <v>0</v>
      </c>
      <c r="R65" s="189">
        <f t="shared" si="8"/>
        <v>0</v>
      </c>
      <c r="T65" s="202">
        <f t="shared" si="22"/>
        <v>0</v>
      </c>
      <c r="U65" s="202">
        <f t="shared" si="22"/>
        <v>0</v>
      </c>
      <c r="V65" s="202">
        <f t="shared" si="22"/>
        <v>0</v>
      </c>
      <c r="W65" s="202">
        <f t="shared" si="22"/>
        <v>0</v>
      </c>
      <c r="X65" s="203">
        <f t="shared" si="22"/>
        <v>0</v>
      </c>
    </row>
    <row r="66" spans="1:24" ht="14.25" hidden="1">
      <c r="A66" s="179" t="s">
        <v>912</v>
      </c>
      <c r="B66" s="180" t="str">
        <f>VLOOKUP(A66,'APPVI VLOOKUP NAMES'!$A$2:$C$300,3,FALSE)</f>
        <v>West Virginia Power</v>
      </c>
      <c r="C66" s="300"/>
      <c r="D66" s="182">
        <f t="shared" si="14"/>
        <v>4470066</v>
      </c>
      <c r="E66" s="183" t="s">
        <v>1120</v>
      </c>
      <c r="F66" s="184"/>
      <c r="G66" s="185">
        <f t="shared" si="21"/>
        <v>0</v>
      </c>
      <c r="H66" s="160">
        <f t="shared" si="21"/>
        <v>0</v>
      </c>
      <c r="I66" s="160">
        <f t="shared" si="21"/>
        <v>0</v>
      </c>
      <c r="J66" s="160">
        <f t="shared" si="21"/>
        <v>0</v>
      </c>
      <c r="K66" s="160">
        <f t="shared" si="21"/>
        <v>0</v>
      </c>
      <c r="L66" s="204">
        <f>SUM(G66:K66)</f>
        <v>0</v>
      </c>
      <c r="M66" s="187">
        <f>IF($E66="02",$L66-G66,-G66)</f>
        <v>0</v>
      </c>
      <c r="N66" s="188">
        <f>IF($E66="03",$L66-H66,-H66)</f>
        <v>0</v>
      </c>
      <c r="O66" s="188">
        <f>IF($E66="04",$L66-I66,-I66)</f>
        <v>0</v>
      </c>
      <c r="P66" s="188">
        <f>IF($E66="07",$L66-J66,-J66)</f>
        <v>0</v>
      </c>
      <c r="Q66" s="188">
        <f>IF($E66="10",$L66-K66,-K66)</f>
        <v>0</v>
      </c>
      <c r="R66" s="189">
        <f>+Q66+P66+O66+N66+M66</f>
        <v>0</v>
      </c>
      <c r="T66" s="202">
        <f aca="true" t="shared" si="23" ref="T66:X68">ROUND(+G$6*$F66,5)</f>
        <v>0</v>
      </c>
      <c r="U66" s="202">
        <f t="shared" si="23"/>
        <v>0</v>
      </c>
      <c r="V66" s="202">
        <f t="shared" si="23"/>
        <v>0</v>
      </c>
      <c r="W66" s="202">
        <f t="shared" si="23"/>
        <v>0</v>
      </c>
      <c r="X66" s="203">
        <f t="shared" si="23"/>
        <v>0</v>
      </c>
    </row>
    <row r="67" spans="1:24" s="364" customFormat="1" ht="14.25" hidden="1">
      <c r="A67" s="230" t="s">
        <v>912</v>
      </c>
      <c r="B67" s="606" t="str">
        <f>VLOOKUP(A67,'APPVI VLOOKUP NAMES'!$A$2:$C$300,3,FALSE)</f>
        <v>West Virginia Power</v>
      </c>
      <c r="C67" s="371"/>
      <c r="D67" s="771">
        <f t="shared" si="14"/>
        <v>4470066</v>
      </c>
      <c r="E67" s="239" t="s">
        <v>1117</v>
      </c>
      <c r="F67" s="619"/>
      <c r="G67" s="372">
        <f t="shared" si="21"/>
        <v>0</v>
      </c>
      <c r="H67" s="233">
        <f t="shared" si="21"/>
        <v>0</v>
      </c>
      <c r="I67" s="233">
        <f t="shared" si="21"/>
        <v>0</v>
      </c>
      <c r="J67" s="233">
        <f t="shared" si="21"/>
        <v>0</v>
      </c>
      <c r="K67" s="233">
        <f t="shared" si="21"/>
        <v>0</v>
      </c>
      <c r="L67" s="204">
        <f>SUM(G67:K67)</f>
        <v>0</v>
      </c>
      <c r="M67" s="373">
        <f>IF($E67="02",$L67-G67,-G67)</f>
        <v>0</v>
      </c>
      <c r="N67" s="374">
        <f>IF($E67="03",$L67-H67,-H67)</f>
        <v>0</v>
      </c>
      <c r="O67" s="374">
        <f>IF($E67="04",$L67-I67,-I67)</f>
        <v>0</v>
      </c>
      <c r="P67" s="374">
        <f>IF($E67="07",$L67-J67,-J67)</f>
        <v>0</v>
      </c>
      <c r="Q67" s="374">
        <f>IF($E67="10",$L67-K67,-K67)</f>
        <v>0</v>
      </c>
      <c r="R67" s="375">
        <f>+Q67+P67+O67+N67+M67</f>
        <v>0</v>
      </c>
      <c r="T67" s="202">
        <f t="shared" si="23"/>
        <v>0</v>
      </c>
      <c r="U67" s="202">
        <f t="shared" si="23"/>
        <v>0</v>
      </c>
      <c r="V67" s="202">
        <f t="shared" si="23"/>
        <v>0</v>
      </c>
      <c r="W67" s="202">
        <f t="shared" si="23"/>
        <v>0</v>
      </c>
      <c r="X67" s="203">
        <f t="shared" si="23"/>
        <v>0</v>
      </c>
    </row>
    <row r="68" spans="1:24" s="364" customFormat="1" ht="14.25" hidden="1">
      <c r="A68" s="230" t="s">
        <v>912</v>
      </c>
      <c r="B68" s="606" t="str">
        <f>VLOOKUP(A68,'APPVI VLOOKUP NAMES'!$A$2:$C$300,3,FALSE)</f>
        <v>West Virginia Power</v>
      </c>
      <c r="C68" s="371"/>
      <c r="D68" s="771">
        <f t="shared" si="14"/>
        <v>4470066</v>
      </c>
      <c r="E68" s="239" t="s">
        <v>1120</v>
      </c>
      <c r="F68" s="619"/>
      <c r="G68" s="372">
        <f t="shared" si="21"/>
        <v>0</v>
      </c>
      <c r="H68" s="233">
        <f t="shared" si="21"/>
        <v>0</v>
      </c>
      <c r="I68" s="233">
        <f t="shared" si="21"/>
        <v>0</v>
      </c>
      <c r="J68" s="233">
        <f t="shared" si="21"/>
        <v>0</v>
      </c>
      <c r="K68" s="233">
        <f t="shared" si="21"/>
        <v>0</v>
      </c>
      <c r="L68" s="204">
        <f>SUM(G68:K68)</f>
        <v>0</v>
      </c>
      <c r="M68" s="373">
        <f>IF($E68="02",$L68-G68,-G68)</f>
        <v>0</v>
      </c>
      <c r="N68" s="374">
        <f>IF($E68="03",$L68-H68,-H68)</f>
        <v>0</v>
      </c>
      <c r="O68" s="374">
        <f>IF($E68="04",$L68-I68,-I68)</f>
        <v>0</v>
      </c>
      <c r="P68" s="374">
        <f>IF($E68="07",$L68-J68,-J68)</f>
        <v>0</v>
      </c>
      <c r="Q68" s="374">
        <f>IF($E68="10",$L68-K68,-K68)</f>
        <v>0</v>
      </c>
      <c r="R68" s="375">
        <f>+Q68+P68+O68+N68+M68</f>
        <v>0</v>
      </c>
      <c r="T68" s="202">
        <f t="shared" si="23"/>
        <v>0</v>
      </c>
      <c r="U68" s="202">
        <f t="shared" si="23"/>
        <v>0</v>
      </c>
      <c r="V68" s="202">
        <f t="shared" si="23"/>
        <v>0</v>
      </c>
      <c r="W68" s="202">
        <f t="shared" si="23"/>
        <v>0</v>
      </c>
      <c r="X68" s="203">
        <f t="shared" si="23"/>
        <v>0</v>
      </c>
    </row>
    <row r="69" spans="1:24" ht="14.25" customHeight="1" hidden="1">
      <c r="A69" s="179" t="s">
        <v>1972</v>
      </c>
      <c r="B69" s="180" t="str">
        <f>VLOOKUP(A69,'APPVI VLOOKUP NAMES'!$A$2:$C$300,3,FALSE)</f>
        <v>Austin Energy</v>
      </c>
      <c r="C69" s="183" t="s">
        <v>120</v>
      </c>
      <c r="D69" s="182">
        <f t="shared" si="14"/>
        <v>4210020</v>
      </c>
      <c r="E69" s="183" t="s">
        <v>1115</v>
      </c>
      <c r="F69" s="184"/>
      <c r="G69" s="185">
        <f aca="true" t="shared" si="24" ref="G69:K83">ROUND(+G$6*$F69,0)</f>
        <v>0</v>
      </c>
      <c r="H69" s="160">
        <f t="shared" si="24"/>
        <v>0</v>
      </c>
      <c r="I69" s="160">
        <f>ROUND(+I$6*$F69,0)</f>
        <v>0</v>
      </c>
      <c r="J69" s="160">
        <f>ROUND(+J$6*$F69,0)</f>
        <v>0</v>
      </c>
      <c r="K69" s="160">
        <f t="shared" si="24"/>
        <v>0</v>
      </c>
      <c r="L69" s="204">
        <f aca="true" t="shared" si="25" ref="L69:L83">SUM(G69:K69)</f>
        <v>0</v>
      </c>
      <c r="M69" s="187">
        <f aca="true" t="shared" si="26" ref="M69:M83">IF($E69="02",$L69-G69,-G69)</f>
        <v>0</v>
      </c>
      <c r="N69" s="188">
        <f aca="true" t="shared" si="27" ref="N69:N83">IF($E69="03",$L69-H69,-H69)</f>
        <v>0</v>
      </c>
      <c r="O69" s="188">
        <f aca="true" t="shared" si="28" ref="O69:O83">IF($E69="04",$L69-I69,-I69)</f>
        <v>0</v>
      </c>
      <c r="P69" s="188">
        <f aca="true" t="shared" si="29" ref="P69:P83">IF($E69="07",$L69-J69,-J69)</f>
        <v>0</v>
      </c>
      <c r="Q69" s="188">
        <f aca="true" t="shared" si="30" ref="Q69:Q83">IF($E69="10",$L69-K69,-K69)</f>
        <v>0</v>
      </c>
      <c r="R69" s="189">
        <f aca="true" t="shared" si="31" ref="R69:R83">+Q69+P69+O69+N69+M69</f>
        <v>0</v>
      </c>
      <c r="T69" s="201">
        <f aca="true" t="shared" si="32" ref="T69:X82">ROUND(+G$6*$F69,5)</f>
        <v>0</v>
      </c>
      <c r="U69" s="201">
        <f t="shared" si="32"/>
        <v>0</v>
      </c>
      <c r="V69" s="201">
        <f t="shared" si="32"/>
        <v>0</v>
      </c>
      <c r="W69" s="201">
        <f t="shared" si="32"/>
        <v>0</v>
      </c>
      <c r="X69" s="201">
        <f t="shared" si="32"/>
        <v>0</v>
      </c>
    </row>
    <row r="70" spans="1:24" ht="14.25" customHeight="1" hidden="1">
      <c r="A70" s="179" t="s">
        <v>1130</v>
      </c>
      <c r="B70" s="180" t="str">
        <f>VLOOKUP(A70,'APPVI VLOOKUP NAMES'!$A$2:$C$300,3,FALSE)</f>
        <v>Bonneville Power Admin</v>
      </c>
      <c r="C70" s="183" t="s">
        <v>120</v>
      </c>
      <c r="D70" s="182">
        <f t="shared" si="14"/>
        <v>4210020</v>
      </c>
      <c r="E70" s="183" t="s">
        <v>1115</v>
      </c>
      <c r="F70" s="184"/>
      <c r="G70" s="185">
        <f t="shared" si="24"/>
        <v>0</v>
      </c>
      <c r="H70" s="160">
        <f t="shared" si="24"/>
        <v>0</v>
      </c>
      <c r="I70" s="160">
        <f>ROUND(+I$6*$F70,0)</f>
        <v>0</v>
      </c>
      <c r="J70" s="160">
        <f>ROUND(+J$6*$F70,0)</f>
        <v>0</v>
      </c>
      <c r="K70" s="160">
        <f t="shared" si="24"/>
        <v>0</v>
      </c>
      <c r="L70" s="204">
        <f t="shared" si="25"/>
        <v>0</v>
      </c>
      <c r="M70" s="187">
        <f t="shared" si="26"/>
        <v>0</v>
      </c>
      <c r="N70" s="188">
        <f t="shared" si="27"/>
        <v>0</v>
      </c>
      <c r="O70" s="188">
        <f t="shared" si="28"/>
        <v>0</v>
      </c>
      <c r="P70" s="188">
        <f t="shared" si="29"/>
        <v>0</v>
      </c>
      <c r="Q70" s="188">
        <f t="shared" si="30"/>
        <v>0</v>
      </c>
      <c r="R70" s="189">
        <f t="shared" si="31"/>
        <v>0</v>
      </c>
      <c r="T70" s="199">
        <f t="shared" si="32"/>
        <v>0</v>
      </c>
      <c r="U70" s="199">
        <f t="shared" si="32"/>
        <v>0</v>
      </c>
      <c r="V70" s="199">
        <f t="shared" si="32"/>
        <v>0</v>
      </c>
      <c r="W70" s="199">
        <f t="shared" si="32"/>
        <v>0</v>
      </c>
      <c r="X70" s="199">
        <f t="shared" si="32"/>
        <v>0</v>
      </c>
    </row>
    <row r="71" spans="1:24" ht="14.25" customHeight="1" hidden="1">
      <c r="A71" s="179" t="s">
        <v>624</v>
      </c>
      <c r="B71" s="180" t="str">
        <f>VLOOKUP(A71,'APPVI VLOOKUP NAMES'!$A$2:$C$300,3,FALSE)</f>
        <v>California ISO</v>
      </c>
      <c r="C71" s="183" t="s">
        <v>120</v>
      </c>
      <c r="D71" s="182">
        <f t="shared" si="14"/>
        <v>4210020</v>
      </c>
      <c r="E71" s="183" t="s">
        <v>1115</v>
      </c>
      <c r="F71" s="184"/>
      <c r="G71" s="185">
        <f>ROUND(+G$6*$F71,0)</f>
        <v>0</v>
      </c>
      <c r="H71" s="160">
        <f>ROUND(+H$6*$F71,0)</f>
        <v>0</v>
      </c>
      <c r="I71" s="160">
        <f t="shared" si="24"/>
        <v>0</v>
      </c>
      <c r="J71" s="160">
        <f t="shared" si="24"/>
        <v>0</v>
      </c>
      <c r="K71" s="160">
        <f>ROUND(+K$6*$F71,0)</f>
        <v>0</v>
      </c>
      <c r="L71" s="204">
        <f t="shared" si="25"/>
        <v>0</v>
      </c>
      <c r="M71" s="187">
        <f t="shared" si="26"/>
        <v>0</v>
      </c>
      <c r="N71" s="188">
        <f t="shared" si="27"/>
        <v>0</v>
      </c>
      <c r="O71" s="188">
        <f t="shared" si="28"/>
        <v>0</v>
      </c>
      <c r="P71" s="188">
        <f t="shared" si="29"/>
        <v>0</v>
      </c>
      <c r="Q71" s="188">
        <f t="shared" si="30"/>
        <v>0</v>
      </c>
      <c r="R71" s="189">
        <f t="shared" si="31"/>
        <v>0</v>
      </c>
      <c r="T71" s="199">
        <f>ROUND(+G$6*$F71,5)</f>
        <v>0</v>
      </c>
      <c r="U71" s="199">
        <f>ROUND(+H$6*$F71,5)</f>
        <v>0</v>
      </c>
      <c r="V71" s="199">
        <f>ROUND(+I$6*$F71,5)</f>
        <v>0</v>
      </c>
      <c r="W71" s="199">
        <f>ROUND(+J$6*$F71,5)</f>
        <v>0</v>
      </c>
      <c r="X71" s="199">
        <f>ROUND(+K$6*$F71,5)</f>
        <v>0</v>
      </c>
    </row>
    <row r="72" spans="1:24" ht="14.25" customHeight="1" hidden="1">
      <c r="A72" s="179" t="s">
        <v>617</v>
      </c>
      <c r="B72" s="180" t="str">
        <f>VLOOKUP(A72,'APPVI VLOOKUP NAMES'!$A$2:$C$300,3,FALSE)</f>
        <v>Central Hudson Gas &amp; Electric Corp.</v>
      </c>
      <c r="C72" s="183" t="s">
        <v>120</v>
      </c>
      <c r="D72" s="182">
        <f t="shared" si="14"/>
        <v>4210020</v>
      </c>
      <c r="E72" s="183" t="s">
        <v>1115</v>
      </c>
      <c r="F72" s="184"/>
      <c r="G72" s="185">
        <f>ROUND(+G$6*$F72,0)</f>
        <v>0</v>
      </c>
      <c r="H72" s="160">
        <f t="shared" si="24"/>
        <v>0</v>
      </c>
      <c r="I72" s="160">
        <f>ROUND(+I$6*$F72,0)</f>
        <v>0</v>
      </c>
      <c r="J72" s="160">
        <f>ROUND(+J$6*$F72,0)</f>
        <v>0</v>
      </c>
      <c r="K72" s="160">
        <f>ROUND(+K$6*$F72,0)</f>
        <v>0</v>
      </c>
      <c r="L72" s="204">
        <f t="shared" si="25"/>
        <v>0</v>
      </c>
      <c r="M72" s="187">
        <f t="shared" si="26"/>
        <v>0</v>
      </c>
      <c r="N72" s="188">
        <f t="shared" si="27"/>
        <v>0</v>
      </c>
      <c r="O72" s="188">
        <f t="shared" si="28"/>
        <v>0</v>
      </c>
      <c r="P72" s="188">
        <f t="shared" si="29"/>
        <v>0</v>
      </c>
      <c r="Q72" s="188">
        <f t="shared" si="30"/>
        <v>0</v>
      </c>
      <c r="R72" s="189">
        <f t="shared" si="31"/>
        <v>0</v>
      </c>
      <c r="T72" s="199">
        <f t="shared" si="32"/>
        <v>0</v>
      </c>
      <c r="U72" s="199">
        <f t="shared" si="32"/>
        <v>0</v>
      </c>
      <c r="V72" s="199">
        <f t="shared" si="32"/>
        <v>0</v>
      </c>
      <c r="W72" s="199">
        <f t="shared" si="32"/>
        <v>0</v>
      </c>
      <c r="X72" s="199">
        <f t="shared" si="32"/>
        <v>0</v>
      </c>
    </row>
    <row r="73" spans="1:24" ht="14.25" customHeight="1" hidden="1">
      <c r="A73" s="179" t="s">
        <v>1333</v>
      </c>
      <c r="B73" s="180" t="str">
        <f>VLOOKUP(A73,'APPVI VLOOKUP NAMES'!$A$2:$C$300,3,FALSE)</f>
        <v>City of Anaheim</v>
      </c>
      <c r="C73" s="183" t="s">
        <v>120</v>
      </c>
      <c r="D73" s="182">
        <f t="shared" si="14"/>
        <v>4210020</v>
      </c>
      <c r="E73" s="183" t="s">
        <v>1115</v>
      </c>
      <c r="F73" s="184"/>
      <c r="G73" s="185">
        <f>ROUND(+G$6*$F73,0)</f>
        <v>0</v>
      </c>
      <c r="H73" s="160">
        <f>ROUND(+H$6*$F73,0)</f>
        <v>0</v>
      </c>
      <c r="I73" s="160">
        <f t="shared" si="24"/>
        <v>0</v>
      </c>
      <c r="J73" s="160">
        <f t="shared" si="24"/>
        <v>0</v>
      </c>
      <c r="K73" s="160">
        <f>ROUND(+K$6*$F73,0)</f>
        <v>0</v>
      </c>
      <c r="L73" s="204">
        <f t="shared" si="25"/>
        <v>0</v>
      </c>
      <c r="M73" s="187">
        <f t="shared" si="26"/>
        <v>0</v>
      </c>
      <c r="N73" s="188">
        <f t="shared" si="27"/>
        <v>0</v>
      </c>
      <c r="O73" s="188">
        <f t="shared" si="28"/>
        <v>0</v>
      </c>
      <c r="P73" s="188">
        <f t="shared" si="29"/>
        <v>0</v>
      </c>
      <c r="Q73" s="188">
        <f t="shared" si="30"/>
        <v>0</v>
      </c>
      <c r="R73" s="189">
        <f t="shared" si="31"/>
        <v>0</v>
      </c>
      <c r="T73" s="199">
        <f t="shared" si="32"/>
        <v>0</v>
      </c>
      <c r="U73" s="199">
        <f t="shared" si="32"/>
        <v>0</v>
      </c>
      <c r="V73" s="199">
        <f t="shared" si="32"/>
        <v>0</v>
      </c>
      <c r="W73" s="199">
        <f t="shared" si="32"/>
        <v>0</v>
      </c>
      <c r="X73" s="199">
        <f t="shared" si="32"/>
        <v>0</v>
      </c>
    </row>
    <row r="74" spans="1:24" ht="14.25" customHeight="1" hidden="1">
      <c r="A74" s="179" t="s">
        <v>613</v>
      </c>
      <c r="B74" s="180" t="str">
        <f>VLOOKUP(A74,'APPVI VLOOKUP NAMES'!$A$2:$C$300,3,FALSE)</f>
        <v>ConEdison Company of New York</v>
      </c>
      <c r="C74" s="183" t="s">
        <v>120</v>
      </c>
      <c r="D74" s="182">
        <f t="shared" si="14"/>
        <v>4210020</v>
      </c>
      <c r="E74" s="183" t="s">
        <v>1115</v>
      </c>
      <c r="F74" s="184"/>
      <c r="G74" s="185">
        <f t="shared" si="24"/>
        <v>0</v>
      </c>
      <c r="H74" s="160">
        <f t="shared" si="24"/>
        <v>0</v>
      </c>
      <c r="I74" s="160">
        <f t="shared" si="24"/>
        <v>0</v>
      </c>
      <c r="J74" s="160">
        <f t="shared" si="24"/>
        <v>0</v>
      </c>
      <c r="K74" s="160">
        <f>ROUND(+K$6*$F74,0)</f>
        <v>0</v>
      </c>
      <c r="L74" s="204">
        <f t="shared" si="25"/>
        <v>0</v>
      </c>
      <c r="M74" s="187">
        <f t="shared" si="26"/>
        <v>0</v>
      </c>
      <c r="N74" s="188">
        <f t="shared" si="27"/>
        <v>0</v>
      </c>
      <c r="O74" s="188">
        <f t="shared" si="28"/>
        <v>0</v>
      </c>
      <c r="P74" s="188">
        <f t="shared" si="29"/>
        <v>0</v>
      </c>
      <c r="Q74" s="188">
        <f t="shared" si="30"/>
        <v>0</v>
      </c>
      <c r="R74" s="189">
        <f t="shared" si="31"/>
        <v>0</v>
      </c>
      <c r="T74" s="199">
        <f t="shared" si="32"/>
        <v>0</v>
      </c>
      <c r="U74" s="199">
        <f t="shared" si="32"/>
        <v>0</v>
      </c>
      <c r="V74" s="199">
        <f t="shared" si="32"/>
        <v>0</v>
      </c>
      <c r="W74" s="199">
        <f t="shared" si="32"/>
        <v>0</v>
      </c>
      <c r="X74" s="199">
        <f t="shared" si="32"/>
        <v>0</v>
      </c>
    </row>
    <row r="75" spans="1:24" ht="14.25" customHeight="1" hidden="1">
      <c r="A75" s="179" t="s">
        <v>2009</v>
      </c>
      <c r="B75" s="180" t="str">
        <f>VLOOKUP(A75,'APPVI VLOOKUP NAMES'!$A$2:$C$300,3,FALSE)</f>
        <v>Long Island Power Authority - KeySpan</v>
      </c>
      <c r="C75" s="183" t="s">
        <v>120</v>
      </c>
      <c r="D75" s="182">
        <f t="shared" si="14"/>
        <v>4210020</v>
      </c>
      <c r="E75" s="239" t="s">
        <v>1115</v>
      </c>
      <c r="F75" s="184"/>
      <c r="G75" s="185">
        <f t="shared" si="24"/>
        <v>0</v>
      </c>
      <c r="H75" s="160">
        <f>ROUND(+H$6*$F75,0)</f>
        <v>0</v>
      </c>
      <c r="I75" s="160">
        <f t="shared" si="24"/>
        <v>0</v>
      </c>
      <c r="J75" s="160">
        <f>ROUND(+J$6*$F75,0)</f>
        <v>0</v>
      </c>
      <c r="K75" s="160">
        <f>ROUND(+K$6*$F75,0)</f>
        <v>0</v>
      </c>
      <c r="L75" s="204">
        <f>SUM(G75:K75)</f>
        <v>0</v>
      </c>
      <c r="M75" s="187">
        <f>IF($E75="02",$L75-G75,-G75)</f>
        <v>0</v>
      </c>
      <c r="N75" s="188">
        <f>IF($E75="03",$L75-H75,-H75)</f>
        <v>0</v>
      </c>
      <c r="O75" s="188">
        <f>IF($E75="04",$L75-I75,-I75)</f>
        <v>0</v>
      </c>
      <c r="P75" s="188">
        <f>IF($E75="07",$L75-J75,-J75)</f>
        <v>0</v>
      </c>
      <c r="Q75" s="188">
        <f>IF($E75="10",$L75-K75,-K75)</f>
        <v>0</v>
      </c>
      <c r="R75" s="189">
        <f>+Q75+P75+O75+N75+M75</f>
        <v>0</v>
      </c>
      <c r="T75" s="199">
        <f t="shared" si="32"/>
        <v>0</v>
      </c>
      <c r="U75" s="199">
        <f t="shared" si="32"/>
        <v>0</v>
      </c>
      <c r="V75" s="199">
        <f t="shared" si="32"/>
        <v>0</v>
      </c>
      <c r="W75" s="199">
        <f t="shared" si="32"/>
        <v>0</v>
      </c>
      <c r="X75" s="199">
        <f t="shared" si="32"/>
        <v>0</v>
      </c>
    </row>
    <row r="76" spans="1:24" ht="14.25" customHeight="1" hidden="1">
      <c r="A76" s="179" t="s">
        <v>461</v>
      </c>
      <c r="B76" s="180" t="str">
        <f>VLOOKUP(A76,'APPVI VLOOKUP NAMES'!$A$2:$C$300,3,FALSE)</f>
        <v>NYSEG Energy Trading</v>
      </c>
      <c r="C76" s="183" t="s">
        <v>120</v>
      </c>
      <c r="D76" s="182">
        <f t="shared" si="14"/>
        <v>4210020</v>
      </c>
      <c r="E76" s="183" t="s">
        <v>1115</v>
      </c>
      <c r="F76" s="184"/>
      <c r="G76" s="185">
        <f t="shared" si="24"/>
        <v>0</v>
      </c>
      <c r="H76" s="160">
        <f t="shared" si="24"/>
        <v>0</v>
      </c>
      <c r="I76" s="160">
        <f>ROUND(+I$6*$F76,0)</f>
        <v>0</v>
      </c>
      <c r="J76" s="160">
        <f t="shared" si="24"/>
        <v>0</v>
      </c>
      <c r="K76" s="160">
        <f t="shared" si="24"/>
        <v>0</v>
      </c>
      <c r="L76" s="186">
        <f t="shared" si="25"/>
        <v>0</v>
      </c>
      <c r="M76" s="187">
        <f t="shared" si="26"/>
        <v>0</v>
      </c>
      <c r="N76" s="188">
        <f t="shared" si="27"/>
        <v>0</v>
      </c>
      <c r="O76" s="188">
        <f t="shared" si="28"/>
        <v>0</v>
      </c>
      <c r="P76" s="188">
        <f t="shared" si="29"/>
        <v>0</v>
      </c>
      <c r="Q76" s="188">
        <f t="shared" si="30"/>
        <v>0</v>
      </c>
      <c r="R76" s="189">
        <f t="shared" si="31"/>
        <v>0</v>
      </c>
      <c r="T76" s="199">
        <f t="shared" si="32"/>
        <v>0</v>
      </c>
      <c r="U76" s="199">
        <f t="shared" si="32"/>
        <v>0</v>
      </c>
      <c r="V76" s="199">
        <f t="shared" si="32"/>
        <v>0</v>
      </c>
      <c r="W76" s="199">
        <f t="shared" si="32"/>
        <v>0</v>
      </c>
      <c r="X76" s="199">
        <f t="shared" si="32"/>
        <v>0</v>
      </c>
    </row>
    <row r="77" spans="1:24" ht="14.25" hidden="1">
      <c r="A77" s="179" t="s">
        <v>467</v>
      </c>
      <c r="B77" s="180" t="str">
        <f>VLOOKUP(A77,'APPVI VLOOKUP NAMES'!$A$2:$C$300,3,FALSE)</f>
        <v>New York Power Authority</v>
      </c>
      <c r="C77" s="183" t="s">
        <v>120</v>
      </c>
      <c r="D77" s="182">
        <f t="shared" si="14"/>
        <v>4210020</v>
      </c>
      <c r="E77" s="183" t="s">
        <v>1115</v>
      </c>
      <c r="F77" s="184"/>
      <c r="G77" s="185">
        <f t="shared" si="24"/>
        <v>0</v>
      </c>
      <c r="H77" s="160">
        <f t="shared" si="24"/>
        <v>0</v>
      </c>
      <c r="I77" s="160">
        <f t="shared" si="24"/>
        <v>0</v>
      </c>
      <c r="J77" s="160">
        <f t="shared" si="24"/>
        <v>0</v>
      </c>
      <c r="K77" s="160">
        <f t="shared" si="24"/>
        <v>0</v>
      </c>
      <c r="L77" s="186">
        <f t="shared" si="25"/>
        <v>0</v>
      </c>
      <c r="M77" s="187">
        <f t="shared" si="26"/>
        <v>0</v>
      </c>
      <c r="N77" s="188">
        <f t="shared" si="27"/>
        <v>0</v>
      </c>
      <c r="O77" s="188">
        <f t="shared" si="28"/>
        <v>0</v>
      </c>
      <c r="P77" s="188">
        <f t="shared" si="29"/>
        <v>0</v>
      </c>
      <c r="Q77" s="188">
        <f t="shared" si="30"/>
        <v>0</v>
      </c>
      <c r="R77" s="189">
        <f t="shared" si="31"/>
        <v>0</v>
      </c>
      <c r="T77" s="199">
        <f t="shared" si="32"/>
        <v>0</v>
      </c>
      <c r="U77" s="199">
        <f t="shared" si="32"/>
        <v>0</v>
      </c>
      <c r="V77" s="199">
        <f t="shared" si="32"/>
        <v>0</v>
      </c>
      <c r="W77" s="199">
        <f t="shared" si="32"/>
        <v>0</v>
      </c>
      <c r="X77" s="199">
        <f t="shared" si="32"/>
        <v>0</v>
      </c>
    </row>
    <row r="78" spans="1:24" ht="14.25" customHeight="1" hidden="1">
      <c r="A78" s="179" t="s">
        <v>1967</v>
      </c>
      <c r="B78" s="180" t="str">
        <f>VLOOKUP(A78,'APPVI VLOOKUP NAMES'!$A$2:$C$300,3,FALSE)</f>
        <v>Niagra Mohawk</v>
      </c>
      <c r="C78" s="183" t="s">
        <v>120</v>
      </c>
      <c r="D78" s="182">
        <f t="shared" si="14"/>
        <v>4210020</v>
      </c>
      <c r="E78" s="183" t="s">
        <v>1115</v>
      </c>
      <c r="F78" s="184"/>
      <c r="G78" s="185">
        <f t="shared" si="24"/>
        <v>0</v>
      </c>
      <c r="H78" s="160">
        <f t="shared" si="24"/>
        <v>0</v>
      </c>
      <c r="I78" s="160">
        <f t="shared" si="24"/>
        <v>0</v>
      </c>
      <c r="J78" s="160">
        <f>ROUND(+J$6*$F78,0)</f>
        <v>0</v>
      </c>
      <c r="K78" s="160">
        <f>ROUND(+K$6*$F78,0)</f>
        <v>0</v>
      </c>
      <c r="L78" s="186">
        <f t="shared" si="25"/>
        <v>0</v>
      </c>
      <c r="M78" s="187">
        <f t="shared" si="26"/>
        <v>0</v>
      </c>
      <c r="N78" s="188">
        <f t="shared" si="27"/>
        <v>0</v>
      </c>
      <c r="O78" s="188">
        <f t="shared" si="28"/>
        <v>0</v>
      </c>
      <c r="P78" s="188">
        <f t="shared" si="29"/>
        <v>0</v>
      </c>
      <c r="Q78" s="188">
        <f t="shared" si="30"/>
        <v>0</v>
      </c>
      <c r="R78" s="189">
        <f t="shared" si="31"/>
        <v>0</v>
      </c>
      <c r="T78" s="199">
        <f>ROUND(+G$6*$F78,5)</f>
        <v>0</v>
      </c>
      <c r="U78" s="199">
        <f>ROUND(+H$6*$F78,5)</f>
        <v>0</v>
      </c>
      <c r="V78" s="199">
        <f>ROUND(+I$6*$F78,5)</f>
        <v>0</v>
      </c>
      <c r="W78" s="199">
        <f>ROUND(+J$6*$F78,5)</f>
        <v>0</v>
      </c>
      <c r="X78" s="199">
        <f>ROUND(+K$6*$F78,5)</f>
        <v>0</v>
      </c>
    </row>
    <row r="79" spans="1:24" ht="14.25" customHeight="1" hidden="1">
      <c r="A79" s="179" t="s">
        <v>1413</v>
      </c>
      <c r="B79" s="180" t="str">
        <f>VLOOKUP(A79,'APPVI VLOOKUP NAMES'!$A$2:$C$300,3,FALSE)</f>
        <v>City of Redding</v>
      </c>
      <c r="C79" s="183" t="s">
        <v>120</v>
      </c>
      <c r="D79" s="182">
        <f t="shared" si="14"/>
        <v>4210020</v>
      </c>
      <c r="E79" s="183" t="s">
        <v>1115</v>
      </c>
      <c r="F79" s="184"/>
      <c r="G79" s="185">
        <f t="shared" si="24"/>
        <v>0</v>
      </c>
      <c r="H79" s="160">
        <f t="shared" si="24"/>
        <v>0</v>
      </c>
      <c r="I79" s="160">
        <f t="shared" si="24"/>
        <v>0</v>
      </c>
      <c r="J79" s="160">
        <f t="shared" si="24"/>
        <v>0</v>
      </c>
      <c r="K79" s="160">
        <f t="shared" si="24"/>
        <v>0</v>
      </c>
      <c r="L79" s="186">
        <f t="shared" si="25"/>
        <v>0</v>
      </c>
      <c r="M79" s="187">
        <f t="shared" si="26"/>
        <v>0</v>
      </c>
      <c r="N79" s="188">
        <f t="shared" si="27"/>
        <v>0</v>
      </c>
      <c r="O79" s="188">
        <f t="shared" si="28"/>
        <v>0</v>
      </c>
      <c r="P79" s="188">
        <f t="shared" si="29"/>
        <v>0</v>
      </c>
      <c r="Q79" s="188">
        <f t="shared" si="30"/>
        <v>0</v>
      </c>
      <c r="R79" s="189">
        <f t="shared" si="31"/>
        <v>0</v>
      </c>
      <c r="T79" s="199">
        <f t="shared" si="32"/>
        <v>0</v>
      </c>
      <c r="U79" s="199">
        <f t="shared" si="32"/>
        <v>0</v>
      </c>
      <c r="V79" s="199">
        <f t="shared" si="32"/>
        <v>0</v>
      </c>
      <c r="W79" s="199">
        <f t="shared" si="32"/>
        <v>0</v>
      </c>
      <c r="X79" s="199">
        <f t="shared" si="32"/>
        <v>0</v>
      </c>
    </row>
    <row r="80" spans="1:24" ht="14.25" customHeight="1" hidden="1">
      <c r="A80" s="179" t="s">
        <v>2041</v>
      </c>
      <c r="B80" s="180" t="str">
        <f>VLOOKUP(A80,'APPVI VLOOKUP NAMES'!$A$2:$C$300,3,FALSE)</f>
        <v>Sempra Energy Trading</v>
      </c>
      <c r="C80" s="183" t="s">
        <v>120</v>
      </c>
      <c r="D80" s="182">
        <f t="shared" si="14"/>
        <v>4210020</v>
      </c>
      <c r="E80" s="183" t="s">
        <v>1115</v>
      </c>
      <c r="F80" s="184"/>
      <c r="G80" s="185">
        <f t="shared" si="24"/>
        <v>0</v>
      </c>
      <c r="H80" s="160">
        <f t="shared" si="24"/>
        <v>0</v>
      </c>
      <c r="I80" s="160">
        <f t="shared" si="24"/>
        <v>0</v>
      </c>
      <c r="J80" s="160">
        <f t="shared" si="24"/>
        <v>0</v>
      </c>
      <c r="K80" s="160">
        <f t="shared" si="24"/>
        <v>0</v>
      </c>
      <c r="L80" s="186">
        <f t="shared" si="25"/>
        <v>0</v>
      </c>
      <c r="M80" s="187">
        <f t="shared" si="26"/>
        <v>0</v>
      </c>
      <c r="N80" s="188">
        <f t="shared" si="27"/>
        <v>0</v>
      </c>
      <c r="O80" s="188">
        <f t="shared" si="28"/>
        <v>0</v>
      </c>
      <c r="P80" s="188">
        <f t="shared" si="29"/>
        <v>0</v>
      </c>
      <c r="Q80" s="188">
        <f t="shared" si="30"/>
        <v>0</v>
      </c>
      <c r="R80" s="189">
        <f t="shared" si="31"/>
        <v>0</v>
      </c>
      <c r="T80" s="199">
        <f t="shared" si="32"/>
        <v>0</v>
      </c>
      <c r="U80" s="199">
        <f t="shared" si="32"/>
        <v>0</v>
      </c>
      <c r="V80" s="199">
        <f t="shared" si="32"/>
        <v>0</v>
      </c>
      <c r="W80" s="199">
        <f t="shared" si="32"/>
        <v>0</v>
      </c>
      <c r="X80" s="199">
        <f t="shared" si="32"/>
        <v>0</v>
      </c>
    </row>
    <row r="81" spans="1:24" ht="14.25" customHeight="1" hidden="1">
      <c r="A81" s="179" t="s">
        <v>576</v>
      </c>
      <c r="B81" s="180" t="str">
        <f>VLOOKUP(A81,'APPVI VLOOKUP NAMES'!$A$2:$C$300,3,FALSE)</f>
        <v>Sierra Pacific Power Corp</v>
      </c>
      <c r="C81" s="183" t="s">
        <v>120</v>
      </c>
      <c r="D81" s="182">
        <f t="shared" si="14"/>
        <v>4210020</v>
      </c>
      <c r="E81" s="183" t="s">
        <v>1115</v>
      </c>
      <c r="F81" s="184"/>
      <c r="G81" s="185">
        <f t="shared" si="24"/>
        <v>0</v>
      </c>
      <c r="H81" s="160">
        <f t="shared" si="24"/>
        <v>0</v>
      </c>
      <c r="I81" s="160">
        <f t="shared" si="24"/>
        <v>0</v>
      </c>
      <c r="J81" s="160">
        <f t="shared" si="24"/>
        <v>0</v>
      </c>
      <c r="K81" s="160">
        <f t="shared" si="24"/>
        <v>0</v>
      </c>
      <c r="L81" s="186">
        <f t="shared" si="25"/>
        <v>0</v>
      </c>
      <c r="M81" s="187">
        <f t="shared" si="26"/>
        <v>0</v>
      </c>
      <c r="N81" s="188">
        <f t="shared" si="27"/>
        <v>0</v>
      </c>
      <c r="O81" s="188">
        <f t="shared" si="28"/>
        <v>0</v>
      </c>
      <c r="P81" s="188">
        <f t="shared" si="29"/>
        <v>0</v>
      </c>
      <c r="Q81" s="188">
        <f t="shared" si="30"/>
        <v>0</v>
      </c>
      <c r="R81" s="189">
        <f t="shared" si="31"/>
        <v>0</v>
      </c>
      <c r="T81" s="199">
        <f t="shared" si="32"/>
        <v>0</v>
      </c>
      <c r="U81" s="199">
        <f t="shared" si="32"/>
        <v>0</v>
      </c>
      <c r="V81" s="199">
        <f t="shared" si="32"/>
        <v>0</v>
      </c>
      <c r="W81" s="199">
        <f t="shared" si="32"/>
        <v>0</v>
      </c>
      <c r="X81" s="199">
        <f t="shared" si="32"/>
        <v>0</v>
      </c>
    </row>
    <row r="82" spans="1:24" ht="14.25" customHeight="1" hidden="1">
      <c r="A82" s="179" t="s">
        <v>580</v>
      </c>
      <c r="B82" s="180" t="str">
        <f>VLOOKUP(A82,'APPVI VLOOKUP NAMES'!$A$2:$C$300,3,FALSE)</f>
        <v>Salt River Project-Power Mktg</v>
      </c>
      <c r="C82" s="183" t="s">
        <v>120</v>
      </c>
      <c r="D82" s="182">
        <f t="shared" si="14"/>
        <v>4210020</v>
      </c>
      <c r="E82" s="183" t="s">
        <v>1115</v>
      </c>
      <c r="F82" s="184"/>
      <c r="G82" s="185">
        <f t="shared" si="24"/>
        <v>0</v>
      </c>
      <c r="H82" s="160">
        <f t="shared" si="24"/>
        <v>0</v>
      </c>
      <c r="I82" s="160">
        <f t="shared" si="24"/>
        <v>0</v>
      </c>
      <c r="J82" s="160">
        <f t="shared" si="24"/>
        <v>0</v>
      </c>
      <c r="K82" s="160">
        <f t="shared" si="24"/>
        <v>0</v>
      </c>
      <c r="L82" s="186">
        <f>SUM(G82:K82)</f>
        <v>0</v>
      </c>
      <c r="M82" s="187">
        <f t="shared" si="26"/>
        <v>0</v>
      </c>
      <c r="N82" s="188">
        <f t="shared" si="27"/>
        <v>0</v>
      </c>
      <c r="O82" s="188">
        <f t="shared" si="28"/>
        <v>0</v>
      </c>
      <c r="P82" s="188">
        <f t="shared" si="29"/>
        <v>0</v>
      </c>
      <c r="Q82" s="188">
        <f t="shared" si="30"/>
        <v>0</v>
      </c>
      <c r="R82" s="189">
        <f t="shared" si="31"/>
        <v>0</v>
      </c>
      <c r="T82" s="199">
        <f t="shared" si="32"/>
        <v>0</v>
      </c>
      <c r="U82" s="199">
        <f t="shared" si="32"/>
        <v>0</v>
      </c>
      <c r="V82" s="199">
        <f t="shared" si="32"/>
        <v>0</v>
      </c>
      <c r="W82" s="199">
        <f t="shared" si="32"/>
        <v>0</v>
      </c>
      <c r="X82" s="199">
        <f t="shared" si="32"/>
        <v>0</v>
      </c>
    </row>
    <row r="83" spans="1:24" ht="14.25" customHeight="1" hidden="1">
      <c r="A83" s="179" t="s">
        <v>903</v>
      </c>
      <c r="B83" s="180" t="str">
        <f>VLOOKUP(A83,'APPVI VLOOKUP NAMES'!$A$2:$C$300,3,FALSE)</f>
        <v>Western Resources Gen Svcs</v>
      </c>
      <c r="C83" s="183" t="s">
        <v>120</v>
      </c>
      <c r="D83" s="182">
        <f t="shared" si="14"/>
        <v>4210020</v>
      </c>
      <c r="E83" s="183" t="s">
        <v>1115</v>
      </c>
      <c r="F83" s="184"/>
      <c r="G83" s="185">
        <f t="shared" si="24"/>
        <v>0</v>
      </c>
      <c r="H83" s="160">
        <f t="shared" si="24"/>
        <v>0</v>
      </c>
      <c r="I83" s="160">
        <f t="shared" si="24"/>
        <v>0</v>
      </c>
      <c r="J83" s="160">
        <f t="shared" si="24"/>
        <v>0</v>
      </c>
      <c r="K83" s="160">
        <f t="shared" si="24"/>
        <v>0</v>
      </c>
      <c r="L83" s="186">
        <f t="shared" si="25"/>
        <v>0</v>
      </c>
      <c r="M83" s="187">
        <f t="shared" si="26"/>
        <v>0</v>
      </c>
      <c r="N83" s="188">
        <f t="shared" si="27"/>
        <v>0</v>
      </c>
      <c r="O83" s="188">
        <f t="shared" si="28"/>
        <v>0</v>
      </c>
      <c r="P83" s="188">
        <f t="shared" si="29"/>
        <v>0</v>
      </c>
      <c r="Q83" s="188">
        <f t="shared" si="30"/>
        <v>0</v>
      </c>
      <c r="R83" s="189">
        <f t="shared" si="31"/>
        <v>0</v>
      </c>
      <c r="T83" s="203">
        <f>ROUND(+G$6*$F83,5)</f>
        <v>0</v>
      </c>
      <c r="U83" s="203">
        <f>ROUND(+H$6*$F83,5)</f>
        <v>0</v>
      </c>
      <c r="V83" s="203">
        <f>ROUND(+I$6*$F83,5)</f>
        <v>0</v>
      </c>
      <c r="W83" s="203">
        <f>ROUND(+J$6*$F83,5)</f>
        <v>0</v>
      </c>
      <c r="X83" s="203">
        <f>ROUND(+K$6*$F83,5)</f>
        <v>0</v>
      </c>
    </row>
    <row r="84" spans="2:16" ht="14.25">
      <c r="B84" s="440"/>
      <c r="F84" s="193"/>
      <c r="P84" s="728"/>
    </row>
    <row r="85" spans="1:18" ht="14.25" hidden="1">
      <c r="A85" s="161"/>
      <c r="B85" s="156"/>
      <c r="C85" s="368" t="s">
        <v>511</v>
      </c>
      <c r="D85" s="368"/>
      <c r="E85" s="616"/>
      <c r="F85" s="616"/>
      <c r="G85" s="364"/>
      <c r="H85" s="364"/>
      <c r="I85" s="364"/>
      <c r="J85" s="617"/>
      <c r="K85" s="617"/>
      <c r="L85" s="617"/>
      <c r="M85" s="159"/>
      <c r="O85" s="159"/>
      <c r="P85" s="160"/>
      <c r="R85" s="197"/>
    </row>
    <row r="86" spans="8:17" ht="15" hidden="1" thickBot="1">
      <c r="H86" s="163"/>
      <c r="I86" s="157"/>
      <c r="J86" s="162"/>
      <c r="K86" s="162"/>
      <c r="L86" s="162"/>
      <c r="M86" s="164"/>
      <c r="N86" s="165"/>
      <c r="O86" s="164"/>
      <c r="P86" s="165"/>
      <c r="Q86" s="164"/>
    </row>
    <row r="87" spans="1:15" ht="14.25" hidden="1">
      <c r="A87" s="166"/>
      <c r="B87" s="158"/>
      <c r="C87" s="158"/>
      <c r="D87" s="158"/>
      <c r="E87" s="158"/>
      <c r="F87" s="158"/>
      <c r="G87" s="167" t="s">
        <v>1386</v>
      </c>
      <c r="H87" s="168"/>
      <c r="I87" s="169"/>
      <c r="J87" s="168"/>
      <c r="K87" s="168"/>
      <c r="L87" s="170"/>
      <c r="O87" s="171" t="s">
        <v>1280</v>
      </c>
    </row>
    <row r="88" spans="1:24" ht="15" hidden="1" thickBot="1">
      <c r="A88" s="172" t="s">
        <v>1281</v>
      </c>
      <c r="B88" s="171"/>
      <c r="C88" s="171"/>
      <c r="D88" s="171"/>
      <c r="E88" s="171" t="s">
        <v>1107</v>
      </c>
      <c r="F88" s="173" t="s">
        <v>539</v>
      </c>
      <c r="G88" s="174">
        <f aca="true" t="shared" si="33" ref="G88:L88">G6</f>
        <v>0.3052</v>
      </c>
      <c r="H88" s="174">
        <f t="shared" si="33"/>
        <v>0.06409</v>
      </c>
      <c r="I88" s="174">
        <f t="shared" si="33"/>
        <v>0.20368</v>
      </c>
      <c r="J88" s="174">
        <f t="shared" si="33"/>
        <v>0.42703</v>
      </c>
      <c r="K88" s="174">
        <f t="shared" si="33"/>
        <v>0</v>
      </c>
      <c r="L88" s="174">
        <f t="shared" si="33"/>
        <v>1</v>
      </c>
      <c r="M88" s="173"/>
      <c r="N88" s="173"/>
      <c r="O88" s="173"/>
      <c r="P88" s="173"/>
      <c r="Q88" s="173"/>
      <c r="R88" s="173"/>
      <c r="S88" s="171"/>
      <c r="T88" s="171"/>
      <c r="U88" s="171"/>
      <c r="V88" s="171"/>
      <c r="W88" s="171"/>
      <c r="X88" s="171"/>
    </row>
    <row r="89" spans="1:24" ht="14.25" hidden="1">
      <c r="A89" s="172" t="s">
        <v>1108</v>
      </c>
      <c r="B89" s="172" t="s">
        <v>1109</v>
      </c>
      <c r="C89" s="172"/>
      <c r="D89" s="172" t="s">
        <v>1110</v>
      </c>
      <c r="E89" s="172" t="s">
        <v>1111</v>
      </c>
      <c r="F89" s="172" t="s">
        <v>1112</v>
      </c>
      <c r="G89" s="172" t="s">
        <v>926</v>
      </c>
      <c r="H89" s="172" t="s">
        <v>927</v>
      </c>
      <c r="I89" s="172" t="s">
        <v>928</v>
      </c>
      <c r="J89" s="172" t="s">
        <v>929</v>
      </c>
      <c r="K89" s="172" t="s">
        <v>1754</v>
      </c>
      <c r="L89" s="176" t="s">
        <v>1279</v>
      </c>
      <c r="M89" s="172" t="s">
        <v>926</v>
      </c>
      <c r="N89" s="172" t="s">
        <v>927</v>
      </c>
      <c r="O89" s="172" t="s">
        <v>928</v>
      </c>
      <c r="P89" s="172" t="s">
        <v>929</v>
      </c>
      <c r="Q89" s="172" t="s">
        <v>1754</v>
      </c>
      <c r="R89" s="176" t="s">
        <v>64</v>
      </c>
      <c r="S89" s="172"/>
      <c r="T89" s="172"/>
      <c r="U89" s="172"/>
      <c r="V89" s="172"/>
      <c r="W89" s="172"/>
      <c r="X89" s="172"/>
    </row>
    <row r="90" spans="1:24" ht="14.25" hidden="1">
      <c r="A90" s="177"/>
      <c r="B90" s="177" t="s">
        <v>1113</v>
      </c>
      <c r="C90" s="177"/>
      <c r="D90" s="177"/>
      <c r="E90" s="177"/>
      <c r="F90" s="611">
        <f aca="true" t="shared" si="34" ref="F90:L90">SUM(F92:F98)</f>
        <v>0</v>
      </c>
      <c r="G90" s="611">
        <f t="shared" si="34"/>
        <v>0</v>
      </c>
      <c r="H90" s="611">
        <f t="shared" si="34"/>
        <v>0</v>
      </c>
      <c r="I90" s="611">
        <f t="shared" si="34"/>
        <v>0</v>
      </c>
      <c r="J90" s="611">
        <f t="shared" si="34"/>
        <v>0</v>
      </c>
      <c r="K90" s="611">
        <f t="shared" si="34"/>
        <v>0</v>
      </c>
      <c r="L90" s="611">
        <f t="shared" si="34"/>
        <v>0</v>
      </c>
      <c r="M90" s="178">
        <f aca="true" t="shared" si="35" ref="M90:R90">SUM(M92:M98)</f>
        <v>0</v>
      </c>
      <c r="N90" s="178">
        <f t="shared" si="35"/>
        <v>0</v>
      </c>
      <c r="O90" s="178">
        <f t="shared" si="35"/>
        <v>0</v>
      </c>
      <c r="P90" s="178">
        <f t="shared" si="35"/>
        <v>0</v>
      </c>
      <c r="Q90" s="178">
        <f t="shared" si="35"/>
        <v>0</v>
      </c>
      <c r="R90" s="178">
        <f t="shared" si="35"/>
        <v>0</v>
      </c>
      <c r="S90" s="178"/>
      <c r="T90" s="172"/>
      <c r="U90" s="172"/>
      <c r="V90" s="172"/>
      <c r="W90" s="172"/>
      <c r="X90" s="172"/>
    </row>
    <row r="91" spans="1:18" ht="12.75" hidden="1">
      <c r="A91" s="231" t="s">
        <v>961</v>
      </c>
      <c r="B91" s="234"/>
      <c r="C91" s="234"/>
      <c r="D91" s="234"/>
      <c r="E91" s="234"/>
      <c r="F91" s="234"/>
      <c r="G91" s="231"/>
      <c r="H91" s="234"/>
      <c r="I91" s="234"/>
      <c r="J91" s="234"/>
      <c r="K91" s="234"/>
      <c r="L91" s="234"/>
      <c r="M91" s="231"/>
      <c r="N91" s="234"/>
      <c r="O91" s="234"/>
      <c r="P91" s="234"/>
      <c r="Q91" s="234"/>
      <c r="R91" s="237"/>
    </row>
    <row r="92" spans="1:24" s="364" customFormat="1" ht="14.25" hidden="1">
      <c r="A92" s="230" t="s">
        <v>1800</v>
      </c>
      <c r="B92" s="606" t="str">
        <f>VLOOKUP(A92,'APPVI VLOOKUP NAMES'!A2:C300,3,FALSE)</f>
        <v>City of Lebanon</v>
      </c>
      <c r="C92" s="371" t="s">
        <v>1197</v>
      </c>
      <c r="D92" s="771">
        <f>IF(C92="(2)",4210020,4470066)</f>
        <v>4470066</v>
      </c>
      <c r="E92" s="239" t="s">
        <v>1115</v>
      </c>
      <c r="F92" s="430"/>
      <c r="G92" s="372">
        <f>ROUND(+G$6*$F92,0)</f>
        <v>0</v>
      </c>
      <c r="H92" s="233">
        <f>ROUND(+H$6*$F92,0)</f>
        <v>0</v>
      </c>
      <c r="I92" s="233">
        <f>ROUND(+I$6*$F92,0)</f>
        <v>0</v>
      </c>
      <c r="J92" s="233">
        <f aca="true" t="shared" si="36" ref="G92:K98">ROUND(+J$6*$F92,0)</f>
        <v>0</v>
      </c>
      <c r="K92" s="233">
        <f t="shared" si="36"/>
        <v>0</v>
      </c>
      <c r="L92" s="204">
        <f aca="true" t="shared" si="37" ref="L92:L98">SUM(G92:K92)</f>
        <v>0</v>
      </c>
      <c r="M92" s="373">
        <f>IF($E92="02",$L92-G92,-G92)</f>
        <v>0</v>
      </c>
      <c r="N92" s="374">
        <f>IF($E92="03",$L92-H92,-H92)</f>
        <v>0</v>
      </c>
      <c r="O92" s="374">
        <f>IF($E92="04",$L92-I92,-I92)</f>
        <v>0</v>
      </c>
      <c r="P92" s="374">
        <f>IF($E92="07",$L92-J92,-J92)</f>
        <v>0</v>
      </c>
      <c r="Q92" s="374">
        <f>IF($E92="10",$L92-K92,-K92)</f>
        <v>0</v>
      </c>
      <c r="R92" s="375">
        <f aca="true" t="shared" si="38" ref="R92:R98">+Q92+P92+O92+N92+M92</f>
        <v>0</v>
      </c>
      <c r="T92" s="772">
        <f>ROUND(+G$6*$F92,5)</f>
        <v>0</v>
      </c>
      <c r="U92" s="772">
        <f>ROUND(+H$6*$F92,5)</f>
        <v>0</v>
      </c>
      <c r="V92" s="772">
        <f>ROUND(+I$6*$F92,5)</f>
        <v>0</v>
      </c>
      <c r="W92" s="772">
        <f>ROUND(+J$6*$F92,5)</f>
        <v>0</v>
      </c>
      <c r="X92" s="773">
        <f>ROUND(+K$6*$F92,5)</f>
        <v>0</v>
      </c>
    </row>
    <row r="93" spans="1:24" ht="14.25" hidden="1">
      <c r="A93" s="179" t="s">
        <v>1471</v>
      </c>
      <c r="B93" s="606" t="str">
        <f>VLOOKUP(A93,'APPVI VLOOKUP NAMES'!$A$2:$C$300,3,FALSE)</f>
        <v>Village of Croswell</v>
      </c>
      <c r="C93" s="371" t="s">
        <v>1198</v>
      </c>
      <c r="D93" s="771">
        <f>IF(C93="(2)",4210020,4470006)</f>
        <v>4470006</v>
      </c>
      <c r="E93" s="183" t="s">
        <v>1115</v>
      </c>
      <c r="F93" s="619"/>
      <c r="G93" s="372">
        <f t="shared" si="36"/>
        <v>0</v>
      </c>
      <c r="H93" s="233">
        <f t="shared" si="36"/>
        <v>0</v>
      </c>
      <c r="I93" s="233">
        <f t="shared" si="36"/>
        <v>0</v>
      </c>
      <c r="J93" s="233">
        <f t="shared" si="36"/>
        <v>0</v>
      </c>
      <c r="K93" s="233">
        <f>ROUND(+K$6*$F93,0)</f>
        <v>0</v>
      </c>
      <c r="L93" s="204">
        <f t="shared" si="37"/>
        <v>0</v>
      </c>
      <c r="M93" s="373">
        <f aca="true" t="shared" si="39" ref="M93:M98">IF($E93="02",$L93-G93,-G93)</f>
        <v>0</v>
      </c>
      <c r="N93" s="374">
        <f aca="true" t="shared" si="40" ref="N93:N98">IF($E93="03",$L93-H93,-H93)</f>
        <v>0</v>
      </c>
      <c r="O93" s="374">
        <f aca="true" t="shared" si="41" ref="O93:O98">IF($E93="04",$L93-I93,-I93)</f>
        <v>0</v>
      </c>
      <c r="P93" s="374">
        <f aca="true" t="shared" si="42" ref="P93:P98">IF($E93="07",$L93-J93,-J93)</f>
        <v>0</v>
      </c>
      <c r="Q93" s="374">
        <f aca="true" t="shared" si="43" ref="Q93:Q98">IF($E93="10",$L93-K93,-K93)</f>
        <v>0</v>
      </c>
      <c r="R93" s="375">
        <f t="shared" si="38"/>
        <v>0</v>
      </c>
      <c r="S93" s="364"/>
      <c r="T93" s="772">
        <f aca="true" t="shared" si="44" ref="T93:X97">ROUND(+G$6*$F93,5)</f>
        <v>0</v>
      </c>
      <c r="U93" s="772">
        <f t="shared" si="44"/>
        <v>0</v>
      </c>
      <c r="V93" s="772">
        <f t="shared" si="44"/>
        <v>0</v>
      </c>
      <c r="W93" s="772">
        <f t="shared" si="44"/>
        <v>0</v>
      </c>
      <c r="X93" s="773">
        <f t="shared" si="44"/>
        <v>0</v>
      </c>
    </row>
    <row r="94" spans="1:24" s="364" customFormat="1" ht="14.25" hidden="1">
      <c r="A94" s="230" t="s">
        <v>1472</v>
      </c>
      <c r="B94" s="606" t="str">
        <f>VLOOKUP(A94,'APPVI VLOOKUP NAMES'!$A$2:$C$300,3,FALSE)</f>
        <v>Village of Sebewaing</v>
      </c>
      <c r="C94" s="371" t="s">
        <v>1198</v>
      </c>
      <c r="D94" s="771">
        <f>IF(C94="(2)",4210020,4470006)</f>
        <v>4470006</v>
      </c>
      <c r="E94" s="239" t="s">
        <v>1115</v>
      </c>
      <c r="F94" s="619"/>
      <c r="G94" s="372">
        <f t="shared" si="36"/>
        <v>0</v>
      </c>
      <c r="H94" s="233">
        <f>ROUND(+H$6*$F94,0)</f>
        <v>0</v>
      </c>
      <c r="I94" s="233">
        <f>ROUND(+I$6*$F94,0)</f>
        <v>0</v>
      </c>
      <c r="J94" s="233">
        <f t="shared" si="36"/>
        <v>0</v>
      </c>
      <c r="K94" s="233">
        <f t="shared" si="36"/>
        <v>0</v>
      </c>
      <c r="L94" s="204">
        <f t="shared" si="37"/>
        <v>0</v>
      </c>
      <c r="M94" s="373">
        <f t="shared" si="39"/>
        <v>0</v>
      </c>
      <c r="N94" s="374">
        <f t="shared" si="40"/>
        <v>0</v>
      </c>
      <c r="O94" s="374">
        <f t="shared" si="41"/>
        <v>0</v>
      </c>
      <c r="P94" s="374">
        <f t="shared" si="42"/>
        <v>0</v>
      </c>
      <c r="Q94" s="374">
        <f t="shared" si="43"/>
        <v>0</v>
      </c>
      <c r="R94" s="375">
        <f t="shared" si="38"/>
        <v>0</v>
      </c>
      <c r="T94" s="772">
        <f t="shared" si="44"/>
        <v>0</v>
      </c>
      <c r="U94" s="772">
        <f t="shared" si="44"/>
        <v>0</v>
      </c>
      <c r="V94" s="772">
        <f t="shared" si="44"/>
        <v>0</v>
      </c>
      <c r="W94" s="772">
        <f t="shared" si="44"/>
        <v>0</v>
      </c>
      <c r="X94" s="773">
        <f t="shared" si="44"/>
        <v>0</v>
      </c>
    </row>
    <row r="95" spans="1:24" s="364" customFormat="1" ht="14.25" hidden="1">
      <c r="A95" s="230" t="s">
        <v>1746</v>
      </c>
      <c r="B95" s="606" t="str">
        <f>VLOOKUP(A95,'APPVI VLOOKUP NAMES'!$A$2:$C$300,3,FALSE)</f>
        <v>Bethel</v>
      </c>
      <c r="C95" s="371" t="s">
        <v>425</v>
      </c>
      <c r="D95" s="771">
        <f>IF(C95="(1)",4210020,4470006)</f>
        <v>4470006</v>
      </c>
      <c r="E95" s="239" t="s">
        <v>1115</v>
      </c>
      <c r="F95" s="619"/>
      <c r="G95" s="233">
        <f>ROUND(+G$6*$F95,0)</f>
        <v>0</v>
      </c>
      <c r="H95" s="233">
        <f>ROUND(+H$6*$F95,0)</f>
        <v>0</v>
      </c>
      <c r="I95" s="233">
        <f>ROUND(+I$6*$F95,0)</f>
        <v>0</v>
      </c>
      <c r="J95" s="233">
        <f t="shared" si="36"/>
        <v>0</v>
      </c>
      <c r="K95" s="233">
        <f t="shared" si="36"/>
        <v>0</v>
      </c>
      <c r="L95" s="204">
        <f t="shared" si="37"/>
        <v>0</v>
      </c>
      <c r="M95" s="373">
        <f t="shared" si="39"/>
        <v>0</v>
      </c>
      <c r="N95" s="374">
        <f t="shared" si="40"/>
        <v>0</v>
      </c>
      <c r="O95" s="374">
        <f t="shared" si="41"/>
        <v>0</v>
      </c>
      <c r="P95" s="374">
        <f t="shared" si="42"/>
        <v>0</v>
      </c>
      <c r="Q95" s="374">
        <f t="shared" si="43"/>
        <v>0</v>
      </c>
      <c r="R95" s="375">
        <f t="shared" si="38"/>
        <v>0</v>
      </c>
      <c r="T95" s="772">
        <f t="shared" si="44"/>
        <v>0</v>
      </c>
      <c r="U95" s="772">
        <f t="shared" si="44"/>
        <v>0</v>
      </c>
      <c r="V95" s="772">
        <f t="shared" si="44"/>
        <v>0</v>
      </c>
      <c r="W95" s="772">
        <f t="shared" si="44"/>
        <v>0</v>
      </c>
      <c r="X95" s="773">
        <f t="shared" si="44"/>
        <v>0</v>
      </c>
    </row>
    <row r="96" spans="1:24" s="364" customFormat="1" ht="14.25" hidden="1">
      <c r="A96" s="230" t="s">
        <v>1195</v>
      </c>
      <c r="B96" s="606" t="str">
        <f>VLOOKUP(A96,'APPVI VLOOKUP NAMES'!$A$2:$C$300,3,FALSE)</f>
        <v>Hammersville</v>
      </c>
      <c r="C96" s="371" t="s">
        <v>425</v>
      </c>
      <c r="D96" s="771">
        <f>IF(C96="(1)",4210020,4470006)</f>
        <v>4470006</v>
      </c>
      <c r="E96" s="239" t="s">
        <v>1115</v>
      </c>
      <c r="F96" s="619"/>
      <c r="G96" s="372">
        <f t="shared" si="36"/>
        <v>0</v>
      </c>
      <c r="H96" s="233">
        <f t="shared" si="36"/>
        <v>0</v>
      </c>
      <c r="I96" s="233">
        <f t="shared" si="36"/>
        <v>0</v>
      </c>
      <c r="J96" s="233">
        <f>ROUND(+J$6*$F96,0)</f>
        <v>0</v>
      </c>
      <c r="K96" s="233">
        <f t="shared" si="36"/>
        <v>0</v>
      </c>
      <c r="L96" s="204">
        <f t="shared" si="37"/>
        <v>0</v>
      </c>
      <c r="M96" s="373">
        <f t="shared" si="39"/>
        <v>0</v>
      </c>
      <c r="N96" s="374">
        <f t="shared" si="40"/>
        <v>0</v>
      </c>
      <c r="O96" s="374">
        <f t="shared" si="41"/>
        <v>0</v>
      </c>
      <c r="P96" s="374">
        <f t="shared" si="42"/>
        <v>0</v>
      </c>
      <c r="Q96" s="374">
        <f t="shared" si="43"/>
        <v>0</v>
      </c>
      <c r="R96" s="375">
        <f t="shared" si="38"/>
        <v>0</v>
      </c>
      <c r="T96" s="772">
        <f t="shared" si="44"/>
        <v>0</v>
      </c>
      <c r="U96" s="772">
        <f t="shared" si="44"/>
        <v>0</v>
      </c>
      <c r="V96" s="772">
        <f t="shared" si="44"/>
        <v>0</v>
      </c>
      <c r="W96" s="772">
        <f t="shared" si="44"/>
        <v>0</v>
      </c>
      <c r="X96" s="773">
        <f t="shared" si="44"/>
        <v>0</v>
      </c>
    </row>
    <row r="97" spans="1:24" s="364" customFormat="1" ht="14.25" hidden="1">
      <c r="A97" s="230" t="s">
        <v>1196</v>
      </c>
      <c r="B97" s="606" t="str">
        <f>VLOOKUP(A97,'APPVI VLOOKUP NAMES'!$A$2:$C$300,3,FALSE)</f>
        <v>Ripley</v>
      </c>
      <c r="C97" s="371" t="s">
        <v>425</v>
      </c>
      <c r="D97" s="771">
        <f>IF(C97="(1)",4210020,4470006)</f>
        <v>4470006</v>
      </c>
      <c r="E97" s="239" t="s">
        <v>1115</v>
      </c>
      <c r="F97" s="619"/>
      <c r="G97" s="372">
        <f>ROUND(+G$6*$F97,0)</f>
        <v>0</v>
      </c>
      <c r="H97" s="233">
        <f t="shared" si="36"/>
        <v>0</v>
      </c>
      <c r="I97" s="233">
        <f>ROUND(+I$6*$F97,0)</f>
        <v>0</v>
      </c>
      <c r="J97" s="233">
        <f t="shared" si="36"/>
        <v>0</v>
      </c>
      <c r="K97" s="233">
        <f t="shared" si="36"/>
        <v>0</v>
      </c>
      <c r="L97" s="204">
        <f t="shared" si="37"/>
        <v>0</v>
      </c>
      <c r="M97" s="373">
        <f t="shared" si="39"/>
        <v>0</v>
      </c>
      <c r="N97" s="374">
        <f t="shared" si="40"/>
        <v>0</v>
      </c>
      <c r="O97" s="374">
        <f t="shared" si="41"/>
        <v>0</v>
      </c>
      <c r="P97" s="374">
        <f t="shared" si="42"/>
        <v>0</v>
      </c>
      <c r="Q97" s="374">
        <f t="shared" si="43"/>
        <v>0</v>
      </c>
      <c r="R97" s="375">
        <f t="shared" si="38"/>
        <v>0</v>
      </c>
      <c r="T97" s="772">
        <f t="shared" si="44"/>
        <v>0</v>
      </c>
      <c r="U97" s="772">
        <f t="shared" si="44"/>
        <v>0</v>
      </c>
      <c r="V97" s="772">
        <f t="shared" si="44"/>
        <v>0</v>
      </c>
      <c r="W97" s="772">
        <f t="shared" si="44"/>
        <v>0</v>
      </c>
      <c r="X97" s="773">
        <f t="shared" si="44"/>
        <v>0</v>
      </c>
    </row>
    <row r="98" spans="1:24" s="364" customFormat="1" ht="14.25" hidden="1">
      <c r="A98" s="842" t="s">
        <v>1473</v>
      </c>
      <c r="B98" s="824" t="str">
        <f>VLOOKUP(A98,'APPVI VLOOKUP NAMES'!$A$2:$C$300,3,FALSE)</f>
        <v>Town of Haggerstown</v>
      </c>
      <c r="C98" s="843" t="s">
        <v>425</v>
      </c>
      <c r="D98" s="832">
        <f>IF(C98="(1)",4210020,4470006)</f>
        <v>4470006</v>
      </c>
      <c r="E98" s="823" t="s">
        <v>1115</v>
      </c>
      <c r="F98" s="834"/>
      <c r="G98" s="844">
        <f>ROUND(+G$6*$F98,0)</f>
        <v>0</v>
      </c>
      <c r="H98" s="845">
        <f t="shared" si="36"/>
        <v>0</v>
      </c>
      <c r="I98" s="845">
        <f t="shared" si="36"/>
        <v>0</v>
      </c>
      <c r="J98" s="845">
        <f>ROUND(+J$6*$F98,0)</f>
        <v>0</v>
      </c>
      <c r="K98" s="845">
        <f>ROUND(+K$6*$F98,0)</f>
        <v>0</v>
      </c>
      <c r="L98" s="1127">
        <f t="shared" si="37"/>
        <v>0</v>
      </c>
      <c r="M98" s="846">
        <f t="shared" si="39"/>
        <v>0</v>
      </c>
      <c r="N98" s="691">
        <f t="shared" si="40"/>
        <v>0</v>
      </c>
      <c r="O98" s="691">
        <f t="shared" si="41"/>
        <v>0</v>
      </c>
      <c r="P98" s="691">
        <f t="shared" si="42"/>
        <v>0</v>
      </c>
      <c r="Q98" s="691">
        <f t="shared" si="43"/>
        <v>0</v>
      </c>
      <c r="R98" s="890">
        <f t="shared" si="38"/>
        <v>0</v>
      </c>
      <c r="T98" s="772">
        <f>ROUND(+G$6*$F98,5)</f>
        <v>0</v>
      </c>
      <c r="U98" s="772">
        <f>ROUND(+H$6*$F98,5)</f>
        <v>0</v>
      </c>
      <c r="V98" s="772">
        <f>ROUND(+I$6*$F98,5)</f>
        <v>0</v>
      </c>
      <c r="W98" s="772">
        <f>ROUND(+J$6*$F98,5)</f>
        <v>0</v>
      </c>
      <c r="X98" s="773">
        <f>ROUND(+K$6*$F98,5)</f>
        <v>0</v>
      </c>
    </row>
    <row r="99" spans="1:18" ht="14.25" hidden="1">
      <c r="A99" s="182"/>
      <c r="B99" s="182"/>
      <c r="C99" s="182"/>
      <c r="D99" s="182"/>
      <c r="E99" s="182"/>
      <c r="G99" s="1125" t="s">
        <v>1386</v>
      </c>
      <c r="H99" s="182"/>
      <c r="I99" s="182"/>
      <c r="J99" s="182"/>
      <c r="K99" s="182"/>
      <c r="L99" s="1126"/>
      <c r="M99" s="182"/>
      <c r="O99" s="171" t="s">
        <v>1280</v>
      </c>
      <c r="Q99" s="182"/>
      <c r="R99" s="182"/>
    </row>
    <row r="100" spans="1:18" ht="14.25" hidden="1" thickBot="1">
      <c r="A100" s="891" t="s">
        <v>558</v>
      </c>
      <c r="B100" s="182"/>
      <c r="C100" s="182"/>
      <c r="D100" s="182"/>
      <c r="E100" s="182"/>
      <c r="F100" s="873" t="s">
        <v>1279</v>
      </c>
      <c r="G100" s="174">
        <v>0.32728</v>
      </c>
      <c r="H100" s="174">
        <v>0.06852</v>
      </c>
      <c r="I100" s="174">
        <v>0.19208</v>
      </c>
      <c r="J100" s="174">
        <v>0.22476</v>
      </c>
      <c r="K100" s="174">
        <v>0.18736</v>
      </c>
      <c r="L100" s="174">
        <f>SUM(G100:K100)</f>
        <v>1</v>
      </c>
      <c r="M100" s="182"/>
      <c r="N100" s="182"/>
      <c r="O100" s="182"/>
      <c r="P100" s="182"/>
      <c r="Q100" s="182"/>
      <c r="R100" s="182"/>
    </row>
    <row r="101" spans="1:18" ht="14.25" hidden="1">
      <c r="A101" s="182"/>
      <c r="B101" s="182"/>
      <c r="C101" s="182"/>
      <c r="D101" s="182"/>
      <c r="E101" s="182"/>
      <c r="F101" s="873"/>
      <c r="G101" s="172" t="s">
        <v>926</v>
      </c>
      <c r="H101" s="172" t="s">
        <v>927</v>
      </c>
      <c r="I101" s="172" t="s">
        <v>928</v>
      </c>
      <c r="J101" s="172" t="s">
        <v>929</v>
      </c>
      <c r="K101" s="172" t="s">
        <v>1754</v>
      </c>
      <c r="L101" s="176" t="s">
        <v>1279</v>
      </c>
      <c r="M101" s="172" t="s">
        <v>926</v>
      </c>
      <c r="N101" s="172" t="s">
        <v>927</v>
      </c>
      <c r="O101" s="172" t="s">
        <v>928</v>
      </c>
      <c r="P101" s="172" t="s">
        <v>929</v>
      </c>
      <c r="Q101" s="172" t="s">
        <v>1754</v>
      </c>
      <c r="R101" s="176" t="s">
        <v>64</v>
      </c>
    </row>
    <row r="102" spans="1:18" ht="12.75" hidden="1">
      <c r="A102" s="874" t="s">
        <v>557</v>
      </c>
      <c r="B102" s="875"/>
      <c r="C102" s="875"/>
      <c r="D102" s="875"/>
      <c r="E102" s="875"/>
      <c r="F102" s="884">
        <f aca="true" t="shared" si="45" ref="F102:R102">SUM(F103:F106)</f>
        <v>0</v>
      </c>
      <c r="G102" s="611">
        <f t="shared" si="45"/>
        <v>0</v>
      </c>
      <c r="H102" s="611">
        <f t="shared" si="45"/>
        <v>0</v>
      </c>
      <c r="I102" s="611">
        <f t="shared" si="45"/>
        <v>0</v>
      </c>
      <c r="J102" s="611">
        <f t="shared" si="45"/>
        <v>0</v>
      </c>
      <c r="K102" s="611">
        <f t="shared" si="45"/>
        <v>0</v>
      </c>
      <c r="L102" s="611">
        <f t="shared" si="45"/>
        <v>0</v>
      </c>
      <c r="M102" s="1122">
        <f t="shared" si="45"/>
        <v>0</v>
      </c>
      <c r="N102" s="885">
        <f t="shared" si="45"/>
        <v>0</v>
      </c>
      <c r="O102" s="885">
        <f t="shared" si="45"/>
        <v>0</v>
      </c>
      <c r="P102" s="885">
        <f t="shared" si="45"/>
        <v>0</v>
      </c>
      <c r="Q102" s="885">
        <f t="shared" si="45"/>
        <v>0</v>
      </c>
      <c r="R102" s="885">
        <f t="shared" si="45"/>
        <v>0</v>
      </c>
    </row>
    <row r="103" spans="1:18" ht="14.25" hidden="1">
      <c r="A103" s="876" t="s">
        <v>1746</v>
      </c>
      <c r="B103" s="877" t="str">
        <f>VLOOKUP(A103,'APPVI VLOOKUP NAMES'!$A$2:$C$300,3,FALSE)</f>
        <v>Bethel</v>
      </c>
      <c r="C103" s="878" t="s">
        <v>125</v>
      </c>
      <c r="D103" s="879">
        <f>IF(C103="(2)",4210020,4470006)</f>
        <v>4470006</v>
      </c>
      <c r="E103" s="880" t="s">
        <v>1115</v>
      </c>
      <c r="F103" s="881"/>
      <c r="G103" s="882">
        <f aca="true" t="shared" si="46" ref="G103:K104">ROUND(+G$100*$F103,0)</f>
        <v>0</v>
      </c>
      <c r="H103" s="883">
        <f t="shared" si="46"/>
        <v>0</v>
      </c>
      <c r="I103" s="883">
        <f t="shared" si="46"/>
        <v>0</v>
      </c>
      <c r="J103" s="883">
        <f t="shared" si="46"/>
        <v>0</v>
      </c>
      <c r="K103" s="883">
        <f t="shared" si="46"/>
        <v>0</v>
      </c>
      <c r="L103" s="883">
        <f>SUM(G103:K103)</f>
        <v>0</v>
      </c>
      <c r="M103" s="887">
        <f>IF($E103="02",$L103-G103,-G103)</f>
        <v>0</v>
      </c>
      <c r="N103" s="888">
        <f>IF($E103="03",$L103-H103,-H103)</f>
        <v>0</v>
      </c>
      <c r="O103" s="888">
        <f>IF($E103="04",$L103-I103,-I103)</f>
        <v>0</v>
      </c>
      <c r="P103" s="888">
        <f>IF($E103="07",$L103-J103,-J103)</f>
        <v>0</v>
      </c>
      <c r="Q103" s="888">
        <f>IF($E103="10",$L103-K103,-K103)</f>
        <v>0</v>
      </c>
      <c r="R103" s="889">
        <f>+Q103+P103+O103+N103+M103</f>
        <v>0</v>
      </c>
    </row>
    <row r="104" spans="1:18" ht="14.25" hidden="1">
      <c r="A104" s="230" t="s">
        <v>1195</v>
      </c>
      <c r="B104" s="606" t="str">
        <f>VLOOKUP(A104,'APPVI VLOOKUP NAMES'!$A$2:$C$300,3,FALSE)</f>
        <v>Hammersville</v>
      </c>
      <c r="C104" s="371" t="s">
        <v>125</v>
      </c>
      <c r="D104" s="771">
        <f>IF(C104="(2)",4210020,4470006)</f>
        <v>4470006</v>
      </c>
      <c r="E104" s="183" t="s">
        <v>1115</v>
      </c>
      <c r="F104" s="619"/>
      <c r="G104" s="372">
        <f t="shared" si="46"/>
        <v>0</v>
      </c>
      <c r="H104" s="233">
        <f t="shared" si="46"/>
        <v>0</v>
      </c>
      <c r="I104" s="233">
        <f t="shared" si="46"/>
        <v>0</v>
      </c>
      <c r="J104" s="233">
        <f t="shared" si="46"/>
        <v>0</v>
      </c>
      <c r="K104" s="233">
        <f t="shared" si="46"/>
        <v>0</v>
      </c>
      <c r="L104" s="233">
        <f>SUM(G104:K104)</f>
        <v>0</v>
      </c>
      <c r="M104" s="373">
        <f>IF($E104="02",$L104-G104,-G104)</f>
        <v>0</v>
      </c>
      <c r="N104" s="374">
        <f>IF($E104="03",$L104-H104,-H104)</f>
        <v>0</v>
      </c>
      <c r="O104" s="374">
        <f>IF($E104="04",$L104-I104,-I104)</f>
        <v>0</v>
      </c>
      <c r="P104" s="374">
        <f>IF($E104="07",$L104-J104,-J104)</f>
        <v>0</v>
      </c>
      <c r="Q104" s="374">
        <f>IF($E104="10",$L104-K104,-K104)</f>
        <v>0</v>
      </c>
      <c r="R104" s="375">
        <f>+Q104+P104+O104+N104+M104</f>
        <v>0</v>
      </c>
    </row>
    <row r="105" spans="1:18" ht="14.25" hidden="1">
      <c r="A105" s="230" t="s">
        <v>1196</v>
      </c>
      <c r="B105" s="606" t="str">
        <f>VLOOKUP(A105,'APPVI VLOOKUP NAMES'!$A$2:$C$300,3,FALSE)</f>
        <v>Ripley</v>
      </c>
      <c r="C105" s="371" t="s">
        <v>125</v>
      </c>
      <c r="D105" s="771">
        <f>IF(C105="(2)",4210020,4470006)</f>
        <v>4470006</v>
      </c>
      <c r="E105" s="239" t="s">
        <v>1115</v>
      </c>
      <c r="F105" s="619"/>
      <c r="G105" s="372">
        <f>ROUND(+G$100*$F105,0)</f>
        <v>0</v>
      </c>
      <c r="H105" s="233">
        <f aca="true" t="shared" si="47" ref="H105:K106">ROUND(+H$100*$F105,0)</f>
        <v>0</v>
      </c>
      <c r="I105" s="233">
        <f t="shared" si="47"/>
        <v>0</v>
      </c>
      <c r="J105" s="233">
        <f t="shared" si="47"/>
        <v>0</v>
      </c>
      <c r="K105" s="233">
        <f t="shared" si="47"/>
        <v>0</v>
      </c>
      <c r="L105" s="233">
        <f>SUM(G105:K105)</f>
        <v>0</v>
      </c>
      <c r="M105" s="373">
        <f>IF($E105="02",$L105-G105,-G105)</f>
        <v>0</v>
      </c>
      <c r="N105" s="374">
        <f>IF($E105="03",$L105-H105,-H105)</f>
        <v>0</v>
      </c>
      <c r="O105" s="374">
        <f>IF($E105="04",$L105-I105,-I105)</f>
        <v>0</v>
      </c>
      <c r="P105" s="374">
        <f>IF($E105="07",$L105-J105,-J105)</f>
        <v>0</v>
      </c>
      <c r="Q105" s="374">
        <f>IF($E105="10",$L105-K105,-K105)</f>
        <v>0</v>
      </c>
      <c r="R105" s="375">
        <f>+Q105+P105+O105+N105+M105</f>
        <v>0</v>
      </c>
    </row>
    <row r="106" spans="1:18" ht="14.25" hidden="1">
      <c r="A106" s="842" t="s">
        <v>1473</v>
      </c>
      <c r="B106" s="824" t="str">
        <f>VLOOKUP(A106,'APPVI VLOOKUP NAMES'!$A$2:$C$300,3,FALSE)</f>
        <v>Town of Haggerstown</v>
      </c>
      <c r="C106" s="843" t="s">
        <v>125</v>
      </c>
      <c r="D106" s="832">
        <f>IF(C106="(2)",4210020,4470006)</f>
        <v>4470006</v>
      </c>
      <c r="E106" s="823" t="s">
        <v>1115</v>
      </c>
      <c r="F106" s="834"/>
      <c r="G106" s="844">
        <f>ROUND(+G$100*$F106,0)</f>
        <v>0</v>
      </c>
      <c r="H106" s="845">
        <f t="shared" si="47"/>
        <v>0</v>
      </c>
      <c r="I106" s="845">
        <f t="shared" si="47"/>
        <v>0</v>
      </c>
      <c r="J106" s="845">
        <f t="shared" si="47"/>
        <v>0</v>
      </c>
      <c r="K106" s="845">
        <f t="shared" si="47"/>
        <v>0</v>
      </c>
      <c r="L106" s="845">
        <f>SUM(G106:K106)</f>
        <v>0</v>
      </c>
      <c r="M106" s="846">
        <f>IF($E106="02",$L106-G106,-G106)</f>
        <v>0</v>
      </c>
      <c r="N106" s="691">
        <f>IF($E106="03",$L106-H106,-H106)</f>
        <v>0</v>
      </c>
      <c r="O106" s="691">
        <f>IF($E106="04",$L106-I106,-I106)</f>
        <v>0</v>
      </c>
      <c r="P106" s="691">
        <f>IF($E106="07",$L106-J106,-J106)</f>
        <v>0</v>
      </c>
      <c r="Q106" s="691">
        <f>IF($E106="10",$L106-K106,-K106)</f>
        <v>0</v>
      </c>
      <c r="R106" s="890">
        <f>+Q106+P106+O106+N106+M106</f>
        <v>0</v>
      </c>
    </row>
    <row r="107" spans="1:18" ht="12.75">
      <c r="A107" s="182"/>
      <c r="B107" s="182"/>
      <c r="C107" s="182"/>
      <c r="D107" s="182"/>
      <c r="E107" s="182"/>
      <c r="F107" s="308"/>
      <c r="G107" s="182"/>
      <c r="H107" s="182"/>
      <c r="I107" s="182"/>
      <c r="J107" s="182"/>
      <c r="K107" s="182"/>
      <c r="L107" s="182"/>
      <c r="M107" s="374"/>
      <c r="N107" s="374"/>
      <c r="O107" s="374"/>
      <c r="P107" s="374"/>
      <c r="Q107" s="374"/>
      <c r="R107" s="886"/>
    </row>
    <row r="108" spans="1:18" s="836" customFormat="1" ht="14.25">
      <c r="A108" s="839" t="s">
        <v>1131</v>
      </c>
      <c r="B108" s="835" t="s">
        <v>2092</v>
      </c>
      <c r="C108" s="840"/>
      <c r="D108" s="841"/>
      <c r="E108" s="837"/>
      <c r="F108" s="838"/>
      <c r="M108" s="374"/>
      <c r="N108" s="374"/>
      <c r="O108" s="374"/>
      <c r="P108" s="374"/>
      <c r="Q108" s="374"/>
      <c r="R108" s="886"/>
    </row>
    <row r="109" spans="1:18" s="364" customFormat="1" ht="14.25">
      <c r="A109" s="828"/>
      <c r="B109" s="716" t="s">
        <v>2091</v>
      </c>
      <c r="C109" s="829"/>
      <c r="D109" s="771"/>
      <c r="E109" s="239"/>
      <c r="F109" s="369"/>
      <c r="M109" s="374"/>
      <c r="N109" s="374"/>
      <c r="O109" s="374"/>
      <c r="P109" s="374"/>
      <c r="Q109" s="374"/>
      <c r="R109" s="771"/>
    </row>
    <row r="110" spans="1:6" s="364" customFormat="1" ht="14.25">
      <c r="A110" s="240"/>
      <c r="B110" s="716"/>
      <c r="C110" s="829"/>
      <c r="D110" s="771"/>
      <c r="E110" s="239"/>
      <c r="F110" s="369"/>
    </row>
    <row r="111" spans="2:6" s="836" customFormat="1" ht="14.25">
      <c r="B111" s="837"/>
      <c r="F111" s="838"/>
    </row>
    <row r="112" spans="2:6" s="364" customFormat="1" ht="14.25">
      <c r="B112" s="368"/>
      <c r="F112" s="369"/>
    </row>
    <row r="113" spans="2:6" s="364" customFormat="1" ht="14.25">
      <c r="B113" s="835"/>
      <c r="F113" s="369"/>
    </row>
    <row r="114" spans="2:6" ht="14.25">
      <c r="B114" s="157"/>
      <c r="F114" s="193"/>
    </row>
    <row r="115" ht="12.75">
      <c r="F115" s="193"/>
    </row>
    <row r="116" spans="6:7" ht="12.75">
      <c r="F116" s="193"/>
      <c r="G116" s="847"/>
    </row>
    <row r="117" ht="12.75">
      <c r="F117" s="193"/>
    </row>
    <row r="118" ht="12.75">
      <c r="F118" s="193"/>
    </row>
    <row r="119" ht="12.75">
      <c r="F119" s="193"/>
    </row>
    <row r="120" ht="12.75">
      <c r="F120" s="193"/>
    </row>
    <row r="121" ht="12.75">
      <c r="F121" s="193"/>
    </row>
    <row r="122" spans="1:6" ht="14.25">
      <c r="A122" s="835"/>
      <c r="F122" s="193"/>
    </row>
    <row r="123" ht="12.75">
      <c r="F123" s="193"/>
    </row>
    <row r="124" ht="12.75">
      <c r="F124" s="193"/>
    </row>
    <row r="125" ht="12.75">
      <c r="F125" s="193"/>
    </row>
    <row r="126" ht="12.75">
      <c r="F126" s="193"/>
    </row>
    <row r="127" ht="12.75">
      <c r="F127" s="193"/>
    </row>
    <row r="128" ht="12.75">
      <c r="F128" s="193"/>
    </row>
    <row r="129" ht="12.75">
      <c r="F129" s="193"/>
    </row>
    <row r="130" ht="12.75">
      <c r="F130" s="193"/>
    </row>
    <row r="131" ht="12.75">
      <c r="F131" s="193"/>
    </row>
    <row r="132" ht="12.75">
      <c r="F132" s="193"/>
    </row>
    <row r="133" ht="12.75">
      <c r="F133" s="193"/>
    </row>
    <row r="134" ht="12.75">
      <c r="F134" s="193"/>
    </row>
    <row r="135" ht="12.75">
      <c r="F135" s="193"/>
    </row>
    <row r="136" ht="12.75">
      <c r="F136" s="193"/>
    </row>
    <row r="137" ht="12.75">
      <c r="F137" s="193"/>
    </row>
    <row r="138" ht="12.75">
      <c r="F138" s="193"/>
    </row>
    <row r="139" ht="12.75">
      <c r="F139" s="193"/>
    </row>
    <row r="140" ht="12.75">
      <c r="F140" s="193"/>
    </row>
    <row r="141" ht="12.75">
      <c r="F141" s="193"/>
    </row>
    <row r="142" ht="12.75">
      <c r="F142" s="193"/>
    </row>
    <row r="143" ht="12.75">
      <c r="F143" s="193"/>
    </row>
    <row r="144" ht="12.75">
      <c r="F144" s="193"/>
    </row>
    <row r="145" ht="12.75">
      <c r="F145" s="193"/>
    </row>
    <row r="146" ht="12.75">
      <c r="F146" s="193"/>
    </row>
    <row r="147" ht="12.75">
      <c r="F147" s="193"/>
    </row>
    <row r="148" ht="12.75">
      <c r="F148" s="193"/>
    </row>
    <row r="149" ht="12.75">
      <c r="F149" s="193"/>
    </row>
    <row r="150" ht="12.75">
      <c r="F150" s="193"/>
    </row>
    <row r="151" ht="12.75">
      <c r="F151" s="193"/>
    </row>
    <row r="152" ht="12.75">
      <c r="F152" s="193"/>
    </row>
    <row r="153" ht="12.75">
      <c r="F153" s="193"/>
    </row>
    <row r="154" ht="12.75">
      <c r="F154" s="193"/>
    </row>
    <row r="155" ht="12.75">
      <c r="F155" s="193"/>
    </row>
    <row r="156" ht="12.75">
      <c r="F156" s="193"/>
    </row>
    <row r="157" ht="12.75">
      <c r="F157" s="193"/>
    </row>
    <row r="158" ht="12.75">
      <c r="F158" s="193"/>
    </row>
    <row r="159" ht="12.75">
      <c r="F159" s="193"/>
    </row>
    <row r="160" ht="12.75">
      <c r="F160" s="193"/>
    </row>
    <row r="161" ht="12.75">
      <c r="F161" s="193"/>
    </row>
    <row r="162" ht="12.75">
      <c r="F162" s="193"/>
    </row>
    <row r="163" ht="12.75">
      <c r="F163" s="193"/>
    </row>
    <row r="164" ht="12.75">
      <c r="F164" s="193"/>
    </row>
    <row r="165" ht="12.75">
      <c r="F165" s="193"/>
    </row>
    <row r="166" ht="12.75">
      <c r="F166" s="193"/>
    </row>
    <row r="167" ht="12.75">
      <c r="F167" s="193"/>
    </row>
    <row r="168" ht="12.75">
      <c r="F168" s="193"/>
    </row>
    <row r="169" ht="12.75">
      <c r="F169" s="193"/>
    </row>
    <row r="170" ht="12.75">
      <c r="F170" s="193"/>
    </row>
    <row r="171" ht="12.75">
      <c r="F171" s="193"/>
    </row>
    <row r="172" ht="12.75">
      <c r="F172" s="193"/>
    </row>
    <row r="173" ht="12.75">
      <c r="F173" s="193"/>
    </row>
    <row r="174" ht="12.75">
      <c r="F174" s="193"/>
    </row>
    <row r="175" ht="12.75">
      <c r="F175" s="193"/>
    </row>
    <row r="176" ht="12.75">
      <c r="F176" s="193"/>
    </row>
    <row r="177" ht="12.75">
      <c r="F177" s="193"/>
    </row>
    <row r="178" ht="12.75">
      <c r="F178" s="193"/>
    </row>
    <row r="179" ht="12.75">
      <c r="F179" s="193"/>
    </row>
    <row r="180" ht="12.75">
      <c r="F180" s="193"/>
    </row>
    <row r="181" ht="12.75">
      <c r="F181" s="193"/>
    </row>
    <row r="182" ht="12.75">
      <c r="F182" s="193"/>
    </row>
    <row r="183" ht="12.75">
      <c r="F183" s="193"/>
    </row>
    <row r="184" ht="12.75">
      <c r="F184" s="193"/>
    </row>
    <row r="185" ht="12.75">
      <c r="F185" s="193"/>
    </row>
    <row r="186" ht="12.75">
      <c r="F186" s="193"/>
    </row>
    <row r="187" ht="12.75">
      <c r="F187" s="193"/>
    </row>
    <row r="188" ht="12.75">
      <c r="F188" s="193"/>
    </row>
    <row r="189" ht="12.75">
      <c r="F189" s="193"/>
    </row>
    <row r="190" ht="12.75">
      <c r="F190" s="193"/>
    </row>
    <row r="191" ht="12.75">
      <c r="F191" s="193"/>
    </row>
    <row r="192" ht="12.75">
      <c r="F192" s="193"/>
    </row>
    <row r="193" ht="12.75">
      <c r="F193" s="193"/>
    </row>
    <row r="194" ht="12.75">
      <c r="F194" s="193"/>
    </row>
    <row r="195" ht="12.75">
      <c r="F195" s="193"/>
    </row>
    <row r="196" ht="12.75">
      <c r="F196" s="193"/>
    </row>
    <row r="197" ht="12.75">
      <c r="F197" s="193"/>
    </row>
    <row r="198" ht="12.75">
      <c r="F198" s="193"/>
    </row>
    <row r="199" ht="12.75">
      <c r="F199" s="193"/>
    </row>
    <row r="200" ht="12.75">
      <c r="F200" s="193"/>
    </row>
    <row r="201" ht="12.75">
      <c r="F201" s="193"/>
    </row>
    <row r="202" ht="12.75">
      <c r="F202" s="193"/>
    </row>
    <row r="203" ht="12.75">
      <c r="F203" s="193"/>
    </row>
    <row r="204" ht="12.75">
      <c r="F204" s="193"/>
    </row>
    <row r="205" ht="12.75">
      <c r="F205" s="193"/>
    </row>
    <row r="206" ht="12.75">
      <c r="F206" s="193"/>
    </row>
    <row r="207" ht="12.75">
      <c r="F207" s="193"/>
    </row>
    <row r="208" ht="12.75">
      <c r="F208" s="193"/>
    </row>
    <row r="209" ht="12.75">
      <c r="F209" s="193"/>
    </row>
    <row r="210" ht="12.75">
      <c r="F210" s="193"/>
    </row>
    <row r="211" ht="12.75">
      <c r="F211" s="193"/>
    </row>
    <row r="212" ht="12.75">
      <c r="F212" s="193"/>
    </row>
    <row r="213" ht="12.75">
      <c r="F213" s="193"/>
    </row>
    <row r="214" ht="12.75">
      <c r="F214" s="193"/>
    </row>
    <row r="215" ht="12.75">
      <c r="F215" s="193"/>
    </row>
    <row r="216" ht="12.75">
      <c r="F216" s="193"/>
    </row>
    <row r="217" ht="12.75">
      <c r="F217" s="193"/>
    </row>
    <row r="218" ht="12.75">
      <c r="F218" s="193"/>
    </row>
    <row r="219" ht="12.75">
      <c r="F219" s="193"/>
    </row>
    <row r="220" ht="12.75">
      <c r="F220" s="193"/>
    </row>
    <row r="221" ht="12.75">
      <c r="F221" s="193"/>
    </row>
    <row r="222" ht="12.75">
      <c r="F222" s="193"/>
    </row>
    <row r="223" ht="12.75">
      <c r="F223" s="193"/>
    </row>
    <row r="224" ht="12.75">
      <c r="F224" s="193"/>
    </row>
    <row r="225" ht="12.75">
      <c r="F225" s="193"/>
    </row>
    <row r="226" ht="12.75">
      <c r="F226" s="193"/>
    </row>
    <row r="227" ht="12.75">
      <c r="F227" s="193"/>
    </row>
    <row r="228" ht="12.75">
      <c r="F228" s="193"/>
    </row>
    <row r="229" ht="12.75">
      <c r="F229" s="193"/>
    </row>
    <row r="230" ht="12.75">
      <c r="F230" s="193"/>
    </row>
    <row r="231" ht="12.75">
      <c r="F231" s="193"/>
    </row>
    <row r="232" ht="12.75">
      <c r="F232" s="193"/>
    </row>
    <row r="233" ht="12.75">
      <c r="F233" s="193"/>
    </row>
    <row r="234" ht="12.75">
      <c r="F234" s="193"/>
    </row>
    <row r="235" ht="12.75">
      <c r="F235" s="193"/>
    </row>
    <row r="236" ht="12.75">
      <c r="F236" s="193"/>
    </row>
    <row r="237" ht="12.75">
      <c r="F237" s="193"/>
    </row>
    <row r="238" ht="12.75">
      <c r="F238" s="193"/>
    </row>
    <row r="239" ht="12.75">
      <c r="F239" s="193"/>
    </row>
    <row r="240" ht="12.75">
      <c r="F240" s="193"/>
    </row>
    <row r="241" ht="12.75">
      <c r="F241" s="193"/>
    </row>
    <row r="242" ht="12.75">
      <c r="F242" s="193"/>
    </row>
    <row r="243" ht="12.75">
      <c r="F243" s="193"/>
    </row>
    <row r="244" ht="12.75">
      <c r="F244" s="193"/>
    </row>
    <row r="245" ht="12.75">
      <c r="F245" s="193"/>
    </row>
    <row r="246" ht="12.75">
      <c r="F246" s="193"/>
    </row>
    <row r="247" ht="12.75">
      <c r="F247" s="193"/>
    </row>
    <row r="248" ht="12.75">
      <c r="F248" s="193"/>
    </row>
    <row r="249" ht="12.75">
      <c r="F249" s="193"/>
    </row>
    <row r="250" ht="12.75">
      <c r="F250" s="193"/>
    </row>
    <row r="251" ht="12.75">
      <c r="F251" s="193"/>
    </row>
    <row r="252" ht="12.75">
      <c r="F252" s="193"/>
    </row>
    <row r="253" ht="12.75">
      <c r="F253" s="193"/>
    </row>
    <row r="254" ht="12.75">
      <c r="F254" s="193"/>
    </row>
    <row r="255" ht="12.75">
      <c r="F255" s="193"/>
    </row>
    <row r="256" ht="12.75">
      <c r="F256" s="193"/>
    </row>
    <row r="257" ht="12.75">
      <c r="F257" s="193"/>
    </row>
    <row r="258" ht="12.75">
      <c r="F258" s="193"/>
    </row>
    <row r="259" ht="12.75">
      <c r="F259" s="193"/>
    </row>
    <row r="260" ht="12.75">
      <c r="F260" s="193"/>
    </row>
    <row r="261" ht="12.75">
      <c r="F261" s="193"/>
    </row>
    <row r="262" ht="12.75">
      <c r="F262" s="193"/>
    </row>
    <row r="263" ht="12.75">
      <c r="F263" s="193"/>
    </row>
    <row r="264" ht="12.75">
      <c r="F264" s="193"/>
    </row>
    <row r="265" ht="12.75">
      <c r="F265" s="193"/>
    </row>
    <row r="266" ht="12.75">
      <c r="F266" s="193"/>
    </row>
    <row r="267" ht="12.75">
      <c r="F267" s="193"/>
    </row>
    <row r="268" ht="12.75">
      <c r="F268" s="193"/>
    </row>
    <row r="269" ht="12.75">
      <c r="F269" s="193"/>
    </row>
    <row r="270" ht="12.75">
      <c r="F270" s="193"/>
    </row>
    <row r="271" ht="12.75">
      <c r="F271" s="193"/>
    </row>
    <row r="272" ht="12.75">
      <c r="F272" s="193"/>
    </row>
    <row r="273" ht="12.75">
      <c r="F273" s="193"/>
    </row>
    <row r="274" ht="12.75">
      <c r="F274" s="193"/>
    </row>
    <row r="275" ht="12.75">
      <c r="F275" s="193"/>
    </row>
    <row r="276" ht="12.75">
      <c r="F276" s="193"/>
    </row>
    <row r="277" ht="12.75">
      <c r="F277" s="193"/>
    </row>
    <row r="278" ht="12.75">
      <c r="F278" s="193"/>
    </row>
    <row r="279" ht="12.75">
      <c r="F279" s="193"/>
    </row>
    <row r="280" ht="12.75">
      <c r="F280" s="193"/>
    </row>
    <row r="281" ht="12.75">
      <c r="F281" s="193"/>
    </row>
    <row r="282" ht="12.75">
      <c r="F282" s="193"/>
    </row>
    <row r="283" ht="12.75">
      <c r="F283" s="193"/>
    </row>
    <row r="284" ht="12.75">
      <c r="F284" s="193"/>
    </row>
    <row r="285" ht="12.75">
      <c r="F285" s="193"/>
    </row>
    <row r="286" ht="12.75">
      <c r="F286" s="193"/>
    </row>
    <row r="287" ht="12.75">
      <c r="F287" s="193"/>
    </row>
    <row r="288" ht="12.75">
      <c r="F288" s="193"/>
    </row>
    <row r="289" ht="12.75">
      <c r="F289" s="193"/>
    </row>
    <row r="290" ht="12.75">
      <c r="F290" s="193"/>
    </row>
    <row r="291" ht="12.75">
      <c r="F291" s="193"/>
    </row>
    <row r="292" ht="12.75">
      <c r="F292" s="193"/>
    </row>
    <row r="293" ht="12.75">
      <c r="F293" s="193"/>
    </row>
    <row r="294" ht="12.75">
      <c r="F294" s="193"/>
    </row>
    <row r="295" ht="12.75">
      <c r="F295" s="193"/>
    </row>
    <row r="296" ht="12.75">
      <c r="F296" s="193"/>
    </row>
    <row r="297" ht="12.75">
      <c r="F297" s="193"/>
    </row>
    <row r="298" ht="12.75">
      <c r="F298" s="193"/>
    </row>
    <row r="299" ht="12.75">
      <c r="F299" s="193"/>
    </row>
    <row r="300" ht="12.75">
      <c r="F300" s="193"/>
    </row>
    <row r="301" ht="12.75">
      <c r="F301" s="193"/>
    </row>
    <row r="302" ht="12.75">
      <c r="F302" s="193"/>
    </row>
    <row r="303" ht="12.75">
      <c r="F303" s="193"/>
    </row>
    <row r="304" ht="12.75">
      <c r="F304" s="193"/>
    </row>
    <row r="305" ht="12.75">
      <c r="F305" s="193"/>
    </row>
    <row r="306" ht="12.75">
      <c r="F306" s="193"/>
    </row>
    <row r="307" ht="12.75">
      <c r="F307" s="193"/>
    </row>
    <row r="308" ht="12.75">
      <c r="F308" s="193"/>
    </row>
    <row r="309" ht="12.75">
      <c r="F309" s="193"/>
    </row>
    <row r="310" ht="12.75">
      <c r="F310" s="193"/>
    </row>
    <row r="311" ht="12.75">
      <c r="F311" s="193"/>
    </row>
    <row r="312" ht="12.75">
      <c r="F312" s="193"/>
    </row>
    <row r="313" ht="12.75">
      <c r="F313" s="193"/>
    </row>
    <row r="314" ht="12.75">
      <c r="F314" s="193"/>
    </row>
    <row r="315" ht="12.75">
      <c r="F315" s="193"/>
    </row>
    <row r="316" ht="12.75">
      <c r="F316" s="193"/>
    </row>
    <row r="317" ht="12.75">
      <c r="F317" s="193"/>
    </row>
    <row r="318" ht="12.75">
      <c r="F318" s="193"/>
    </row>
    <row r="319" ht="12.75">
      <c r="F319" s="193"/>
    </row>
    <row r="320" ht="12.75">
      <c r="F320" s="193"/>
    </row>
    <row r="321" ht="12.75">
      <c r="F321" s="193"/>
    </row>
    <row r="322" ht="12.75">
      <c r="F322" s="193"/>
    </row>
    <row r="323" ht="12.75">
      <c r="F323" s="193"/>
    </row>
    <row r="324" ht="12.75">
      <c r="F324" s="193"/>
    </row>
    <row r="325" ht="12.75">
      <c r="F325" s="193"/>
    </row>
    <row r="326" ht="12.75">
      <c r="F326" s="193"/>
    </row>
    <row r="327" ht="12.75">
      <c r="F327" s="193"/>
    </row>
    <row r="328" ht="12.75">
      <c r="F328" s="193"/>
    </row>
    <row r="329" ht="12.75">
      <c r="F329" s="193"/>
    </row>
    <row r="330" ht="12.75">
      <c r="F330" s="193"/>
    </row>
    <row r="331" ht="12.75">
      <c r="F331" s="193"/>
    </row>
    <row r="332" ht="12.75">
      <c r="F332" s="193"/>
    </row>
    <row r="333" ht="12.75">
      <c r="F333" s="193"/>
    </row>
    <row r="334" ht="12.75">
      <c r="F334" s="193"/>
    </row>
    <row r="335" ht="12.75">
      <c r="F335" s="193"/>
    </row>
    <row r="336" ht="12.75">
      <c r="F336" s="193"/>
    </row>
    <row r="337" ht="12.75">
      <c r="F337" s="193"/>
    </row>
    <row r="338" ht="12.75">
      <c r="F338" s="193"/>
    </row>
    <row r="339" ht="12.75">
      <c r="F339" s="193"/>
    </row>
    <row r="340" ht="12.75">
      <c r="F340" s="193"/>
    </row>
    <row r="341" ht="12.75">
      <c r="F341" s="193"/>
    </row>
    <row r="342" ht="12.75">
      <c r="F342" s="193"/>
    </row>
    <row r="343" ht="12.75">
      <c r="F343" s="193"/>
    </row>
    <row r="344" ht="12.75">
      <c r="F344" s="193"/>
    </row>
    <row r="345" ht="12.75">
      <c r="F345" s="193"/>
    </row>
    <row r="346" ht="12.75">
      <c r="F346" s="193"/>
    </row>
    <row r="347" ht="12.75">
      <c r="F347" s="193"/>
    </row>
    <row r="348" ht="12.75">
      <c r="F348" s="193"/>
    </row>
    <row r="349" ht="12.75">
      <c r="F349" s="193"/>
    </row>
    <row r="350" ht="12.75">
      <c r="F350" s="193"/>
    </row>
    <row r="351" ht="12.75">
      <c r="F351" s="193"/>
    </row>
    <row r="352" ht="12.75">
      <c r="F352" s="193"/>
    </row>
    <row r="353" ht="12.75">
      <c r="F353" s="193"/>
    </row>
    <row r="354" ht="12.75">
      <c r="F354" s="193"/>
    </row>
    <row r="355" ht="12.75">
      <c r="F355" s="193"/>
    </row>
    <row r="356" ht="12.75">
      <c r="F356" s="193"/>
    </row>
    <row r="357" ht="12.75">
      <c r="F357" s="193"/>
    </row>
    <row r="358" ht="12.75">
      <c r="F358" s="193"/>
    </row>
    <row r="359" ht="12.75">
      <c r="F359" s="193"/>
    </row>
    <row r="360" ht="12.75">
      <c r="F360" s="193"/>
    </row>
    <row r="361" ht="12.75">
      <c r="F361" s="193"/>
    </row>
    <row r="362" ht="12.75">
      <c r="F362" s="193"/>
    </row>
    <row r="363" ht="12.75">
      <c r="F363" s="193"/>
    </row>
    <row r="364" ht="12.75">
      <c r="F364" s="193"/>
    </row>
    <row r="365" ht="12.75">
      <c r="F365" s="193"/>
    </row>
    <row r="366" ht="12.75">
      <c r="F366" s="193"/>
    </row>
    <row r="367" ht="12.75">
      <c r="F367" s="193"/>
    </row>
    <row r="368" ht="12.75">
      <c r="F368" s="193"/>
    </row>
    <row r="369" ht="12.75">
      <c r="F369" s="193"/>
    </row>
    <row r="370" ht="12.75">
      <c r="F370" s="193"/>
    </row>
    <row r="371" ht="12.75">
      <c r="F371" s="193"/>
    </row>
    <row r="372" ht="12.75">
      <c r="F372" s="193"/>
    </row>
    <row r="373" ht="12.75">
      <c r="F373" s="193"/>
    </row>
    <row r="374" ht="12.75">
      <c r="F374" s="193"/>
    </row>
    <row r="375" ht="12.75">
      <c r="F375" s="193"/>
    </row>
    <row r="376" ht="12.75">
      <c r="F376" s="193"/>
    </row>
    <row r="377" ht="12.75">
      <c r="F377" s="193"/>
    </row>
    <row r="378" ht="12.75">
      <c r="F378" s="193"/>
    </row>
    <row r="379" ht="12.75">
      <c r="F379" s="193"/>
    </row>
    <row r="380" ht="12.75">
      <c r="F380" s="193"/>
    </row>
    <row r="381" ht="12.75">
      <c r="F381" s="193"/>
    </row>
    <row r="382" ht="12.75">
      <c r="F382" s="193"/>
    </row>
    <row r="383" ht="12.75">
      <c r="F383" s="193"/>
    </row>
    <row r="384" ht="12.75">
      <c r="F384" s="193"/>
    </row>
    <row r="385" ht="12.75">
      <c r="F385" s="193"/>
    </row>
    <row r="386" ht="12.75">
      <c r="F386" s="193"/>
    </row>
    <row r="387" ht="12.75">
      <c r="F387" s="193"/>
    </row>
    <row r="388" ht="12.75">
      <c r="F388" s="193"/>
    </row>
    <row r="389" ht="12.75">
      <c r="F389" s="193"/>
    </row>
    <row r="390" ht="12.75">
      <c r="F390" s="193"/>
    </row>
    <row r="391" ht="12.75">
      <c r="F391" s="193"/>
    </row>
    <row r="392" ht="12.75">
      <c r="F392" s="193"/>
    </row>
    <row r="393" ht="12.75">
      <c r="F393" s="193"/>
    </row>
    <row r="394" ht="12.75">
      <c r="F394" s="193"/>
    </row>
    <row r="395" ht="12.75">
      <c r="F395" s="193"/>
    </row>
    <row r="396" ht="12.75">
      <c r="F396" s="193"/>
    </row>
    <row r="397" ht="12.75">
      <c r="F397" s="193"/>
    </row>
    <row r="398" ht="12.75">
      <c r="F398" s="193"/>
    </row>
    <row r="399" ht="12.75">
      <c r="F399" s="193"/>
    </row>
    <row r="400" ht="12.75">
      <c r="F400" s="193"/>
    </row>
    <row r="401" ht="12.75">
      <c r="F401" s="193"/>
    </row>
    <row r="402" ht="12.75">
      <c r="F402" s="193"/>
    </row>
    <row r="403" ht="12.75">
      <c r="F403" s="193"/>
    </row>
    <row r="404" ht="12.75">
      <c r="F404" s="193"/>
    </row>
    <row r="405" ht="12.75">
      <c r="F405" s="193"/>
    </row>
    <row r="406" ht="12.75">
      <c r="F406" s="193"/>
    </row>
    <row r="407" ht="12.75">
      <c r="F407" s="193"/>
    </row>
    <row r="408" ht="12.75">
      <c r="F408" s="193"/>
    </row>
    <row r="409" ht="12.75">
      <c r="F409" s="193"/>
    </row>
    <row r="410" ht="12.75">
      <c r="F410" s="193"/>
    </row>
    <row r="411" ht="12.75">
      <c r="F411" s="193"/>
    </row>
    <row r="412" ht="12.75">
      <c r="F412" s="193"/>
    </row>
    <row r="413" ht="12.75">
      <c r="F413" s="193"/>
    </row>
    <row r="414" ht="12.75">
      <c r="F414" s="193"/>
    </row>
    <row r="415" ht="12.75">
      <c r="F415" s="193"/>
    </row>
    <row r="416" ht="12.75">
      <c r="F416" s="193"/>
    </row>
    <row r="417" ht="12.75">
      <c r="F417" s="193"/>
    </row>
    <row r="418" ht="12.75">
      <c r="F418" s="193"/>
    </row>
    <row r="419" ht="12.75">
      <c r="F419" s="193"/>
    </row>
    <row r="420" ht="12.75">
      <c r="F420" s="193"/>
    </row>
    <row r="421" ht="12.75">
      <c r="F421" s="193"/>
    </row>
    <row r="422" ht="12.75">
      <c r="F422" s="193"/>
    </row>
    <row r="423" ht="12.75">
      <c r="F423" s="193"/>
    </row>
    <row r="424" ht="12.75">
      <c r="F424" s="193"/>
    </row>
    <row r="425" ht="12.75">
      <c r="F425" s="193"/>
    </row>
    <row r="426" ht="12.75">
      <c r="F426" s="193"/>
    </row>
    <row r="427" ht="12.75">
      <c r="F427" s="193"/>
    </row>
    <row r="428" ht="12.75">
      <c r="F428" s="193"/>
    </row>
    <row r="429" ht="12.75">
      <c r="F429" s="193"/>
    </row>
    <row r="430" ht="12.75">
      <c r="F430" s="193"/>
    </row>
    <row r="431" ht="12.75">
      <c r="F431" s="193"/>
    </row>
    <row r="432" ht="12.75">
      <c r="F432" s="193"/>
    </row>
    <row r="433" ht="12.75">
      <c r="F433" s="193"/>
    </row>
    <row r="434" ht="12.75">
      <c r="F434" s="193"/>
    </row>
    <row r="435" ht="12.75">
      <c r="F435" s="193"/>
    </row>
    <row r="436" ht="12.75">
      <c r="F436" s="193"/>
    </row>
    <row r="437" ht="12.75">
      <c r="F437" s="193"/>
    </row>
    <row r="438" ht="12.75">
      <c r="F438" s="193"/>
    </row>
    <row r="439" ht="12.75">
      <c r="F439" s="193"/>
    </row>
    <row r="440" ht="12.75">
      <c r="F440" s="193"/>
    </row>
    <row r="441" ht="12.75">
      <c r="F441" s="193"/>
    </row>
    <row r="442" ht="12.75">
      <c r="F442" s="193"/>
    </row>
    <row r="443" ht="12.75">
      <c r="F443" s="193"/>
    </row>
    <row r="444" ht="12.75">
      <c r="F444" s="193"/>
    </row>
    <row r="445" ht="12.75">
      <c r="F445" s="193"/>
    </row>
    <row r="446" ht="12.75">
      <c r="F446" s="193"/>
    </row>
    <row r="447" ht="12.75">
      <c r="F447" s="193"/>
    </row>
    <row r="448" ht="12.75">
      <c r="F448" s="193"/>
    </row>
    <row r="449" ht="12.75">
      <c r="F449" s="193"/>
    </row>
    <row r="450" ht="12.75">
      <c r="F450" s="193"/>
    </row>
    <row r="451" ht="12.75">
      <c r="F451" s="193"/>
    </row>
    <row r="452" ht="12.75">
      <c r="F452" s="193"/>
    </row>
    <row r="453" ht="12.75">
      <c r="F453" s="193"/>
    </row>
    <row r="454" ht="12.75">
      <c r="F454" s="193"/>
    </row>
    <row r="455" ht="12.75">
      <c r="F455" s="193"/>
    </row>
    <row r="456" ht="12.75">
      <c r="F456" s="193"/>
    </row>
    <row r="457" ht="12.75">
      <c r="F457" s="193"/>
    </row>
    <row r="458" ht="12.75">
      <c r="F458" s="193"/>
    </row>
    <row r="459" ht="12.75">
      <c r="F459" s="193"/>
    </row>
    <row r="460" ht="12.75">
      <c r="F460" s="193"/>
    </row>
    <row r="461" ht="12.75">
      <c r="F461" s="193"/>
    </row>
    <row r="462" ht="12.75">
      <c r="F462" s="193"/>
    </row>
    <row r="463" ht="12.75">
      <c r="F463" s="193"/>
    </row>
    <row r="464" ht="12.75">
      <c r="F464" s="193"/>
    </row>
    <row r="465" ht="12.75">
      <c r="F465" s="193"/>
    </row>
    <row r="466" ht="12.75">
      <c r="F466" s="193"/>
    </row>
    <row r="467" ht="12.75">
      <c r="F467" s="193"/>
    </row>
    <row r="468" ht="12.75">
      <c r="F468" s="193"/>
    </row>
    <row r="469" ht="12.75">
      <c r="F469" s="193"/>
    </row>
    <row r="470" ht="12.75">
      <c r="F470" s="193"/>
    </row>
    <row r="471" ht="12.75">
      <c r="F471" s="193"/>
    </row>
    <row r="472" ht="12.75">
      <c r="F472" s="193"/>
    </row>
    <row r="473" ht="12.75">
      <c r="F473" s="193"/>
    </row>
    <row r="474" ht="12.75">
      <c r="F474" s="193"/>
    </row>
    <row r="475" ht="12.75">
      <c r="F475" s="193"/>
    </row>
    <row r="476" ht="12.75">
      <c r="F476" s="193"/>
    </row>
    <row r="477" ht="12.75">
      <c r="F477" s="193"/>
    </row>
    <row r="478" ht="12.75">
      <c r="F478" s="193"/>
    </row>
    <row r="479" ht="12.75">
      <c r="F479" s="193"/>
    </row>
    <row r="480" ht="12.75">
      <c r="F480" s="193"/>
    </row>
    <row r="481" ht="12.75">
      <c r="F481" s="193"/>
    </row>
    <row r="482" ht="12.75">
      <c r="F482" s="193"/>
    </row>
    <row r="483" ht="12.75">
      <c r="F483" s="193"/>
    </row>
    <row r="484" ht="12.75">
      <c r="F484" s="193"/>
    </row>
    <row r="485" ht="12.75">
      <c r="F485" s="193"/>
    </row>
    <row r="486" ht="12.75">
      <c r="F486" s="193"/>
    </row>
    <row r="487" ht="12.75">
      <c r="F487" s="193"/>
    </row>
    <row r="488" ht="12.75">
      <c r="F488" s="193"/>
    </row>
    <row r="489" ht="12.75">
      <c r="F489" s="193"/>
    </row>
    <row r="490" ht="12.75">
      <c r="F490" s="193"/>
    </row>
    <row r="491" ht="12.75">
      <c r="F491" s="193"/>
    </row>
    <row r="492" ht="12.75">
      <c r="F492" s="193"/>
    </row>
    <row r="493" ht="12.75">
      <c r="F493" s="193"/>
    </row>
    <row r="494" ht="12.75">
      <c r="F494" s="193"/>
    </row>
    <row r="495" ht="12.75">
      <c r="F495" s="193"/>
    </row>
    <row r="496" ht="12.75">
      <c r="F496" s="193"/>
    </row>
    <row r="497" ht="12.75">
      <c r="F497" s="193"/>
    </row>
    <row r="498" ht="12.75">
      <c r="F498" s="193"/>
    </row>
    <row r="499" ht="12.75">
      <c r="F499" s="193"/>
    </row>
    <row r="500" ht="12.75">
      <c r="F500" s="193"/>
    </row>
    <row r="501" ht="12.75">
      <c r="F501" s="193"/>
    </row>
    <row r="502" ht="12.75">
      <c r="F502" s="193"/>
    </row>
    <row r="503" ht="12.75">
      <c r="F503" s="193"/>
    </row>
  </sheetData>
  <sheetProtection/>
  <printOptions horizontalCentered="1"/>
  <pageMargins left="0" right="0" top="1" bottom="0.5" header="0.5" footer="0.5"/>
  <pageSetup fitToHeight="1" fitToWidth="1" horizontalDpi="600" verticalDpi="600" orientation="landscape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H300"/>
  <sheetViews>
    <sheetView zoomScalePageLayoutView="0" workbookViewId="0" topLeftCell="A55">
      <selection activeCell="A72" sqref="A72"/>
    </sheetView>
  </sheetViews>
  <sheetFormatPr defaultColWidth="10.28125" defaultRowHeight="12.75"/>
  <cols>
    <col min="1" max="1" width="14.28125" style="154" customWidth="1"/>
    <col min="2" max="2" width="1.7109375" style="154" customWidth="1"/>
    <col min="3" max="3" width="32.8515625" style="154" customWidth="1"/>
    <col min="4" max="16384" width="10.28125" style="154" customWidth="1"/>
  </cols>
  <sheetData>
    <row r="1" spans="1:3" ht="15.75" thickBot="1">
      <c r="A1" s="194" t="s">
        <v>1132</v>
      </c>
      <c r="C1" s="194" t="s">
        <v>1133</v>
      </c>
    </row>
    <row r="2" spans="1:3" ht="15">
      <c r="A2" s="195" t="s">
        <v>1134</v>
      </c>
      <c r="B2" s="196"/>
      <c r="C2" s="195" t="s">
        <v>1135</v>
      </c>
    </row>
    <row r="3" spans="1:3" ht="15">
      <c r="A3" s="195" t="s">
        <v>1136</v>
      </c>
      <c r="B3" s="196"/>
      <c r="C3" s="195" t="s">
        <v>1137</v>
      </c>
    </row>
    <row r="4" spans="1:3" ht="15">
      <c r="A4" s="195" t="s">
        <v>1138</v>
      </c>
      <c r="B4" s="196"/>
      <c r="C4" s="195" t="s">
        <v>1139</v>
      </c>
    </row>
    <row r="5" spans="1:3" ht="15">
      <c r="A5" s="195" t="s">
        <v>1143</v>
      </c>
      <c r="B5" s="196"/>
      <c r="C5" s="195" t="s">
        <v>1971</v>
      </c>
    </row>
    <row r="6" spans="1:3" ht="15">
      <c r="A6" s="195" t="s">
        <v>1972</v>
      </c>
      <c r="B6" s="196"/>
      <c r="C6" s="195" t="s">
        <v>1973</v>
      </c>
    </row>
    <row r="7" spans="1:3" ht="15">
      <c r="A7" s="195" t="s">
        <v>1974</v>
      </c>
      <c r="B7" s="196"/>
      <c r="C7" s="195" t="s">
        <v>1020</v>
      </c>
    </row>
    <row r="8" spans="1:3" ht="15">
      <c r="A8" s="195" t="s">
        <v>1021</v>
      </c>
      <c r="B8" s="196"/>
      <c r="C8" s="195" t="s">
        <v>1022</v>
      </c>
    </row>
    <row r="9" spans="1:3" ht="15">
      <c r="A9" s="195" t="s">
        <v>1023</v>
      </c>
      <c r="B9" s="196"/>
      <c r="C9" s="195" t="s">
        <v>1024</v>
      </c>
    </row>
    <row r="10" spans="1:3" ht="15">
      <c r="A10" s="195" t="s">
        <v>1025</v>
      </c>
      <c r="B10" s="196"/>
      <c r="C10" s="195" t="s">
        <v>1026</v>
      </c>
    </row>
    <row r="11" spans="1:3" ht="15">
      <c r="A11" s="195" t="s">
        <v>1027</v>
      </c>
      <c r="B11" s="196"/>
      <c r="C11" s="195" t="s">
        <v>1028</v>
      </c>
    </row>
    <row r="12" spans="1:3" ht="15">
      <c r="A12" s="195" t="s">
        <v>1278</v>
      </c>
      <c r="B12" s="196"/>
      <c r="C12" s="195" t="s">
        <v>1332</v>
      </c>
    </row>
    <row r="13" spans="1:3" ht="15">
      <c r="A13" s="195" t="s">
        <v>131</v>
      </c>
      <c r="B13" s="196"/>
      <c r="C13" s="195" t="s">
        <v>1070</v>
      </c>
    </row>
    <row r="14" spans="1:3" ht="15">
      <c r="A14" s="195" t="s">
        <v>1333</v>
      </c>
      <c r="B14" s="196"/>
      <c r="C14" s="195" t="s">
        <v>1334</v>
      </c>
    </row>
    <row r="15" spans="1:3" ht="15">
      <c r="A15" s="195" t="s">
        <v>1114</v>
      </c>
      <c r="B15" s="196"/>
      <c r="C15" s="195" t="s">
        <v>228</v>
      </c>
    </row>
    <row r="16" spans="1:3" ht="15">
      <c r="A16" s="195" t="s">
        <v>1335</v>
      </c>
      <c r="B16" s="196"/>
      <c r="C16" s="195" t="s">
        <v>1336</v>
      </c>
    </row>
    <row r="17" spans="1:3" ht="15">
      <c r="A17" s="195" t="s">
        <v>1337</v>
      </c>
      <c r="B17" s="196"/>
      <c r="C17" s="195" t="s">
        <v>1338</v>
      </c>
    </row>
    <row r="18" spans="1:3" ht="15">
      <c r="A18" s="195" t="s">
        <v>1339</v>
      </c>
      <c r="B18" s="196"/>
      <c r="C18" s="195" t="s">
        <v>1340</v>
      </c>
    </row>
    <row r="19" spans="1:3" ht="15">
      <c r="A19" s="195" t="s">
        <v>1341</v>
      </c>
      <c r="B19" s="196"/>
      <c r="C19" s="195" t="s">
        <v>1342</v>
      </c>
    </row>
    <row r="20" spans="1:3" ht="15">
      <c r="A20" s="195" t="s">
        <v>1343</v>
      </c>
      <c r="B20" s="196"/>
      <c r="C20" s="195" t="s">
        <v>1344</v>
      </c>
    </row>
    <row r="21" spans="1:3" ht="15">
      <c r="A21" s="195" t="s">
        <v>1345</v>
      </c>
      <c r="B21" s="196"/>
      <c r="C21" s="195" t="s">
        <v>1346</v>
      </c>
    </row>
    <row r="22" spans="1:3" ht="15">
      <c r="A22" s="195" t="s">
        <v>1347</v>
      </c>
      <c r="B22" s="196"/>
      <c r="C22" s="195" t="s">
        <v>1348</v>
      </c>
    </row>
    <row r="23" spans="1:3" ht="15">
      <c r="A23" s="195" t="s">
        <v>1349</v>
      </c>
      <c r="B23" s="196"/>
      <c r="C23" s="195" t="s">
        <v>1350</v>
      </c>
    </row>
    <row r="24" spans="1:3" ht="15">
      <c r="A24" s="195" t="s">
        <v>1351</v>
      </c>
      <c r="B24" s="196"/>
      <c r="C24" s="195" t="s">
        <v>1352</v>
      </c>
    </row>
    <row r="25" spans="1:3" ht="15">
      <c r="A25" s="195" t="s">
        <v>1746</v>
      </c>
      <c r="B25" s="196"/>
      <c r="C25" s="195" t="s">
        <v>1747</v>
      </c>
    </row>
    <row r="26" spans="1:3" ht="15">
      <c r="A26" s="195" t="s">
        <v>1353</v>
      </c>
      <c r="B26" s="196"/>
      <c r="C26" s="195" t="s">
        <v>806</v>
      </c>
    </row>
    <row r="27" spans="1:3" ht="15">
      <c r="A27" s="195" t="s">
        <v>807</v>
      </c>
      <c r="B27" s="196"/>
      <c r="C27" s="195" t="s">
        <v>808</v>
      </c>
    </row>
    <row r="28" spans="1:3" ht="15">
      <c r="A28" s="195" t="s">
        <v>809</v>
      </c>
      <c r="B28" s="196"/>
      <c r="C28" s="195" t="s">
        <v>810</v>
      </c>
    </row>
    <row r="29" spans="1:3" ht="15">
      <c r="A29" s="195" t="s">
        <v>1130</v>
      </c>
      <c r="B29" s="196"/>
      <c r="C29" s="195" t="s">
        <v>811</v>
      </c>
    </row>
    <row r="30" spans="1:3" ht="15">
      <c r="A30" s="195" t="s">
        <v>812</v>
      </c>
      <c r="B30" s="196"/>
      <c r="C30" s="195" t="s">
        <v>974</v>
      </c>
    </row>
    <row r="31" spans="1:3" ht="15">
      <c r="A31" s="195" t="s">
        <v>975</v>
      </c>
      <c r="B31" s="196"/>
      <c r="C31" s="195" t="s">
        <v>1923</v>
      </c>
    </row>
    <row r="32" spans="1:3" ht="15">
      <c r="A32" s="195" t="s">
        <v>1924</v>
      </c>
      <c r="B32" s="196"/>
      <c r="C32" s="195" t="s">
        <v>1925</v>
      </c>
    </row>
    <row r="33" spans="1:3" ht="15">
      <c r="A33" s="195" t="s">
        <v>1926</v>
      </c>
      <c r="B33" s="196"/>
      <c r="C33" s="195" t="s">
        <v>1927</v>
      </c>
    </row>
    <row r="34" spans="1:3" ht="15">
      <c r="A34" s="195" t="s">
        <v>1928</v>
      </c>
      <c r="B34" s="196"/>
      <c r="C34" s="195" t="s">
        <v>1929</v>
      </c>
    </row>
    <row r="35" spans="1:3" ht="15">
      <c r="A35" s="195" t="s">
        <v>1930</v>
      </c>
      <c r="B35" s="196"/>
      <c r="C35" s="195" t="s">
        <v>1931</v>
      </c>
    </row>
    <row r="36" spans="1:3" ht="15">
      <c r="A36" s="195" t="s">
        <v>1932</v>
      </c>
      <c r="B36" s="196"/>
      <c r="C36" s="195" t="s">
        <v>1933</v>
      </c>
    </row>
    <row r="37" spans="1:3" ht="15">
      <c r="A37" s="195" t="s">
        <v>1934</v>
      </c>
      <c r="B37" s="196"/>
      <c r="C37" s="195" t="s">
        <v>1935</v>
      </c>
    </row>
    <row r="38" spans="1:3" ht="15">
      <c r="A38" s="195" t="s">
        <v>1936</v>
      </c>
      <c r="B38" s="196"/>
      <c r="C38" s="195" t="s">
        <v>1937</v>
      </c>
    </row>
    <row r="39" spans="1:3" ht="15">
      <c r="A39" s="195" t="s">
        <v>1938</v>
      </c>
      <c r="B39" s="196"/>
      <c r="C39" s="195" t="s">
        <v>1939</v>
      </c>
    </row>
    <row r="40" spans="1:3" ht="15">
      <c r="A40" s="195" t="s">
        <v>1940</v>
      </c>
      <c r="B40" s="196"/>
      <c r="C40" s="195" t="s">
        <v>612</v>
      </c>
    </row>
    <row r="41" spans="1:3" ht="15">
      <c r="A41" s="195" t="s">
        <v>613</v>
      </c>
      <c r="B41" s="196"/>
      <c r="C41" s="195" t="s">
        <v>614</v>
      </c>
    </row>
    <row r="42" spans="1:3" ht="15">
      <c r="A42" s="195" t="s">
        <v>615</v>
      </c>
      <c r="B42" s="196"/>
      <c r="C42" s="195" t="s">
        <v>616</v>
      </c>
    </row>
    <row r="43" spans="1:3" ht="15">
      <c r="A43" s="195" t="s">
        <v>1119</v>
      </c>
      <c r="B43" s="196"/>
      <c r="C43" s="195" t="s">
        <v>712</v>
      </c>
    </row>
    <row r="44" spans="1:3" ht="15">
      <c r="A44" s="195" t="s">
        <v>617</v>
      </c>
      <c r="B44" s="196"/>
      <c r="C44" s="195" t="s">
        <v>1858</v>
      </c>
    </row>
    <row r="45" spans="1:3" ht="15">
      <c r="A45" s="195" t="s">
        <v>618</v>
      </c>
      <c r="B45" s="196"/>
      <c r="C45" s="195" t="s">
        <v>619</v>
      </c>
    </row>
    <row r="46" spans="1:3" ht="15">
      <c r="A46" s="195" t="s">
        <v>620</v>
      </c>
      <c r="B46" s="196"/>
      <c r="C46" s="195" t="s">
        <v>621</v>
      </c>
    </row>
    <row r="47" spans="1:3" ht="15">
      <c r="A47" s="195" t="s">
        <v>622</v>
      </c>
      <c r="B47" s="196"/>
      <c r="C47" s="195" t="s">
        <v>623</v>
      </c>
    </row>
    <row r="48" spans="1:3" ht="15">
      <c r="A48" s="195" t="s">
        <v>624</v>
      </c>
      <c r="B48" s="196"/>
      <c r="C48" s="195" t="s">
        <v>625</v>
      </c>
    </row>
    <row r="49" spans="1:3" ht="15">
      <c r="A49" s="195" t="s">
        <v>626</v>
      </c>
      <c r="B49" s="196"/>
      <c r="C49" s="195" t="s">
        <v>627</v>
      </c>
    </row>
    <row r="50" spans="1:3" ht="15">
      <c r="A50" s="195" t="s">
        <v>1800</v>
      </c>
      <c r="B50" s="196"/>
      <c r="C50" s="195" t="s">
        <v>1743</v>
      </c>
    </row>
    <row r="51" spans="1:3" ht="15">
      <c r="A51" s="195" t="s">
        <v>628</v>
      </c>
      <c r="B51" s="196"/>
      <c r="C51" s="195" t="s">
        <v>629</v>
      </c>
    </row>
    <row r="52" spans="1:3" ht="15">
      <c r="A52" s="195" t="s">
        <v>630</v>
      </c>
      <c r="B52" s="196"/>
      <c r="C52" s="195" t="s">
        <v>631</v>
      </c>
    </row>
    <row r="53" spans="1:3" ht="15">
      <c r="A53" s="195" t="s">
        <v>632</v>
      </c>
      <c r="B53" s="196"/>
      <c r="C53" s="195" t="s">
        <v>633</v>
      </c>
    </row>
    <row r="54" spans="1:3" ht="15">
      <c r="A54" s="195" t="s">
        <v>634</v>
      </c>
      <c r="B54" s="196"/>
      <c r="C54" s="195" t="s">
        <v>1105</v>
      </c>
    </row>
    <row r="55" spans="1:3" ht="15">
      <c r="A55" s="195" t="s">
        <v>1106</v>
      </c>
      <c r="B55" s="196"/>
      <c r="C55" s="195" t="s">
        <v>353</v>
      </c>
    </row>
    <row r="56" spans="1:3" ht="15">
      <c r="A56" s="195" t="s">
        <v>354</v>
      </c>
      <c r="B56" s="196"/>
      <c r="C56" s="195" t="s">
        <v>355</v>
      </c>
    </row>
    <row r="57" spans="1:3" ht="15">
      <c r="A57" s="195" t="s">
        <v>356</v>
      </c>
      <c r="B57" s="196"/>
      <c r="C57" s="195" t="s">
        <v>357</v>
      </c>
    </row>
    <row r="58" spans="1:3" ht="15">
      <c r="A58" s="195" t="s">
        <v>1116</v>
      </c>
      <c r="B58" s="196"/>
      <c r="C58" s="195" t="s">
        <v>1223</v>
      </c>
    </row>
    <row r="59" spans="1:3" ht="15">
      <c r="A59" s="195" t="s">
        <v>358</v>
      </c>
      <c r="B59" s="196"/>
      <c r="C59" s="195" t="s">
        <v>359</v>
      </c>
    </row>
    <row r="60" spans="1:3" ht="15">
      <c r="A60" s="195" t="s">
        <v>1118</v>
      </c>
      <c r="B60" s="196"/>
      <c r="C60" s="195" t="s">
        <v>360</v>
      </c>
    </row>
    <row r="61" spans="1:3" ht="15">
      <c r="A61" s="195" t="s">
        <v>728</v>
      </c>
      <c r="B61" s="196"/>
      <c r="C61" s="195" t="s">
        <v>1204</v>
      </c>
    </row>
    <row r="62" spans="1:3" ht="15">
      <c r="A62" s="195" t="s">
        <v>1205</v>
      </c>
      <c r="B62" s="196"/>
      <c r="C62" s="195" t="s">
        <v>1206</v>
      </c>
    </row>
    <row r="63" spans="1:3" ht="15">
      <c r="A63" s="195" t="s">
        <v>1616</v>
      </c>
      <c r="B63" s="196"/>
      <c r="C63" s="195" t="s">
        <v>1625</v>
      </c>
    </row>
    <row r="64" spans="1:3" ht="15">
      <c r="A64" s="195" t="s">
        <v>1626</v>
      </c>
      <c r="B64" s="196"/>
      <c r="C64" s="195" t="s">
        <v>1627</v>
      </c>
    </row>
    <row r="65" spans="1:3" ht="15">
      <c r="A65" s="195" t="s">
        <v>1628</v>
      </c>
      <c r="B65" s="196"/>
      <c r="C65" s="195" t="s">
        <v>1629</v>
      </c>
    </row>
    <row r="66" spans="1:3" ht="15">
      <c r="A66" s="195" t="s">
        <v>1630</v>
      </c>
      <c r="B66" s="196"/>
      <c r="C66" s="195" t="s">
        <v>1390</v>
      </c>
    </row>
    <row r="67" spans="1:3" ht="15">
      <c r="A67" s="195" t="s">
        <v>1471</v>
      </c>
      <c r="B67" s="196"/>
      <c r="C67" s="195" t="s">
        <v>1744</v>
      </c>
    </row>
    <row r="68" spans="1:3" ht="15">
      <c r="A68" s="195" t="s">
        <v>1391</v>
      </c>
      <c r="B68" s="196"/>
      <c r="C68" s="195" t="s">
        <v>1392</v>
      </c>
    </row>
    <row r="69" spans="1:3" ht="15">
      <c r="A69" s="195" t="s">
        <v>1393</v>
      </c>
      <c r="B69" s="196"/>
      <c r="C69" s="195" t="s">
        <v>1394</v>
      </c>
    </row>
    <row r="70" spans="1:3" ht="15">
      <c r="A70" s="195" t="s">
        <v>1395</v>
      </c>
      <c r="B70" s="196"/>
      <c r="C70" s="195" t="s">
        <v>1396</v>
      </c>
    </row>
    <row r="71" spans="1:3" ht="15">
      <c r="A71" s="195" t="s">
        <v>1397</v>
      </c>
      <c r="B71" s="196"/>
      <c r="C71" s="195" t="s">
        <v>667</v>
      </c>
    </row>
    <row r="72" spans="1:3" ht="15">
      <c r="A72" s="195" t="s">
        <v>1913</v>
      </c>
      <c r="B72" s="196"/>
      <c r="C72" s="195" t="s">
        <v>1912</v>
      </c>
    </row>
    <row r="73" spans="1:3" ht="15">
      <c r="A73" s="195" t="s">
        <v>668</v>
      </c>
      <c r="B73" s="196"/>
      <c r="C73" s="195" t="s">
        <v>669</v>
      </c>
    </row>
    <row r="74" spans="1:3" ht="15">
      <c r="A74" s="195" t="s">
        <v>1093</v>
      </c>
      <c r="B74" s="196"/>
      <c r="C74" s="195" t="s">
        <v>1086</v>
      </c>
    </row>
    <row r="75" spans="1:3" ht="15">
      <c r="A75" s="195" t="s">
        <v>1087</v>
      </c>
      <c r="B75" s="196"/>
      <c r="C75" s="195" t="s">
        <v>1088</v>
      </c>
    </row>
    <row r="76" spans="1:3" ht="15">
      <c r="A76" s="195" t="s">
        <v>1089</v>
      </c>
      <c r="B76" s="196"/>
      <c r="C76" s="195" t="s">
        <v>1090</v>
      </c>
    </row>
    <row r="77" spans="1:3" ht="15">
      <c r="A77" s="195" t="s">
        <v>1091</v>
      </c>
      <c r="B77" s="196"/>
      <c r="C77" s="195" t="s">
        <v>1092</v>
      </c>
    </row>
    <row r="78" spans="1:3" ht="15">
      <c r="A78" s="195" t="s">
        <v>1470</v>
      </c>
      <c r="B78" s="196"/>
      <c r="C78" s="195" t="s">
        <v>1094</v>
      </c>
    </row>
    <row r="79" spans="1:3" ht="15">
      <c r="A79" s="195" t="s">
        <v>1030</v>
      </c>
      <c r="B79" s="196"/>
      <c r="C79" s="195" t="s">
        <v>726</v>
      </c>
    </row>
    <row r="80" spans="1:3" ht="15">
      <c r="A80" s="195" t="s">
        <v>1095</v>
      </c>
      <c r="B80" s="196"/>
      <c r="C80" s="195" t="s">
        <v>1096</v>
      </c>
    </row>
    <row r="81" spans="1:3" ht="15">
      <c r="A81" s="195" t="s">
        <v>1097</v>
      </c>
      <c r="B81" s="196"/>
      <c r="C81" s="195" t="s">
        <v>361</v>
      </c>
    </row>
    <row r="82" spans="1:3" ht="15">
      <c r="A82" s="195" t="s">
        <v>1711</v>
      </c>
      <c r="B82" s="196"/>
      <c r="C82" s="195" t="s">
        <v>1712</v>
      </c>
    </row>
    <row r="83" spans="1:3" ht="15">
      <c r="A83" s="195" t="s">
        <v>362</v>
      </c>
      <c r="B83" s="196"/>
      <c r="C83" s="195" t="s">
        <v>363</v>
      </c>
    </row>
    <row r="84" spans="1:3" ht="15">
      <c r="A84" s="195" t="s">
        <v>1311</v>
      </c>
      <c r="B84" s="196"/>
      <c r="C84" s="195" t="s">
        <v>1312</v>
      </c>
    </row>
    <row r="85" spans="1:3" ht="15">
      <c r="A85" s="195" t="s">
        <v>364</v>
      </c>
      <c r="B85" s="196"/>
      <c r="C85" s="195" t="s">
        <v>365</v>
      </c>
    </row>
    <row r="86" spans="1:3" ht="15">
      <c r="A86" s="195" t="s">
        <v>366</v>
      </c>
      <c r="B86" s="196"/>
      <c r="C86" s="195" t="s">
        <v>367</v>
      </c>
    </row>
    <row r="87" spans="1:3" ht="15">
      <c r="A87" s="195" t="s">
        <v>368</v>
      </c>
      <c r="B87" s="196"/>
      <c r="C87" s="195" t="s">
        <v>2055</v>
      </c>
    </row>
    <row r="88" spans="1:3" ht="15">
      <c r="A88" s="195" t="s">
        <v>2056</v>
      </c>
      <c r="B88" s="196"/>
      <c r="C88" s="195" t="s">
        <v>2056</v>
      </c>
    </row>
    <row r="89" spans="1:3" ht="15">
      <c r="A89" s="195" t="s">
        <v>2057</v>
      </c>
      <c r="B89" s="196"/>
      <c r="C89" s="195" t="s">
        <v>2058</v>
      </c>
    </row>
    <row r="90" spans="1:3" ht="15">
      <c r="A90" s="195" t="s">
        <v>1121</v>
      </c>
      <c r="B90" s="196"/>
      <c r="C90" s="195" t="s">
        <v>993</v>
      </c>
    </row>
    <row r="91" spans="1:3" ht="15">
      <c r="A91" s="195" t="s">
        <v>994</v>
      </c>
      <c r="B91" s="196"/>
      <c r="C91" s="195" t="s">
        <v>995</v>
      </c>
    </row>
    <row r="92" spans="1:3" ht="15">
      <c r="A92" s="195" t="s">
        <v>996</v>
      </c>
      <c r="B92" s="196"/>
      <c r="C92" s="195" t="s">
        <v>997</v>
      </c>
    </row>
    <row r="93" spans="1:3" ht="15">
      <c r="A93" s="195" t="s">
        <v>998</v>
      </c>
      <c r="B93" s="196"/>
      <c r="C93" s="195" t="s">
        <v>999</v>
      </c>
    </row>
    <row r="94" spans="1:3" ht="15">
      <c r="A94" s="195" t="s">
        <v>1000</v>
      </c>
      <c r="B94" s="196"/>
      <c r="C94" s="195" t="s">
        <v>1003</v>
      </c>
    </row>
    <row r="95" spans="1:3" ht="15">
      <c r="A95" s="195" t="s">
        <v>1004</v>
      </c>
      <c r="B95" s="196"/>
      <c r="C95" s="195" t="s">
        <v>1005</v>
      </c>
    </row>
    <row r="96" spans="1:3" ht="15">
      <c r="A96" s="195" t="s">
        <v>1006</v>
      </c>
      <c r="B96" s="196"/>
      <c r="C96" s="195" t="s">
        <v>1007</v>
      </c>
    </row>
    <row r="97" spans="1:3" ht="15">
      <c r="A97" s="195" t="s">
        <v>1008</v>
      </c>
      <c r="B97" s="196"/>
      <c r="C97" s="195" t="s">
        <v>1368</v>
      </c>
    </row>
    <row r="98" spans="1:3" ht="15">
      <c r="A98" s="195" t="s">
        <v>916</v>
      </c>
      <c r="B98" s="196"/>
      <c r="C98" s="195" t="s">
        <v>917</v>
      </c>
    </row>
    <row r="99" spans="1:3" ht="15">
      <c r="A99" s="195" t="s">
        <v>1369</v>
      </c>
      <c r="B99" s="196"/>
      <c r="C99" s="195" t="s">
        <v>1370</v>
      </c>
    </row>
    <row r="100" spans="1:3" ht="15">
      <c r="A100" s="195" t="s">
        <v>1371</v>
      </c>
      <c r="B100" s="196"/>
      <c r="C100" s="195" t="s">
        <v>1372</v>
      </c>
    </row>
    <row r="101" spans="1:3" ht="15">
      <c r="A101" s="195" t="s">
        <v>1373</v>
      </c>
      <c r="B101" s="196"/>
      <c r="C101" s="195" t="s">
        <v>1374</v>
      </c>
    </row>
    <row r="102" spans="1:3" ht="15">
      <c r="A102" s="195" t="s">
        <v>295</v>
      </c>
      <c r="B102" s="196"/>
      <c r="C102" s="195" t="s">
        <v>23</v>
      </c>
    </row>
    <row r="103" spans="1:3" ht="15">
      <c r="A103" s="195" t="s">
        <v>1375</v>
      </c>
      <c r="B103" s="196"/>
      <c r="C103" s="195" t="s">
        <v>1376</v>
      </c>
    </row>
    <row r="104" spans="1:3" ht="15">
      <c r="A104" s="195" t="s">
        <v>1122</v>
      </c>
      <c r="B104" s="196"/>
      <c r="C104" s="195" t="s">
        <v>1377</v>
      </c>
    </row>
    <row r="105" spans="1:3" ht="15">
      <c r="A105" s="195" t="s">
        <v>1378</v>
      </c>
      <c r="B105" s="196"/>
      <c r="C105" s="195" t="s">
        <v>1379</v>
      </c>
    </row>
    <row r="106" spans="1:3" ht="15">
      <c r="A106" s="195" t="s">
        <v>1380</v>
      </c>
      <c r="B106" s="196"/>
      <c r="C106" s="195" t="s">
        <v>1381</v>
      </c>
    </row>
    <row r="107" spans="1:3" ht="15">
      <c r="A107" s="195" t="s">
        <v>1382</v>
      </c>
      <c r="B107" s="196"/>
      <c r="C107" s="195" t="s">
        <v>1383</v>
      </c>
    </row>
    <row r="108" spans="1:3" ht="15">
      <c r="A108" s="195" t="s">
        <v>1384</v>
      </c>
      <c r="B108" s="196"/>
      <c r="C108" s="195" t="s">
        <v>0</v>
      </c>
    </row>
    <row r="109" spans="1:3" ht="15">
      <c r="A109" s="195" t="s">
        <v>1</v>
      </c>
      <c r="B109" s="196"/>
      <c r="C109" s="195" t="s">
        <v>2</v>
      </c>
    </row>
    <row r="110" spans="1:3" ht="15">
      <c r="A110" s="195" t="s">
        <v>3</v>
      </c>
      <c r="B110" s="196"/>
      <c r="C110" s="195" t="s">
        <v>4</v>
      </c>
    </row>
    <row r="111" spans="1:3" ht="15">
      <c r="A111" s="195" t="s">
        <v>1226</v>
      </c>
      <c r="B111" s="196"/>
      <c r="C111" s="195" t="s">
        <v>1227</v>
      </c>
    </row>
    <row r="112" spans="1:3" ht="15">
      <c r="A112" s="195" t="s">
        <v>1228</v>
      </c>
      <c r="B112" s="196"/>
      <c r="C112" s="195" t="s">
        <v>1229</v>
      </c>
    </row>
    <row r="113" spans="1:3" ht="15">
      <c r="A113" s="195" t="s">
        <v>1230</v>
      </c>
      <c r="B113" s="196"/>
      <c r="C113" s="195" t="s">
        <v>1231</v>
      </c>
    </row>
    <row r="114" spans="1:3" ht="15">
      <c r="A114" s="195" t="s">
        <v>1232</v>
      </c>
      <c r="B114" s="196"/>
      <c r="C114" s="195" t="s">
        <v>1233</v>
      </c>
    </row>
    <row r="115" spans="1:3" ht="15">
      <c r="A115" s="195" t="s">
        <v>1234</v>
      </c>
      <c r="B115" s="196"/>
      <c r="C115" s="195" t="s">
        <v>1235</v>
      </c>
    </row>
    <row r="116" spans="1:3" ht="15">
      <c r="A116" s="195" t="s">
        <v>2007</v>
      </c>
      <c r="B116" s="196"/>
      <c r="C116" s="195" t="s">
        <v>2008</v>
      </c>
    </row>
    <row r="117" spans="1:3" ht="15">
      <c r="A117" s="195" t="s">
        <v>1236</v>
      </c>
      <c r="B117" s="196"/>
      <c r="C117" s="195" t="s">
        <v>401</v>
      </c>
    </row>
    <row r="118" spans="1:3" ht="15">
      <c r="A118" s="195" t="s">
        <v>1195</v>
      </c>
      <c r="B118" s="196"/>
      <c r="C118" s="195" t="s">
        <v>1748</v>
      </c>
    </row>
    <row r="119" spans="1:3" ht="15">
      <c r="A119" s="195" t="s">
        <v>402</v>
      </c>
      <c r="B119" s="196"/>
      <c r="C119" s="195" t="s">
        <v>403</v>
      </c>
    </row>
    <row r="120" spans="1:3" ht="15">
      <c r="A120" s="195" t="s">
        <v>404</v>
      </c>
      <c r="B120" s="196"/>
      <c r="C120" s="195" t="s">
        <v>405</v>
      </c>
    </row>
    <row r="121" spans="1:3" ht="15">
      <c r="A121" s="195" t="s">
        <v>406</v>
      </c>
      <c r="B121" s="196"/>
      <c r="C121" s="195" t="s">
        <v>407</v>
      </c>
    </row>
    <row r="122" spans="1:3" ht="15">
      <c r="A122" s="195" t="s">
        <v>408</v>
      </c>
      <c r="B122" s="196"/>
      <c r="C122" s="195" t="s">
        <v>409</v>
      </c>
    </row>
    <row r="123" spans="1:3" ht="15">
      <c r="A123" s="195" t="s">
        <v>410</v>
      </c>
      <c r="B123" s="196"/>
      <c r="C123" s="195" t="s">
        <v>411</v>
      </c>
    </row>
    <row r="124" spans="1:3" ht="15">
      <c r="A124" s="195" t="s">
        <v>412</v>
      </c>
      <c r="B124" s="196"/>
      <c r="C124" s="195" t="s">
        <v>413</v>
      </c>
    </row>
    <row r="125" spans="1:3" ht="15">
      <c r="A125" s="195" t="s">
        <v>414</v>
      </c>
      <c r="B125" s="196"/>
      <c r="C125" s="195" t="s">
        <v>1189</v>
      </c>
    </row>
    <row r="126" spans="1:3" ht="15">
      <c r="A126" s="195" t="s">
        <v>1697</v>
      </c>
      <c r="B126" s="196"/>
      <c r="C126" s="195" t="s">
        <v>1190</v>
      </c>
    </row>
    <row r="127" spans="1:3" ht="15">
      <c r="A127" s="195" t="s">
        <v>1191</v>
      </c>
      <c r="B127" s="196"/>
      <c r="C127" s="195" t="s">
        <v>1192</v>
      </c>
    </row>
    <row r="128" spans="1:3" ht="15">
      <c r="A128" s="195" t="s">
        <v>1656</v>
      </c>
      <c r="B128" s="196"/>
      <c r="C128" s="195" t="s">
        <v>1657</v>
      </c>
    </row>
    <row r="129" spans="1:3" ht="15">
      <c r="A129" s="195" t="s">
        <v>1658</v>
      </c>
      <c r="B129" s="196"/>
      <c r="C129" s="195" t="s">
        <v>1659</v>
      </c>
    </row>
    <row r="130" spans="1:3" ht="15">
      <c r="A130" s="195" t="s">
        <v>1660</v>
      </c>
      <c r="B130" s="196"/>
      <c r="C130" s="195" t="s">
        <v>1662</v>
      </c>
    </row>
    <row r="131" spans="1:3" ht="15">
      <c r="A131" s="195" t="s">
        <v>1663</v>
      </c>
      <c r="B131" s="196"/>
      <c r="C131" s="195" t="s">
        <v>1664</v>
      </c>
    </row>
    <row r="132" spans="1:3" ht="15">
      <c r="A132" s="195" t="s">
        <v>1665</v>
      </c>
      <c r="B132" s="196"/>
      <c r="C132" s="195" t="s">
        <v>1666</v>
      </c>
    </row>
    <row r="133" spans="1:3" ht="15">
      <c r="A133" s="195" t="s">
        <v>2009</v>
      </c>
      <c r="B133" s="196"/>
      <c r="C133" s="195" t="s">
        <v>2010</v>
      </c>
    </row>
    <row r="134" spans="1:3" ht="15">
      <c r="A134" s="195" t="s">
        <v>772</v>
      </c>
      <c r="B134" s="196"/>
      <c r="C134" s="195" t="s">
        <v>773</v>
      </c>
    </row>
    <row r="135" spans="1:3" ht="15">
      <c r="A135" s="195" t="s">
        <v>774</v>
      </c>
      <c r="B135" s="196"/>
      <c r="C135" s="195" t="s">
        <v>775</v>
      </c>
    </row>
    <row r="136" spans="1:3" ht="15">
      <c r="A136" s="195" t="s">
        <v>776</v>
      </c>
      <c r="B136" s="196"/>
      <c r="C136" s="195" t="s">
        <v>777</v>
      </c>
    </row>
    <row r="137" spans="1:3" ht="15">
      <c r="A137" s="195" t="s">
        <v>791</v>
      </c>
      <c r="B137" s="196"/>
      <c r="C137" s="195" t="s">
        <v>44</v>
      </c>
    </row>
    <row r="138" spans="1:3" ht="15">
      <c r="A138" s="195" t="s">
        <v>792</v>
      </c>
      <c r="B138" s="196"/>
      <c r="C138" s="195" t="s">
        <v>793</v>
      </c>
    </row>
    <row r="139" spans="1:3" ht="15">
      <c r="A139" s="195" t="s">
        <v>794</v>
      </c>
      <c r="B139" s="196"/>
      <c r="C139" s="195" t="s">
        <v>795</v>
      </c>
    </row>
    <row r="140" spans="1:3" ht="15">
      <c r="A140" s="195" t="s">
        <v>904</v>
      </c>
      <c r="B140" s="196"/>
      <c r="C140" s="195" t="s">
        <v>905</v>
      </c>
    </row>
    <row r="141" spans="1:3" ht="15">
      <c r="A141" s="195" t="s">
        <v>882</v>
      </c>
      <c r="B141" s="196"/>
      <c r="C141" s="195" t="s">
        <v>883</v>
      </c>
    </row>
    <row r="142" spans="1:3" ht="15">
      <c r="A142" s="195" t="s">
        <v>796</v>
      </c>
      <c r="B142" s="196"/>
      <c r="C142" s="195" t="s">
        <v>797</v>
      </c>
    </row>
    <row r="143" spans="1:3" ht="15">
      <c r="A143" s="195" t="s">
        <v>798</v>
      </c>
      <c r="B143" s="196"/>
      <c r="C143" s="195" t="s">
        <v>799</v>
      </c>
    </row>
    <row r="144" spans="1:3" ht="15">
      <c r="A144" s="195" t="s">
        <v>800</v>
      </c>
      <c r="B144" s="196"/>
      <c r="C144" s="195" t="s">
        <v>801</v>
      </c>
    </row>
    <row r="145" spans="1:3" ht="15">
      <c r="A145" s="195" t="s">
        <v>1481</v>
      </c>
      <c r="B145" s="196"/>
      <c r="C145" s="195" t="s">
        <v>2014</v>
      </c>
    </row>
    <row r="146" spans="1:3" ht="15">
      <c r="A146" s="195" t="s">
        <v>802</v>
      </c>
      <c r="B146" s="196"/>
      <c r="C146" s="195" t="s">
        <v>1528</v>
      </c>
    </row>
    <row r="147" spans="1:3" ht="15">
      <c r="A147" s="195" t="s">
        <v>1529</v>
      </c>
      <c r="B147" s="196"/>
      <c r="C147" s="195" t="s">
        <v>1530</v>
      </c>
    </row>
    <row r="148" spans="1:3" ht="15">
      <c r="A148" s="195" t="s">
        <v>1531</v>
      </c>
      <c r="B148" s="196"/>
      <c r="C148" s="195" t="s">
        <v>1532</v>
      </c>
    </row>
    <row r="149" spans="1:3" ht="15">
      <c r="A149" s="195" t="s">
        <v>1533</v>
      </c>
      <c r="B149" s="196"/>
      <c r="C149" s="195" t="s">
        <v>1534</v>
      </c>
    </row>
    <row r="150" spans="1:3" ht="15">
      <c r="A150" s="195" t="s">
        <v>1123</v>
      </c>
      <c r="B150" s="196"/>
      <c r="C150" s="195" t="s">
        <v>1535</v>
      </c>
    </row>
    <row r="151" spans="1:3" ht="15">
      <c r="A151" s="195" t="s">
        <v>976</v>
      </c>
      <c r="B151" s="196"/>
      <c r="C151" s="195" t="s">
        <v>977</v>
      </c>
    </row>
    <row r="152" spans="1:3" ht="15">
      <c r="A152" s="195" t="s">
        <v>509</v>
      </c>
      <c r="B152" s="196"/>
      <c r="C152" s="195" t="s">
        <v>978</v>
      </c>
    </row>
    <row r="153" spans="1:3" ht="15">
      <c r="A153" s="195" t="s">
        <v>510</v>
      </c>
      <c r="B153" s="196"/>
      <c r="C153" s="195" t="s">
        <v>979</v>
      </c>
    </row>
    <row r="154" spans="1:3" ht="15">
      <c r="A154" s="195" t="s">
        <v>1536</v>
      </c>
      <c r="B154" s="196"/>
      <c r="C154" s="195" t="s">
        <v>1537</v>
      </c>
    </row>
    <row r="155" spans="1:3" ht="15">
      <c r="A155" s="195" t="s">
        <v>1538</v>
      </c>
      <c r="B155" s="196"/>
      <c r="C155" s="195" t="s">
        <v>1539</v>
      </c>
    </row>
    <row r="156" spans="1:3" ht="15">
      <c r="A156" s="195" t="s">
        <v>1540</v>
      </c>
      <c r="B156" s="196"/>
      <c r="C156" s="195" t="s">
        <v>1541</v>
      </c>
    </row>
    <row r="157" spans="1:3" ht="15">
      <c r="A157" s="195" t="s">
        <v>1542</v>
      </c>
      <c r="B157" s="196"/>
      <c r="C157" s="195" t="s">
        <v>1543</v>
      </c>
    </row>
    <row r="158" spans="1:3" ht="15">
      <c r="A158" s="195" t="s">
        <v>1544</v>
      </c>
      <c r="B158" s="196"/>
      <c r="C158" s="195" t="s">
        <v>1545</v>
      </c>
    </row>
    <row r="159" spans="1:3" ht="15">
      <c r="A159" s="195" t="s">
        <v>1546</v>
      </c>
      <c r="B159" s="196"/>
      <c r="C159" s="195" t="s">
        <v>1547</v>
      </c>
    </row>
    <row r="160" spans="1:3" ht="15">
      <c r="A160" s="195" t="s">
        <v>1548</v>
      </c>
      <c r="B160" s="196"/>
      <c r="C160" s="195" t="s">
        <v>1549</v>
      </c>
    </row>
    <row r="161" spans="1:3" ht="15">
      <c r="A161" s="195" t="s">
        <v>1550</v>
      </c>
      <c r="B161" s="196"/>
      <c r="C161" s="195" t="s">
        <v>1551</v>
      </c>
    </row>
    <row r="162" spans="1:3" ht="15">
      <c r="A162" s="195" t="s">
        <v>1552</v>
      </c>
      <c r="B162" s="196"/>
      <c r="C162" s="195" t="s">
        <v>1554</v>
      </c>
    </row>
    <row r="163" spans="1:3" ht="15">
      <c r="A163" s="195" t="s">
        <v>1555</v>
      </c>
      <c r="B163" s="196"/>
      <c r="C163" s="195" t="s">
        <v>1556</v>
      </c>
    </row>
    <row r="164" spans="1:3" ht="15">
      <c r="A164" s="195" t="s">
        <v>1557</v>
      </c>
      <c r="B164" s="196"/>
      <c r="C164" s="195" t="s">
        <v>1558</v>
      </c>
    </row>
    <row r="165" spans="1:3" ht="15">
      <c r="A165" s="195" t="s">
        <v>1559</v>
      </c>
      <c r="B165" s="196"/>
      <c r="C165" s="195" t="s">
        <v>1560</v>
      </c>
    </row>
    <row r="166" spans="1:3" ht="15">
      <c r="A166" s="195" t="s">
        <v>1561</v>
      </c>
      <c r="B166" s="196"/>
      <c r="C166" s="195" t="s">
        <v>1562</v>
      </c>
    </row>
    <row r="167" spans="1:3" ht="15">
      <c r="A167" s="195" t="s">
        <v>1563</v>
      </c>
      <c r="B167" s="196"/>
      <c r="C167" s="195" t="s">
        <v>1966</v>
      </c>
    </row>
    <row r="168" spans="1:3" ht="15">
      <c r="A168" s="195" t="s">
        <v>1967</v>
      </c>
      <c r="B168" s="196"/>
      <c r="C168" s="195" t="s">
        <v>1968</v>
      </c>
    </row>
    <row r="169" spans="1:3" ht="15">
      <c r="A169" s="195" t="s">
        <v>426</v>
      </c>
      <c r="B169" s="196"/>
      <c r="C169" s="195" t="s">
        <v>427</v>
      </c>
    </row>
    <row r="170" spans="1:3" ht="15">
      <c r="A170" s="195" t="s">
        <v>428</v>
      </c>
      <c r="B170" s="196"/>
      <c r="C170" s="195" t="s">
        <v>431</v>
      </c>
    </row>
    <row r="171" spans="1:3" ht="15">
      <c r="A171" s="195" t="s">
        <v>432</v>
      </c>
      <c r="B171" s="196"/>
      <c r="C171" s="195" t="s">
        <v>1487</v>
      </c>
    </row>
    <row r="172" spans="1:3" ht="15">
      <c r="A172" s="195" t="s">
        <v>2018</v>
      </c>
      <c r="B172" s="196"/>
      <c r="C172" s="195" t="s">
        <v>456</v>
      </c>
    </row>
    <row r="173" spans="1:3" ht="15">
      <c r="A173" s="195" t="s">
        <v>457</v>
      </c>
      <c r="B173" s="196"/>
      <c r="C173" s="195" t="s">
        <v>458</v>
      </c>
    </row>
    <row r="174" spans="1:3" ht="15">
      <c r="A174" s="195" t="s">
        <v>459</v>
      </c>
      <c r="B174" s="196"/>
      <c r="C174" s="195" t="s">
        <v>460</v>
      </c>
    </row>
    <row r="175" spans="1:3" ht="15">
      <c r="A175" s="195" t="s">
        <v>461</v>
      </c>
      <c r="B175" s="196"/>
      <c r="C175" s="195" t="s">
        <v>1276</v>
      </c>
    </row>
    <row r="176" spans="1:3" ht="15">
      <c r="A176" s="195" t="s">
        <v>462</v>
      </c>
      <c r="B176" s="196"/>
      <c r="C176" s="195" t="s">
        <v>463</v>
      </c>
    </row>
    <row r="177" spans="1:3" ht="15">
      <c r="A177" s="195" t="s">
        <v>464</v>
      </c>
      <c r="B177" s="196"/>
      <c r="C177" s="195" t="s">
        <v>465</v>
      </c>
    </row>
    <row r="178" spans="1:3" ht="15">
      <c r="A178" s="195" t="s">
        <v>467</v>
      </c>
      <c r="B178" s="196"/>
      <c r="C178" s="195" t="s">
        <v>1275</v>
      </c>
    </row>
    <row r="179" spans="1:3" ht="15">
      <c r="A179" s="195" t="s">
        <v>468</v>
      </c>
      <c r="B179" s="196"/>
      <c r="C179" s="195" t="s">
        <v>469</v>
      </c>
    </row>
    <row r="180" spans="1:3" ht="15">
      <c r="A180" s="195" t="s">
        <v>470</v>
      </c>
      <c r="B180" s="196"/>
      <c r="C180" s="195" t="s">
        <v>471</v>
      </c>
    </row>
    <row r="181" spans="1:3" ht="15">
      <c r="A181" s="195" t="s">
        <v>472</v>
      </c>
      <c r="B181" s="196"/>
      <c r="C181" s="195" t="s">
        <v>473</v>
      </c>
    </row>
    <row r="182" spans="1:3" ht="15">
      <c r="A182" s="195" t="s">
        <v>474</v>
      </c>
      <c r="B182" s="196"/>
      <c r="C182" s="195" t="s">
        <v>475</v>
      </c>
    </row>
    <row r="183" spans="1:3" ht="15">
      <c r="A183" s="195" t="s">
        <v>476</v>
      </c>
      <c r="B183" s="196"/>
      <c r="C183" s="195" t="s">
        <v>477</v>
      </c>
    </row>
    <row r="184" spans="1:3" ht="15">
      <c r="A184" s="195" t="s">
        <v>478</v>
      </c>
      <c r="B184" s="196"/>
      <c r="C184" s="195" t="s">
        <v>479</v>
      </c>
    </row>
    <row r="185" spans="1:3" ht="15">
      <c r="A185" s="195" t="s">
        <v>480</v>
      </c>
      <c r="B185" s="196"/>
      <c r="C185" s="195" t="s">
        <v>481</v>
      </c>
    </row>
    <row r="186" spans="1:3" ht="15">
      <c r="A186" s="195" t="s">
        <v>482</v>
      </c>
      <c r="B186" s="196"/>
      <c r="C186" s="195" t="s">
        <v>483</v>
      </c>
    </row>
    <row r="187" spans="1:3" ht="15">
      <c r="A187" s="195" t="s">
        <v>484</v>
      </c>
      <c r="B187" s="196"/>
      <c r="C187" s="195" t="s">
        <v>488</v>
      </c>
    </row>
    <row r="188" spans="1:3" ht="15">
      <c r="A188" s="195" t="s">
        <v>489</v>
      </c>
      <c r="B188" s="196"/>
      <c r="C188" s="195" t="s">
        <v>490</v>
      </c>
    </row>
    <row r="189" spans="1:3" ht="15">
      <c r="A189" s="195" t="s">
        <v>491</v>
      </c>
      <c r="B189" s="196"/>
      <c r="C189" s="195" t="s">
        <v>492</v>
      </c>
    </row>
    <row r="190" spans="1:3" ht="15">
      <c r="A190" s="195" t="s">
        <v>493</v>
      </c>
      <c r="B190" s="196"/>
      <c r="C190" s="195" t="s">
        <v>490</v>
      </c>
    </row>
    <row r="191" spans="1:3" ht="15">
      <c r="A191" s="195" t="s">
        <v>1124</v>
      </c>
      <c r="B191" s="196"/>
      <c r="C191" s="195" t="s">
        <v>495</v>
      </c>
    </row>
    <row r="192" spans="1:3" ht="15">
      <c r="A192" s="195" t="s">
        <v>496</v>
      </c>
      <c r="B192" s="196"/>
      <c r="C192" s="195" t="s">
        <v>134</v>
      </c>
    </row>
    <row r="193" spans="1:3" ht="15">
      <c r="A193" s="195" t="s">
        <v>135</v>
      </c>
      <c r="B193" s="196"/>
      <c r="C193" s="195" t="s">
        <v>136</v>
      </c>
    </row>
    <row r="194" spans="1:3" ht="15">
      <c r="A194" s="195" t="s">
        <v>137</v>
      </c>
      <c r="B194" s="196"/>
      <c r="C194" s="195" t="s">
        <v>138</v>
      </c>
    </row>
    <row r="195" spans="1:3" ht="15">
      <c r="A195" s="195" t="s">
        <v>139</v>
      </c>
      <c r="B195" s="196"/>
      <c r="C195" s="195" t="s">
        <v>140</v>
      </c>
    </row>
    <row r="196" spans="1:3" ht="15">
      <c r="A196" s="195" t="s">
        <v>141</v>
      </c>
      <c r="B196" s="196"/>
      <c r="C196" s="195" t="s">
        <v>142</v>
      </c>
    </row>
    <row r="197" spans="1:3" ht="15">
      <c r="A197" s="195" t="s">
        <v>143</v>
      </c>
      <c r="B197" s="196"/>
      <c r="C197" s="195" t="s">
        <v>144</v>
      </c>
    </row>
    <row r="198" spans="1:3" ht="15">
      <c r="A198" s="195" t="s">
        <v>145</v>
      </c>
      <c r="B198" s="196"/>
      <c r="C198" s="195" t="s">
        <v>596</v>
      </c>
    </row>
    <row r="199" spans="1:3" ht="15">
      <c r="A199" s="195" t="s">
        <v>597</v>
      </c>
      <c r="B199" s="196"/>
      <c r="C199" s="195" t="s">
        <v>599</v>
      </c>
    </row>
    <row r="200" spans="1:3" ht="15">
      <c r="A200" s="195" t="s">
        <v>600</v>
      </c>
      <c r="B200" s="196"/>
      <c r="C200" s="195" t="s">
        <v>601</v>
      </c>
    </row>
    <row r="201" spans="1:3" ht="15">
      <c r="A201" s="195" t="s">
        <v>602</v>
      </c>
      <c r="B201" s="196"/>
      <c r="C201" s="195" t="s">
        <v>603</v>
      </c>
    </row>
    <row r="202" spans="1:3" ht="15">
      <c r="A202" s="195" t="s">
        <v>604</v>
      </c>
      <c r="B202" s="196"/>
      <c r="C202" s="195" t="s">
        <v>605</v>
      </c>
    </row>
    <row r="203" spans="1:3" ht="15">
      <c r="A203" s="195" t="s">
        <v>1125</v>
      </c>
      <c r="B203" s="196"/>
      <c r="C203" s="195" t="s">
        <v>727</v>
      </c>
    </row>
    <row r="204" spans="1:3" ht="15">
      <c r="A204" s="195" t="s">
        <v>606</v>
      </c>
      <c r="B204" s="196"/>
      <c r="C204" s="195" t="s">
        <v>884</v>
      </c>
    </row>
    <row r="205" spans="1:3" ht="15">
      <c r="A205" s="195" t="s">
        <v>607</v>
      </c>
      <c r="B205" s="196"/>
      <c r="C205" s="195" t="s">
        <v>608</v>
      </c>
    </row>
    <row r="206" spans="1:3" ht="15">
      <c r="A206" s="195" t="s">
        <v>609</v>
      </c>
      <c r="B206" s="196"/>
      <c r="C206" s="195" t="s">
        <v>1763</v>
      </c>
    </row>
    <row r="207" spans="1:3" ht="15">
      <c r="A207" s="195" t="s">
        <v>1764</v>
      </c>
      <c r="B207" s="196"/>
      <c r="C207" s="195" t="s">
        <v>1765</v>
      </c>
    </row>
    <row r="208" spans="1:3" ht="15">
      <c r="A208" s="195" t="s">
        <v>1766</v>
      </c>
      <c r="B208" s="196"/>
      <c r="C208" s="195" t="s">
        <v>1767</v>
      </c>
    </row>
    <row r="209" spans="1:3" ht="15">
      <c r="A209" s="195" t="s">
        <v>1768</v>
      </c>
      <c r="B209" s="196"/>
      <c r="C209" s="195" t="s">
        <v>1769</v>
      </c>
    </row>
    <row r="210" spans="1:3" ht="15">
      <c r="A210" s="195" t="s">
        <v>1770</v>
      </c>
      <c r="B210" s="196"/>
      <c r="C210" s="195" t="s">
        <v>1771</v>
      </c>
    </row>
    <row r="211" spans="1:3" ht="15">
      <c r="A211" s="195" t="s">
        <v>1772</v>
      </c>
      <c r="B211" s="196"/>
      <c r="C211" s="195" t="s">
        <v>1773</v>
      </c>
    </row>
    <row r="212" spans="1:3" ht="15">
      <c r="A212" s="195" t="s">
        <v>1774</v>
      </c>
      <c r="B212" s="196"/>
      <c r="C212" s="195" t="s">
        <v>1398</v>
      </c>
    </row>
    <row r="213" spans="1:3" ht="15">
      <c r="A213" s="195" t="s">
        <v>1072</v>
      </c>
      <c r="B213" s="196"/>
      <c r="C213" s="195" t="s">
        <v>22</v>
      </c>
    </row>
    <row r="214" spans="1:3" ht="15">
      <c r="A214" s="195" t="s">
        <v>1399</v>
      </c>
      <c r="B214" s="196"/>
      <c r="C214" s="195" t="s">
        <v>1400</v>
      </c>
    </row>
    <row r="215" spans="1:3" ht="15">
      <c r="A215" s="195" t="s">
        <v>1401</v>
      </c>
      <c r="B215" s="196"/>
      <c r="C215" s="195" t="s">
        <v>1402</v>
      </c>
    </row>
    <row r="216" spans="1:3" ht="15">
      <c r="A216" s="195" t="s">
        <v>1403</v>
      </c>
      <c r="B216" s="196"/>
      <c r="C216" s="195" t="s">
        <v>1404</v>
      </c>
    </row>
    <row r="217" spans="1:3" ht="15">
      <c r="A217" s="195" t="s">
        <v>1405</v>
      </c>
      <c r="B217" s="196"/>
      <c r="C217" s="195" t="s">
        <v>1406</v>
      </c>
    </row>
    <row r="218" spans="1:3" ht="15">
      <c r="A218" s="195" t="s">
        <v>1407</v>
      </c>
      <c r="B218" s="196"/>
      <c r="C218" s="195" t="s">
        <v>1408</v>
      </c>
    </row>
    <row r="219" spans="1:3" ht="15">
      <c r="A219" s="195" t="s">
        <v>1409</v>
      </c>
      <c r="B219" s="196"/>
      <c r="C219" s="195" t="s">
        <v>1410</v>
      </c>
    </row>
    <row r="220" spans="1:3" ht="15">
      <c r="A220" s="195" t="s">
        <v>1411</v>
      </c>
      <c r="B220" s="196"/>
      <c r="C220" s="195" t="s">
        <v>1412</v>
      </c>
    </row>
    <row r="221" spans="1:3" ht="15">
      <c r="A221" s="195" t="s">
        <v>1413</v>
      </c>
      <c r="B221" s="196"/>
      <c r="C221" s="195" t="s">
        <v>1277</v>
      </c>
    </row>
    <row r="222" spans="1:3" ht="15">
      <c r="A222" s="195" t="s">
        <v>1414</v>
      </c>
      <c r="B222" s="196"/>
      <c r="C222" s="195" t="s">
        <v>1415</v>
      </c>
    </row>
    <row r="223" spans="1:3" ht="15">
      <c r="A223" s="195" t="s">
        <v>1416</v>
      </c>
      <c r="B223" s="196"/>
      <c r="C223" s="195" t="s">
        <v>1417</v>
      </c>
    </row>
    <row r="224" spans="1:3" ht="15">
      <c r="A224" s="195" t="s">
        <v>1418</v>
      </c>
      <c r="B224" s="196"/>
      <c r="C224" s="195" t="s">
        <v>1860</v>
      </c>
    </row>
    <row r="225" spans="1:3" ht="15">
      <c r="A225" s="195" t="s">
        <v>1861</v>
      </c>
      <c r="B225" s="196"/>
      <c r="C225" s="195" t="s">
        <v>1862</v>
      </c>
    </row>
    <row r="226" spans="1:3" ht="15">
      <c r="A226" s="195" t="s">
        <v>1196</v>
      </c>
      <c r="B226" s="196"/>
      <c r="C226" s="195" t="s">
        <v>1355</v>
      </c>
    </row>
    <row r="227" spans="1:3" ht="15">
      <c r="A227" s="195" t="s">
        <v>1863</v>
      </c>
      <c r="B227" s="196"/>
      <c r="C227" s="195" t="s">
        <v>861</v>
      </c>
    </row>
    <row r="228" spans="1:3" ht="15">
      <c r="A228" s="195" t="s">
        <v>1472</v>
      </c>
      <c r="B228" s="196"/>
      <c r="C228" s="195" t="s">
        <v>1745</v>
      </c>
    </row>
    <row r="229" spans="1:3" ht="15">
      <c r="A229" s="195" t="s">
        <v>862</v>
      </c>
      <c r="B229" s="196"/>
      <c r="C229" s="195" t="s">
        <v>863</v>
      </c>
    </row>
    <row r="230" spans="1:3" ht="15">
      <c r="A230" s="195" t="s">
        <v>864</v>
      </c>
      <c r="B230" s="196"/>
      <c r="C230" s="195" t="s">
        <v>332</v>
      </c>
    </row>
    <row r="231" spans="1:3" ht="15">
      <c r="A231" s="195" t="s">
        <v>333</v>
      </c>
      <c r="B231" s="196"/>
      <c r="C231" s="195" t="s">
        <v>1503</v>
      </c>
    </row>
    <row r="232" spans="1:3" ht="15">
      <c r="A232" s="195" t="s">
        <v>1504</v>
      </c>
      <c r="B232" s="196"/>
      <c r="C232" s="195" t="s">
        <v>1237</v>
      </c>
    </row>
    <row r="233" spans="1:3" ht="15">
      <c r="A233" s="195" t="s">
        <v>1238</v>
      </c>
      <c r="B233" s="196"/>
      <c r="C233" s="195" t="s">
        <v>1239</v>
      </c>
    </row>
    <row r="234" spans="1:3" ht="15">
      <c r="A234" s="195" t="s">
        <v>2020</v>
      </c>
      <c r="B234" s="196"/>
      <c r="C234" s="195" t="s">
        <v>2021</v>
      </c>
    </row>
    <row r="235" spans="1:3" ht="15">
      <c r="A235" s="195" t="s">
        <v>2022</v>
      </c>
      <c r="B235" s="196"/>
      <c r="C235" s="195" t="s">
        <v>2023</v>
      </c>
    </row>
    <row r="236" spans="1:3" ht="15">
      <c r="A236" s="195" t="s">
        <v>2024</v>
      </c>
      <c r="B236" s="196"/>
      <c r="C236" s="195" t="s">
        <v>2025</v>
      </c>
    </row>
    <row r="237" spans="1:3" ht="15">
      <c r="A237" s="195" t="s">
        <v>2026</v>
      </c>
      <c r="B237" s="196"/>
      <c r="C237" s="195" t="s">
        <v>2040</v>
      </c>
    </row>
    <row r="238" spans="1:3" ht="15">
      <c r="A238" s="195" t="s">
        <v>2041</v>
      </c>
      <c r="B238" s="196"/>
      <c r="C238" s="195" t="s">
        <v>2042</v>
      </c>
    </row>
    <row r="239" spans="1:3" ht="15">
      <c r="A239" s="195" t="s">
        <v>2043</v>
      </c>
      <c r="B239" s="196"/>
      <c r="C239" s="195" t="s">
        <v>199</v>
      </c>
    </row>
    <row r="240" spans="1:8" ht="15">
      <c r="A240" s="195" t="s">
        <v>200</v>
      </c>
      <c r="B240" s="196"/>
      <c r="C240" s="195" t="s">
        <v>201</v>
      </c>
      <c r="H240" s="195"/>
    </row>
    <row r="241" spans="1:3" ht="15">
      <c r="A241" s="195" t="s">
        <v>202</v>
      </c>
      <c r="B241" s="196"/>
      <c r="C241" s="195" t="s">
        <v>203</v>
      </c>
    </row>
    <row r="242" spans="1:3" ht="15">
      <c r="A242" s="195" t="s">
        <v>204</v>
      </c>
      <c r="B242" s="196"/>
      <c r="C242" s="195" t="s">
        <v>205</v>
      </c>
    </row>
    <row r="243" spans="1:3" ht="15">
      <c r="A243" s="195" t="s">
        <v>206</v>
      </c>
      <c r="B243" s="196"/>
      <c r="C243" s="195" t="s">
        <v>2073</v>
      </c>
    </row>
    <row r="244" spans="1:3" ht="15">
      <c r="A244" s="195" t="s">
        <v>2074</v>
      </c>
      <c r="B244" s="196"/>
      <c r="C244" s="195" t="s">
        <v>2075</v>
      </c>
    </row>
    <row r="245" spans="1:3" ht="15">
      <c r="A245" s="195" t="s">
        <v>2076</v>
      </c>
      <c r="B245" s="196"/>
      <c r="C245" s="195" t="s">
        <v>2077</v>
      </c>
    </row>
    <row r="246" spans="1:3" ht="15">
      <c r="A246" s="195" t="s">
        <v>2078</v>
      </c>
      <c r="B246" s="196"/>
      <c r="C246" s="195" t="s">
        <v>2079</v>
      </c>
    </row>
    <row r="247" spans="1:3" ht="15">
      <c r="A247" s="195" t="s">
        <v>2080</v>
      </c>
      <c r="B247" s="196"/>
      <c r="C247" s="195" t="s">
        <v>573</v>
      </c>
    </row>
    <row r="248" spans="1:3" ht="15">
      <c r="A248" s="195" t="s">
        <v>574</v>
      </c>
      <c r="B248" s="196"/>
      <c r="C248" s="195" t="s">
        <v>575</v>
      </c>
    </row>
    <row r="249" spans="1:3" ht="15">
      <c r="A249" s="195" t="s">
        <v>576</v>
      </c>
      <c r="B249" s="196"/>
      <c r="C249" s="195" t="s">
        <v>577</v>
      </c>
    </row>
    <row r="250" spans="1:3" ht="15">
      <c r="A250" s="195" t="s">
        <v>578</v>
      </c>
      <c r="B250" s="196"/>
      <c r="C250" s="195" t="s">
        <v>579</v>
      </c>
    </row>
    <row r="251" spans="1:3" ht="15">
      <c r="A251" s="195" t="s">
        <v>670</v>
      </c>
      <c r="B251" s="196"/>
      <c r="C251" s="195" t="s">
        <v>17</v>
      </c>
    </row>
    <row r="252" spans="1:3" ht="15">
      <c r="A252" s="195" t="s">
        <v>580</v>
      </c>
      <c r="B252" s="196"/>
      <c r="C252" s="195" t="s">
        <v>583</v>
      </c>
    </row>
    <row r="253" spans="1:3" ht="15">
      <c r="A253" s="195" t="s">
        <v>584</v>
      </c>
      <c r="B253" s="196"/>
      <c r="C253" s="195" t="s">
        <v>585</v>
      </c>
    </row>
    <row r="254" spans="1:3" ht="15">
      <c r="A254" s="195" t="s">
        <v>586</v>
      </c>
      <c r="B254" s="196"/>
      <c r="C254" s="195" t="s">
        <v>587</v>
      </c>
    </row>
    <row r="255" spans="1:3" ht="15">
      <c r="A255" s="195" t="s">
        <v>1251</v>
      </c>
      <c r="B255" s="196"/>
      <c r="C255" s="195" t="s">
        <v>1256</v>
      </c>
    </row>
    <row r="256" spans="1:3" ht="15">
      <c r="A256" s="195" t="s">
        <v>588</v>
      </c>
      <c r="B256" s="196"/>
      <c r="C256" s="195" t="s">
        <v>589</v>
      </c>
    </row>
    <row r="257" spans="1:3" ht="15">
      <c r="A257" s="195" t="s">
        <v>1126</v>
      </c>
      <c r="B257" s="196"/>
      <c r="C257" s="195" t="s">
        <v>590</v>
      </c>
    </row>
    <row r="258" spans="1:3" ht="15">
      <c r="A258" s="195" t="s">
        <v>1127</v>
      </c>
      <c r="B258" s="196"/>
      <c r="C258" s="195" t="s">
        <v>95</v>
      </c>
    </row>
    <row r="259" spans="1:3" ht="15">
      <c r="A259" s="195" t="s">
        <v>96</v>
      </c>
      <c r="B259" s="196"/>
      <c r="C259" s="195" t="s">
        <v>271</v>
      </c>
    </row>
    <row r="260" spans="1:3" ht="15">
      <c r="A260" s="195" t="s">
        <v>272</v>
      </c>
      <c r="B260" s="196"/>
      <c r="C260" s="195" t="s">
        <v>273</v>
      </c>
    </row>
    <row r="261" spans="1:3" ht="15">
      <c r="A261" s="195" t="s">
        <v>274</v>
      </c>
      <c r="B261" s="196"/>
      <c r="C261" s="195" t="s">
        <v>275</v>
      </c>
    </row>
    <row r="262" spans="1:3" ht="15">
      <c r="A262" s="195" t="s">
        <v>276</v>
      </c>
      <c r="B262" s="196"/>
      <c r="C262" s="195" t="s">
        <v>277</v>
      </c>
    </row>
    <row r="263" spans="1:3" ht="15">
      <c r="A263" s="195" t="s">
        <v>278</v>
      </c>
      <c r="B263" s="196"/>
      <c r="C263" s="195" t="s">
        <v>279</v>
      </c>
    </row>
    <row r="264" spans="1:3" ht="15">
      <c r="A264" s="195" t="s">
        <v>280</v>
      </c>
      <c r="B264" s="196"/>
      <c r="C264" s="195" t="s">
        <v>281</v>
      </c>
    </row>
    <row r="265" spans="1:3" ht="15">
      <c r="A265" s="195" t="s">
        <v>282</v>
      </c>
      <c r="B265" s="196"/>
      <c r="C265" s="195" t="s">
        <v>284</v>
      </c>
    </row>
    <row r="266" spans="1:3" ht="15">
      <c r="A266" s="195" t="s">
        <v>285</v>
      </c>
      <c r="B266" s="196"/>
      <c r="C266" s="195" t="s">
        <v>289</v>
      </c>
    </row>
    <row r="267" spans="1:3" ht="15">
      <c r="A267" s="195" t="s">
        <v>71</v>
      </c>
      <c r="B267" s="196"/>
      <c r="C267" s="195" t="s">
        <v>72</v>
      </c>
    </row>
    <row r="268" spans="1:3" ht="15">
      <c r="A268" s="195" t="s">
        <v>290</v>
      </c>
      <c r="B268" s="196"/>
      <c r="C268" s="195" t="s">
        <v>291</v>
      </c>
    </row>
    <row r="269" spans="1:3" ht="15">
      <c r="A269" s="195" t="s">
        <v>292</v>
      </c>
      <c r="B269" s="196"/>
      <c r="C269" s="195" t="s">
        <v>296</v>
      </c>
    </row>
    <row r="270" spans="1:3" ht="15">
      <c r="A270" s="195" t="s">
        <v>298</v>
      </c>
      <c r="B270" s="196"/>
      <c r="C270" s="195" t="s">
        <v>303</v>
      </c>
    </row>
    <row r="271" spans="1:3" ht="15">
      <c r="A271" s="195" t="s">
        <v>304</v>
      </c>
      <c r="B271" s="196"/>
      <c r="C271" s="195" t="s">
        <v>1587</v>
      </c>
    </row>
    <row r="272" spans="1:3" ht="15">
      <c r="A272" s="195" t="s">
        <v>1588</v>
      </c>
      <c r="B272" s="196"/>
      <c r="C272" s="195" t="s">
        <v>1589</v>
      </c>
    </row>
    <row r="273" spans="1:3" ht="15">
      <c r="A273" s="195" t="s">
        <v>1473</v>
      </c>
      <c r="B273" s="196"/>
      <c r="C273" s="195" t="s">
        <v>1749</v>
      </c>
    </row>
    <row r="274" spans="1:3" ht="15">
      <c r="A274" s="195" t="s">
        <v>1590</v>
      </c>
      <c r="B274" s="196"/>
      <c r="C274" s="195" t="s">
        <v>1566</v>
      </c>
    </row>
    <row r="275" spans="1:3" ht="15">
      <c r="A275" s="195" t="s">
        <v>1567</v>
      </c>
      <c r="B275" s="196"/>
      <c r="C275" s="195" t="s">
        <v>1575</v>
      </c>
    </row>
    <row r="276" spans="1:3" ht="15">
      <c r="A276" s="195" t="s">
        <v>1577</v>
      </c>
      <c r="B276" s="196"/>
      <c r="C276" s="195" t="s">
        <v>1578</v>
      </c>
    </row>
    <row r="277" spans="1:3" ht="15">
      <c r="A277" s="195" t="s">
        <v>1128</v>
      </c>
      <c r="B277" s="196"/>
      <c r="C277" s="195" t="s">
        <v>1579</v>
      </c>
    </row>
    <row r="278" spans="1:3" ht="15">
      <c r="A278" s="195" t="s">
        <v>1580</v>
      </c>
      <c r="B278" s="196"/>
      <c r="C278" s="195" t="s">
        <v>1581</v>
      </c>
    </row>
    <row r="279" spans="1:3" ht="15">
      <c r="A279" s="195" t="s">
        <v>1582</v>
      </c>
      <c r="B279" s="196"/>
      <c r="C279" s="195" t="s">
        <v>1583</v>
      </c>
    </row>
    <row r="280" spans="1:3" ht="15">
      <c r="A280" s="195" t="s">
        <v>1584</v>
      </c>
      <c r="B280" s="196"/>
      <c r="C280" s="195" t="s">
        <v>671</v>
      </c>
    </row>
    <row r="281" spans="1:3" ht="15">
      <c r="A281" s="195" t="s">
        <v>1129</v>
      </c>
      <c r="B281" s="196"/>
      <c r="C281" s="195" t="s">
        <v>28</v>
      </c>
    </row>
    <row r="282" spans="1:3" ht="15">
      <c r="A282" s="195" t="s">
        <v>29</v>
      </c>
      <c r="B282" s="196"/>
      <c r="C282" s="195" t="s">
        <v>28</v>
      </c>
    </row>
    <row r="283" spans="1:3" ht="15">
      <c r="A283" s="195" t="s">
        <v>30</v>
      </c>
      <c r="B283" s="196"/>
      <c r="C283" s="195" t="s">
        <v>31</v>
      </c>
    </row>
    <row r="284" spans="1:3" ht="15">
      <c r="A284" s="195" t="s">
        <v>32</v>
      </c>
      <c r="B284" s="196"/>
      <c r="C284" s="195" t="s">
        <v>33</v>
      </c>
    </row>
    <row r="285" spans="1:3" ht="15">
      <c r="A285" s="195" t="s">
        <v>43</v>
      </c>
      <c r="B285" s="196"/>
      <c r="C285" s="195" t="s">
        <v>45</v>
      </c>
    </row>
    <row r="286" spans="1:3" ht="15">
      <c r="A286" s="195" t="s">
        <v>46</v>
      </c>
      <c r="B286" s="196"/>
      <c r="C286" s="195" t="s">
        <v>47</v>
      </c>
    </row>
    <row r="287" spans="1:3" ht="15">
      <c r="A287" s="195" t="s">
        <v>48</v>
      </c>
      <c r="B287" s="196"/>
      <c r="C287" s="195" t="s">
        <v>49</v>
      </c>
    </row>
    <row r="288" spans="1:3" ht="15">
      <c r="A288" s="195" t="s">
        <v>50</v>
      </c>
      <c r="B288" s="196"/>
      <c r="C288" s="195" t="s">
        <v>1164</v>
      </c>
    </row>
    <row r="289" spans="1:3" ht="15">
      <c r="A289" s="195" t="s">
        <v>1165</v>
      </c>
      <c r="B289" s="196"/>
      <c r="C289" s="195" t="s">
        <v>1166</v>
      </c>
    </row>
    <row r="290" spans="1:3" ht="15">
      <c r="A290" s="195" t="s">
        <v>1167</v>
      </c>
      <c r="B290" s="196"/>
      <c r="C290" s="195" t="s">
        <v>1168</v>
      </c>
    </row>
    <row r="291" spans="1:3" ht="15">
      <c r="A291" s="195" t="s">
        <v>1169</v>
      </c>
      <c r="B291" s="196"/>
      <c r="C291" s="195" t="s">
        <v>1170</v>
      </c>
    </row>
    <row r="292" spans="1:3" ht="15">
      <c r="A292" s="195" t="s">
        <v>1171</v>
      </c>
      <c r="B292" s="196"/>
      <c r="C292" s="195" t="s">
        <v>323</v>
      </c>
    </row>
    <row r="293" spans="1:3" ht="15">
      <c r="A293" s="195" t="s">
        <v>324</v>
      </c>
      <c r="B293" s="196"/>
      <c r="C293" s="195" t="s">
        <v>894</v>
      </c>
    </row>
    <row r="294" spans="1:3" ht="15">
      <c r="A294" s="195" t="s">
        <v>895</v>
      </c>
      <c r="B294" s="196"/>
      <c r="C294" s="195" t="s">
        <v>896</v>
      </c>
    </row>
    <row r="295" spans="1:3" ht="15">
      <c r="A295" s="195" t="s">
        <v>897</v>
      </c>
      <c r="B295" s="196"/>
      <c r="C295" s="195" t="s">
        <v>898</v>
      </c>
    </row>
    <row r="296" spans="1:3" ht="15">
      <c r="A296" s="195" t="s">
        <v>899</v>
      </c>
      <c r="B296" s="196"/>
      <c r="C296" s="195" t="s">
        <v>900</v>
      </c>
    </row>
    <row r="297" spans="1:3" ht="15">
      <c r="A297" s="195" t="s">
        <v>901</v>
      </c>
      <c r="B297" s="196"/>
      <c r="C297" s="195" t="s">
        <v>902</v>
      </c>
    </row>
    <row r="298" spans="1:3" ht="15">
      <c r="A298" s="195" t="s">
        <v>903</v>
      </c>
      <c r="B298" s="196"/>
      <c r="C298" s="195" t="s">
        <v>909</v>
      </c>
    </row>
    <row r="299" spans="1:3" ht="15">
      <c r="A299" s="195" t="s">
        <v>910</v>
      </c>
      <c r="B299" s="196"/>
      <c r="C299" s="195" t="s">
        <v>911</v>
      </c>
    </row>
    <row r="300" spans="1:3" ht="15">
      <c r="A300" s="195" t="s">
        <v>912</v>
      </c>
      <c r="B300" s="196"/>
      <c r="C300" s="195" t="s">
        <v>913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421875" style="3" customWidth="1"/>
    <col min="3" max="3" width="10.7109375" style="3" customWidth="1"/>
    <col min="4" max="4" width="16.57421875" style="3" customWidth="1"/>
    <col min="5" max="5" width="1.7109375" style="3" customWidth="1"/>
    <col min="6" max="6" width="16.57421875" style="3" customWidth="1"/>
    <col min="7" max="7" width="1.7109375" style="3" customWidth="1"/>
    <col min="8" max="8" width="16.57421875" style="3" customWidth="1"/>
    <col min="9" max="9" width="1.7109375" style="3" customWidth="1"/>
    <col min="10" max="10" width="18.421875" style="3" customWidth="1"/>
    <col min="11" max="11" width="1.7109375" style="3" customWidth="1"/>
    <col min="12" max="13" width="14.8515625" style="3" customWidth="1"/>
    <col min="14" max="15" width="15.421875" style="3" bestFit="1" customWidth="1"/>
    <col min="16" max="16" width="17.00390625" style="3" bestFit="1" customWidth="1"/>
    <col min="17" max="17" width="17.57421875" style="3" bestFit="1" customWidth="1"/>
    <col min="18" max="16384" width="9.140625" style="3" customWidth="1"/>
  </cols>
  <sheetData>
    <row r="1" spans="2:13" ht="16.5">
      <c r="B1" s="14" t="s">
        <v>1294</v>
      </c>
      <c r="C1" s="15" t="str">
        <f>+INPUT!C1</f>
        <v>February 2012</v>
      </c>
      <c r="J1" s="14" t="s">
        <v>315</v>
      </c>
      <c r="K1" s="14"/>
      <c r="L1" s="14"/>
      <c r="M1" s="14"/>
    </row>
    <row r="2" spans="10:13" ht="16.5">
      <c r="J2" s="14" t="s">
        <v>302</v>
      </c>
      <c r="K2" s="14"/>
      <c r="L2" s="14"/>
      <c r="M2" s="14"/>
    </row>
    <row r="3" ht="16.5">
      <c r="F3" s="14" t="s">
        <v>316</v>
      </c>
    </row>
    <row r="4" ht="16.5">
      <c r="F4" s="14" t="s">
        <v>879</v>
      </c>
    </row>
    <row r="5" ht="16.5">
      <c r="F5" s="48" t="s">
        <v>1052</v>
      </c>
    </row>
    <row r="6" spans="14:17" ht="15">
      <c r="N6" s="101"/>
      <c r="O6" s="101"/>
      <c r="P6" s="101"/>
      <c r="Q6" s="101"/>
    </row>
    <row r="7" spans="4:17" ht="16.5">
      <c r="D7" s="16"/>
      <c r="E7" s="17" t="s">
        <v>189</v>
      </c>
      <c r="F7" s="16"/>
      <c r="H7" s="1199" t="s">
        <v>1296</v>
      </c>
      <c r="I7" s="1199"/>
      <c r="J7" s="1199"/>
      <c r="K7" s="241"/>
      <c r="L7" s="241"/>
      <c r="M7" s="75"/>
      <c r="N7" s="101"/>
      <c r="O7" s="101"/>
      <c r="P7" s="101"/>
      <c r="Q7" s="101"/>
    </row>
    <row r="8" spans="7:17" ht="16.5">
      <c r="G8" s="14"/>
      <c r="H8" s="1200" t="s">
        <v>881</v>
      </c>
      <c r="I8" s="1200"/>
      <c r="J8" s="1200"/>
      <c r="K8" s="378"/>
      <c r="L8" s="378"/>
      <c r="M8" s="14"/>
      <c r="N8" s="101"/>
      <c r="O8" s="101"/>
      <c r="P8" s="101"/>
      <c r="Q8" s="101"/>
    </row>
    <row r="9" spans="4:15" ht="16.5">
      <c r="D9" s="48" t="s">
        <v>540</v>
      </c>
      <c r="E9" s="14"/>
      <c r="F9" s="48" t="s">
        <v>171</v>
      </c>
      <c r="G9" s="14"/>
      <c r="H9" s="59" t="s">
        <v>885</v>
      </c>
      <c r="I9" s="20"/>
      <c r="J9" s="59" t="s">
        <v>886</v>
      </c>
      <c r="K9" s="59"/>
      <c r="L9" s="101"/>
      <c r="M9" s="101"/>
      <c r="N9" s="101"/>
      <c r="O9" s="101"/>
    </row>
    <row r="10" spans="2:15" ht="19.5">
      <c r="B10" s="102"/>
      <c r="C10" s="103"/>
      <c r="G10" s="14"/>
      <c r="H10" s="59" t="s">
        <v>1313</v>
      </c>
      <c r="I10" s="20"/>
      <c r="J10" s="59" t="s">
        <v>1313</v>
      </c>
      <c r="K10" s="59"/>
      <c r="L10" s="101"/>
      <c r="M10" s="101"/>
      <c r="N10" s="101"/>
      <c r="O10" s="101"/>
    </row>
    <row r="11" spans="2:15" ht="19.5">
      <c r="B11" s="102" t="s">
        <v>920</v>
      </c>
      <c r="C11" s="103" t="s">
        <v>119</v>
      </c>
      <c r="D11" s="17" t="s">
        <v>1856</v>
      </c>
      <c r="E11" s="14"/>
      <c r="F11" s="17" t="s">
        <v>1049</v>
      </c>
      <c r="G11" s="14"/>
      <c r="H11" s="17" t="s">
        <v>1856</v>
      </c>
      <c r="I11" s="20"/>
      <c r="J11" s="17" t="s">
        <v>1049</v>
      </c>
      <c r="K11" s="59"/>
      <c r="L11" s="101"/>
      <c r="M11" s="101"/>
      <c r="N11" s="101"/>
      <c r="O11" s="101"/>
    </row>
    <row r="12" spans="1:15" ht="16.5">
      <c r="A12" s="3" t="s">
        <v>1305</v>
      </c>
      <c r="B12" s="14" t="s">
        <v>539</v>
      </c>
      <c r="C12" s="3" t="s">
        <v>926</v>
      </c>
      <c r="D12" s="658">
        <f>ROUND(INPUT!C100,2)</f>
        <v>182408.55</v>
      </c>
      <c r="E12" s="13"/>
      <c r="F12" s="658">
        <f>ROUND(INPUT!D100,2)</f>
        <v>186177.94</v>
      </c>
      <c r="G12" s="13"/>
      <c r="H12" s="658">
        <f>ROUND(INPUT!E100,2)</f>
        <v>5905548.62</v>
      </c>
      <c r="I12" s="13"/>
      <c r="J12" s="658">
        <f>ROUND(INPUT!F100,2)</f>
        <v>8627809</v>
      </c>
      <c r="K12" s="13"/>
      <c r="L12" s="100">
        <f>ROUND(D17*INPUT!C5,4)</f>
        <v>182515.9964</v>
      </c>
      <c r="M12" s="100">
        <f>ROUND(F17*INPUT!C5,4)</f>
        <v>186229.927</v>
      </c>
      <c r="N12" s="100">
        <f>ROUND(H17*INPUT!C5,4)</f>
        <v>5905548.8076</v>
      </c>
      <c r="O12" s="100">
        <f>ROUND(J17*INPUT!C5,4)</f>
        <v>8627808.672</v>
      </c>
    </row>
    <row r="13" spans="2:15" ht="16.5">
      <c r="B13" s="14" t="s">
        <v>1011</v>
      </c>
      <c r="C13" s="3" t="s">
        <v>927</v>
      </c>
      <c r="D13" s="6">
        <f>ROUND(INPUT!C101,2)</f>
        <v>38234.31</v>
      </c>
      <c r="E13" s="13"/>
      <c r="F13" s="6">
        <f>ROUND(INPUT!D101,2)</f>
        <v>39044.14</v>
      </c>
      <c r="G13" s="13"/>
      <c r="H13" s="6">
        <f>ROUND(INPUT!E101,2)</f>
        <v>1240128.27</v>
      </c>
      <c r="I13" s="13"/>
      <c r="J13" s="6">
        <f>ROUND(INPUT!F101,2)</f>
        <v>1811782</v>
      </c>
      <c r="K13" s="13"/>
      <c r="L13" s="100">
        <f>ROUND(D17*INPUT!C6,4)</f>
        <v>38327.1632</v>
      </c>
      <c r="M13" s="100">
        <f>ROUND(F17*INPUT!C6,4)</f>
        <v>39107.0643</v>
      </c>
      <c r="N13" s="100">
        <f>ROUND(H17*INPUT!C6,4)</f>
        <v>1240126.5501</v>
      </c>
      <c r="O13" s="100">
        <f>ROUND(J17*INPUT!C6,4)</f>
        <v>1811783.2824</v>
      </c>
    </row>
    <row r="14" spans="3:15" ht="15">
      <c r="C14" s="3" t="s">
        <v>928</v>
      </c>
      <c r="D14" s="6">
        <f>ROUND(INPUT!C102,2)</f>
        <v>121735.73</v>
      </c>
      <c r="E14" s="13"/>
      <c r="F14" s="6">
        <f>ROUND(INPUT!D102,2)</f>
        <v>124214.71</v>
      </c>
      <c r="G14" s="13"/>
      <c r="H14" s="6">
        <f>ROUND(INPUT!E102,2)</f>
        <v>3941161.04</v>
      </c>
      <c r="I14" s="13"/>
      <c r="J14" s="6">
        <f>ROUND(INPUT!F102,2)</f>
        <v>5757904</v>
      </c>
      <c r="K14" s="13"/>
      <c r="L14" s="100">
        <f>ROUND(D17*INPUT!C7,4)</f>
        <v>121804.9087</v>
      </c>
      <c r="M14" s="100">
        <f>ROUND(F17*INPUT!C7,4)</f>
        <v>124283.4585</v>
      </c>
      <c r="N14" s="100">
        <f>ROUND(H17*INPUT!C7,4)</f>
        <v>3941160.4886</v>
      </c>
      <c r="O14" s="100">
        <f>ROUND(J17*INPUT!C7,4)</f>
        <v>5757903.2448</v>
      </c>
    </row>
    <row r="15" spans="3:15" ht="15">
      <c r="C15" s="3" t="s">
        <v>929</v>
      </c>
      <c r="D15" s="6">
        <f>ROUND(INPUT!C103,2)</f>
        <v>255642.37</v>
      </c>
      <c r="E15" s="13"/>
      <c r="F15" s="6">
        <f>ROUND(INPUT!D103,2)</f>
        <v>260753.01</v>
      </c>
      <c r="G15" s="13"/>
      <c r="H15" s="6">
        <f>ROUND(INPUT!E103,2)</f>
        <v>8262928.8</v>
      </c>
      <c r="I15" s="13"/>
      <c r="J15" s="6">
        <f>ROUND(INPUT!F103,2)</f>
        <v>12071865</v>
      </c>
      <c r="K15" s="13"/>
      <c r="L15" s="100">
        <f>ROUND(D17*INPUT!C8,4)</f>
        <v>255372.8897</v>
      </c>
      <c r="M15" s="100">
        <f>ROUND(F17*INPUT!C8,4)</f>
        <v>260569.3503</v>
      </c>
      <c r="N15" s="100">
        <f>ROUND(H17*INPUT!C8,4)</f>
        <v>8262930.8889</v>
      </c>
      <c r="O15" s="100">
        <f>ROUND(J17*INPUT!C8,4)</f>
        <v>12071864.8008</v>
      </c>
    </row>
    <row r="16" spans="3:15" ht="15">
      <c r="C16" s="3" t="s">
        <v>1754</v>
      </c>
      <c r="D16" s="21">
        <f>ROUND(INPUT!C104,2)</f>
        <v>0</v>
      </c>
      <c r="E16" s="13"/>
      <c r="F16" s="21">
        <f>ROUND(INPUT!D104,2)</f>
        <v>0</v>
      </c>
      <c r="G16" s="13"/>
      <c r="H16" s="21">
        <f>ROUND(INPUT!E104,2)</f>
        <v>0</v>
      </c>
      <c r="I16" s="13"/>
      <c r="J16" s="21">
        <f>ROUND(INPUT!F104,2)</f>
        <v>0</v>
      </c>
      <c r="K16" s="6"/>
      <c r="L16" s="104">
        <f>ROUND(D17*INPUT!C9,4)</f>
        <v>0</v>
      </c>
      <c r="M16" s="104">
        <f>ROUND(F17*INPUT!C9,4)</f>
        <v>0</v>
      </c>
      <c r="N16" s="104">
        <f>ROUND(H17*INPUT!C9,4)</f>
        <v>0</v>
      </c>
      <c r="O16" s="104">
        <f>ROUND(J17*INPUT!C9,4)</f>
        <v>0</v>
      </c>
    </row>
    <row r="17" spans="3:15" ht="15">
      <c r="C17" s="3" t="s">
        <v>543</v>
      </c>
      <c r="D17" s="13">
        <f>+INPUT!C105</f>
        <v>598020.958015</v>
      </c>
      <c r="E17" s="13"/>
      <c r="F17" s="13">
        <f>+INPUT!D105</f>
        <v>610189.8</v>
      </c>
      <c r="G17" s="13"/>
      <c r="H17" s="13">
        <f>+INPUT!E105</f>
        <v>19349766.7351</v>
      </c>
      <c r="I17" s="13"/>
      <c r="J17" s="13">
        <f>+INPUT!F105</f>
        <v>28269360</v>
      </c>
      <c r="K17" s="13"/>
      <c r="L17" s="100">
        <f>SUM(L12:L16)</f>
        <v>598020.9580000001</v>
      </c>
      <c r="M17" s="100">
        <f>SUM(M12:M16)</f>
        <v>610189.8001</v>
      </c>
      <c r="N17" s="100">
        <f>SUM(N12:N16)</f>
        <v>19349766.7352</v>
      </c>
      <c r="O17" s="100">
        <f>SUM(O12:O16)</f>
        <v>28269360</v>
      </c>
    </row>
    <row r="18" spans="4:15" ht="15">
      <c r="D18" s="13"/>
      <c r="E18" s="13"/>
      <c r="F18" s="13"/>
      <c r="G18" s="13"/>
      <c r="H18" s="13"/>
      <c r="I18" s="13"/>
      <c r="J18" s="13"/>
      <c r="K18" s="12"/>
      <c r="L18" s="101"/>
      <c r="M18" s="101"/>
      <c r="N18" s="100"/>
      <c r="O18" s="100"/>
    </row>
    <row r="19" spans="1:15" ht="16.5">
      <c r="A19" s="3" t="s">
        <v>1306</v>
      </c>
      <c r="B19" s="14" t="s">
        <v>887</v>
      </c>
      <c r="C19" s="3" t="s">
        <v>926</v>
      </c>
      <c r="D19" s="6">
        <f>ROUND(INPUT!C107,2)</f>
        <v>181175.1</v>
      </c>
      <c r="E19" s="13"/>
      <c r="F19" s="6">
        <f>ROUND(INPUT!D107,2)</f>
        <v>186455.94</v>
      </c>
      <c r="G19" s="13"/>
      <c r="H19" s="6">
        <f>ROUND(INPUT!E107,2)</f>
        <v>5880115</v>
      </c>
      <c r="I19" s="13"/>
      <c r="J19" s="6">
        <f>ROUND(INPUT!F107,2)</f>
        <v>8639918</v>
      </c>
      <c r="K19" s="13"/>
      <c r="L19" s="100"/>
      <c r="M19" s="100"/>
      <c r="N19" s="100"/>
      <c r="O19" s="100"/>
    </row>
    <row r="20" spans="2:15" ht="16.5">
      <c r="B20" s="14" t="s">
        <v>888</v>
      </c>
      <c r="C20" s="3" t="s">
        <v>927</v>
      </c>
      <c r="D20" s="6">
        <f>ROUND(INPUT!C108,2)</f>
        <v>37975.3</v>
      </c>
      <c r="E20" s="13"/>
      <c r="F20" s="6">
        <f>ROUND(INPUT!D108,2)</f>
        <v>39101.14</v>
      </c>
      <c r="G20" s="13"/>
      <c r="H20" s="6">
        <f>ROUND(INPUT!E108,2)</f>
        <v>1234786.19</v>
      </c>
      <c r="I20" s="13"/>
      <c r="J20" s="6">
        <f>ROUND(INPUT!F108,2)</f>
        <v>1814325</v>
      </c>
      <c r="K20" s="13"/>
      <c r="L20" s="100"/>
      <c r="M20" s="100"/>
      <c r="N20" s="100"/>
      <c r="O20" s="100"/>
    </row>
    <row r="21" spans="2:15" ht="16.5">
      <c r="B21" s="14" t="s">
        <v>923</v>
      </c>
      <c r="C21" s="3" t="s">
        <v>928</v>
      </c>
      <c r="D21" s="6">
        <f>ROUND(INPUT!C109,2)</f>
        <v>120912.3</v>
      </c>
      <c r="E21" s="13"/>
      <c r="F21" s="6">
        <f>ROUND(INPUT!D109,2)</f>
        <v>124400.71</v>
      </c>
      <c r="G21" s="13"/>
      <c r="H21" s="6">
        <f>ROUND(INPUT!E109,2)</f>
        <v>3924186.15</v>
      </c>
      <c r="I21" s="13"/>
      <c r="J21" s="6">
        <f>ROUND(INPUT!F109,2)</f>
        <v>5765984</v>
      </c>
      <c r="K21" s="13"/>
      <c r="L21" s="100"/>
      <c r="M21" s="100"/>
      <c r="N21" s="100"/>
      <c r="O21" s="100"/>
    </row>
    <row r="22" spans="3:15" ht="15">
      <c r="C22" s="3" t="s">
        <v>929</v>
      </c>
      <c r="D22" s="6">
        <f>ROUND(INPUT!C110,2)</f>
        <v>253915.47</v>
      </c>
      <c r="E22" s="13"/>
      <c r="F22" s="6">
        <f>ROUND(INPUT!D110,2)</f>
        <v>261142.01</v>
      </c>
      <c r="G22" s="13"/>
      <c r="H22" s="6">
        <f>ROUND(INPUT!E110,2)</f>
        <v>8227335.91</v>
      </c>
      <c r="I22" s="13"/>
      <c r="J22" s="6">
        <f>ROUND(INPUT!F110,2)</f>
        <v>12088807</v>
      </c>
      <c r="K22" s="13"/>
      <c r="L22" s="100"/>
      <c r="M22" s="100"/>
      <c r="N22" s="100"/>
      <c r="O22" s="100"/>
    </row>
    <row r="23" spans="3:15" ht="15">
      <c r="C23" s="3" t="s">
        <v>1754</v>
      </c>
      <c r="D23" s="21">
        <f>ROUND(INPUT!C111,2)</f>
        <v>0</v>
      </c>
      <c r="E23" s="13"/>
      <c r="F23" s="21">
        <f>ROUND(INPUT!D111,2)</f>
        <v>0</v>
      </c>
      <c r="G23" s="13"/>
      <c r="H23" s="21">
        <f>ROUND(INPUT!E111,2)</f>
        <v>0</v>
      </c>
      <c r="I23" s="13"/>
      <c r="J23" s="21">
        <f>ROUND(INPUT!F111,2)</f>
        <v>0</v>
      </c>
      <c r="K23" s="6"/>
      <c r="L23" s="105"/>
      <c r="M23" s="105"/>
      <c r="N23" s="105"/>
      <c r="O23" s="105"/>
    </row>
    <row r="24" spans="3:15" ht="15">
      <c r="C24" s="3" t="s">
        <v>543</v>
      </c>
      <c r="D24" s="13">
        <f>SUM(D19:D23)</f>
        <v>593978.17</v>
      </c>
      <c r="E24" s="13"/>
      <c r="F24" s="13">
        <f>SUM(F19:F23)</f>
        <v>611099.8</v>
      </c>
      <c r="G24" s="13"/>
      <c r="H24" s="13">
        <f>SUM(H19:H23)</f>
        <v>19266423.25</v>
      </c>
      <c r="I24" s="13"/>
      <c r="J24" s="13">
        <f>SUM(J19:J23)</f>
        <v>28309034</v>
      </c>
      <c r="K24" s="13"/>
      <c r="L24" s="100"/>
      <c r="M24" s="100"/>
      <c r="N24" s="100"/>
      <c r="O24" s="100"/>
    </row>
    <row r="25" spans="4:15" ht="15">
      <c r="D25" s="13"/>
      <c r="E25" s="13"/>
      <c r="F25" s="13"/>
      <c r="G25" s="13"/>
      <c r="H25" s="13"/>
      <c r="I25" s="13"/>
      <c r="J25" s="13"/>
      <c r="K25" s="12"/>
      <c r="L25" s="101"/>
      <c r="M25" s="101"/>
      <c r="N25" s="100"/>
      <c r="O25" s="100"/>
    </row>
    <row r="26" spans="1:15" ht="16.5">
      <c r="A26" s="3" t="s">
        <v>1309</v>
      </c>
      <c r="B26" s="14" t="s">
        <v>1310</v>
      </c>
      <c r="C26" s="3" t="s">
        <v>926</v>
      </c>
      <c r="D26" s="13">
        <f>+D12-D19</f>
        <v>1233.4499999999825</v>
      </c>
      <c r="E26" s="13"/>
      <c r="F26" s="13">
        <f>+F12-F19</f>
        <v>-278</v>
      </c>
      <c r="G26" s="13"/>
      <c r="H26" s="13">
        <f>+H12-H19</f>
        <v>25433.62000000011</v>
      </c>
      <c r="I26" s="13"/>
      <c r="J26" s="13">
        <f>+J12-J19</f>
        <v>-12109</v>
      </c>
      <c r="K26" s="12"/>
      <c r="L26" s="101"/>
      <c r="M26" s="101"/>
      <c r="N26" s="100"/>
      <c r="O26" s="100"/>
    </row>
    <row r="27" spans="2:15" ht="16.5">
      <c r="B27" s="14" t="s">
        <v>890</v>
      </c>
      <c r="C27" s="3" t="s">
        <v>927</v>
      </c>
      <c r="D27" s="13">
        <f>+D13-D20</f>
        <v>259.00999999999476</v>
      </c>
      <c r="E27" s="13"/>
      <c r="F27" s="13">
        <f>+F13-F20</f>
        <v>-57</v>
      </c>
      <c r="G27" s="13"/>
      <c r="H27" s="13">
        <f>+H13-H20</f>
        <v>5342.0800000000745</v>
      </c>
      <c r="I27" s="13"/>
      <c r="J27" s="13">
        <f>+J13-J20</f>
        <v>-2543</v>
      </c>
      <c r="K27" s="12"/>
      <c r="L27" s="101"/>
      <c r="M27" s="101"/>
      <c r="N27" s="100"/>
      <c r="O27" s="100"/>
    </row>
    <row r="28" spans="2:15" ht="16.5">
      <c r="B28" s="14" t="s">
        <v>923</v>
      </c>
      <c r="C28" s="3" t="s">
        <v>928</v>
      </c>
      <c r="D28" s="13">
        <f>+D14-D21</f>
        <v>823.429999999993</v>
      </c>
      <c r="E28" s="13"/>
      <c r="F28" s="13">
        <f>+F14-F21</f>
        <v>-186</v>
      </c>
      <c r="G28" s="13"/>
      <c r="H28" s="13">
        <f>+H14-H21</f>
        <v>16974.89000000013</v>
      </c>
      <c r="I28" s="13"/>
      <c r="J28" s="13">
        <f>+J14-J21</f>
        <v>-8080</v>
      </c>
      <c r="K28" s="12"/>
      <c r="L28" s="101"/>
      <c r="M28" s="101"/>
      <c r="N28" s="100"/>
      <c r="O28" s="100"/>
    </row>
    <row r="29" spans="2:15" ht="16.5">
      <c r="B29" s="14" t="s">
        <v>923</v>
      </c>
      <c r="C29" s="3" t="s">
        <v>929</v>
      </c>
      <c r="D29" s="13">
        <f>+D15-D22</f>
        <v>1726.8999999999942</v>
      </c>
      <c r="E29" s="13"/>
      <c r="F29" s="13">
        <f>+F15-F22</f>
        <v>-389</v>
      </c>
      <c r="G29" s="13"/>
      <c r="H29" s="13">
        <f>+H15-H22</f>
        <v>35592.889999999665</v>
      </c>
      <c r="I29" s="13"/>
      <c r="J29" s="13">
        <f>+J15-J22</f>
        <v>-16942</v>
      </c>
      <c r="K29" s="12"/>
      <c r="L29" s="101"/>
      <c r="M29" s="101"/>
      <c r="N29" s="100"/>
      <c r="O29" s="100"/>
    </row>
    <row r="30" spans="2:15" ht="16.5">
      <c r="B30" s="20"/>
      <c r="C30" s="3" t="s">
        <v>1754</v>
      </c>
      <c r="D30" s="21">
        <f>+D16-D23</f>
        <v>0</v>
      </c>
      <c r="E30" s="13"/>
      <c r="F30" s="21">
        <f>+F16-F23</f>
        <v>0</v>
      </c>
      <c r="G30" s="13"/>
      <c r="H30" s="21">
        <f>+H16-H23</f>
        <v>0</v>
      </c>
      <c r="I30" s="21"/>
      <c r="J30" s="21">
        <f>+J16-J23</f>
        <v>0</v>
      </c>
      <c r="K30" s="55"/>
      <c r="L30" s="101"/>
      <c r="M30" s="101"/>
      <c r="N30" s="100"/>
      <c r="O30" s="100"/>
    </row>
    <row r="31" spans="2:15" ht="16.5">
      <c r="B31" s="20"/>
      <c r="C31" s="3" t="s">
        <v>543</v>
      </c>
      <c r="D31" s="13">
        <f>SUM(D26:D30)</f>
        <v>4042.7899999999645</v>
      </c>
      <c r="E31" s="13"/>
      <c r="F31" s="13">
        <f>SUM(F26:F30)</f>
        <v>-910</v>
      </c>
      <c r="G31" s="13"/>
      <c r="H31" s="13">
        <f>SUM(H26:H30)</f>
        <v>83343.47999999998</v>
      </c>
      <c r="I31" s="13"/>
      <c r="J31" s="13">
        <f>SUM(J26:J30)</f>
        <v>-39674</v>
      </c>
      <c r="K31" s="12"/>
      <c r="L31" s="101"/>
      <c r="M31" s="101"/>
      <c r="N31" s="100"/>
      <c r="O31" s="100"/>
    </row>
    <row r="32" spans="2:17" ht="16.5">
      <c r="B32" s="2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1"/>
      <c r="O32" s="101"/>
      <c r="P32" s="100"/>
      <c r="Q32" s="100"/>
    </row>
    <row r="33" spans="2:17" ht="19.5">
      <c r="B33" s="106" t="s">
        <v>1784</v>
      </c>
      <c r="G33" s="14"/>
      <c r="H33" s="59" t="s">
        <v>885</v>
      </c>
      <c r="I33" s="20"/>
      <c r="J33" s="59" t="s">
        <v>886</v>
      </c>
      <c r="K33" s="59"/>
      <c r="L33" s="59"/>
      <c r="M33" s="59"/>
      <c r="N33" s="101"/>
      <c r="O33" s="101"/>
      <c r="P33" s="101"/>
      <c r="Q33" s="101"/>
    </row>
    <row r="34" spans="2:17" ht="19.5">
      <c r="B34" s="106" t="s">
        <v>1867</v>
      </c>
      <c r="G34" s="14"/>
      <c r="H34" s="59" t="s">
        <v>1313</v>
      </c>
      <c r="I34" s="20"/>
      <c r="J34" s="59" t="s">
        <v>1313</v>
      </c>
      <c r="K34" s="59"/>
      <c r="L34" s="59"/>
      <c r="M34" s="59"/>
      <c r="N34" s="101"/>
      <c r="O34" s="101"/>
      <c r="P34" s="101"/>
      <c r="Q34" s="101"/>
    </row>
    <row r="35" spans="2:17" ht="19.5">
      <c r="B35" s="102" t="s">
        <v>1868</v>
      </c>
      <c r="C35" s="103" t="s">
        <v>120</v>
      </c>
      <c r="D35" s="17" t="s">
        <v>1857</v>
      </c>
      <c r="E35" s="14"/>
      <c r="F35" s="17" t="s">
        <v>1050</v>
      </c>
      <c r="G35" s="14"/>
      <c r="H35" s="17" t="s">
        <v>1857</v>
      </c>
      <c r="I35" s="20"/>
      <c r="J35" s="17" t="s">
        <v>1050</v>
      </c>
      <c r="K35" s="59"/>
      <c r="L35" s="59"/>
      <c r="M35" s="59"/>
      <c r="N35" s="101"/>
      <c r="O35" s="101"/>
      <c r="P35" s="101"/>
      <c r="Q35" s="101"/>
    </row>
    <row r="36" spans="4:17" ht="16.5">
      <c r="D36" s="59"/>
      <c r="E36" s="14"/>
      <c r="F36" s="59"/>
      <c r="G36" s="14"/>
      <c r="H36" s="59"/>
      <c r="I36" s="20"/>
      <c r="J36" s="59"/>
      <c r="K36" s="59"/>
      <c r="L36" s="59"/>
      <c r="M36" s="59"/>
      <c r="N36" s="101"/>
      <c r="O36" s="101"/>
      <c r="P36" s="101"/>
      <c r="Q36" s="101"/>
    </row>
    <row r="37" spans="1:17" ht="16.5">
      <c r="A37" s="3" t="s">
        <v>1305</v>
      </c>
      <c r="B37" s="14" t="s">
        <v>539</v>
      </c>
      <c r="C37" s="3" t="s">
        <v>926</v>
      </c>
      <c r="D37" s="6">
        <f>ROUND(INPUT!C116,2)</f>
        <v>0</v>
      </c>
      <c r="E37" s="13"/>
      <c r="F37" s="6">
        <f>ROUND(INPUT!D116,2)</f>
        <v>0</v>
      </c>
      <c r="G37" s="13"/>
      <c r="H37" s="6">
        <f>ROUND(INPUT!E116,2)</f>
        <v>0</v>
      </c>
      <c r="I37" s="13"/>
      <c r="J37" s="6">
        <f>ROUND(INPUT!F116,2)</f>
        <v>0</v>
      </c>
      <c r="K37" s="13"/>
      <c r="L37" s="13"/>
      <c r="M37" s="13"/>
      <c r="N37" s="100">
        <f>ROUND(D42*INPUT!C5,4)</f>
        <v>0</v>
      </c>
      <c r="O37" s="100">
        <f>ROUND(F42*INPUT!C5,4)</f>
        <v>0</v>
      </c>
      <c r="P37" s="100">
        <f>ROUND(H42*INPUT!C5,4)</f>
        <v>0</v>
      </c>
      <c r="Q37" s="100">
        <f>ROUND(J42*INPUT!C5,4)</f>
        <v>0</v>
      </c>
    </row>
    <row r="38" spans="2:17" ht="16.5">
      <c r="B38" s="14" t="s">
        <v>1011</v>
      </c>
      <c r="C38" s="3" t="s">
        <v>927</v>
      </c>
      <c r="D38" s="6">
        <f>ROUND(INPUT!C117,2)</f>
        <v>0</v>
      </c>
      <c r="E38" s="13"/>
      <c r="F38" s="6">
        <f>ROUND(INPUT!D117,2)</f>
        <v>0</v>
      </c>
      <c r="G38" s="13"/>
      <c r="H38" s="6">
        <f>ROUND(INPUT!E117,2)</f>
        <v>0</v>
      </c>
      <c r="I38" s="13"/>
      <c r="J38" s="6">
        <f>ROUND(INPUT!F117,2)</f>
        <v>0</v>
      </c>
      <c r="K38" s="13"/>
      <c r="L38" s="13"/>
      <c r="M38" s="13"/>
      <c r="N38" s="100">
        <f>ROUND(D42*INPUT!C6,4)</f>
        <v>0</v>
      </c>
      <c r="O38" s="100">
        <f>ROUND(F42*INPUT!C6,4)</f>
        <v>0</v>
      </c>
      <c r="P38" s="100">
        <f>ROUND(H42*INPUT!C6,4)</f>
        <v>0</v>
      </c>
      <c r="Q38" s="100">
        <f>ROUND(J42*INPUT!C6,4)</f>
        <v>0</v>
      </c>
    </row>
    <row r="39" spans="3:17" ht="15">
      <c r="C39" s="3" t="s">
        <v>928</v>
      </c>
      <c r="D39" s="6">
        <f>ROUND(INPUT!C118,2)</f>
        <v>0</v>
      </c>
      <c r="E39" s="13"/>
      <c r="F39" s="6">
        <f>ROUND(INPUT!D118,2)</f>
        <v>0</v>
      </c>
      <c r="G39" s="13"/>
      <c r="H39" s="6">
        <f>ROUND(INPUT!E118,2)</f>
        <v>0</v>
      </c>
      <c r="I39" s="13"/>
      <c r="J39" s="6">
        <f>ROUND(INPUT!F118,2)</f>
        <v>0</v>
      </c>
      <c r="K39" s="13"/>
      <c r="L39" s="13"/>
      <c r="M39" s="13"/>
      <c r="N39" s="100">
        <f>ROUND(D42*INPUT!C7,4)</f>
        <v>0</v>
      </c>
      <c r="O39" s="100">
        <f>ROUND(F42*INPUT!C7,4)</f>
        <v>0</v>
      </c>
      <c r="P39" s="100">
        <f>ROUND(H42*INPUT!C7,4)</f>
        <v>0</v>
      </c>
      <c r="Q39" s="100">
        <f>ROUND(J42*INPUT!C7,4)</f>
        <v>0</v>
      </c>
    </row>
    <row r="40" spans="3:17" ht="15">
      <c r="C40" s="3" t="s">
        <v>929</v>
      </c>
      <c r="D40" s="6">
        <f>ROUND(INPUT!C119,2)</f>
        <v>0</v>
      </c>
      <c r="E40" s="13"/>
      <c r="F40" s="6">
        <f>ROUND(INPUT!D119,2)</f>
        <v>0</v>
      </c>
      <c r="G40" s="13"/>
      <c r="H40" s="6">
        <f>ROUND(INPUT!E119,2)</f>
        <v>0</v>
      </c>
      <c r="I40" s="13"/>
      <c r="J40" s="6">
        <f>ROUND(INPUT!F119,2)</f>
        <v>0</v>
      </c>
      <c r="K40" s="13"/>
      <c r="L40" s="13"/>
      <c r="M40" s="13"/>
      <c r="N40" s="100">
        <f>ROUND(D42*INPUT!C8,4)</f>
        <v>0</v>
      </c>
      <c r="O40" s="100">
        <f>ROUND(F42*INPUT!C8,4)</f>
        <v>0</v>
      </c>
      <c r="P40" s="100">
        <f>ROUND(H42*INPUT!C8,4)</f>
        <v>0</v>
      </c>
      <c r="Q40" s="100">
        <f>ROUND(J42*INPUT!C8,4)</f>
        <v>0</v>
      </c>
    </row>
    <row r="41" spans="3:17" ht="15">
      <c r="C41" s="3" t="s">
        <v>1754</v>
      </c>
      <c r="D41" s="21">
        <f>ROUND(INPUT!C120,2)</f>
        <v>0</v>
      </c>
      <c r="E41" s="13"/>
      <c r="F41" s="21">
        <f>ROUND(INPUT!D120,2)</f>
        <v>0</v>
      </c>
      <c r="G41" s="13"/>
      <c r="H41" s="21">
        <f>ROUND(INPUT!E120,2)</f>
        <v>0</v>
      </c>
      <c r="I41" s="13"/>
      <c r="J41" s="21">
        <f>ROUND(INPUT!F120,2)</f>
        <v>0</v>
      </c>
      <c r="K41" s="21"/>
      <c r="L41" s="6"/>
      <c r="M41" s="6"/>
      <c r="N41" s="104">
        <f>ROUND(D42*INPUT!C9,4)</f>
        <v>0</v>
      </c>
      <c r="O41" s="104">
        <f>ROUND(F42*INPUT!C9,4)</f>
        <v>0</v>
      </c>
      <c r="P41" s="104">
        <f>ROUND(H42*INPUT!C9,4)</f>
        <v>0</v>
      </c>
      <c r="Q41" s="104">
        <f>ROUND(J42*INPUT!C9,4)</f>
        <v>0</v>
      </c>
    </row>
    <row r="42" spans="3:17" ht="15">
      <c r="C42" s="3" t="s">
        <v>543</v>
      </c>
      <c r="D42" s="13">
        <f>+INPUT!C121</f>
        <v>0</v>
      </c>
      <c r="E42" s="13"/>
      <c r="F42" s="13">
        <f>+INPUT!D121</f>
        <v>0</v>
      </c>
      <c r="G42" s="13"/>
      <c r="H42" s="13">
        <f>+INPUT!E121</f>
        <v>0</v>
      </c>
      <c r="I42" s="13"/>
      <c r="J42" s="13">
        <f>+INPUT!F121</f>
        <v>0</v>
      </c>
      <c r="K42" s="13"/>
      <c r="L42" s="13"/>
      <c r="M42" s="13"/>
      <c r="N42" s="100">
        <f>SUM(N37:N41)</f>
        <v>0</v>
      </c>
      <c r="O42" s="100">
        <f>SUM(O37:O41)</f>
        <v>0</v>
      </c>
      <c r="P42" s="100">
        <f>SUM(P37:P41)</f>
        <v>0</v>
      </c>
      <c r="Q42" s="100">
        <f>SUM(Q37:Q41)</f>
        <v>0</v>
      </c>
    </row>
    <row r="43" spans="4:17" ht="15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1"/>
      <c r="O43" s="101"/>
      <c r="P43" s="100"/>
      <c r="Q43" s="100"/>
    </row>
    <row r="44" spans="1:17" ht="16.5">
      <c r="A44" s="3" t="s">
        <v>1306</v>
      </c>
      <c r="B44" s="14" t="s">
        <v>887</v>
      </c>
      <c r="C44" s="3" t="s">
        <v>926</v>
      </c>
      <c r="D44" s="6">
        <f>ROUND(INPUT!C123,2)</f>
        <v>0</v>
      </c>
      <c r="E44" s="13"/>
      <c r="F44" s="6">
        <f>ROUND(INPUT!D123,2)</f>
        <v>0</v>
      </c>
      <c r="G44" s="13"/>
      <c r="H44" s="6">
        <f>ROUND(INPUT!E123,2)</f>
        <v>0</v>
      </c>
      <c r="I44" s="13"/>
      <c r="J44" s="6">
        <f>ROUND(INPUT!F123,2)</f>
        <v>0</v>
      </c>
      <c r="K44" s="13"/>
      <c r="L44" s="13"/>
      <c r="M44" s="13"/>
      <c r="N44" s="100"/>
      <c r="O44" s="100"/>
      <c r="P44" s="100"/>
      <c r="Q44" s="100"/>
    </row>
    <row r="45" spans="2:17" ht="16.5">
      <c r="B45" s="14" t="s">
        <v>888</v>
      </c>
      <c r="C45" s="3" t="s">
        <v>927</v>
      </c>
      <c r="D45" s="6">
        <f>ROUND(INPUT!C124,2)</f>
        <v>0</v>
      </c>
      <c r="E45" s="13"/>
      <c r="F45" s="6">
        <f>ROUND(INPUT!D124,2)</f>
        <v>0</v>
      </c>
      <c r="G45" s="13"/>
      <c r="H45" s="6">
        <f>ROUND(INPUT!E124,2)</f>
        <v>0</v>
      </c>
      <c r="I45" s="13"/>
      <c r="J45" s="6">
        <f>ROUND(INPUT!F124,2)</f>
        <v>0</v>
      </c>
      <c r="K45" s="13"/>
      <c r="L45" s="13"/>
      <c r="M45" s="13"/>
      <c r="N45" s="100"/>
      <c r="O45" s="100"/>
      <c r="P45" s="100"/>
      <c r="Q45" s="100"/>
    </row>
    <row r="46" spans="2:17" ht="16.5">
      <c r="B46" s="14" t="s">
        <v>923</v>
      </c>
      <c r="C46" s="3" t="s">
        <v>928</v>
      </c>
      <c r="D46" s="6">
        <f>ROUND(INPUT!C125,2)</f>
        <v>0</v>
      </c>
      <c r="E46" s="13"/>
      <c r="F46" s="6">
        <f>ROUND(INPUT!D125,2)</f>
        <v>0</v>
      </c>
      <c r="G46" s="13"/>
      <c r="H46" s="6">
        <f>ROUND(INPUT!E125,2)</f>
        <v>0</v>
      </c>
      <c r="I46" s="13"/>
      <c r="J46" s="6">
        <f>ROUND(INPUT!F125,2)</f>
        <v>0</v>
      </c>
      <c r="K46" s="13"/>
      <c r="L46" s="13"/>
      <c r="M46" s="13"/>
      <c r="N46" s="100"/>
      <c r="O46" s="100"/>
      <c r="P46" s="100"/>
      <c r="Q46" s="100"/>
    </row>
    <row r="47" spans="3:17" ht="15">
      <c r="C47" s="3" t="s">
        <v>929</v>
      </c>
      <c r="D47" s="6">
        <f>ROUND(INPUT!C126,2)</f>
        <v>0</v>
      </c>
      <c r="E47" s="13"/>
      <c r="F47" s="6">
        <f>ROUND(INPUT!D126,2)</f>
        <v>0</v>
      </c>
      <c r="G47" s="13"/>
      <c r="H47" s="6">
        <f>ROUND(INPUT!E126,2)</f>
        <v>0</v>
      </c>
      <c r="I47" s="13"/>
      <c r="J47" s="6">
        <f>ROUND(INPUT!F126,2)</f>
        <v>0</v>
      </c>
      <c r="K47" s="13"/>
      <c r="L47" s="13"/>
      <c r="M47" s="13"/>
      <c r="N47" s="100"/>
      <c r="O47" s="100"/>
      <c r="P47" s="100"/>
      <c r="Q47" s="100"/>
    </row>
    <row r="48" spans="3:17" ht="15">
      <c r="C48" s="3" t="s">
        <v>1754</v>
      </c>
      <c r="D48" s="21">
        <f>ROUND(INPUT!C127,2)</f>
        <v>0</v>
      </c>
      <c r="E48" s="13"/>
      <c r="F48" s="21">
        <f>ROUND(INPUT!D127,2)</f>
        <v>0</v>
      </c>
      <c r="G48" s="13"/>
      <c r="H48" s="21">
        <f>ROUND(INPUT!E127,2)</f>
        <v>0</v>
      </c>
      <c r="I48" s="13"/>
      <c r="J48" s="21">
        <f>ROUND(INPUT!F127,2)</f>
        <v>0</v>
      </c>
      <c r="K48" s="6"/>
      <c r="L48" s="6"/>
      <c r="M48" s="6"/>
      <c r="N48" s="105"/>
      <c r="O48" s="105"/>
      <c r="P48" s="105"/>
      <c r="Q48" s="105"/>
    </row>
    <row r="49" spans="3:17" ht="15">
      <c r="C49" s="3" t="s">
        <v>543</v>
      </c>
      <c r="D49" s="13">
        <f>SUM(D44:D48)</f>
        <v>0</v>
      </c>
      <c r="E49" s="13"/>
      <c r="F49" s="13">
        <f>SUM(F44:F48)</f>
        <v>0</v>
      </c>
      <c r="G49" s="13"/>
      <c r="H49" s="13">
        <f>SUM(H44:H48)</f>
        <v>0</v>
      </c>
      <c r="I49" s="13"/>
      <c r="J49" s="13">
        <f>SUM(J44:J48)</f>
        <v>0</v>
      </c>
      <c r="K49" s="13"/>
      <c r="L49" s="13"/>
      <c r="M49" s="13"/>
      <c r="N49" s="100"/>
      <c r="O49" s="100"/>
      <c r="P49" s="100"/>
      <c r="Q49" s="100"/>
    </row>
    <row r="50" spans="4:17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01"/>
      <c r="O50" s="101"/>
      <c r="P50" s="100"/>
      <c r="Q50" s="100"/>
    </row>
    <row r="51" spans="1:17" ht="16.5">
      <c r="A51" s="3" t="s">
        <v>1309</v>
      </c>
      <c r="B51" s="14" t="s">
        <v>1310</v>
      </c>
      <c r="C51" s="3" t="s">
        <v>926</v>
      </c>
      <c r="D51" s="12">
        <f>+D37-D44</f>
        <v>0</v>
      </c>
      <c r="E51" s="12"/>
      <c r="F51" s="12">
        <f>+F37-F44</f>
        <v>0</v>
      </c>
      <c r="G51" s="12"/>
      <c r="H51" s="12">
        <f>+H37-H44</f>
        <v>0</v>
      </c>
      <c r="I51" s="12"/>
      <c r="J51" s="12">
        <f>+J37-J44</f>
        <v>0</v>
      </c>
      <c r="K51" s="12"/>
      <c r="L51" s="12"/>
      <c r="M51" s="12"/>
      <c r="N51" s="101"/>
      <c r="O51" s="101"/>
      <c r="P51" s="100"/>
      <c r="Q51" s="100"/>
    </row>
    <row r="52" spans="2:17" ht="16.5">
      <c r="B52" s="14" t="s">
        <v>890</v>
      </c>
      <c r="C52" s="3" t="s">
        <v>927</v>
      </c>
      <c r="D52" s="12">
        <f>+D38-D45</f>
        <v>0</v>
      </c>
      <c r="E52" s="12"/>
      <c r="F52" s="12">
        <f>+F38-F45</f>
        <v>0</v>
      </c>
      <c r="G52" s="12"/>
      <c r="H52" s="12">
        <f>+H38-H45</f>
        <v>0</v>
      </c>
      <c r="I52" s="12"/>
      <c r="J52" s="12">
        <f>+J38-J45</f>
        <v>0</v>
      </c>
      <c r="K52" s="12"/>
      <c r="L52" s="12"/>
      <c r="M52" s="12"/>
      <c r="N52" s="101"/>
      <c r="O52" s="101"/>
      <c r="P52" s="100"/>
      <c r="Q52" s="100"/>
    </row>
    <row r="53" spans="2:17" ht="16.5">
      <c r="B53" s="14" t="s">
        <v>923</v>
      </c>
      <c r="C53" s="3" t="s">
        <v>928</v>
      </c>
      <c r="D53" s="12">
        <f>+D39-D46</f>
        <v>0</v>
      </c>
      <c r="E53" s="12"/>
      <c r="F53" s="12">
        <f>+F39-F46</f>
        <v>0</v>
      </c>
      <c r="G53" s="12"/>
      <c r="H53" s="12">
        <f>+H39-H46</f>
        <v>0</v>
      </c>
      <c r="I53" s="12"/>
      <c r="J53" s="12">
        <f>+J39-J46</f>
        <v>0</v>
      </c>
      <c r="K53" s="12"/>
      <c r="L53" s="12"/>
      <c r="M53" s="12"/>
      <c r="N53" s="101"/>
      <c r="O53" s="101"/>
      <c r="P53" s="100"/>
      <c r="Q53" s="100"/>
    </row>
    <row r="54" spans="2:17" ht="16.5">
      <c r="B54" s="14" t="s">
        <v>923</v>
      </c>
      <c r="C54" s="3" t="s">
        <v>929</v>
      </c>
      <c r="D54" s="12">
        <f>+D40-D47</f>
        <v>0</v>
      </c>
      <c r="E54" s="12"/>
      <c r="F54" s="12">
        <f>+F40-F47</f>
        <v>0</v>
      </c>
      <c r="G54" s="12"/>
      <c r="H54" s="12">
        <f>+H40-H47</f>
        <v>0</v>
      </c>
      <c r="I54" s="12"/>
      <c r="J54" s="12">
        <f>+J40-J47</f>
        <v>0</v>
      </c>
      <c r="K54" s="12"/>
      <c r="L54" s="12"/>
      <c r="M54" s="12"/>
      <c r="N54" s="101"/>
      <c r="O54" s="101"/>
      <c r="P54" s="100"/>
      <c r="Q54" s="100"/>
    </row>
    <row r="55" spans="2:17" ht="16.5">
      <c r="B55" s="20"/>
      <c r="C55" s="3" t="s">
        <v>1754</v>
      </c>
      <c r="D55" s="22">
        <f>+D41-D48</f>
        <v>0</v>
      </c>
      <c r="E55" s="12"/>
      <c r="F55" s="22">
        <f>+F41-F48</f>
        <v>0</v>
      </c>
      <c r="G55" s="12"/>
      <c r="H55" s="22">
        <f>+H41-H48</f>
        <v>0</v>
      </c>
      <c r="I55" s="12"/>
      <c r="J55" s="22">
        <f>+J41-J48</f>
        <v>0</v>
      </c>
      <c r="K55" s="55"/>
      <c r="L55" s="55"/>
      <c r="M55" s="55"/>
      <c r="N55" s="101"/>
      <c r="O55" s="101"/>
      <c r="P55" s="100"/>
      <c r="Q55" s="100"/>
    </row>
    <row r="56" spans="2:17" ht="16.5">
      <c r="B56" s="20"/>
      <c r="C56" s="3" t="s">
        <v>543</v>
      </c>
      <c r="D56" s="13">
        <f>SUM(D51:D55)</f>
        <v>0</v>
      </c>
      <c r="E56" s="13"/>
      <c r="F56" s="13">
        <f>SUM(F51:F55)</f>
        <v>0</v>
      </c>
      <c r="G56" s="13"/>
      <c r="H56" s="13">
        <f>SUM(H51:H55)</f>
        <v>0</v>
      </c>
      <c r="I56" s="13"/>
      <c r="J56" s="13">
        <f>SUM(J51:J55)</f>
        <v>0</v>
      </c>
      <c r="K56" s="12"/>
      <c r="L56" s="12"/>
      <c r="M56" s="12"/>
      <c r="N56" s="101"/>
      <c r="O56" s="101"/>
      <c r="P56" s="100"/>
      <c r="Q56" s="100"/>
    </row>
    <row r="59" ht="15">
      <c r="B59" s="68"/>
    </row>
  </sheetData>
  <sheetProtection/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W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9.57421875" style="3" customWidth="1"/>
    <col min="3" max="4" width="10.7109375" style="3" customWidth="1"/>
    <col min="5" max="5" width="1.57421875" style="3" customWidth="1"/>
    <col min="6" max="6" width="20.8515625" style="3" bestFit="1" customWidth="1"/>
    <col min="7" max="7" width="1.7109375" style="3" customWidth="1"/>
    <col min="8" max="8" width="23.8515625" style="3" bestFit="1" customWidth="1"/>
    <col min="9" max="9" width="1.7109375" style="3" customWidth="1"/>
    <col min="10" max="10" width="16.8515625" style="3" customWidth="1"/>
    <col min="11" max="11" width="1.7109375" style="3" customWidth="1"/>
    <col min="12" max="12" width="20.421875" style="3" customWidth="1"/>
    <col min="13" max="13" width="1.7109375" style="3" customWidth="1"/>
    <col min="14" max="14" width="20.8515625" style="3" bestFit="1" customWidth="1"/>
    <col min="15" max="15" width="1.7109375" style="3" customWidth="1"/>
    <col min="16" max="16" width="17.00390625" style="3" customWidth="1"/>
    <col min="17" max="17" width="15.8515625" style="3" bestFit="1" customWidth="1"/>
    <col min="18" max="20" width="15.8515625" style="3" customWidth="1"/>
    <col min="21" max="21" width="14.7109375" style="3" bestFit="1" customWidth="1"/>
    <col min="22" max="23" width="16.8515625" style="3" bestFit="1" customWidth="1"/>
    <col min="24" max="16384" width="9.140625" style="3" customWidth="1"/>
  </cols>
  <sheetData>
    <row r="1" spans="2:16" ht="16.5">
      <c r="B1" s="14" t="s">
        <v>1294</v>
      </c>
      <c r="C1" s="15" t="str">
        <f>+INPUT!C1</f>
        <v>February 2012</v>
      </c>
      <c r="D1" s="15"/>
      <c r="E1" s="15"/>
      <c r="F1" s="15"/>
      <c r="G1" s="15"/>
      <c r="H1" s="15"/>
      <c r="I1" s="15"/>
      <c r="P1" s="14" t="s">
        <v>315</v>
      </c>
    </row>
    <row r="2" ht="16.5">
      <c r="P2" s="14" t="s">
        <v>301</v>
      </c>
    </row>
    <row r="3" ht="16.5">
      <c r="L3" s="14" t="s">
        <v>316</v>
      </c>
    </row>
    <row r="4" ht="16.5">
      <c r="L4" s="14" t="s">
        <v>879</v>
      </c>
    </row>
    <row r="5" ht="16.5">
      <c r="L5" s="48" t="s">
        <v>1052</v>
      </c>
    </row>
    <row r="6" spans="17:23" ht="15">
      <c r="Q6" s="101"/>
      <c r="R6" s="101"/>
      <c r="S6" s="101"/>
      <c r="T6" s="101"/>
      <c r="U6" s="101"/>
      <c r="V6" s="101"/>
      <c r="W6" s="101"/>
    </row>
    <row r="7" spans="2:23" ht="19.5">
      <c r="B7" s="106"/>
      <c r="F7" s="1201" t="s">
        <v>1457</v>
      </c>
      <c r="G7" s="1201"/>
      <c r="H7" s="1201"/>
      <c r="I7" s="377"/>
      <c r="J7" s="377"/>
      <c r="K7" s="12"/>
      <c r="L7" s="1201" t="s">
        <v>487</v>
      </c>
      <c r="M7" s="1201"/>
      <c r="N7" s="1201"/>
      <c r="O7" s="377"/>
      <c r="P7" s="377"/>
      <c r="Q7" s="101"/>
      <c r="R7" s="101"/>
      <c r="S7" s="101"/>
      <c r="T7" s="101"/>
      <c r="U7" s="101"/>
      <c r="V7" s="100"/>
      <c r="W7" s="100"/>
    </row>
    <row r="8" spans="2:21" ht="19.5">
      <c r="B8" s="106"/>
      <c r="F8" s="108" t="s">
        <v>1257</v>
      </c>
      <c r="G8" s="108"/>
      <c r="H8" s="108" t="s">
        <v>1597</v>
      </c>
      <c r="I8" s="12"/>
      <c r="J8" s="108"/>
      <c r="K8" s="12"/>
      <c r="L8" s="108" t="s">
        <v>1257</v>
      </c>
      <c r="M8" s="108"/>
      <c r="N8" s="108" t="s">
        <v>1597</v>
      </c>
      <c r="O8" s="101"/>
      <c r="P8" s="101"/>
      <c r="Q8" s="101"/>
      <c r="R8" s="101"/>
      <c r="S8" s="101"/>
      <c r="T8" s="100"/>
      <c r="U8" s="100"/>
    </row>
    <row r="9" spans="2:21" ht="19.5">
      <c r="B9" s="106" t="s">
        <v>730</v>
      </c>
      <c r="F9" s="108" t="s">
        <v>540</v>
      </c>
      <c r="G9" s="108"/>
      <c r="H9" s="108" t="s">
        <v>175</v>
      </c>
      <c r="I9" s="12"/>
      <c r="J9" s="108"/>
      <c r="K9" s="12"/>
      <c r="L9" s="108" t="s">
        <v>540</v>
      </c>
      <c r="M9" s="108"/>
      <c r="N9" s="108" t="s">
        <v>175</v>
      </c>
      <c r="O9" s="101"/>
      <c r="P9" s="101"/>
      <c r="Q9" s="101"/>
      <c r="R9" s="101"/>
      <c r="S9" s="101"/>
      <c r="T9" s="100"/>
      <c r="U9" s="100"/>
    </row>
    <row r="10" spans="2:21" ht="19.5">
      <c r="B10" s="102" t="s">
        <v>731</v>
      </c>
      <c r="C10" s="110"/>
      <c r="D10" s="110"/>
      <c r="E10" s="110"/>
      <c r="F10" s="379" t="s">
        <v>1140</v>
      </c>
      <c r="G10" s="377"/>
      <c r="H10" s="379" t="s">
        <v>1141</v>
      </c>
      <c r="I10" s="377"/>
      <c r="J10" s="377"/>
      <c r="K10" s="377"/>
      <c r="L10" s="379" t="s">
        <v>1140</v>
      </c>
      <c r="M10" s="377"/>
      <c r="N10" s="379" t="s">
        <v>1141</v>
      </c>
      <c r="O10" s="101"/>
      <c r="P10" s="101"/>
      <c r="Q10" s="101"/>
      <c r="R10" s="101"/>
      <c r="S10" s="380"/>
      <c r="T10" s="100"/>
      <c r="U10" s="100"/>
    </row>
    <row r="11" spans="8:19" ht="15">
      <c r="H11" s="5"/>
      <c r="I11" s="5"/>
      <c r="J11" s="5"/>
      <c r="P11" s="75"/>
      <c r="S11" s="75"/>
    </row>
    <row r="12" spans="1:21" ht="16.5">
      <c r="A12" s="3" t="s">
        <v>1305</v>
      </c>
      <c r="B12" s="14" t="s">
        <v>539</v>
      </c>
      <c r="C12" s="3" t="s">
        <v>926</v>
      </c>
      <c r="F12" s="6">
        <f>ROUND(INPUT!B132,2)</f>
        <v>0</v>
      </c>
      <c r="G12" s="13"/>
      <c r="H12" s="6">
        <f>ROUND(INPUT!C132,2)</f>
        <v>0</v>
      </c>
      <c r="I12" s="6"/>
      <c r="J12" s="13"/>
      <c r="K12" s="13"/>
      <c r="L12" s="6">
        <f>ROUND(INPUT!E132,2)</f>
        <v>0</v>
      </c>
      <c r="M12" s="13"/>
      <c r="N12" s="13">
        <f>ROUND(INPUT!F132,2)</f>
        <v>0</v>
      </c>
      <c r="O12" s="100"/>
      <c r="P12" s="105"/>
      <c r="Q12" s="100">
        <f>ROUND(F$17*INPUT!$C5,4)</f>
        <v>0</v>
      </c>
      <c r="R12" s="100">
        <f>ROUND(H$17*INPUT!$C5,4)</f>
        <v>0</v>
      </c>
      <c r="S12" s="105"/>
      <c r="T12" s="100">
        <f>ROUND(L17*INPUT!C5,4)</f>
        <v>0</v>
      </c>
      <c r="U12" s="100">
        <f>ROUND(N17*INPUT!C5,4)</f>
        <v>0</v>
      </c>
    </row>
    <row r="13" spans="2:21" ht="16.5">
      <c r="B13" s="14" t="s">
        <v>1011</v>
      </c>
      <c r="C13" s="3" t="s">
        <v>927</v>
      </c>
      <c r="F13" s="6">
        <f>ROUND(INPUT!B133,2)</f>
        <v>0</v>
      </c>
      <c r="G13" s="13"/>
      <c r="H13" s="6">
        <f>ROUND(INPUT!C133,2)</f>
        <v>0</v>
      </c>
      <c r="I13" s="6"/>
      <c r="J13" s="13"/>
      <c r="K13" s="13"/>
      <c r="L13" s="6">
        <f>ROUND(INPUT!E133,2)</f>
        <v>0</v>
      </c>
      <c r="M13" s="13"/>
      <c r="N13" s="13">
        <f>ROUND(INPUT!F133,2)</f>
        <v>0</v>
      </c>
      <c r="O13" s="100"/>
      <c r="P13" s="105"/>
      <c r="Q13" s="100">
        <f>ROUND(F$17*INPUT!$C6,4)</f>
        <v>0</v>
      </c>
      <c r="R13" s="100">
        <f>ROUND(H$17*INPUT!$C6,4)</f>
        <v>0</v>
      </c>
      <c r="S13" s="105"/>
      <c r="T13" s="100">
        <f>ROUND(L17*INPUT!C6,4)</f>
        <v>0</v>
      </c>
      <c r="U13" s="100">
        <f>ROUND(N17*INPUT!C6,4)</f>
        <v>0</v>
      </c>
    </row>
    <row r="14" spans="3:21" ht="15">
      <c r="C14" s="3" t="s">
        <v>928</v>
      </c>
      <c r="F14" s="6">
        <f>ROUND(INPUT!B134,2)</f>
        <v>0</v>
      </c>
      <c r="G14" s="13"/>
      <c r="H14" s="6">
        <f>ROUND(INPUT!C134,2)</f>
        <v>0</v>
      </c>
      <c r="I14" s="6"/>
      <c r="J14" s="13"/>
      <c r="K14" s="13"/>
      <c r="L14" s="6">
        <f>ROUND(INPUT!E134,2)</f>
        <v>0</v>
      </c>
      <c r="M14" s="13"/>
      <c r="N14" s="13">
        <f>ROUND(INPUT!F134,2)</f>
        <v>0</v>
      </c>
      <c r="O14" s="100"/>
      <c r="P14" s="105"/>
      <c r="Q14" s="100">
        <f>ROUND(F$17*INPUT!$C7,4)</f>
        <v>0</v>
      </c>
      <c r="R14" s="100">
        <f>ROUND(H$17*INPUT!$C7,4)</f>
        <v>0</v>
      </c>
      <c r="S14" s="105"/>
      <c r="T14" s="100">
        <f>ROUND(L17*INPUT!C7,4)</f>
        <v>0</v>
      </c>
      <c r="U14" s="100">
        <f>ROUND(N17*INPUT!C7,4)</f>
        <v>0</v>
      </c>
    </row>
    <row r="15" spans="3:21" ht="15">
      <c r="C15" s="3" t="s">
        <v>929</v>
      </c>
      <c r="F15" s="6">
        <f>ROUND(INPUT!B135,2)</f>
        <v>0</v>
      </c>
      <c r="G15" s="13"/>
      <c r="H15" s="6">
        <f>ROUND(INPUT!C135,2)</f>
        <v>0</v>
      </c>
      <c r="I15" s="6"/>
      <c r="J15" s="13"/>
      <c r="K15" s="13"/>
      <c r="L15" s="6">
        <f>ROUND(INPUT!E135,2)</f>
        <v>0</v>
      </c>
      <c r="M15" s="13"/>
      <c r="N15" s="13">
        <f>ROUND(INPUT!F135,2)</f>
        <v>0</v>
      </c>
      <c r="O15" s="100"/>
      <c r="P15" s="105"/>
      <c r="Q15" s="100">
        <f>ROUND(F$17*INPUT!$C8,4)</f>
        <v>0</v>
      </c>
      <c r="R15" s="100">
        <f>ROUND(H$17*INPUT!$C8,4)</f>
        <v>0</v>
      </c>
      <c r="S15" s="105"/>
      <c r="T15" s="100">
        <f>ROUND(L17*INPUT!C8,4)</f>
        <v>0</v>
      </c>
      <c r="U15" s="100">
        <f>ROUND(N17*INPUT!C8,4)</f>
        <v>0</v>
      </c>
    </row>
    <row r="16" spans="3:21" ht="15">
      <c r="C16" s="3" t="s">
        <v>1754</v>
      </c>
      <c r="F16" s="21">
        <f>ROUND(INPUT!B136,2)</f>
        <v>0</v>
      </c>
      <c r="G16" s="13"/>
      <c r="H16" s="21">
        <f>ROUND(INPUT!C136,2)</f>
        <v>0</v>
      </c>
      <c r="I16" s="6"/>
      <c r="J16" s="6"/>
      <c r="K16" s="13"/>
      <c r="L16" s="21">
        <f>ROUND(INPUT!E136,2)</f>
        <v>0</v>
      </c>
      <c r="M16" s="13"/>
      <c r="N16" s="21">
        <f>ROUND(INPUT!F136,2)</f>
        <v>0</v>
      </c>
      <c r="O16" s="105"/>
      <c r="P16" s="105"/>
      <c r="Q16" s="104">
        <f>ROUND(F$17*INPUT!$C9,4)</f>
        <v>0</v>
      </c>
      <c r="R16" s="104">
        <f>ROUND(H$17*INPUT!$C9,4)</f>
        <v>0</v>
      </c>
      <c r="S16" s="105"/>
      <c r="T16" s="104">
        <f>ROUND(L17*INPUT!C9,4)</f>
        <v>0</v>
      </c>
      <c r="U16" s="104">
        <f>ROUND(N17*INPUT!C9,4)</f>
        <v>0</v>
      </c>
    </row>
    <row r="17" spans="3:21" ht="15">
      <c r="C17" s="3" t="s">
        <v>543</v>
      </c>
      <c r="F17" s="13">
        <f>INPUT!B137</f>
        <v>0</v>
      </c>
      <c r="G17" s="13"/>
      <c r="H17" s="6">
        <f>INPUT!C137</f>
        <v>0</v>
      </c>
      <c r="I17" s="5"/>
      <c r="J17" s="6"/>
      <c r="K17" s="2"/>
      <c r="L17" s="13">
        <f>+INPUT!E137</f>
        <v>0</v>
      </c>
      <c r="M17" s="2"/>
      <c r="N17" s="13">
        <f>+INPUT!F137</f>
        <v>0</v>
      </c>
      <c r="O17" s="100"/>
      <c r="P17" s="105"/>
      <c r="Q17" s="100">
        <f>SUM(Q12:Q16)</f>
        <v>0</v>
      </c>
      <c r="R17" s="100">
        <f>SUM(R12:R16)</f>
        <v>0</v>
      </c>
      <c r="S17" s="105"/>
      <c r="T17" s="100">
        <f>SUM(T12:T16)</f>
        <v>0</v>
      </c>
      <c r="U17" s="100">
        <f>SUM(U12:U16)</f>
        <v>0</v>
      </c>
    </row>
    <row r="18" spans="6:21" ht="15">
      <c r="F18" s="13"/>
      <c r="G18" s="13"/>
      <c r="H18" s="6"/>
      <c r="I18" s="5"/>
      <c r="J18" s="6"/>
      <c r="K18" s="2"/>
      <c r="L18" s="13"/>
      <c r="M18" s="2"/>
      <c r="N18" s="13"/>
      <c r="O18" s="105"/>
      <c r="P18" s="105"/>
      <c r="Q18" s="105">
        <f>SUM(F12:F16)</f>
        <v>0</v>
      </c>
      <c r="R18" s="105">
        <f>SUM(H12:H16)</f>
        <v>0</v>
      </c>
      <c r="S18" s="105"/>
      <c r="T18" s="100">
        <f>SUM(L12:L16)</f>
        <v>0</v>
      </c>
      <c r="U18" s="100">
        <f>SUM(N12:N16)</f>
        <v>0</v>
      </c>
    </row>
    <row r="19" spans="1:21" ht="16.5">
      <c r="A19" s="3" t="s">
        <v>1306</v>
      </c>
      <c r="B19" s="14" t="s">
        <v>887</v>
      </c>
      <c r="C19" s="3" t="s">
        <v>926</v>
      </c>
      <c r="F19" s="6">
        <f>ROUND(INPUT!B139,2)</f>
        <v>0</v>
      </c>
      <c r="G19" s="13"/>
      <c r="H19" s="6">
        <f>ROUND(INPUT!C139,2)</f>
        <v>0</v>
      </c>
      <c r="I19" s="6"/>
      <c r="J19" s="6"/>
      <c r="K19" s="13"/>
      <c r="L19" s="6">
        <f>ROUND(INPUT!E139,2)</f>
        <v>0</v>
      </c>
      <c r="M19" s="13"/>
      <c r="N19" s="6">
        <f>ROUND(INPUT!F139,2)</f>
        <v>0</v>
      </c>
      <c r="O19" s="100"/>
      <c r="P19" s="100"/>
      <c r="Q19" s="100"/>
      <c r="R19" s="100"/>
      <c r="S19" s="100"/>
      <c r="T19" s="100"/>
      <c r="U19" s="100"/>
    </row>
    <row r="20" spans="2:21" ht="16.5">
      <c r="B20" s="14" t="s">
        <v>888</v>
      </c>
      <c r="C20" s="3" t="s">
        <v>927</v>
      </c>
      <c r="F20" s="6">
        <f>ROUND(INPUT!B140,2)</f>
        <v>0</v>
      </c>
      <c r="G20" s="13"/>
      <c r="H20" s="6">
        <f>ROUND(INPUT!C140,2)</f>
        <v>0</v>
      </c>
      <c r="I20" s="6"/>
      <c r="J20" s="6"/>
      <c r="K20" s="13"/>
      <c r="L20" s="6">
        <f>ROUND(INPUT!E140,2)</f>
        <v>0</v>
      </c>
      <c r="M20" s="13"/>
      <c r="N20" s="6">
        <f>ROUND(INPUT!F140,2)</f>
        <v>0</v>
      </c>
      <c r="O20" s="100"/>
      <c r="P20" s="100"/>
      <c r="Q20" s="100"/>
      <c r="R20" s="100"/>
      <c r="S20" s="100"/>
      <c r="T20" s="100"/>
      <c r="U20" s="100"/>
    </row>
    <row r="21" spans="2:21" ht="16.5">
      <c r="B21" s="14" t="s">
        <v>923</v>
      </c>
      <c r="C21" s="3" t="s">
        <v>928</v>
      </c>
      <c r="F21" s="6">
        <f>ROUND(INPUT!B141,2)</f>
        <v>0</v>
      </c>
      <c r="G21" s="13"/>
      <c r="H21" s="6">
        <f>ROUND(INPUT!C141,2)</f>
        <v>0</v>
      </c>
      <c r="I21" s="6"/>
      <c r="J21" s="6"/>
      <c r="K21" s="13"/>
      <c r="L21" s="6">
        <f>ROUND(INPUT!E141,2)</f>
        <v>0</v>
      </c>
      <c r="M21" s="13"/>
      <c r="N21" s="6">
        <f>ROUND(INPUT!F141,2)</f>
        <v>0</v>
      </c>
      <c r="O21" s="100"/>
      <c r="P21" s="100"/>
      <c r="Q21" s="100"/>
      <c r="R21" s="100"/>
      <c r="S21" s="100"/>
      <c r="T21" s="100"/>
      <c r="U21" s="100"/>
    </row>
    <row r="22" spans="3:21" ht="15">
      <c r="C22" s="3" t="s">
        <v>929</v>
      </c>
      <c r="F22" s="6">
        <f>ROUND(INPUT!B142,2)</f>
        <v>0</v>
      </c>
      <c r="G22" s="13"/>
      <c r="H22" s="6">
        <f>ROUND(INPUT!C142,2)</f>
        <v>0</v>
      </c>
      <c r="I22" s="6"/>
      <c r="J22" s="6"/>
      <c r="K22" s="13"/>
      <c r="L22" s="6">
        <f>ROUND(INPUT!E142,2)</f>
        <v>0</v>
      </c>
      <c r="M22" s="13"/>
      <c r="N22" s="6">
        <f>ROUND(INPUT!F142,2)</f>
        <v>0</v>
      </c>
      <c r="O22" s="100"/>
      <c r="P22" s="100"/>
      <c r="Q22" s="100"/>
      <c r="R22" s="100"/>
      <c r="S22" s="100"/>
      <c r="T22" s="100"/>
      <c r="U22" s="100"/>
    </row>
    <row r="23" spans="3:21" ht="15">
      <c r="C23" s="3" t="s">
        <v>1754</v>
      </c>
      <c r="F23" s="21">
        <f>ROUND(INPUT!B143,2)</f>
        <v>0</v>
      </c>
      <c r="G23" s="21"/>
      <c r="H23" s="21">
        <f>ROUND(INPUT!C143,2)</f>
        <v>0</v>
      </c>
      <c r="I23" s="6"/>
      <c r="J23" s="6"/>
      <c r="K23" s="13"/>
      <c r="L23" s="21">
        <f>ROUND(INPUT!E143,2)</f>
        <v>0</v>
      </c>
      <c r="M23" s="13"/>
      <c r="N23" s="21">
        <f>ROUND(INPUT!F143,2)</f>
        <v>0</v>
      </c>
      <c r="O23" s="105"/>
      <c r="P23" s="105"/>
      <c r="Q23" s="105"/>
      <c r="R23" s="105"/>
      <c r="S23" s="105"/>
      <c r="T23" s="105"/>
      <c r="U23" s="105"/>
    </row>
    <row r="24" spans="3:21" ht="15">
      <c r="C24" s="3" t="s">
        <v>543</v>
      </c>
      <c r="F24" s="13">
        <f>SUM(F19:F23)</f>
        <v>0</v>
      </c>
      <c r="G24" s="13"/>
      <c r="H24" s="13">
        <f>SUM(H19:H23)</f>
        <v>0</v>
      </c>
      <c r="I24" s="6"/>
      <c r="J24" s="6"/>
      <c r="K24" s="13"/>
      <c r="L24" s="13">
        <f>SUM(L19:L23)</f>
        <v>0</v>
      </c>
      <c r="M24" s="13"/>
      <c r="N24" s="13">
        <f>SUM(N19:N23)</f>
        <v>0</v>
      </c>
      <c r="O24" s="100"/>
      <c r="P24" s="100"/>
      <c r="Q24" s="100"/>
      <c r="R24" s="100"/>
      <c r="S24" s="100"/>
      <c r="T24" s="100"/>
      <c r="U24" s="100"/>
    </row>
    <row r="25" spans="6:21" ht="15">
      <c r="F25" s="13"/>
      <c r="G25" s="13"/>
      <c r="H25" s="6"/>
      <c r="I25" s="6"/>
      <c r="J25" s="6"/>
      <c r="K25" s="13"/>
      <c r="L25" s="13"/>
      <c r="M25" s="13"/>
      <c r="N25" s="13"/>
      <c r="O25" s="101"/>
      <c r="P25" s="101"/>
      <c r="Q25" s="101"/>
      <c r="R25" s="101"/>
      <c r="S25" s="101"/>
      <c r="T25" s="100"/>
      <c r="U25" s="100"/>
    </row>
    <row r="26" spans="1:21" ht="16.5">
      <c r="A26" s="3" t="s">
        <v>1309</v>
      </c>
      <c r="B26" s="14" t="s">
        <v>1310</v>
      </c>
      <c r="C26" s="3" t="s">
        <v>926</v>
      </c>
      <c r="F26" s="13">
        <f>+F12-F19</f>
        <v>0</v>
      </c>
      <c r="G26" s="13"/>
      <c r="H26" s="13">
        <f>+H12-H19</f>
        <v>0</v>
      </c>
      <c r="I26" s="6"/>
      <c r="J26" s="6"/>
      <c r="K26" s="13"/>
      <c r="L26" s="13">
        <f>+L12-L19</f>
        <v>0</v>
      </c>
      <c r="M26" s="13"/>
      <c r="N26" s="13">
        <f>+N12-N19</f>
        <v>0</v>
      </c>
      <c r="O26" s="101"/>
      <c r="P26" s="101"/>
      <c r="Q26" s="101"/>
      <c r="R26" s="101"/>
      <c r="S26" s="101"/>
      <c r="T26" s="100"/>
      <c r="U26" s="100"/>
    </row>
    <row r="27" spans="2:21" ht="16.5">
      <c r="B27" s="14" t="s">
        <v>890</v>
      </c>
      <c r="C27" s="3" t="s">
        <v>927</v>
      </c>
      <c r="F27" s="13">
        <f>+F13-F20</f>
        <v>0</v>
      </c>
      <c r="G27" s="13"/>
      <c r="H27" s="13">
        <f>+H13-H20</f>
        <v>0</v>
      </c>
      <c r="I27" s="6"/>
      <c r="J27" s="6"/>
      <c r="K27" s="13"/>
      <c r="L27" s="13">
        <f>+L13-L20</f>
        <v>0</v>
      </c>
      <c r="M27" s="13"/>
      <c r="N27" s="13">
        <f>+N13-N20</f>
        <v>0</v>
      </c>
      <c r="O27" s="101"/>
      <c r="P27" s="101"/>
      <c r="Q27" s="101"/>
      <c r="R27" s="101"/>
      <c r="S27" s="101"/>
      <c r="T27" s="100"/>
      <c r="U27" s="100"/>
    </row>
    <row r="28" spans="2:21" ht="16.5">
      <c r="B28" s="14" t="s">
        <v>923</v>
      </c>
      <c r="C28" s="3" t="s">
        <v>928</v>
      </c>
      <c r="F28" s="13">
        <f>+F14-F21</f>
        <v>0</v>
      </c>
      <c r="G28" s="13"/>
      <c r="H28" s="13">
        <f>+H14-H21</f>
        <v>0</v>
      </c>
      <c r="I28" s="6"/>
      <c r="J28" s="6"/>
      <c r="K28" s="13"/>
      <c r="L28" s="13">
        <f>+L14-L21</f>
        <v>0</v>
      </c>
      <c r="M28" s="13"/>
      <c r="N28" s="13">
        <f>+N14-N21</f>
        <v>0</v>
      </c>
      <c r="O28" s="101"/>
      <c r="P28" s="101"/>
      <c r="Q28" s="101"/>
      <c r="R28" s="101"/>
      <c r="S28" s="101"/>
      <c r="T28" s="100"/>
      <c r="U28" s="100"/>
    </row>
    <row r="29" spans="2:21" ht="16.5">
      <c r="B29" s="14" t="s">
        <v>923</v>
      </c>
      <c r="C29" s="3" t="s">
        <v>929</v>
      </c>
      <c r="F29" s="13">
        <f>+F15-F22</f>
        <v>0</v>
      </c>
      <c r="G29" s="13"/>
      <c r="H29" s="13">
        <f>+H15-H22</f>
        <v>0</v>
      </c>
      <c r="I29" s="6"/>
      <c r="J29" s="6"/>
      <c r="K29" s="13"/>
      <c r="L29" s="13">
        <f>+L15-L22</f>
        <v>0</v>
      </c>
      <c r="M29" s="13"/>
      <c r="N29" s="13">
        <f>+N15-N22</f>
        <v>0</v>
      </c>
      <c r="O29" s="101"/>
      <c r="P29" s="101"/>
      <c r="Q29" s="101"/>
      <c r="R29" s="101"/>
      <c r="S29" s="101"/>
      <c r="T29" s="100"/>
      <c r="U29" s="100"/>
    </row>
    <row r="30" spans="2:21" ht="16.5">
      <c r="B30" s="20"/>
      <c r="C30" s="3" t="s">
        <v>1754</v>
      </c>
      <c r="F30" s="21">
        <f>+F16-F23</f>
        <v>0</v>
      </c>
      <c r="G30" s="13"/>
      <c r="H30" s="21">
        <f>+H16-H23</f>
        <v>0</v>
      </c>
      <c r="I30" s="6"/>
      <c r="J30" s="6"/>
      <c r="K30" s="13"/>
      <c r="L30" s="21">
        <f>+L16-L23</f>
        <v>0</v>
      </c>
      <c r="M30" s="13"/>
      <c r="N30" s="21">
        <f>+N16-N23</f>
        <v>0</v>
      </c>
      <c r="O30" s="101"/>
      <c r="P30" s="101"/>
      <c r="Q30" s="101"/>
      <c r="R30" s="101"/>
      <c r="S30" s="101"/>
      <c r="T30" s="100"/>
      <c r="U30" s="100"/>
    </row>
    <row r="31" spans="2:21" ht="16.5">
      <c r="B31" s="20"/>
      <c r="C31" s="3" t="s">
        <v>543</v>
      </c>
      <c r="F31" s="13">
        <f>SUM(F26:F30)</f>
        <v>0</v>
      </c>
      <c r="G31" s="13"/>
      <c r="H31" s="13">
        <f>SUM(H26:H30)</f>
        <v>0</v>
      </c>
      <c r="I31" s="6"/>
      <c r="J31" s="6"/>
      <c r="K31" s="13"/>
      <c r="L31" s="13">
        <f>SUM(L26:L30)</f>
        <v>0</v>
      </c>
      <c r="M31" s="13"/>
      <c r="N31" s="13">
        <f>SUM(N26:N30)</f>
        <v>0</v>
      </c>
      <c r="O31" s="101"/>
      <c r="P31" s="101"/>
      <c r="Q31" s="101"/>
      <c r="R31" s="101"/>
      <c r="S31" s="101"/>
      <c r="T31" s="100"/>
      <c r="U31" s="100"/>
    </row>
    <row r="32" spans="10:23" ht="15">
      <c r="J32" s="5"/>
      <c r="K32" s="5"/>
      <c r="L32" s="5"/>
      <c r="N32" s="12"/>
      <c r="P32" s="12"/>
      <c r="Q32" s="105"/>
      <c r="R32" s="105"/>
      <c r="S32" s="105"/>
      <c r="T32" s="105"/>
      <c r="U32" s="105"/>
      <c r="V32" s="100"/>
      <c r="W32" s="100"/>
    </row>
    <row r="33" spans="2:23" ht="16.5">
      <c r="B33" s="20"/>
      <c r="J33" s="6"/>
      <c r="K33" s="6"/>
      <c r="L33" s="6"/>
      <c r="M33" s="12"/>
      <c r="N33" s="55"/>
      <c r="O33" s="229"/>
      <c r="P33" s="55"/>
      <c r="Q33" s="101"/>
      <c r="R33" s="101"/>
      <c r="S33" s="101"/>
      <c r="T33" s="101"/>
      <c r="U33" s="101"/>
      <c r="V33" s="100"/>
      <c r="W33" s="100"/>
    </row>
    <row r="34" spans="2:21" ht="16.5">
      <c r="B34" s="20"/>
      <c r="F34" s="377" t="s">
        <v>487</v>
      </c>
      <c r="K34" s="6"/>
      <c r="L34" s="22"/>
      <c r="M34" s="71" t="s">
        <v>487</v>
      </c>
      <c r="N34" s="22"/>
      <c r="O34" s="101"/>
      <c r="P34" s="101"/>
      <c r="Q34" s="101"/>
      <c r="R34" s="101"/>
      <c r="S34" s="101"/>
      <c r="T34" s="100"/>
      <c r="U34" s="100"/>
    </row>
    <row r="35" spans="2:21" ht="19.5">
      <c r="B35" s="106" t="s">
        <v>1791</v>
      </c>
      <c r="F35" s="108" t="s">
        <v>25</v>
      </c>
      <c r="H35" s="303" t="s">
        <v>388</v>
      </c>
      <c r="J35" s="377" t="s">
        <v>388</v>
      </c>
      <c r="K35" s="6"/>
      <c r="L35" s="649" t="s">
        <v>1793</v>
      </c>
      <c r="M35" s="649"/>
      <c r="N35" s="649" t="s">
        <v>171</v>
      </c>
      <c r="O35" s="101"/>
      <c r="P35" s="101"/>
      <c r="Q35" s="101"/>
      <c r="R35" s="101"/>
      <c r="S35" s="101"/>
      <c r="T35" s="100"/>
      <c r="U35" s="100"/>
    </row>
    <row r="36" spans="2:21" ht="19.5">
      <c r="B36" s="102" t="s">
        <v>1792</v>
      </c>
      <c r="C36" s="103" t="s">
        <v>121</v>
      </c>
      <c r="D36" s="103"/>
      <c r="E36" s="103"/>
      <c r="F36" s="108" t="s">
        <v>26</v>
      </c>
      <c r="G36" s="103"/>
      <c r="H36" s="303" t="s">
        <v>1792</v>
      </c>
      <c r="I36" s="103"/>
      <c r="J36" s="377" t="s">
        <v>1792</v>
      </c>
      <c r="K36" s="12"/>
      <c r="L36" s="649" t="s">
        <v>541</v>
      </c>
      <c r="M36" s="649"/>
      <c r="N36" s="649" t="s">
        <v>175</v>
      </c>
      <c r="O36" s="101"/>
      <c r="P36" s="101"/>
      <c r="Q36" s="101"/>
      <c r="R36" s="101"/>
      <c r="S36" s="101"/>
      <c r="T36" s="100"/>
      <c r="U36" s="100"/>
    </row>
    <row r="37" spans="2:21" ht="16.5">
      <c r="B37" s="20"/>
      <c r="F37" s="71" t="s">
        <v>378</v>
      </c>
      <c r="H37" s="650" t="s">
        <v>389</v>
      </c>
      <c r="J37" s="71" t="s">
        <v>390</v>
      </c>
      <c r="K37" s="12"/>
      <c r="L37" s="650" t="s">
        <v>1856</v>
      </c>
      <c r="M37" s="649"/>
      <c r="N37" s="650" t="s">
        <v>1049</v>
      </c>
      <c r="O37" s="101"/>
      <c r="P37" s="101"/>
      <c r="Q37" s="101"/>
      <c r="R37" s="101"/>
      <c r="S37" s="101"/>
      <c r="T37" s="100"/>
      <c r="U37" s="100"/>
    </row>
    <row r="38" spans="8:14" ht="15">
      <c r="H38" s="12"/>
      <c r="J38" s="12"/>
      <c r="L38" s="2"/>
      <c r="M38" s="2"/>
      <c r="N38" s="2"/>
    </row>
    <row r="39" spans="1:21" ht="16.5">
      <c r="A39" s="3" t="s">
        <v>1305</v>
      </c>
      <c r="B39" s="14" t="s">
        <v>539</v>
      </c>
      <c r="C39" s="3" t="s">
        <v>926</v>
      </c>
      <c r="F39" s="6">
        <f>ROUND(INPUT!C147,2)</f>
        <v>1178.17</v>
      </c>
      <c r="G39" s="2"/>
      <c r="H39" s="6">
        <f>ROUND(INPUT!F147,2)</f>
        <v>0</v>
      </c>
      <c r="I39" s="2"/>
      <c r="J39" s="6">
        <f>ROUND(INPUT!G147,2)</f>
        <v>2005.16</v>
      </c>
      <c r="K39" s="6"/>
      <c r="L39" s="6">
        <f>ROUND(INPUT!D147,2)</f>
        <v>23366</v>
      </c>
      <c r="M39" s="13"/>
      <c r="N39" s="6">
        <f>ROUND(INPUT!E147,2)</f>
        <v>-34272</v>
      </c>
      <c r="O39" s="105"/>
      <c r="P39" s="105"/>
      <c r="Q39" s="105"/>
      <c r="R39" s="105"/>
      <c r="S39" s="105"/>
      <c r="T39" s="100">
        <f>ROUND(L44*INPUT!C5,4)</f>
        <v>23366.4172</v>
      </c>
      <c r="U39" s="100">
        <f>ROUND(N44*INPUT!C5,4)</f>
        <v>-34272.1288</v>
      </c>
    </row>
    <row r="40" spans="2:21" ht="16.5">
      <c r="B40" s="14" t="s">
        <v>1011</v>
      </c>
      <c r="C40" s="3" t="s">
        <v>927</v>
      </c>
      <c r="F40" s="6">
        <f>ROUND(INPUT!C148,2)</f>
        <v>247.41</v>
      </c>
      <c r="G40" s="2"/>
      <c r="H40" s="6">
        <f>ROUND(INPUT!F148,2)</f>
        <v>0</v>
      </c>
      <c r="I40" s="2"/>
      <c r="J40" s="6">
        <f>ROUND(INPUT!G148,2)</f>
        <v>421.08</v>
      </c>
      <c r="K40" s="6"/>
      <c r="L40" s="6">
        <f>ROUND(INPUT!D148,2)</f>
        <v>4907</v>
      </c>
      <c r="M40" s="13"/>
      <c r="N40" s="6">
        <f>ROUND(INPUT!E148,2)</f>
        <v>-7197</v>
      </c>
      <c r="O40" s="105"/>
      <c r="P40" s="105"/>
      <c r="Q40" s="105"/>
      <c r="R40" s="105"/>
      <c r="S40" s="105"/>
      <c r="T40" s="100">
        <f>ROUND(L44*INPUT!C6,4)</f>
        <v>4906.7945</v>
      </c>
      <c r="U40" s="100">
        <f>ROUND(N44*INPUT!C6,4)</f>
        <v>-7196.9225</v>
      </c>
    </row>
    <row r="41" spans="3:21" ht="15">
      <c r="C41" s="3" t="s">
        <v>928</v>
      </c>
      <c r="F41" s="6">
        <f>ROUND(INPUT!C149,2)</f>
        <v>786.28</v>
      </c>
      <c r="G41" s="2"/>
      <c r="H41" s="6">
        <f>ROUND(INPUT!F149,2)</f>
        <v>0</v>
      </c>
      <c r="I41" s="2"/>
      <c r="J41" s="6">
        <f>ROUND(INPUT!G149,2)</f>
        <v>1338.18</v>
      </c>
      <c r="K41" s="6"/>
      <c r="L41" s="6">
        <f>ROUND(INPUT!D149,2)</f>
        <v>15594</v>
      </c>
      <c r="M41" s="13"/>
      <c r="N41" s="6">
        <f>ROUND(INPUT!E149,2)</f>
        <v>-22872</v>
      </c>
      <c r="O41" s="105"/>
      <c r="P41" s="105"/>
      <c r="Q41" s="105"/>
      <c r="R41" s="105"/>
      <c r="S41" s="105"/>
      <c r="T41" s="100">
        <f>ROUND(L44*INPUT!C7,4)</f>
        <v>15593.9445</v>
      </c>
      <c r="U41" s="100">
        <f>ROUND(N44*INPUT!C7,4)</f>
        <v>-22872.0419</v>
      </c>
    </row>
    <row r="42" spans="3:21" ht="15">
      <c r="C42" s="3" t="s">
        <v>929</v>
      </c>
      <c r="F42" s="6">
        <f>ROUND(INPUT!C150,2)</f>
        <v>1648.49</v>
      </c>
      <c r="G42" s="2"/>
      <c r="H42" s="6">
        <f>ROUND(INPUT!F150,2)</f>
        <v>0</v>
      </c>
      <c r="I42" s="2"/>
      <c r="J42" s="6">
        <f>ROUND(INPUT!G150,2)</f>
        <v>2805.58</v>
      </c>
      <c r="K42" s="6"/>
      <c r="L42" s="6">
        <f>ROUND(INPUT!D150,2)</f>
        <v>32694</v>
      </c>
      <c r="M42" s="13"/>
      <c r="N42" s="6">
        <f>ROUND(INPUT!E150,2)</f>
        <v>-47953</v>
      </c>
      <c r="O42" s="105"/>
      <c r="P42" s="105"/>
      <c r="Q42" s="105"/>
      <c r="R42" s="105"/>
      <c r="S42" s="105"/>
      <c r="T42" s="100">
        <f>ROUND(L44*INPUT!C8,4)</f>
        <v>32693.8438</v>
      </c>
      <c r="U42" s="100">
        <f>ROUND(N44*INPUT!C8,4)</f>
        <v>-47952.9068</v>
      </c>
    </row>
    <row r="43" spans="3:21" ht="15">
      <c r="C43" s="3" t="s">
        <v>1754</v>
      </c>
      <c r="F43" s="21">
        <f>ROUND(INPUT!C151,2)</f>
        <v>0</v>
      </c>
      <c r="G43" s="2"/>
      <c r="H43" s="21">
        <f>ROUND(INPUT!F151,2)</f>
        <v>0</v>
      </c>
      <c r="I43" s="2"/>
      <c r="J43" s="21">
        <f>ROUND(INPUT!G151,2)</f>
        <v>0</v>
      </c>
      <c r="K43" s="6"/>
      <c r="L43" s="21">
        <f>ROUND(INPUT!D151,2)</f>
        <v>0</v>
      </c>
      <c r="M43" s="13"/>
      <c r="N43" s="21">
        <f>ROUND(INPUT!E151,2)</f>
        <v>0</v>
      </c>
      <c r="O43" s="105"/>
      <c r="P43" s="105"/>
      <c r="Q43" s="105"/>
      <c r="R43" s="105"/>
      <c r="S43" s="105"/>
      <c r="T43" s="104">
        <f>ROUND(L44*INPUT!C9,4)</f>
        <v>0</v>
      </c>
      <c r="U43" s="104">
        <f>ROUND(N44*INPUT!C9,4)</f>
        <v>0</v>
      </c>
    </row>
    <row r="44" spans="3:21" ht="15">
      <c r="C44" s="3" t="s">
        <v>543</v>
      </c>
      <c r="F44" s="13">
        <f>SUM(F39:F43)</f>
        <v>3860.3500000000004</v>
      </c>
      <c r="G44" s="2"/>
      <c r="H44" s="13">
        <f>SUM(H38:H43)</f>
        <v>0</v>
      </c>
      <c r="I44" s="2"/>
      <c r="J44" s="13">
        <f>SUM(J38:J43)</f>
        <v>6570</v>
      </c>
      <c r="K44" s="2"/>
      <c r="L44" s="13">
        <f>INPUT!D152</f>
        <v>76561</v>
      </c>
      <c r="M44" s="2"/>
      <c r="N44" s="13">
        <f>+INPUT!E152</f>
        <v>-112294</v>
      </c>
      <c r="O44" s="105"/>
      <c r="P44" s="105"/>
      <c r="Q44" s="105"/>
      <c r="R44" s="105"/>
      <c r="S44" s="105"/>
      <c r="T44" s="100">
        <f>SUM(T39:T43)</f>
        <v>76561</v>
      </c>
      <c r="U44" s="100">
        <f>SUM(U39:U43)</f>
        <v>-112294</v>
      </c>
    </row>
    <row r="45" spans="6:21" ht="15">
      <c r="F45" s="2"/>
      <c r="G45" s="2"/>
      <c r="H45" s="2"/>
      <c r="I45" s="2"/>
      <c r="J45" s="2"/>
      <c r="K45" s="2"/>
      <c r="L45" s="2"/>
      <c r="M45" s="2"/>
      <c r="N45" s="2"/>
      <c r="T45" s="100">
        <f>SUM(L39:L43)</f>
        <v>76561</v>
      </c>
      <c r="U45" s="100">
        <f>SUM(N39:N43)</f>
        <v>-112294</v>
      </c>
    </row>
    <row r="46" spans="1:21" ht="16.5">
      <c r="A46" s="3" t="s">
        <v>1306</v>
      </c>
      <c r="B46" s="14" t="s">
        <v>887</v>
      </c>
      <c r="C46" s="3" t="s">
        <v>926</v>
      </c>
      <c r="F46" s="6">
        <f>ROUND(INPUT!C154,2)</f>
        <v>1178.17</v>
      </c>
      <c r="G46" s="2"/>
      <c r="H46" s="6">
        <f>ROUND(INPUT!F154,2)</f>
        <v>0</v>
      </c>
      <c r="I46" s="2"/>
      <c r="J46" s="6">
        <f>ROUND(INPUT!G154,2)</f>
        <v>2005.16</v>
      </c>
      <c r="K46" s="6"/>
      <c r="L46" s="6">
        <f>ROUND(INPUT!D154,2)</f>
        <v>23321.67</v>
      </c>
      <c r="M46" s="13"/>
      <c r="N46" s="6">
        <f>ROUND(INPUT!E154,2)</f>
        <v>-34039.08</v>
      </c>
      <c r="O46" s="100"/>
      <c r="P46" s="100"/>
      <c r="Q46" s="100"/>
      <c r="R46" s="100"/>
      <c r="S46" s="100"/>
      <c r="T46" s="100"/>
      <c r="U46" s="100"/>
    </row>
    <row r="47" spans="2:21" ht="16.5">
      <c r="B47" s="14" t="s">
        <v>888</v>
      </c>
      <c r="C47" s="3" t="s">
        <v>927</v>
      </c>
      <c r="F47" s="6">
        <f>ROUND(INPUT!C155,2)</f>
        <v>247.41</v>
      </c>
      <c r="G47" s="2"/>
      <c r="H47" s="6">
        <f>ROUND(INPUT!F155,2)</f>
        <v>0</v>
      </c>
      <c r="I47" s="2"/>
      <c r="J47" s="6">
        <f>ROUND(INPUT!G155,2)</f>
        <v>421.08</v>
      </c>
      <c r="K47" s="6"/>
      <c r="L47" s="6">
        <f>ROUND(INPUT!D155,2)</f>
        <v>4897.45</v>
      </c>
      <c r="M47" s="13"/>
      <c r="N47" s="6">
        <f>ROUND(INPUT!E155,2)</f>
        <v>-7148.05</v>
      </c>
      <c r="O47" s="100"/>
      <c r="P47" s="100"/>
      <c r="Q47" s="100"/>
      <c r="R47" s="100"/>
      <c r="S47" s="100"/>
      <c r="T47" s="100"/>
      <c r="U47" s="100"/>
    </row>
    <row r="48" spans="2:21" ht="16.5">
      <c r="B48" s="14" t="s">
        <v>923</v>
      </c>
      <c r="C48" s="3" t="s">
        <v>928</v>
      </c>
      <c r="F48" s="6">
        <f>ROUND(INPUT!C156,2)</f>
        <v>786.28</v>
      </c>
      <c r="G48" s="2"/>
      <c r="H48" s="6">
        <f>ROUND(INPUT!F156,2)</f>
        <v>0</v>
      </c>
      <c r="I48" s="2"/>
      <c r="J48" s="6">
        <f>ROUND(INPUT!G156,2)</f>
        <v>1338.18</v>
      </c>
      <c r="K48" s="6"/>
      <c r="L48" s="6">
        <f>ROUND(INPUT!D156,2)</f>
        <v>15564.02</v>
      </c>
      <c r="M48" s="13"/>
      <c r="N48" s="6">
        <f>ROUND(INPUT!E156,2)</f>
        <v>-22716.28</v>
      </c>
      <c r="O48" s="100"/>
      <c r="P48" s="100"/>
      <c r="Q48" s="100"/>
      <c r="R48" s="100"/>
      <c r="S48" s="100"/>
      <c r="T48" s="100"/>
      <c r="U48" s="100"/>
    </row>
    <row r="49" spans="3:21" ht="15">
      <c r="C49" s="3" t="s">
        <v>929</v>
      </c>
      <c r="F49" s="6">
        <f>ROUND(INPUT!C157,2)</f>
        <v>1648.49</v>
      </c>
      <c r="G49" s="2"/>
      <c r="H49" s="6">
        <f>ROUND(INPUT!F157,2)</f>
        <v>0</v>
      </c>
      <c r="I49" s="2"/>
      <c r="J49" s="6">
        <f>ROUND(INPUT!G157,2)</f>
        <v>2805.58</v>
      </c>
      <c r="K49" s="6"/>
      <c r="L49" s="6">
        <f>ROUND(INPUT!D157,2)</f>
        <v>32631.63</v>
      </c>
      <c r="M49" s="13"/>
      <c r="N49" s="6">
        <f>ROUND(INPUT!E157,2)</f>
        <v>-47627.65</v>
      </c>
      <c r="O49" s="100"/>
      <c r="P49" s="100"/>
      <c r="Q49" s="100"/>
      <c r="R49" s="100"/>
      <c r="S49" s="100"/>
      <c r="T49" s="100"/>
      <c r="U49" s="100"/>
    </row>
    <row r="50" spans="3:21" ht="15">
      <c r="C50" s="3" t="s">
        <v>1754</v>
      </c>
      <c r="F50" s="21">
        <f>ROUND(INPUT!C158,2)</f>
        <v>0</v>
      </c>
      <c r="G50" s="2"/>
      <c r="H50" s="21">
        <f>ROUND(INPUT!F158,2)</f>
        <v>0</v>
      </c>
      <c r="I50" s="2"/>
      <c r="J50" s="21">
        <f>ROUND(INPUT!G158,2)</f>
        <v>0</v>
      </c>
      <c r="K50" s="6"/>
      <c r="L50" s="21">
        <f>ROUND(INPUT!D158,2)</f>
        <v>0</v>
      </c>
      <c r="M50" s="13"/>
      <c r="N50" s="21">
        <f>ROUND(INPUT!E158,2)</f>
        <v>0</v>
      </c>
      <c r="O50" s="105"/>
      <c r="P50" s="105"/>
      <c r="Q50" s="105"/>
      <c r="R50" s="105"/>
      <c r="S50" s="105"/>
      <c r="T50" s="105"/>
      <c r="U50" s="105"/>
    </row>
    <row r="51" spans="3:21" ht="15">
      <c r="C51" s="3" t="s">
        <v>543</v>
      </c>
      <c r="F51" s="13">
        <f>SUM(F46:F50)</f>
        <v>3860.3500000000004</v>
      </c>
      <c r="G51" s="2"/>
      <c r="H51" s="13">
        <f>SUM(H46:H50)</f>
        <v>0</v>
      </c>
      <c r="I51" s="2"/>
      <c r="J51" s="6">
        <f>SUM(J46:J50)</f>
        <v>6570</v>
      </c>
      <c r="K51" s="6"/>
      <c r="L51" s="13">
        <f>SUM(L46:L50)</f>
        <v>76414.77</v>
      </c>
      <c r="M51" s="13"/>
      <c r="N51" s="13">
        <f>SUM(N46:N50)</f>
        <v>-111531.06</v>
      </c>
      <c r="O51" s="100"/>
      <c r="P51" s="100"/>
      <c r="Q51" s="100"/>
      <c r="R51" s="100"/>
      <c r="S51" s="100"/>
      <c r="T51" s="100"/>
      <c r="U51" s="100"/>
    </row>
    <row r="52" spans="6:21" ht="15">
      <c r="F52" s="13"/>
      <c r="G52" s="2"/>
      <c r="H52" s="2"/>
      <c r="I52" s="2"/>
      <c r="J52" s="6"/>
      <c r="K52" s="6"/>
      <c r="L52" s="13"/>
      <c r="M52" s="13"/>
      <c r="N52" s="13"/>
      <c r="O52" s="101"/>
      <c r="P52" s="101"/>
      <c r="Q52" s="101"/>
      <c r="R52" s="101"/>
      <c r="S52" s="101"/>
      <c r="T52" s="100"/>
      <c r="U52" s="100"/>
    </row>
    <row r="53" spans="1:21" ht="16.5">
      <c r="A53" s="3" t="s">
        <v>1309</v>
      </c>
      <c r="B53" s="14" t="s">
        <v>1310</v>
      </c>
      <c r="C53" s="3" t="s">
        <v>926</v>
      </c>
      <c r="F53" s="13">
        <f>F39-F46</f>
        <v>0</v>
      </c>
      <c r="G53" s="2"/>
      <c r="H53" s="13">
        <f>H39-H46</f>
        <v>0</v>
      </c>
      <c r="I53" s="2"/>
      <c r="J53" s="6">
        <f>J39-J46</f>
        <v>0</v>
      </c>
      <c r="K53" s="6"/>
      <c r="L53" s="13">
        <f>+L39-L46</f>
        <v>44.330000000001746</v>
      </c>
      <c r="M53" s="13"/>
      <c r="N53" s="13">
        <f>+N39-N46</f>
        <v>-232.91999999999825</v>
      </c>
      <c r="O53" s="101"/>
      <c r="P53" s="101"/>
      <c r="Q53" s="101"/>
      <c r="R53" s="101"/>
      <c r="S53" s="101"/>
      <c r="T53" s="100"/>
      <c r="U53" s="100"/>
    </row>
    <row r="54" spans="2:21" ht="16.5">
      <c r="B54" s="14" t="s">
        <v>890</v>
      </c>
      <c r="C54" s="3" t="s">
        <v>927</v>
      </c>
      <c r="F54" s="13">
        <f>F40-F47</f>
        <v>0</v>
      </c>
      <c r="G54" s="2"/>
      <c r="H54" s="13">
        <f>H40-H47</f>
        <v>0</v>
      </c>
      <c r="I54" s="2"/>
      <c r="J54" s="6">
        <f>J40-J47</f>
        <v>0</v>
      </c>
      <c r="K54" s="6"/>
      <c r="L54" s="13">
        <f>+L40-L47</f>
        <v>9.550000000000182</v>
      </c>
      <c r="M54" s="13"/>
      <c r="N54" s="13">
        <f>+N40-N47</f>
        <v>-48.94999999999982</v>
      </c>
      <c r="O54" s="101"/>
      <c r="P54" s="101"/>
      <c r="Q54" s="101"/>
      <c r="R54" s="101"/>
      <c r="S54" s="101"/>
      <c r="T54" s="100"/>
      <c r="U54" s="100"/>
    </row>
    <row r="55" spans="2:21" ht="16.5">
      <c r="B55" s="14" t="s">
        <v>923</v>
      </c>
      <c r="C55" s="3" t="s">
        <v>928</v>
      </c>
      <c r="F55" s="13">
        <f>F41-F48</f>
        <v>0</v>
      </c>
      <c r="G55" s="2"/>
      <c r="H55" s="13">
        <f>H41-H48</f>
        <v>0</v>
      </c>
      <c r="I55" s="2"/>
      <c r="J55" s="6">
        <f>J41-J48</f>
        <v>0</v>
      </c>
      <c r="K55" s="6"/>
      <c r="L55" s="13">
        <f>+L41-L48</f>
        <v>29.979999999999563</v>
      </c>
      <c r="M55" s="13"/>
      <c r="N55" s="13">
        <f>+N41-N48</f>
        <v>-155.72000000000116</v>
      </c>
      <c r="O55" s="101"/>
      <c r="P55" s="101"/>
      <c r="Q55" s="101"/>
      <c r="R55" s="101"/>
      <c r="S55" s="101"/>
      <c r="T55" s="100"/>
      <c r="U55" s="100"/>
    </row>
    <row r="56" spans="2:21" ht="16.5">
      <c r="B56" s="14" t="s">
        <v>923</v>
      </c>
      <c r="C56" s="3" t="s">
        <v>929</v>
      </c>
      <c r="F56" s="13">
        <f>F42-F49</f>
        <v>0</v>
      </c>
      <c r="G56" s="2"/>
      <c r="H56" s="13">
        <f>H42-H49</f>
        <v>0</v>
      </c>
      <c r="I56" s="2"/>
      <c r="J56" s="6">
        <f>J42-J49</f>
        <v>0</v>
      </c>
      <c r="K56" s="6"/>
      <c r="L56" s="13">
        <f>+L42-L49</f>
        <v>62.36999999999898</v>
      </c>
      <c r="M56" s="13"/>
      <c r="N56" s="13">
        <f>+N42-N49</f>
        <v>-325.34999999999854</v>
      </c>
      <c r="O56" s="101"/>
      <c r="P56" s="101"/>
      <c r="Q56" s="101"/>
      <c r="R56" s="101"/>
      <c r="S56" s="101"/>
      <c r="T56" s="100"/>
      <c r="U56" s="100"/>
    </row>
    <row r="57" spans="2:21" ht="16.5">
      <c r="B57" s="20"/>
      <c r="C57" s="3" t="s">
        <v>1754</v>
      </c>
      <c r="F57" s="21">
        <f>F43-F50</f>
        <v>0</v>
      </c>
      <c r="G57" s="2"/>
      <c r="H57" s="21">
        <f>H43-H50</f>
        <v>0</v>
      </c>
      <c r="I57" s="2"/>
      <c r="J57" s="21">
        <f>J43-J50</f>
        <v>0</v>
      </c>
      <c r="K57" s="6"/>
      <c r="L57" s="21">
        <f>+L43-L50</f>
        <v>0</v>
      </c>
      <c r="M57" s="13"/>
      <c r="N57" s="21">
        <f>+N43-N50</f>
        <v>0</v>
      </c>
      <c r="O57" s="101"/>
      <c r="P57" s="101"/>
      <c r="Q57" s="101"/>
      <c r="R57" s="101"/>
      <c r="S57" s="101"/>
      <c r="T57" s="100"/>
      <c r="U57" s="100"/>
    </row>
    <row r="58" spans="2:21" ht="16.5">
      <c r="B58" s="20"/>
      <c r="C58" s="3" t="s">
        <v>543</v>
      </c>
      <c r="F58" s="13">
        <f>SUM(F53:F57)</f>
        <v>0</v>
      </c>
      <c r="G58" s="2"/>
      <c r="H58" s="13">
        <f>SUM(H53:H57)</f>
        <v>0</v>
      </c>
      <c r="I58" s="2"/>
      <c r="J58" s="6">
        <f>SUM(J53:J57)</f>
        <v>0</v>
      </c>
      <c r="K58" s="6"/>
      <c r="L58" s="13">
        <f>SUM(L53:L57)</f>
        <v>146.23000000000047</v>
      </c>
      <c r="M58" s="13"/>
      <c r="N58" s="13">
        <f>SUM(N53:N57)</f>
        <v>-762.9399999999978</v>
      </c>
      <c r="O58" s="101"/>
      <c r="P58" s="101"/>
      <c r="Q58" s="101"/>
      <c r="R58" s="101"/>
      <c r="S58" s="101"/>
      <c r="T58" s="100"/>
      <c r="U58" s="100"/>
    </row>
    <row r="59" ht="15">
      <c r="N59" s="12"/>
    </row>
    <row r="62" ht="15">
      <c r="H62" s="12"/>
    </row>
  </sheetData>
  <sheetProtection/>
  <mergeCells count="2">
    <mergeCell ref="F7:H7"/>
    <mergeCell ref="L7:N7"/>
  </mergeCells>
  <printOptions horizontalCentered="1"/>
  <pageMargins left="0.25" right="0.25" top="0.75" bottom="0.25" header="0" footer="0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1.28125" style="423" customWidth="1"/>
    <col min="2" max="16384" width="9.140625" style="423" customWidth="1"/>
  </cols>
  <sheetData>
    <row r="1" ht="19.5">
      <c r="A1" s="405" t="s">
        <v>539</v>
      </c>
    </row>
    <row r="2" ht="19.5">
      <c r="A2" s="406" t="s">
        <v>506</v>
      </c>
    </row>
    <row r="3" ht="19.5">
      <c r="A3" s="406" t="s">
        <v>507</v>
      </c>
    </row>
    <row r="4" ht="19.5">
      <c r="A4" s="407" t="str">
        <f>INPUT!C1</f>
        <v>February 2012</v>
      </c>
    </row>
    <row r="5" ht="19.5">
      <c r="A5" s="406" t="s">
        <v>514</v>
      </c>
    </row>
    <row r="6" ht="19.5">
      <c r="A6" s="406" t="s">
        <v>517</v>
      </c>
    </row>
    <row r="7" ht="19.5">
      <c r="A7" s="406" t="s">
        <v>518</v>
      </c>
    </row>
    <row r="8" ht="19.5">
      <c r="A8" s="406" t="s">
        <v>519</v>
      </c>
    </row>
    <row r="9" ht="19.5">
      <c r="A9" s="406"/>
    </row>
    <row r="10" ht="19.5">
      <c r="A10" s="406" t="s">
        <v>1944</v>
      </c>
    </row>
    <row r="11" ht="19.5">
      <c r="A11" s="406"/>
    </row>
    <row r="12" ht="19.5">
      <c r="A12" s="406" t="s">
        <v>1945</v>
      </c>
    </row>
    <row r="13" ht="19.5">
      <c r="A13" s="406"/>
    </row>
    <row r="14" ht="19.5">
      <c r="A14" s="406" t="s">
        <v>1946</v>
      </c>
    </row>
    <row r="15" ht="19.5">
      <c r="A15" s="406"/>
    </row>
    <row r="16" ht="19.5">
      <c r="A16" s="406" t="s">
        <v>1947</v>
      </c>
    </row>
    <row r="17" ht="19.5">
      <c r="A17" s="406"/>
    </row>
    <row r="18" ht="19.5">
      <c r="A18" s="406" t="s">
        <v>1948</v>
      </c>
    </row>
    <row r="19" ht="19.5">
      <c r="A19" s="406"/>
    </row>
    <row r="20" ht="19.5">
      <c r="A20" s="406" t="s">
        <v>1949</v>
      </c>
    </row>
    <row r="21" ht="19.5">
      <c r="A21" s="406"/>
    </row>
    <row r="22" ht="19.5">
      <c r="A22" s="406" t="s">
        <v>1950</v>
      </c>
    </row>
    <row r="23" ht="19.5">
      <c r="A23" s="406"/>
    </row>
    <row r="24" ht="19.5">
      <c r="A24" s="406" t="s">
        <v>1951</v>
      </c>
    </row>
    <row r="25" ht="19.5">
      <c r="A25" s="406"/>
    </row>
    <row r="26" ht="19.5">
      <c r="A26" s="406" t="s">
        <v>1952</v>
      </c>
    </row>
    <row r="27" ht="19.5">
      <c r="A27" s="406"/>
    </row>
    <row r="28" ht="19.5">
      <c r="A28" s="406" t="s">
        <v>1953</v>
      </c>
    </row>
    <row r="29" ht="19.5">
      <c r="A29" s="406"/>
    </row>
    <row r="30" ht="19.5">
      <c r="A30" s="406" t="s">
        <v>1954</v>
      </c>
    </row>
    <row r="31" ht="19.5">
      <c r="A31" s="408"/>
    </row>
    <row r="32" ht="19.5">
      <c r="A32" s="408" t="s">
        <v>1955</v>
      </c>
    </row>
    <row r="33" ht="19.5">
      <c r="A33" s="408" t="s">
        <v>565</v>
      </c>
    </row>
    <row r="34" ht="19.5">
      <c r="A34" s="408" t="s">
        <v>566</v>
      </c>
    </row>
    <row r="35" ht="19.5">
      <c r="A35" s="40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W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140625" style="3" customWidth="1"/>
    <col min="3" max="3" width="9.140625" style="3" customWidth="1"/>
    <col min="4" max="4" width="27.7109375" style="3" bestFit="1" customWidth="1"/>
    <col min="5" max="5" width="28.28125" style="3" bestFit="1" customWidth="1"/>
    <col min="6" max="6" width="27.57421875" style="3" customWidth="1"/>
    <col min="7" max="7" width="27.7109375" style="3" bestFit="1" customWidth="1"/>
    <col min="8" max="8" width="28.00390625" style="3" bestFit="1" customWidth="1"/>
    <col min="9" max="9" width="27.140625" style="3" bestFit="1" customWidth="1"/>
    <col min="10" max="10" width="27.7109375" style="3" bestFit="1" customWidth="1"/>
    <col min="11" max="11" width="27.421875" style="3" bestFit="1" customWidth="1"/>
    <col min="12" max="12" width="20.57421875" style="3" bestFit="1" customWidth="1"/>
    <col min="13" max="13" width="28.28125" style="3" bestFit="1" customWidth="1"/>
    <col min="14" max="14" width="20.28125" style="3" bestFit="1" customWidth="1"/>
    <col min="15" max="15" width="28.00390625" style="3" bestFit="1" customWidth="1"/>
    <col min="16" max="16" width="27.140625" style="3" bestFit="1" customWidth="1"/>
    <col min="17" max="17" width="28.28125" style="3" bestFit="1" customWidth="1"/>
    <col min="18" max="18" width="27.421875" style="3" bestFit="1" customWidth="1"/>
    <col min="19" max="20" width="27.7109375" style="3" bestFit="1" customWidth="1"/>
    <col min="21" max="21" width="23.28125" style="3" customWidth="1"/>
    <col min="22" max="22" width="15.00390625" style="3" hidden="1" customWidth="1"/>
    <col min="23" max="23" width="15.140625" style="3" bestFit="1" customWidth="1"/>
    <col min="24" max="16384" width="9.140625" style="3" customWidth="1"/>
  </cols>
  <sheetData>
    <row r="1" spans="2:9" ht="16.5">
      <c r="B1" s="14" t="s">
        <v>1294</v>
      </c>
      <c r="C1" s="15" t="str">
        <f>INPUT!C1</f>
        <v>February 2012</v>
      </c>
      <c r="D1" s="68"/>
      <c r="I1" s="14" t="s">
        <v>315</v>
      </c>
    </row>
    <row r="2" ht="16.5">
      <c r="I2" s="14" t="s">
        <v>300</v>
      </c>
    </row>
    <row r="3" ht="16.5">
      <c r="F3" s="14" t="s">
        <v>316</v>
      </c>
    </row>
    <row r="4" ht="16.5">
      <c r="F4" s="14" t="s">
        <v>879</v>
      </c>
    </row>
    <row r="5" spans="6:9" ht="16.5">
      <c r="F5" s="48" t="s">
        <v>1052</v>
      </c>
      <c r="I5" s="394"/>
    </row>
    <row r="6" spans="9:10" ht="15">
      <c r="I6" s="101"/>
      <c r="J6" s="101"/>
    </row>
    <row r="7" spans="2:10" ht="19.5">
      <c r="B7" s="288" t="s">
        <v>748</v>
      </c>
      <c r="D7" s="1203" t="s">
        <v>1845</v>
      </c>
      <c r="E7" s="1203"/>
      <c r="G7" s="106" t="s">
        <v>1795</v>
      </c>
      <c r="H7" s="1191" t="s">
        <v>1296</v>
      </c>
      <c r="I7" s="1191"/>
      <c r="J7" s="1191"/>
    </row>
    <row r="8" spans="2:10" ht="19.5">
      <c r="B8" s="289" t="s">
        <v>920</v>
      </c>
      <c r="D8" s="378" t="s">
        <v>1703</v>
      </c>
      <c r="E8" s="378" t="s">
        <v>1727</v>
      </c>
      <c r="G8" s="102" t="s">
        <v>582</v>
      </c>
      <c r="H8" s="1204" t="s">
        <v>27</v>
      </c>
      <c r="I8" s="1204"/>
      <c r="J8" s="1204"/>
    </row>
    <row r="9" spans="3:10" ht="19.5">
      <c r="C9" s="103"/>
      <c r="D9" s="59" t="s">
        <v>885</v>
      </c>
      <c r="E9" s="59" t="s">
        <v>283</v>
      </c>
      <c r="G9" s="59"/>
      <c r="H9" s="59" t="s">
        <v>1522</v>
      </c>
      <c r="I9" s="59" t="s">
        <v>1796</v>
      </c>
      <c r="J9" s="59" t="s">
        <v>1796</v>
      </c>
    </row>
    <row r="10" spans="2:10" ht="19.5">
      <c r="B10" s="102"/>
      <c r="C10" s="103"/>
      <c r="D10" s="59" t="s">
        <v>1313</v>
      </c>
      <c r="E10" s="59" t="s">
        <v>1313</v>
      </c>
      <c r="G10" s="59"/>
      <c r="H10" s="59" t="s">
        <v>1313</v>
      </c>
      <c r="I10" s="59" t="s">
        <v>1313</v>
      </c>
      <c r="J10" s="59" t="s">
        <v>1313</v>
      </c>
    </row>
    <row r="11" spans="2:10" ht="19.5">
      <c r="B11" s="102"/>
      <c r="C11" s="103"/>
      <c r="D11" s="17" t="s">
        <v>2039</v>
      </c>
      <c r="E11" s="17" t="s">
        <v>2039</v>
      </c>
      <c r="G11" s="59"/>
      <c r="H11" s="17" t="s">
        <v>2028</v>
      </c>
      <c r="I11" s="17" t="s">
        <v>2038</v>
      </c>
      <c r="J11" s="17" t="s">
        <v>2037</v>
      </c>
    </row>
    <row r="12" spans="1:14" ht="16.5">
      <c r="A12" s="3" t="s">
        <v>1305</v>
      </c>
      <c r="B12" s="14" t="s">
        <v>539</v>
      </c>
      <c r="C12" s="3" t="s">
        <v>926</v>
      </c>
      <c r="D12" s="658">
        <f>INPUT!A180</f>
        <v>0</v>
      </c>
      <c r="E12" s="6">
        <f>INPUT!B180</f>
        <v>0</v>
      </c>
      <c r="G12" s="6"/>
      <c r="H12" s="658">
        <f>ROUND(INPUT!C163,2)</f>
        <v>397485.7</v>
      </c>
      <c r="I12" s="658">
        <f>ROUND(INPUT!D163,2)</f>
        <v>9923.16</v>
      </c>
      <c r="J12" s="658">
        <f>ROUND(INPUT!E163,2)</f>
        <v>-1503214.09</v>
      </c>
      <c r="N12" s="100"/>
    </row>
    <row r="13" spans="2:14" ht="16.5">
      <c r="B13" s="14" t="s">
        <v>1011</v>
      </c>
      <c r="C13" s="3" t="s">
        <v>927</v>
      </c>
      <c r="D13" s="6">
        <f>INPUT!A181</f>
        <v>0</v>
      </c>
      <c r="E13" s="6">
        <f>INPUT!B181</f>
        <v>0</v>
      </c>
      <c r="G13" s="6"/>
      <c r="H13" s="6">
        <f>ROUND(INPUT!C164,2)</f>
        <v>83469.35</v>
      </c>
      <c r="I13" s="6">
        <f>ROUND(INPUT!D164,2)</f>
        <v>2083.8</v>
      </c>
      <c r="J13" s="6">
        <f>ROUND(INPUT!E164,2)</f>
        <v>-315665.33</v>
      </c>
      <c r="N13" s="100"/>
    </row>
    <row r="14" spans="3:14" ht="15">
      <c r="C14" s="3" t="s">
        <v>928</v>
      </c>
      <c r="D14" s="6">
        <f>INPUT!A182</f>
        <v>0</v>
      </c>
      <c r="E14" s="6">
        <f>INPUT!B182</f>
        <v>0</v>
      </c>
      <c r="G14" s="6"/>
      <c r="H14" s="6">
        <f>ROUND(INPUT!C165,2)</f>
        <v>265268.28</v>
      </c>
      <c r="I14" s="6">
        <f>ROUND(INPUT!D165,2)</f>
        <v>6622.37</v>
      </c>
      <c r="J14" s="6">
        <f>ROUND(INPUT!E165,2)</f>
        <v>-1003193.52</v>
      </c>
      <c r="N14" s="100"/>
    </row>
    <row r="15" spans="3:14" ht="15">
      <c r="C15" s="3" t="s">
        <v>929</v>
      </c>
      <c r="D15" s="6">
        <f>INPUT!A183</f>
        <v>0</v>
      </c>
      <c r="E15" s="6">
        <f>INPUT!B183</f>
        <v>0</v>
      </c>
      <c r="G15" s="6"/>
      <c r="H15" s="6">
        <f>ROUND(INPUT!C166,2)</f>
        <v>556154.45</v>
      </c>
      <c r="I15" s="6">
        <f>ROUND(INPUT!D166,2)</f>
        <v>13884.29</v>
      </c>
      <c r="J15" s="6">
        <f>ROUND(INPUT!E166,2)</f>
        <v>-2103268.41</v>
      </c>
      <c r="N15" s="100"/>
    </row>
    <row r="16" spans="3:14" ht="15">
      <c r="C16" s="3" t="s">
        <v>1754</v>
      </c>
      <c r="D16" s="21">
        <f>INPUT!A184</f>
        <v>0</v>
      </c>
      <c r="E16" s="21">
        <f>INPUT!B184</f>
        <v>0</v>
      </c>
      <c r="G16" s="6"/>
      <c r="H16" s="21">
        <f>ROUND(INPUT!C167,2)</f>
        <v>0</v>
      </c>
      <c r="I16" s="21">
        <f>ROUND(INPUT!D167,2)</f>
        <v>0</v>
      </c>
      <c r="J16" s="21">
        <f>ROUND(INPUT!E167,2)</f>
        <v>0</v>
      </c>
      <c r="N16" s="105"/>
    </row>
    <row r="17" spans="3:14" ht="15">
      <c r="C17" s="3" t="s">
        <v>543</v>
      </c>
      <c r="D17" s="13">
        <f>SUM(D12:D16)</f>
        <v>0</v>
      </c>
      <c r="E17" s="13">
        <f>SUM(E12:E16)</f>
        <v>0</v>
      </c>
      <c r="G17" s="6"/>
      <c r="H17" s="13">
        <f>SUM(H12:H16)</f>
        <v>1302377.78</v>
      </c>
      <c r="I17" s="13">
        <f>SUM(I12:I16)</f>
        <v>32513.62</v>
      </c>
      <c r="J17" s="13">
        <f>SUM(J12:J16)</f>
        <v>-4925341.350000001</v>
      </c>
      <c r="N17" s="105"/>
    </row>
    <row r="18" spans="4:14" ht="15">
      <c r="D18" s="2"/>
      <c r="E18" s="286"/>
      <c r="G18" s="55"/>
      <c r="H18" s="2"/>
      <c r="I18" s="2"/>
      <c r="J18" s="13"/>
      <c r="N18" s="34"/>
    </row>
    <row r="19" spans="1:16" ht="16.5">
      <c r="A19" s="3" t="s">
        <v>1306</v>
      </c>
      <c r="B19" s="14" t="s">
        <v>887</v>
      </c>
      <c r="C19" s="3" t="s">
        <v>926</v>
      </c>
      <c r="D19" s="658">
        <f>INPUT!A180</f>
        <v>0</v>
      </c>
      <c r="E19" s="6">
        <f>INPUT!B187</f>
        <v>0</v>
      </c>
      <c r="G19" s="6"/>
      <c r="H19" s="6">
        <f>ROUND(INPUT!C170,2)</f>
        <v>397171.75</v>
      </c>
      <c r="I19" s="6">
        <f>ROUND(INPUT!D170,2)</f>
        <v>9923.16</v>
      </c>
      <c r="J19" s="6">
        <f>ROUND(INPUT!E170,2)</f>
        <v>-1500983.09</v>
      </c>
      <c r="M19" s="100"/>
      <c r="N19" s="100"/>
      <c r="O19" s="100"/>
      <c r="P19" s="100"/>
    </row>
    <row r="20" spans="2:16" ht="16.5">
      <c r="B20" s="14" t="s">
        <v>888</v>
      </c>
      <c r="C20" s="3" t="s">
        <v>927</v>
      </c>
      <c r="D20" s="6">
        <f>INPUT!A188</f>
        <v>0</v>
      </c>
      <c r="E20" s="6">
        <f>INPUT!B188</f>
        <v>0</v>
      </c>
      <c r="G20" s="6"/>
      <c r="H20" s="6">
        <f>ROUND(INPUT!C171,2)</f>
        <v>83403.43</v>
      </c>
      <c r="I20" s="6">
        <f>ROUND(INPUT!D171,2)</f>
        <v>2083.8</v>
      </c>
      <c r="J20" s="6">
        <f>ROUND(INPUT!E171,2)</f>
        <v>-315196.84</v>
      </c>
      <c r="M20" s="100"/>
      <c r="N20" s="100"/>
      <c r="O20" s="100"/>
      <c r="P20" s="100"/>
    </row>
    <row r="21" spans="2:16" ht="16.5">
      <c r="B21" s="14" t="s">
        <v>923</v>
      </c>
      <c r="C21" s="3" t="s">
        <v>928</v>
      </c>
      <c r="D21" s="6">
        <f>INPUT!A189</f>
        <v>0</v>
      </c>
      <c r="E21" s="6">
        <f>INPUT!B189</f>
        <v>0</v>
      </c>
      <c r="G21" s="6"/>
      <c r="H21" s="6">
        <f>ROUND(INPUT!C172,2)</f>
        <v>265058.76</v>
      </c>
      <c r="I21" s="6">
        <f>ROUND(INPUT!D172,2)</f>
        <v>6622.37</v>
      </c>
      <c r="J21" s="6">
        <f>ROUND(INPUT!E172,2)</f>
        <v>-1001704.61</v>
      </c>
      <c r="M21" s="100"/>
      <c r="N21" s="100"/>
      <c r="O21" s="100"/>
      <c r="P21" s="100"/>
    </row>
    <row r="22" spans="3:16" ht="15">
      <c r="C22" s="3" t="s">
        <v>929</v>
      </c>
      <c r="D22" s="6">
        <f>INPUT!A190</f>
        <v>0</v>
      </c>
      <c r="E22" s="6">
        <f>INPUT!B190</f>
        <v>0</v>
      </c>
      <c r="G22" s="6"/>
      <c r="H22" s="6">
        <f>ROUND(INPUT!C173,2)</f>
        <v>555715.17</v>
      </c>
      <c r="I22" s="6">
        <f>ROUND(INPUT!D173,2)</f>
        <v>13884.29</v>
      </c>
      <c r="J22" s="6">
        <f>ROUND(INPUT!E173,2)</f>
        <v>-2100146.8</v>
      </c>
      <c r="M22" s="100"/>
      <c r="N22" s="100"/>
      <c r="O22" s="100"/>
      <c r="P22" s="100"/>
    </row>
    <row r="23" spans="3:16" ht="15">
      <c r="C23" s="3" t="s">
        <v>1754</v>
      </c>
      <c r="D23" s="21">
        <f>INPUT!A191</f>
        <v>0</v>
      </c>
      <c r="E23" s="21">
        <f>INPUT!B191</f>
        <v>0</v>
      </c>
      <c r="G23" s="6"/>
      <c r="H23" s="21">
        <f>ROUND(INPUT!C174,2)</f>
        <v>0</v>
      </c>
      <c r="I23" s="21">
        <f>ROUND(INPUT!D174,2)</f>
        <v>0</v>
      </c>
      <c r="J23" s="21">
        <f>ROUND(INPUT!E174,2)</f>
        <v>0</v>
      </c>
      <c r="M23" s="105"/>
      <c r="N23" s="105"/>
      <c r="O23" s="105"/>
      <c r="P23" s="105"/>
    </row>
    <row r="24" spans="3:16" ht="15">
      <c r="C24" s="3" t="s">
        <v>543</v>
      </c>
      <c r="D24" s="13">
        <f>SUM(D19:D23)</f>
        <v>0</v>
      </c>
      <c r="E24" s="13">
        <f>SUM(E19:E23)</f>
        <v>0</v>
      </c>
      <c r="G24" s="6"/>
      <c r="H24" s="13">
        <f>SUM(H19:H23)</f>
        <v>1301349.1099999999</v>
      </c>
      <c r="I24" s="13">
        <f>SUM(I19:I23)</f>
        <v>32513.62</v>
      </c>
      <c r="J24" s="13">
        <f>SUM(J19:J23)</f>
        <v>-4918031.34</v>
      </c>
      <c r="M24" s="100"/>
      <c r="N24" s="100"/>
      <c r="O24" s="100"/>
      <c r="P24" s="100"/>
    </row>
    <row r="25" spans="4:10" ht="15">
      <c r="D25" s="2"/>
      <c r="E25" s="2"/>
      <c r="G25" s="55"/>
      <c r="H25" s="2"/>
      <c r="I25" s="2"/>
      <c r="J25" s="13"/>
    </row>
    <row r="26" spans="1:10" ht="16.5">
      <c r="A26" s="3" t="s">
        <v>1309</v>
      </c>
      <c r="B26" s="14" t="s">
        <v>1310</v>
      </c>
      <c r="C26" s="3" t="s">
        <v>926</v>
      </c>
      <c r="D26" s="13">
        <f aca="true" t="shared" si="0" ref="D26:E30">D12-D19</f>
        <v>0</v>
      </c>
      <c r="E26" s="13">
        <f t="shared" si="0"/>
        <v>0</v>
      </c>
      <c r="G26" s="55"/>
      <c r="H26" s="13">
        <f aca="true" t="shared" si="1" ref="H26:I30">H12-H19</f>
        <v>313.95000000001164</v>
      </c>
      <c r="I26" s="13">
        <f t="shared" si="1"/>
        <v>0</v>
      </c>
      <c r="J26" s="13">
        <f>+J12-J19</f>
        <v>-2231</v>
      </c>
    </row>
    <row r="27" spans="2:10" ht="16.5">
      <c r="B27" s="14" t="s">
        <v>890</v>
      </c>
      <c r="C27" s="3" t="s">
        <v>927</v>
      </c>
      <c r="D27" s="13">
        <f t="shared" si="0"/>
        <v>0</v>
      </c>
      <c r="E27" s="13">
        <f t="shared" si="0"/>
        <v>0</v>
      </c>
      <c r="G27" s="55"/>
      <c r="H27" s="13">
        <f t="shared" si="1"/>
        <v>65.9200000000128</v>
      </c>
      <c r="I27" s="13">
        <f t="shared" si="1"/>
        <v>0</v>
      </c>
      <c r="J27" s="13">
        <f>+J13-J20</f>
        <v>-468.4899999999907</v>
      </c>
    </row>
    <row r="28" spans="2:10" ht="16.5">
      <c r="B28" s="14"/>
      <c r="C28" s="3" t="s">
        <v>928</v>
      </c>
      <c r="D28" s="13">
        <f t="shared" si="0"/>
        <v>0</v>
      </c>
      <c r="E28" s="13">
        <f t="shared" si="0"/>
        <v>0</v>
      </c>
      <c r="G28" s="55"/>
      <c r="H28" s="13">
        <f t="shared" si="1"/>
        <v>209.52000000001863</v>
      </c>
      <c r="I28" s="13">
        <f t="shared" si="1"/>
        <v>0</v>
      </c>
      <c r="J28" s="13">
        <f>+J14-J21</f>
        <v>-1488.9100000000326</v>
      </c>
    </row>
    <row r="29" spans="2:10" ht="16.5">
      <c r="B29" s="20"/>
      <c r="C29" s="3" t="s">
        <v>929</v>
      </c>
      <c r="D29" s="13">
        <f t="shared" si="0"/>
        <v>0</v>
      </c>
      <c r="E29" s="13">
        <f t="shared" si="0"/>
        <v>0</v>
      </c>
      <c r="G29" s="55"/>
      <c r="H29" s="13">
        <f t="shared" si="1"/>
        <v>439.2799999999115</v>
      </c>
      <c r="I29" s="13">
        <f t="shared" si="1"/>
        <v>0</v>
      </c>
      <c r="J29" s="13">
        <f>+J15-J22</f>
        <v>-3121.6100000003353</v>
      </c>
    </row>
    <row r="30" spans="2:10" ht="16.5">
      <c r="B30" s="20"/>
      <c r="C30" s="3" t="s">
        <v>1754</v>
      </c>
      <c r="D30" s="21">
        <f t="shared" si="0"/>
        <v>0</v>
      </c>
      <c r="E30" s="21">
        <f t="shared" si="0"/>
        <v>0</v>
      </c>
      <c r="G30" s="55"/>
      <c r="H30" s="21">
        <f t="shared" si="1"/>
        <v>0</v>
      </c>
      <c r="I30" s="21">
        <f t="shared" si="1"/>
        <v>0</v>
      </c>
      <c r="J30" s="21">
        <f>+J16-J23</f>
        <v>0</v>
      </c>
    </row>
    <row r="31" spans="2:10" ht="16.5">
      <c r="B31" s="20"/>
      <c r="C31" s="3" t="s">
        <v>543</v>
      </c>
      <c r="D31" s="13">
        <f>SUM(D26:D30)</f>
        <v>0</v>
      </c>
      <c r="E31" s="13">
        <f>SUM(E26:E30)</f>
        <v>0</v>
      </c>
      <c r="G31" s="55"/>
      <c r="H31" s="13">
        <f>SUM(H26:H30)</f>
        <v>1028.6699999999546</v>
      </c>
      <c r="I31" s="13">
        <f>SUM(I26:I30)</f>
        <v>0</v>
      </c>
      <c r="J31" s="13">
        <f>SUM(J26:J30)</f>
        <v>-7310.010000000359</v>
      </c>
    </row>
    <row r="32" spans="1:10" ht="19.5">
      <c r="A32" s="75"/>
      <c r="B32" s="242"/>
      <c r="C32" s="243"/>
      <c r="D32" s="12"/>
      <c r="E32" s="12"/>
      <c r="F32" s="59"/>
      <c r="G32" s="59"/>
      <c r="H32" s="12"/>
      <c r="I32" s="12"/>
      <c r="J32" s="394"/>
    </row>
    <row r="33" spans="4:12" ht="16.5">
      <c r="D33" s="1191" t="s">
        <v>749</v>
      </c>
      <c r="E33" s="1191"/>
      <c r="F33" s="1191"/>
      <c r="G33" s="1191"/>
      <c r="H33" s="1191"/>
      <c r="I33" s="1191"/>
      <c r="J33" s="1191"/>
      <c r="K33" s="1191"/>
      <c r="L33" s="14"/>
    </row>
    <row r="34" spans="4:12" ht="16.5">
      <c r="D34" s="1204" t="s">
        <v>750</v>
      </c>
      <c r="E34" s="1204"/>
      <c r="F34" s="1204"/>
      <c r="G34" s="1204"/>
      <c r="H34" s="1204"/>
      <c r="I34" s="1204"/>
      <c r="J34" s="1204"/>
      <c r="K34" s="1204"/>
      <c r="L34" s="48"/>
    </row>
    <row r="35" spans="8:10" ht="15">
      <c r="H35" s="429"/>
      <c r="I35" s="429"/>
      <c r="J35" s="429"/>
    </row>
    <row r="36" spans="4:14" ht="16.5">
      <c r="D36" s="429"/>
      <c r="E36" s="429"/>
      <c r="H36" s="425"/>
      <c r="I36" s="425"/>
      <c r="J36" s="425"/>
      <c r="K36" s="425"/>
      <c r="L36" s="425"/>
      <c r="M36" s="425"/>
      <c r="N36" s="425"/>
    </row>
    <row r="37" spans="2:23" ht="19.5">
      <c r="B37" s="288" t="s">
        <v>748</v>
      </c>
      <c r="D37" s="1190" t="s">
        <v>189</v>
      </c>
      <c r="E37" s="1190"/>
      <c r="F37" s="1190"/>
      <c r="G37" s="1190"/>
      <c r="H37" s="1190"/>
      <c r="I37" s="1202" t="s">
        <v>1296</v>
      </c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8"/>
      <c r="V37" s="16"/>
      <c r="W37" s="16"/>
    </row>
    <row r="38" spans="2:23" ht="19.5">
      <c r="B38" s="289" t="s">
        <v>920</v>
      </c>
      <c r="C38" s="103"/>
      <c r="D38" s="715" t="s">
        <v>540</v>
      </c>
      <c r="E38" s="715" t="s">
        <v>540</v>
      </c>
      <c r="F38" s="715" t="s">
        <v>540</v>
      </c>
      <c r="G38" s="715" t="s">
        <v>171</v>
      </c>
      <c r="H38" s="715" t="s">
        <v>171</v>
      </c>
      <c r="I38" s="426" t="s">
        <v>379</v>
      </c>
      <c r="J38" s="11" t="s">
        <v>541</v>
      </c>
      <c r="K38" s="11" t="s">
        <v>541</v>
      </c>
      <c r="L38" s="11" t="s">
        <v>541</v>
      </c>
      <c r="M38" s="11" t="s">
        <v>541</v>
      </c>
      <c r="N38" s="11" t="s">
        <v>541</v>
      </c>
      <c r="O38" s="11" t="s">
        <v>541</v>
      </c>
      <c r="P38" s="11" t="s">
        <v>541</v>
      </c>
      <c r="Q38" s="11" t="s">
        <v>541</v>
      </c>
      <c r="R38" s="11" t="s">
        <v>175</v>
      </c>
      <c r="S38" s="11" t="s">
        <v>175</v>
      </c>
      <c r="T38" s="11" t="s">
        <v>175</v>
      </c>
      <c r="U38" s="11" t="s">
        <v>190</v>
      </c>
      <c r="V38" s="11"/>
      <c r="W38" s="45" t="s">
        <v>838</v>
      </c>
    </row>
    <row r="39" spans="2:23" ht="19.5">
      <c r="B39" s="102"/>
      <c r="C39" s="103"/>
      <c r="D39" s="2"/>
      <c r="E39" s="2"/>
      <c r="F39" s="2"/>
      <c r="G39" s="2"/>
      <c r="H39" s="2"/>
      <c r="I39" s="426" t="s">
        <v>380</v>
      </c>
      <c r="J39" s="11" t="s">
        <v>1313</v>
      </c>
      <c r="K39" s="11" t="s">
        <v>1313</v>
      </c>
      <c r="L39" s="11" t="s">
        <v>1313</v>
      </c>
      <c r="M39" s="11" t="s">
        <v>1313</v>
      </c>
      <c r="N39" s="11" t="s">
        <v>1313</v>
      </c>
      <c r="O39" s="11" t="s">
        <v>1313</v>
      </c>
      <c r="P39" s="11" t="s">
        <v>1313</v>
      </c>
      <c r="Q39" s="11" t="s">
        <v>1313</v>
      </c>
      <c r="R39" s="11" t="s">
        <v>1313</v>
      </c>
      <c r="S39" s="11" t="s">
        <v>1313</v>
      </c>
      <c r="T39" s="11" t="s">
        <v>1313</v>
      </c>
      <c r="U39" s="11" t="s">
        <v>1313</v>
      </c>
      <c r="V39" s="11"/>
      <c r="W39" s="45" t="s">
        <v>839</v>
      </c>
    </row>
    <row r="40" spans="2:23" ht="19.5">
      <c r="B40" s="102"/>
      <c r="C40" s="103"/>
      <c r="D40" s="282" t="s">
        <v>513</v>
      </c>
      <c r="E40" s="282" t="s">
        <v>326</v>
      </c>
      <c r="F40" s="282" t="s">
        <v>2029</v>
      </c>
      <c r="G40" s="282" t="s">
        <v>2030</v>
      </c>
      <c r="H40" s="643">
        <v>4470.17</v>
      </c>
      <c r="I40" s="740" t="s">
        <v>1975</v>
      </c>
      <c r="J40" s="282" t="s">
        <v>2032</v>
      </c>
      <c r="K40" s="282" t="s">
        <v>512</v>
      </c>
      <c r="L40" s="282" t="s">
        <v>2028</v>
      </c>
      <c r="M40" s="282" t="s">
        <v>2033</v>
      </c>
      <c r="N40" s="282" t="s">
        <v>513</v>
      </c>
      <c r="O40" s="282" t="s">
        <v>2034</v>
      </c>
      <c r="P40" s="282" t="s">
        <v>2029</v>
      </c>
      <c r="Q40" s="282" t="s">
        <v>2035</v>
      </c>
      <c r="R40" s="282" t="s">
        <v>2030</v>
      </c>
      <c r="S40" s="282" t="s">
        <v>2031</v>
      </c>
      <c r="T40" s="282" t="s">
        <v>2036</v>
      </c>
      <c r="U40" s="282" t="s">
        <v>1469</v>
      </c>
      <c r="V40" s="282"/>
      <c r="W40" s="29" t="s">
        <v>837</v>
      </c>
    </row>
    <row r="41" spans="1:23" ht="16.5">
      <c r="A41" s="3" t="s">
        <v>1305</v>
      </c>
      <c r="B41" s="14" t="s">
        <v>539</v>
      </c>
      <c r="C41" s="3" t="s">
        <v>926</v>
      </c>
      <c r="D41" s="13">
        <v>0</v>
      </c>
      <c r="E41" s="658">
        <f>ROUND(INPUT!D180,2)</f>
        <v>84462.82</v>
      </c>
      <c r="F41" s="658">
        <f>ROUND(INPUT!E180,2)</f>
        <v>259.42</v>
      </c>
      <c r="G41" s="658">
        <f>ROUND(INPUT!F180,2)</f>
        <v>2506.42</v>
      </c>
      <c r="H41" s="659">
        <f>ROUND(INPUT!G180,2)</f>
        <v>85637</v>
      </c>
      <c r="I41" s="661">
        <f>ROUND(INPUT!H180,2)</f>
        <v>58945.99</v>
      </c>
      <c r="J41" s="658">
        <f>ROUND(INPUT!A197,2)</f>
        <v>0</v>
      </c>
      <c r="K41" s="658">
        <f>ROUND(INPUT!B197,2)</f>
        <v>297570</v>
      </c>
      <c r="L41" s="658">
        <f>ROUND(INPUT!C197,2)</f>
        <v>3500982.57</v>
      </c>
      <c r="M41" s="658">
        <f>ROUND(INPUT!D197,2)</f>
        <v>92721.91</v>
      </c>
      <c r="N41" s="658">
        <f>ROUND(INPUT!E197,2)</f>
        <v>324400.02</v>
      </c>
      <c r="O41" s="658">
        <f>ROUND(INPUT!F197,2)</f>
        <v>0</v>
      </c>
      <c r="P41" s="658">
        <f>ROUND(INPUT!G197,2)</f>
        <v>6436.4</v>
      </c>
      <c r="Q41" s="658">
        <f>ROUND(INPUT!H197,2)</f>
        <v>-271330.56</v>
      </c>
      <c r="R41" s="658">
        <f>ROUND(INPUT!A214,2)</f>
        <v>83903.52</v>
      </c>
      <c r="S41" s="658">
        <f>ROUND(INPUT!B214,2)</f>
        <v>4725756.36</v>
      </c>
      <c r="T41" s="658">
        <f>ROUND(INPUT!C214,2)</f>
        <v>0</v>
      </c>
      <c r="U41" s="658">
        <f>ROUND(INPUT!D214,2)</f>
        <v>0</v>
      </c>
      <c r="V41" s="6"/>
      <c r="W41" s="755">
        <f>SUM(R41:T41)-SUM(I41:Q41)-U41-E12</f>
        <v>799933.5499999993</v>
      </c>
    </row>
    <row r="42" spans="2:23" ht="16.5">
      <c r="B42" s="14" t="s">
        <v>1011</v>
      </c>
      <c r="C42" s="3" t="s">
        <v>927</v>
      </c>
      <c r="D42" s="13">
        <v>0</v>
      </c>
      <c r="E42" s="6">
        <f>ROUND(INPUT!D181,2)</f>
        <v>17739.39</v>
      </c>
      <c r="F42" s="6">
        <f>ROUND(INPUT!E181,2)</f>
        <v>54.48</v>
      </c>
      <c r="G42" s="6">
        <f>ROUND(INPUT!F181,2)</f>
        <v>537.48</v>
      </c>
      <c r="H42" s="660">
        <f>ROUND(INPUT!G181,2)</f>
        <v>17984</v>
      </c>
      <c r="I42" s="427">
        <f>ROUND(INPUT!H181,2)</f>
        <v>12378.28</v>
      </c>
      <c r="J42" s="6">
        <f>ROUND(INPUT!A198,2)</f>
        <v>0</v>
      </c>
      <c r="K42" s="6">
        <f>ROUND(INPUT!B198,2)</f>
        <v>62487.75</v>
      </c>
      <c r="L42" s="6">
        <f>ROUND(INPUT!C198,2)</f>
        <v>735184.7</v>
      </c>
      <c r="M42" s="6">
        <f>ROUND(INPUT!D198,2)</f>
        <v>19471.03</v>
      </c>
      <c r="N42" s="6">
        <f>ROUND(INPUT!E198,2)</f>
        <v>68121.89</v>
      </c>
      <c r="O42" s="6">
        <f>ROUND(INPUT!F198,2)</f>
        <v>0</v>
      </c>
      <c r="P42" s="6">
        <f>ROUND(INPUT!G198,2)</f>
        <v>1351.6</v>
      </c>
      <c r="Q42" s="6">
        <f>ROUND(INPUT!H198,2)</f>
        <v>-56977.67</v>
      </c>
      <c r="R42" s="6">
        <f>ROUND(INPUT!A215,2)</f>
        <v>17619.09</v>
      </c>
      <c r="S42" s="6">
        <f>ROUND(INPUT!B215,2)</f>
        <v>992377.87</v>
      </c>
      <c r="T42" s="6">
        <f>ROUND(INPUT!C215,2)</f>
        <v>0</v>
      </c>
      <c r="U42" s="6">
        <f>ROUND(INPUT!D215,2)</f>
        <v>0</v>
      </c>
      <c r="V42" s="6"/>
      <c r="W42" s="755">
        <f>SUM(R42:T42)-SUM(I42:Q42)-U42-E13</f>
        <v>167979.38</v>
      </c>
    </row>
    <row r="43" spans="3:23" ht="15">
      <c r="C43" s="3" t="s">
        <v>928</v>
      </c>
      <c r="D43" s="13">
        <v>0</v>
      </c>
      <c r="E43" s="6">
        <f>ROUND(INPUT!D182,2)</f>
        <v>56365.43</v>
      </c>
      <c r="F43" s="6">
        <f>ROUND(INPUT!E182,2)</f>
        <v>173.13</v>
      </c>
      <c r="G43" s="6">
        <f>ROUND(INPUT!F182,2)</f>
        <v>1685.13</v>
      </c>
      <c r="H43" s="660">
        <f>ROUND(INPUT!G182,2)</f>
        <v>57151</v>
      </c>
      <c r="I43" s="427">
        <f>ROUND(INPUT!H182,2)</f>
        <v>39338.52</v>
      </c>
      <c r="J43" s="6">
        <f>ROUND(INPUT!A199,2)</f>
        <v>0</v>
      </c>
      <c r="K43" s="6">
        <f>ROUND(INPUT!B199,2)</f>
        <v>198588</v>
      </c>
      <c r="L43" s="6">
        <f>ROUND(INPUT!C199,2)</f>
        <v>2336436.43</v>
      </c>
      <c r="M43" s="6">
        <f>ROUND(INPUT!D199,2)</f>
        <v>61879.43</v>
      </c>
      <c r="N43" s="6">
        <f>ROUND(INPUT!E199,2)</f>
        <v>216493.39</v>
      </c>
      <c r="O43" s="6">
        <f>ROUND(INPUT!F199,2)</f>
        <v>0</v>
      </c>
      <c r="P43" s="6">
        <f>ROUND(INPUT!G199,2)</f>
        <v>4295.43</v>
      </c>
      <c r="Q43" s="6">
        <f>ROUND(INPUT!H199,2)</f>
        <v>-181076.61</v>
      </c>
      <c r="R43" s="6">
        <f>ROUND(INPUT!A216,2)</f>
        <v>55994.25</v>
      </c>
      <c r="S43" s="6">
        <f>ROUND(INPUT!B216,2)</f>
        <v>3153807.51</v>
      </c>
      <c r="T43" s="6">
        <f>ROUND(INPUT!C216,2)</f>
        <v>0</v>
      </c>
      <c r="U43" s="6">
        <f>ROUND(INPUT!D216,2)</f>
        <v>0</v>
      </c>
      <c r="V43" s="6"/>
      <c r="W43" s="755">
        <f>SUM(R43:T43)-SUM(I43:Q43)-U43-E14</f>
        <v>533847.169999999</v>
      </c>
    </row>
    <row r="44" spans="3:23" ht="15">
      <c r="C44" s="3" t="s">
        <v>929</v>
      </c>
      <c r="D44" s="13">
        <v>0</v>
      </c>
      <c r="E44" s="6">
        <f>ROUND(INPUT!D183,2)</f>
        <v>118143.5</v>
      </c>
      <c r="F44" s="6">
        <f>ROUND(INPUT!E183,2)</f>
        <v>362.98</v>
      </c>
      <c r="G44" s="6">
        <f>ROUND(INPUT!F183,2)</f>
        <v>3512.98</v>
      </c>
      <c r="H44" s="660">
        <f>ROUND(INPUT!G183,2)</f>
        <v>119820</v>
      </c>
      <c r="I44" s="427">
        <f>ROUND(INPUT!H183,2)</f>
        <v>82476.11</v>
      </c>
      <c r="J44" s="6">
        <f>ROUND(INPUT!A200,2)</f>
        <v>0</v>
      </c>
      <c r="K44" s="6">
        <f>ROUND(INPUT!B200,2)</f>
        <v>416354.25</v>
      </c>
      <c r="L44" s="6">
        <f>ROUND(INPUT!C200,2)</f>
        <v>4898507.31</v>
      </c>
      <c r="M44" s="6">
        <f>ROUND(INPUT!D200,2)</f>
        <v>129734.66</v>
      </c>
      <c r="N44" s="6">
        <f>ROUND(INPUT!E200,2)</f>
        <v>453894.29</v>
      </c>
      <c r="O44" s="6">
        <f>ROUND(INPUT!F200,2)</f>
        <v>0</v>
      </c>
      <c r="P44" s="6">
        <f>ROUND(INPUT!G200,2)</f>
        <v>9005.68</v>
      </c>
      <c r="Q44" s="6">
        <f>ROUND(INPUT!H200,2)</f>
        <v>-379640.94</v>
      </c>
      <c r="R44" s="6">
        <f>ROUND(INPUT!A217,2)</f>
        <v>117396.34</v>
      </c>
      <c r="S44" s="6">
        <f>ROUND(INPUT!B217,2)</f>
        <v>6612187.85</v>
      </c>
      <c r="T44" s="6">
        <f>ROUND(INPUT!C217,2)</f>
        <v>0</v>
      </c>
      <c r="U44" s="6">
        <f>ROUND(INPUT!D217,2)</f>
        <v>0</v>
      </c>
      <c r="V44" s="6"/>
      <c r="W44" s="755">
        <f>SUM(R44:T44)-SUM(I44:Q44)-U44-E15</f>
        <v>1119252.83</v>
      </c>
    </row>
    <row r="45" spans="3:23" ht="15">
      <c r="C45" s="3" t="s">
        <v>1754</v>
      </c>
      <c r="D45" s="21">
        <v>0</v>
      </c>
      <c r="E45" s="21">
        <f>ROUND(INPUT!D184,2)</f>
        <v>0</v>
      </c>
      <c r="F45" s="21">
        <f>ROUND(INPUT!E184,2)</f>
        <v>0</v>
      </c>
      <c r="G45" s="21">
        <f>ROUND(INPUT!F184,2)</f>
        <v>0</v>
      </c>
      <c r="H45" s="651">
        <f>ROUND(INPUT!G184,2)</f>
        <v>0</v>
      </c>
      <c r="I45" s="428">
        <f>ROUND(INPUT!H184,2)</f>
        <v>0</v>
      </c>
      <c r="J45" s="21">
        <f>ROUND(INPUT!A201,2)</f>
        <v>0</v>
      </c>
      <c r="K45" s="21">
        <f>ROUND(INPUT!B201,2)</f>
        <v>0</v>
      </c>
      <c r="L45" s="21">
        <f>ROUND(INPUT!C201,2)</f>
        <v>0</v>
      </c>
      <c r="M45" s="21">
        <f>ROUND(INPUT!D201,2)</f>
        <v>0</v>
      </c>
      <c r="N45" s="21">
        <f>ROUND(INPUT!E201,2)</f>
        <v>0</v>
      </c>
      <c r="O45" s="21">
        <f>ROUND(INPUT!F201,2)</f>
        <v>0</v>
      </c>
      <c r="P45" s="21">
        <f>ROUND(INPUT!G201,2)</f>
        <v>0</v>
      </c>
      <c r="Q45" s="21">
        <f>ROUND(INPUT!H201,2)</f>
        <v>0</v>
      </c>
      <c r="R45" s="21">
        <f>ROUND(INPUT!A218,2)</f>
        <v>0</v>
      </c>
      <c r="S45" s="21">
        <f>ROUND(INPUT!B218,2)</f>
        <v>0</v>
      </c>
      <c r="T45" s="21">
        <f>ROUND(INPUT!C218,2)</f>
        <v>0</v>
      </c>
      <c r="U45" s="21">
        <f>ROUND(INPUT!D218,2)</f>
        <v>0</v>
      </c>
      <c r="V45" s="6"/>
      <c r="W45" s="833">
        <f>SUM(R45:T45)-SUM(I45:Q45)-U45-E16</f>
        <v>0</v>
      </c>
    </row>
    <row r="46" spans="3:23" ht="15">
      <c r="C46" s="3" t="s">
        <v>543</v>
      </c>
      <c r="D46" s="13">
        <f aca="true" t="shared" si="2" ref="D46:U46">SUM(D41:D45)</f>
        <v>0</v>
      </c>
      <c r="E46" s="13">
        <f t="shared" si="2"/>
        <v>276711.14</v>
      </c>
      <c r="F46" s="13">
        <f t="shared" si="2"/>
        <v>850.01</v>
      </c>
      <c r="G46" s="13">
        <f t="shared" si="2"/>
        <v>8242.01</v>
      </c>
      <c r="H46" s="13">
        <f>SUM(H41:H45)</f>
        <v>280592</v>
      </c>
      <c r="I46" s="427">
        <f t="shared" si="2"/>
        <v>193138.90000000002</v>
      </c>
      <c r="J46" s="6">
        <f>SUM(J41:J45)</f>
        <v>0</v>
      </c>
      <c r="K46" s="6">
        <f t="shared" si="2"/>
        <v>975000</v>
      </c>
      <c r="L46" s="6">
        <f t="shared" si="2"/>
        <v>11471111.009999998</v>
      </c>
      <c r="M46" s="6">
        <f t="shared" si="2"/>
        <v>303807.03</v>
      </c>
      <c r="N46" s="6">
        <f t="shared" si="2"/>
        <v>1062909.59</v>
      </c>
      <c r="O46" s="6">
        <f t="shared" si="2"/>
        <v>0</v>
      </c>
      <c r="P46" s="6">
        <f t="shared" si="2"/>
        <v>21089.11</v>
      </c>
      <c r="Q46" s="6">
        <f t="shared" si="2"/>
        <v>-889025.78</v>
      </c>
      <c r="R46" s="6">
        <f t="shared" si="2"/>
        <v>274913.19999999995</v>
      </c>
      <c r="S46" s="6">
        <f t="shared" si="2"/>
        <v>15484129.59</v>
      </c>
      <c r="T46" s="6">
        <f t="shared" si="2"/>
        <v>0</v>
      </c>
      <c r="U46" s="6">
        <f t="shared" si="2"/>
        <v>0</v>
      </c>
      <c r="V46" s="6"/>
      <c r="W46" s="34">
        <f>SUM(W41:W45)</f>
        <v>2621012.9299999983</v>
      </c>
    </row>
    <row r="47" spans="4:23" ht="15">
      <c r="D47" s="13"/>
      <c r="E47" s="13"/>
      <c r="F47" s="13"/>
      <c r="G47" s="13"/>
      <c r="H47" s="13"/>
      <c r="I47" s="42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24"/>
    </row>
    <row r="48" spans="1:23" ht="16.5">
      <c r="A48" s="3" t="s">
        <v>1306</v>
      </c>
      <c r="B48" s="14" t="s">
        <v>887</v>
      </c>
      <c r="C48" s="3" t="s">
        <v>926</v>
      </c>
      <c r="D48" s="6">
        <v>0</v>
      </c>
      <c r="E48" s="6">
        <f>ROUND(INPUT!D187,2)</f>
        <v>84462.82</v>
      </c>
      <c r="F48" s="6">
        <f>ROUND(INPUT!E187,2)</f>
        <v>259.42</v>
      </c>
      <c r="G48" s="6">
        <f>ROUND(INPUT!F187,2)</f>
        <v>2506.42</v>
      </c>
      <c r="H48" s="660">
        <f>ROUND(INPUT!G187,2)</f>
        <v>85869</v>
      </c>
      <c r="I48" s="427">
        <f>ROUND(INPUT!H187,2)</f>
        <v>58945.99</v>
      </c>
      <c r="J48" s="6">
        <f>ROUND(INPUT!A204,2)</f>
        <v>0</v>
      </c>
      <c r="K48" s="6">
        <f>ROUND(INPUT!B204,2)</f>
        <v>297570</v>
      </c>
      <c r="L48" s="6">
        <f>ROUND(INPUT!C204,20)</f>
        <v>3492914.73</v>
      </c>
      <c r="M48" s="6">
        <f>ROUND(INPUT!D204,2)</f>
        <v>92725.14</v>
      </c>
      <c r="N48" s="6">
        <f>ROUND(INPUT!E204,2)</f>
        <v>324402.44</v>
      </c>
      <c r="O48" s="6">
        <f>ROUND(INPUT!F204,2)</f>
        <v>0</v>
      </c>
      <c r="P48" s="6">
        <f>ROUND(INPUT!G204,2)</f>
        <v>6425.83</v>
      </c>
      <c r="Q48" s="6">
        <f>ROUND(INPUT!H204,2)</f>
        <v>-271339.26</v>
      </c>
      <c r="R48" s="6">
        <f>ROUND(INPUT!A221,2)</f>
        <v>83903.52</v>
      </c>
      <c r="S48" s="6">
        <f>ROUND(INPUT!B221,2)</f>
        <v>4740068.38</v>
      </c>
      <c r="T48" s="6">
        <f>ROUND(INPUT!C221,2)</f>
        <v>0</v>
      </c>
      <c r="U48" s="6">
        <f>ROUND(INPUT!D221,2)</f>
        <v>0</v>
      </c>
      <c r="V48" s="6"/>
      <c r="W48" s="34">
        <f>SUM(R48:T48)-SUM(I48:Q48)-E19-U48</f>
        <v>822327.0299999993</v>
      </c>
    </row>
    <row r="49" spans="2:23" ht="16.5">
      <c r="B49" s="14" t="s">
        <v>888</v>
      </c>
      <c r="C49" s="3" t="s">
        <v>927</v>
      </c>
      <c r="D49" s="6">
        <v>0</v>
      </c>
      <c r="E49" s="6">
        <f>ROUND(INPUT!D188,2)</f>
        <v>17739.39</v>
      </c>
      <c r="F49" s="6">
        <f>ROUND(INPUT!E188,2)</f>
        <v>54.48</v>
      </c>
      <c r="G49" s="6">
        <f>ROUND(INPUT!F188,2)</f>
        <v>537.48</v>
      </c>
      <c r="H49" s="660">
        <f>ROUND(INPUT!G188,2)</f>
        <v>18032</v>
      </c>
      <c r="I49" s="427">
        <f>ROUND(INPUT!H188,2)</f>
        <v>12378.28</v>
      </c>
      <c r="J49" s="6">
        <f>ROUND(INPUT!A205,2)</f>
        <v>0</v>
      </c>
      <c r="K49" s="6">
        <f>ROUND(INPUT!B205,2)</f>
        <v>62487.75</v>
      </c>
      <c r="L49" s="6">
        <f>ROUND(INPUT!C205,20)</f>
        <v>733490.95</v>
      </c>
      <c r="M49" s="6">
        <f>ROUND(INPUT!D205,2)</f>
        <v>19471.71</v>
      </c>
      <c r="N49" s="6">
        <f>ROUND(INPUT!E205,2)</f>
        <v>68122.4</v>
      </c>
      <c r="O49" s="6">
        <f>ROUND(INPUT!F205,2)</f>
        <v>0</v>
      </c>
      <c r="P49" s="6">
        <f>ROUND(INPUT!G205,2)</f>
        <v>1349.38</v>
      </c>
      <c r="Q49" s="6">
        <f>ROUND(INPUT!H205,2)</f>
        <v>-56979.5</v>
      </c>
      <c r="R49" s="6">
        <f>ROUND(INPUT!A222,2)</f>
        <v>17619.09</v>
      </c>
      <c r="S49" s="6">
        <f>ROUND(INPUT!B222,2)</f>
        <v>995383.3</v>
      </c>
      <c r="T49" s="6">
        <f>ROUND(INPUT!C222,2)</f>
        <v>0</v>
      </c>
      <c r="U49" s="6">
        <f>ROUND(INPUT!D222,2)</f>
        <v>0</v>
      </c>
      <c r="V49" s="6"/>
      <c r="W49" s="34">
        <f>SUM(R49:T49)-SUM(I49:Q49)-E20-U49</f>
        <v>172681.42000000004</v>
      </c>
    </row>
    <row r="50" spans="2:23" ht="16.5">
      <c r="B50" s="14"/>
      <c r="C50" s="3" t="s">
        <v>928</v>
      </c>
      <c r="D50" s="6">
        <v>0</v>
      </c>
      <c r="E50" s="6">
        <f>ROUND(INPUT!D189,2)</f>
        <v>56365.43</v>
      </c>
      <c r="F50" s="6">
        <f>ROUND(INPUT!E189,2)</f>
        <v>173.13</v>
      </c>
      <c r="G50" s="6">
        <f>ROUND(INPUT!F189,2)</f>
        <v>1685.13</v>
      </c>
      <c r="H50" s="660">
        <f>ROUND(INPUT!G189,2)</f>
        <v>57307</v>
      </c>
      <c r="I50" s="427">
        <f>ROUND(INPUT!H189,2)</f>
        <v>39338.52</v>
      </c>
      <c r="J50" s="6">
        <f>ROUND(INPUT!A206,2)</f>
        <v>0</v>
      </c>
      <c r="K50" s="6">
        <f>ROUND(INPUT!B206,2)</f>
        <v>198588</v>
      </c>
      <c r="L50" s="6">
        <f>ROUND(INPUT!C206,20)</f>
        <v>2331055.11</v>
      </c>
      <c r="M50" s="6">
        <f>ROUND(INPUT!D206,2)</f>
        <v>61881.59</v>
      </c>
      <c r="N50" s="6">
        <f>ROUND(INPUT!E206,2)</f>
        <v>216495</v>
      </c>
      <c r="O50" s="6">
        <f>ROUND(INPUT!F206,2)</f>
        <v>0</v>
      </c>
      <c r="P50" s="6">
        <f>ROUND(INPUT!G206,2)</f>
        <v>4288.38</v>
      </c>
      <c r="Q50" s="6">
        <f>ROUND(INPUT!H206,2)</f>
        <v>-181082.41</v>
      </c>
      <c r="R50" s="6">
        <f>ROUND(INPUT!A223,2)</f>
        <v>55994.25</v>
      </c>
      <c r="S50" s="6">
        <f>ROUND(INPUT!B223,2)</f>
        <v>3163358.87</v>
      </c>
      <c r="T50" s="6">
        <f>ROUND(INPUT!C223,2)</f>
        <v>0</v>
      </c>
      <c r="U50" s="6">
        <f>ROUND(INPUT!D223,2)</f>
        <v>0</v>
      </c>
      <c r="V50" s="6"/>
      <c r="W50" s="34">
        <f>SUM(R50:T50)-SUM(I50:Q50)-E21-U50</f>
        <v>548788.9300000006</v>
      </c>
    </row>
    <row r="51" spans="3:23" ht="15">
      <c r="C51" s="3" t="s">
        <v>929</v>
      </c>
      <c r="D51" s="6">
        <v>0</v>
      </c>
      <c r="E51" s="6">
        <f>ROUND(INPUT!D190,2)</f>
        <v>118143.5</v>
      </c>
      <c r="F51" s="6">
        <f>ROUND(INPUT!E190,2)</f>
        <v>362.98</v>
      </c>
      <c r="G51" s="6">
        <f>ROUND(INPUT!F190,2)</f>
        <v>3512.98</v>
      </c>
      <c r="H51" s="660">
        <f>ROUND(INPUT!G190,2)</f>
        <v>120146</v>
      </c>
      <c r="I51" s="427">
        <f>ROUND(INPUT!H190,2)</f>
        <v>82476.11</v>
      </c>
      <c r="J51" s="6">
        <f>ROUND(INPUT!A207,2)</f>
        <v>0</v>
      </c>
      <c r="K51" s="6">
        <f>ROUND(INPUT!B207,2)</f>
        <v>416354.25</v>
      </c>
      <c r="L51" s="6">
        <f>ROUND(INPUT!C207,20)</f>
        <v>4887039.58</v>
      </c>
      <c r="M51" s="6">
        <f>ROUND(INPUT!D207,2)</f>
        <v>129739.17</v>
      </c>
      <c r="N51" s="6">
        <f>ROUND(INPUT!E207,2)</f>
        <v>453897.67</v>
      </c>
      <c r="O51" s="6">
        <f>ROUND(INPUT!F207,2)</f>
        <v>0</v>
      </c>
      <c r="P51" s="6">
        <f>ROUND(INPUT!G207,2)</f>
        <v>8990.9</v>
      </c>
      <c r="Q51" s="6">
        <f>ROUND(INPUT!H207,2)</f>
        <v>-379653.11</v>
      </c>
      <c r="R51" s="6">
        <f>ROUND(INPUT!A224,2)</f>
        <v>117396.34</v>
      </c>
      <c r="S51" s="6">
        <f>ROUND(INPUT!B224,2)</f>
        <v>6632212.97</v>
      </c>
      <c r="T51" s="6">
        <f>ROUND(INPUT!C224,2)</f>
        <v>0</v>
      </c>
      <c r="U51" s="6">
        <f>ROUND(INPUT!D224,2)</f>
        <v>0</v>
      </c>
      <c r="V51" s="6"/>
      <c r="W51" s="34">
        <f>SUM(R51:T51)-SUM(I51:Q51)-E22-U51</f>
        <v>1150764.7399999993</v>
      </c>
    </row>
    <row r="52" spans="3:23" ht="15">
      <c r="C52" s="3" t="s">
        <v>1754</v>
      </c>
      <c r="D52" s="21">
        <v>0</v>
      </c>
      <c r="E52" s="21">
        <f>ROUND(INPUT!D191,2)</f>
        <v>0</v>
      </c>
      <c r="F52" s="21">
        <f>ROUND(INPUT!E191,2)</f>
        <v>0</v>
      </c>
      <c r="G52" s="21">
        <f>ROUND(INPUT!F191,2)</f>
        <v>0</v>
      </c>
      <c r="H52" s="651">
        <f>ROUND(INPUT!G191,2)</f>
        <v>0</v>
      </c>
      <c r="I52" s="428">
        <f>ROUND(INPUT!H191,2)</f>
        <v>0</v>
      </c>
      <c r="J52" s="21">
        <f>ROUND(INPUT!A208,2)</f>
        <v>0</v>
      </c>
      <c r="K52" s="21">
        <f>ROUND(INPUT!B208,2)</f>
        <v>0</v>
      </c>
      <c r="L52" s="21">
        <f>ROUND(INPUT!C208,20)</f>
        <v>0</v>
      </c>
      <c r="M52" s="21">
        <f>ROUND(INPUT!D208,2)</f>
        <v>0</v>
      </c>
      <c r="N52" s="21">
        <f>ROUND(INPUT!E208,2)</f>
        <v>0</v>
      </c>
      <c r="O52" s="21">
        <f>ROUND(INPUT!F208,2)</f>
        <v>0</v>
      </c>
      <c r="P52" s="21">
        <f>ROUND(INPUT!G208,2)</f>
        <v>0</v>
      </c>
      <c r="Q52" s="21">
        <f>ROUND(INPUT!H208,2)</f>
        <v>0</v>
      </c>
      <c r="R52" s="21">
        <f>ROUND(INPUT!A225,2)</f>
        <v>0</v>
      </c>
      <c r="S52" s="21">
        <f>ROUND(INPUT!B225,2)</f>
        <v>0</v>
      </c>
      <c r="T52" s="21">
        <f>ROUND(INPUT!C225,2)</f>
        <v>0</v>
      </c>
      <c r="U52" s="21">
        <f>ROUND(INPUT!D225,2)</f>
        <v>0</v>
      </c>
      <c r="V52" s="6"/>
      <c r="W52" s="39">
        <f>SUM(R52:T52)-SUM(I52:Q52)-E23-U52</f>
        <v>0</v>
      </c>
    </row>
    <row r="53" spans="3:23" ht="15">
      <c r="C53" s="3" t="s">
        <v>543</v>
      </c>
      <c r="D53" s="13">
        <f aca="true" t="shared" si="3" ref="D53:U53">SUM(D48:D52)</f>
        <v>0</v>
      </c>
      <c r="E53" s="13">
        <f t="shared" si="3"/>
        <v>276711.14</v>
      </c>
      <c r="F53" s="13">
        <f t="shared" si="3"/>
        <v>850.01</v>
      </c>
      <c r="G53" s="13">
        <f t="shared" si="3"/>
        <v>8242.01</v>
      </c>
      <c r="H53" s="13">
        <f>SUM(H48:H52)</f>
        <v>281354</v>
      </c>
      <c r="I53" s="427">
        <f t="shared" si="3"/>
        <v>193138.90000000002</v>
      </c>
      <c r="J53" s="6">
        <f>SUM(J48:J52)</f>
        <v>0</v>
      </c>
      <c r="K53" s="6">
        <f t="shared" si="3"/>
        <v>975000</v>
      </c>
      <c r="L53" s="6">
        <f t="shared" si="3"/>
        <v>11444500.37</v>
      </c>
      <c r="M53" s="6">
        <f t="shared" si="3"/>
        <v>303817.61</v>
      </c>
      <c r="N53" s="6">
        <f t="shared" si="3"/>
        <v>1062917.51</v>
      </c>
      <c r="O53" s="6">
        <f t="shared" si="3"/>
        <v>0</v>
      </c>
      <c r="P53" s="6">
        <f t="shared" si="3"/>
        <v>21054.489999999998</v>
      </c>
      <c r="Q53" s="6">
        <f t="shared" si="3"/>
        <v>-889054.28</v>
      </c>
      <c r="R53" s="6">
        <f t="shared" si="3"/>
        <v>274913.19999999995</v>
      </c>
      <c r="S53" s="6">
        <f t="shared" si="3"/>
        <v>15531023.52</v>
      </c>
      <c r="T53" s="6">
        <f t="shared" si="3"/>
        <v>0</v>
      </c>
      <c r="U53" s="6">
        <f t="shared" si="3"/>
        <v>0</v>
      </c>
      <c r="V53" s="6"/>
      <c r="W53" s="34">
        <f>SUM(W48:W52)</f>
        <v>2694562.119999999</v>
      </c>
    </row>
    <row r="54" spans="4:23" ht="15">
      <c r="D54" s="13"/>
      <c r="E54" s="13"/>
      <c r="F54" s="13"/>
      <c r="G54" s="13"/>
      <c r="H54" s="13"/>
      <c r="I54" s="42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24"/>
    </row>
    <row r="55" spans="1:23" ht="16.5">
      <c r="A55" s="3" t="s">
        <v>1309</v>
      </c>
      <c r="B55" s="14" t="s">
        <v>1310</v>
      </c>
      <c r="C55" s="3" t="s">
        <v>926</v>
      </c>
      <c r="D55" s="13">
        <f aca="true" t="shared" si="4" ref="D55:U55">+D41-D48</f>
        <v>0</v>
      </c>
      <c r="E55" s="13">
        <f t="shared" si="4"/>
        <v>0</v>
      </c>
      <c r="F55" s="13">
        <f t="shared" si="4"/>
        <v>0</v>
      </c>
      <c r="G55" s="13">
        <f t="shared" si="4"/>
        <v>0</v>
      </c>
      <c r="H55" s="13">
        <f>+H41-H48</f>
        <v>-232</v>
      </c>
      <c r="I55" s="427">
        <f t="shared" si="4"/>
        <v>0</v>
      </c>
      <c r="J55" s="6">
        <f>+J41-J48</f>
        <v>0</v>
      </c>
      <c r="K55" s="6">
        <f t="shared" si="4"/>
        <v>0</v>
      </c>
      <c r="L55" s="6">
        <f>+L41-L48</f>
        <v>8067.839999999851</v>
      </c>
      <c r="M55" s="6">
        <f>+M41-M48</f>
        <v>-3.2299999999959255</v>
      </c>
      <c r="N55" s="6">
        <f t="shared" si="4"/>
        <v>-2.419999999983702</v>
      </c>
      <c r="O55" s="6">
        <f t="shared" si="4"/>
        <v>0</v>
      </c>
      <c r="P55" s="6">
        <f t="shared" si="4"/>
        <v>10.569999999999709</v>
      </c>
      <c r="Q55" s="6">
        <f t="shared" si="4"/>
        <v>8.700000000011642</v>
      </c>
      <c r="R55" s="6">
        <f t="shared" si="4"/>
        <v>0</v>
      </c>
      <c r="S55" s="6">
        <f t="shared" si="4"/>
        <v>-14312.019999999553</v>
      </c>
      <c r="T55" s="6">
        <f t="shared" si="4"/>
        <v>0</v>
      </c>
      <c r="U55" s="6">
        <f t="shared" si="4"/>
        <v>0</v>
      </c>
      <c r="V55" s="6"/>
      <c r="W55" s="34">
        <f>SUM(R55:T55)-SUM(I55:Q55)-U55-E26</f>
        <v>-22393.479999999436</v>
      </c>
    </row>
    <row r="56" spans="2:23" ht="16.5">
      <c r="B56" s="14" t="s">
        <v>890</v>
      </c>
      <c r="C56" s="3" t="s">
        <v>927</v>
      </c>
      <c r="D56" s="13">
        <f aca="true" t="shared" si="5" ref="D56:E59">+D42-D49</f>
        <v>0</v>
      </c>
      <c r="E56" s="13">
        <f t="shared" si="5"/>
        <v>0</v>
      </c>
      <c r="F56" s="6">
        <f aca="true" t="shared" si="6" ref="F56:U56">+F42-F49</f>
        <v>0</v>
      </c>
      <c r="G56" s="6">
        <f t="shared" si="6"/>
        <v>0</v>
      </c>
      <c r="H56" s="6">
        <f>+H42-H49</f>
        <v>-48</v>
      </c>
      <c r="I56" s="427">
        <f t="shared" si="6"/>
        <v>0</v>
      </c>
      <c r="J56" s="6">
        <f>+J42-J49</f>
        <v>0</v>
      </c>
      <c r="K56" s="6">
        <f>+K42-K49</f>
        <v>0</v>
      </c>
      <c r="L56" s="6">
        <f>+L42-L49</f>
        <v>1693.75</v>
      </c>
      <c r="M56" s="6">
        <f t="shared" si="6"/>
        <v>-0.680000000000291</v>
      </c>
      <c r="N56" s="6">
        <f t="shared" si="6"/>
        <v>-0.5099999999947613</v>
      </c>
      <c r="O56" s="6">
        <f t="shared" si="6"/>
        <v>0</v>
      </c>
      <c r="P56" s="6">
        <f t="shared" si="6"/>
        <v>2.2199999999998</v>
      </c>
      <c r="Q56" s="6">
        <f t="shared" si="6"/>
        <v>1.8300000000017462</v>
      </c>
      <c r="R56" s="6">
        <f t="shared" si="6"/>
        <v>0</v>
      </c>
      <c r="S56" s="6">
        <f t="shared" si="6"/>
        <v>-3005.430000000051</v>
      </c>
      <c r="T56" s="6">
        <f t="shared" si="6"/>
        <v>0</v>
      </c>
      <c r="U56" s="6">
        <f t="shared" si="6"/>
        <v>0</v>
      </c>
      <c r="V56" s="6"/>
      <c r="W56" s="34">
        <f>SUM(R56:T56)-SUM(I56:Q56)-U56-E27</f>
        <v>-4702.040000000057</v>
      </c>
    </row>
    <row r="57" spans="2:23" ht="16.5">
      <c r="B57" s="14"/>
      <c r="C57" s="3" t="s">
        <v>928</v>
      </c>
      <c r="D57" s="13">
        <f t="shared" si="5"/>
        <v>0</v>
      </c>
      <c r="E57" s="13">
        <f t="shared" si="5"/>
        <v>0</v>
      </c>
      <c r="F57" s="6">
        <f aca="true" t="shared" si="7" ref="F57:U57">+F43-F50</f>
        <v>0</v>
      </c>
      <c r="G57" s="6">
        <f t="shared" si="7"/>
        <v>0</v>
      </c>
      <c r="H57" s="6">
        <f>+H43-H50</f>
        <v>-156</v>
      </c>
      <c r="I57" s="427">
        <f t="shared" si="7"/>
        <v>0</v>
      </c>
      <c r="J57" s="6">
        <f>+J43-J50</f>
        <v>0</v>
      </c>
      <c r="K57" s="6">
        <f>+K43-K50</f>
        <v>0</v>
      </c>
      <c r="L57" s="6">
        <f>+L43-L50</f>
        <v>5381.320000000298</v>
      </c>
      <c r="M57" s="6">
        <f t="shared" si="7"/>
        <v>-2.1599999999962165</v>
      </c>
      <c r="N57" s="6">
        <f t="shared" si="7"/>
        <v>-1.6099999999860302</v>
      </c>
      <c r="O57" s="6">
        <f t="shared" si="7"/>
        <v>0</v>
      </c>
      <c r="P57" s="6">
        <f t="shared" si="7"/>
        <v>7.050000000000182</v>
      </c>
      <c r="Q57" s="6">
        <f t="shared" si="7"/>
        <v>5.800000000017462</v>
      </c>
      <c r="R57" s="6">
        <f t="shared" si="7"/>
        <v>0</v>
      </c>
      <c r="S57" s="6">
        <f t="shared" si="7"/>
        <v>-9551.360000000335</v>
      </c>
      <c r="T57" s="6">
        <f t="shared" si="7"/>
        <v>0</v>
      </c>
      <c r="U57" s="6">
        <f t="shared" si="7"/>
        <v>0</v>
      </c>
      <c r="V57" s="6"/>
      <c r="W57" s="34">
        <f>SUM(R57:T57)-SUM(I57:Q57)-U57-E28</f>
        <v>-14941.760000000668</v>
      </c>
    </row>
    <row r="58" spans="2:23" ht="16.5">
      <c r="B58" s="20"/>
      <c r="C58" s="3" t="s">
        <v>929</v>
      </c>
      <c r="D58" s="13">
        <f t="shared" si="5"/>
        <v>0</v>
      </c>
      <c r="E58" s="13">
        <f t="shared" si="5"/>
        <v>0</v>
      </c>
      <c r="F58" s="6">
        <f aca="true" t="shared" si="8" ref="F58:U58">+F44-F51</f>
        <v>0</v>
      </c>
      <c r="G58" s="6">
        <f t="shared" si="8"/>
        <v>0</v>
      </c>
      <c r="H58" s="6">
        <f>+H44-H51</f>
        <v>-326</v>
      </c>
      <c r="I58" s="427">
        <f t="shared" si="8"/>
        <v>0</v>
      </c>
      <c r="J58" s="6">
        <f>+J44-J51</f>
        <v>0</v>
      </c>
      <c r="K58" s="6">
        <f t="shared" si="8"/>
        <v>0</v>
      </c>
      <c r="L58" s="6">
        <f>+L44-L51</f>
        <v>11467.729999999516</v>
      </c>
      <c r="M58" s="6">
        <f t="shared" si="8"/>
        <v>-4.509999999994761</v>
      </c>
      <c r="N58" s="6">
        <f t="shared" si="8"/>
        <v>-3.3800000000046566</v>
      </c>
      <c r="O58" s="6">
        <f t="shared" si="8"/>
        <v>0</v>
      </c>
      <c r="P58" s="6">
        <f t="shared" si="8"/>
        <v>14.780000000000655</v>
      </c>
      <c r="Q58" s="6">
        <f>+Q44-Q51</f>
        <v>12.169999999983702</v>
      </c>
      <c r="R58" s="6">
        <f t="shared" si="8"/>
        <v>0</v>
      </c>
      <c r="S58" s="6">
        <f t="shared" si="8"/>
        <v>-20025.12000000011</v>
      </c>
      <c r="T58" s="6">
        <f t="shared" si="8"/>
        <v>0</v>
      </c>
      <c r="U58" s="6">
        <f t="shared" si="8"/>
        <v>0</v>
      </c>
      <c r="V58" s="6"/>
      <c r="W58" s="34">
        <f>SUM(R58:T58)-SUM(I58:Q58)-U58-E29</f>
        <v>-31511.90999999961</v>
      </c>
    </row>
    <row r="59" spans="2:23" ht="16.5">
      <c r="B59" s="20"/>
      <c r="C59" s="3" t="s">
        <v>1754</v>
      </c>
      <c r="D59" s="21">
        <f t="shared" si="5"/>
        <v>0</v>
      </c>
      <c r="E59" s="21">
        <f t="shared" si="5"/>
        <v>0</v>
      </c>
      <c r="F59" s="21">
        <f aca="true" t="shared" si="9" ref="F59:U59">+F45-F52</f>
        <v>0</v>
      </c>
      <c r="G59" s="21">
        <f t="shared" si="9"/>
        <v>0</v>
      </c>
      <c r="H59" s="21">
        <f>+H45-H52</f>
        <v>0</v>
      </c>
      <c r="I59" s="428">
        <f t="shared" si="9"/>
        <v>0</v>
      </c>
      <c r="J59" s="21">
        <f>+J45-J52</f>
        <v>0</v>
      </c>
      <c r="K59" s="21">
        <f t="shared" si="9"/>
        <v>0</v>
      </c>
      <c r="L59" s="21">
        <f>+L45-L52</f>
        <v>0</v>
      </c>
      <c r="M59" s="21">
        <f t="shared" si="9"/>
        <v>0</v>
      </c>
      <c r="N59" s="21">
        <f t="shared" si="9"/>
        <v>0</v>
      </c>
      <c r="O59" s="21">
        <f t="shared" si="9"/>
        <v>0</v>
      </c>
      <c r="P59" s="21">
        <f t="shared" si="9"/>
        <v>0</v>
      </c>
      <c r="Q59" s="21">
        <f>+Q45-Q52</f>
        <v>0</v>
      </c>
      <c r="R59" s="21">
        <f t="shared" si="9"/>
        <v>0</v>
      </c>
      <c r="S59" s="21">
        <f t="shared" si="9"/>
        <v>0</v>
      </c>
      <c r="T59" s="21">
        <f t="shared" si="9"/>
        <v>0</v>
      </c>
      <c r="U59" s="21">
        <f t="shared" si="9"/>
        <v>0</v>
      </c>
      <c r="V59" s="6"/>
      <c r="W59" s="39">
        <f>SUM(R59:T59)-SUM(I59:Q59)-U59-E30</f>
        <v>0</v>
      </c>
    </row>
    <row r="60" spans="2:23" ht="16.5">
      <c r="B60" s="20"/>
      <c r="C60" s="3" t="s">
        <v>543</v>
      </c>
      <c r="D60" s="13">
        <f aca="true" t="shared" si="10" ref="D60:U60">SUM(D55:D59)</f>
        <v>0</v>
      </c>
      <c r="E60" s="13">
        <f t="shared" si="10"/>
        <v>0</v>
      </c>
      <c r="F60" s="13">
        <f t="shared" si="10"/>
        <v>0</v>
      </c>
      <c r="G60" s="13">
        <f t="shared" si="10"/>
        <v>0</v>
      </c>
      <c r="H60" s="13">
        <f>SUM(H55:H59)</f>
        <v>-762</v>
      </c>
      <c r="I60" s="427">
        <f t="shared" si="10"/>
        <v>0</v>
      </c>
      <c r="J60" s="6">
        <f>SUM(J55:J59)</f>
        <v>0</v>
      </c>
      <c r="K60" s="6">
        <f t="shared" si="10"/>
        <v>0</v>
      </c>
      <c r="L60" s="6">
        <f t="shared" si="10"/>
        <v>26610.639999999665</v>
      </c>
      <c r="M60" s="6">
        <f t="shared" si="10"/>
        <v>-10.579999999987194</v>
      </c>
      <c r="N60" s="6">
        <f t="shared" si="10"/>
        <v>-7.91999999996915</v>
      </c>
      <c r="O60" s="6">
        <f t="shared" si="10"/>
        <v>0</v>
      </c>
      <c r="P60" s="6">
        <f t="shared" si="10"/>
        <v>34.620000000000346</v>
      </c>
      <c r="Q60" s="6">
        <f t="shared" si="10"/>
        <v>28.500000000014552</v>
      </c>
      <c r="R60" s="6">
        <f t="shared" si="10"/>
        <v>0</v>
      </c>
      <c r="S60" s="6">
        <f t="shared" si="10"/>
        <v>-46893.93000000005</v>
      </c>
      <c r="T60" s="6">
        <f t="shared" si="10"/>
        <v>0</v>
      </c>
      <c r="U60" s="6">
        <f t="shared" si="10"/>
        <v>0</v>
      </c>
      <c r="V60" s="6"/>
      <c r="W60" s="34">
        <f>SUM(R60:T60)-SUM(I60:Q60)-U60</f>
        <v>-73549.18999999977</v>
      </c>
    </row>
    <row r="61" spans="7:19" ht="15">
      <c r="G61" s="2"/>
      <c r="H61" s="2"/>
      <c r="R61" s="429"/>
      <c r="S61" s="429"/>
    </row>
    <row r="62" spans="4:21" ht="15">
      <c r="D62" s="394"/>
      <c r="E62" s="429"/>
      <c r="F62" s="429"/>
      <c r="G62" s="429"/>
      <c r="H62" s="429"/>
      <c r="I62" s="429"/>
      <c r="K62" s="429"/>
      <c r="M62" s="429"/>
      <c r="N62" s="12"/>
      <c r="O62" s="429"/>
      <c r="P62" s="429"/>
      <c r="Q62" s="429"/>
      <c r="R62" s="429"/>
      <c r="S62" s="429"/>
      <c r="T62" s="429"/>
      <c r="U62" s="429"/>
    </row>
    <row r="63" spans="4:22" ht="15">
      <c r="D63" s="429"/>
      <c r="E63" s="629"/>
      <c r="F63" s="629"/>
      <c r="G63" s="629"/>
      <c r="H63" s="629"/>
      <c r="I63" s="629"/>
      <c r="J63" s="2"/>
      <c r="K63" s="629"/>
      <c r="L63" s="2"/>
      <c r="M63" s="629"/>
      <c r="N63" s="629"/>
      <c r="O63" s="629"/>
      <c r="P63" s="629"/>
      <c r="Q63" s="629"/>
      <c r="R63" s="629"/>
      <c r="S63" s="629"/>
      <c r="T63" s="629"/>
      <c r="U63" s="629"/>
      <c r="V63" s="2"/>
    </row>
    <row r="64" spans="13:19" ht="15">
      <c r="M64" s="12"/>
      <c r="O64" s="12"/>
      <c r="P64" s="12"/>
      <c r="R64" s="429"/>
      <c r="S64" s="429"/>
    </row>
    <row r="65" spans="16:19" ht="15">
      <c r="P65" s="429"/>
      <c r="R65" s="429"/>
      <c r="S65" s="429"/>
    </row>
    <row r="66" spans="16:19" ht="15">
      <c r="P66" s="429"/>
      <c r="S66" s="429"/>
    </row>
    <row r="67" spans="16:19" ht="15">
      <c r="P67" s="429"/>
      <c r="R67" s="429"/>
      <c r="S67" s="429"/>
    </row>
    <row r="68" spans="16:18" ht="15">
      <c r="P68" s="429"/>
      <c r="R68" s="429"/>
    </row>
    <row r="69" spans="16:19" ht="15">
      <c r="P69" s="429"/>
      <c r="S69" s="429"/>
    </row>
    <row r="70" spans="18:19" ht="15">
      <c r="R70" s="429"/>
      <c r="S70" s="429"/>
    </row>
    <row r="71" spans="12:19" ht="15">
      <c r="L71" s="429"/>
      <c r="M71" s="12"/>
      <c r="R71" s="429"/>
      <c r="S71" s="429"/>
    </row>
    <row r="72" spans="12:19" ht="15">
      <c r="L72" s="429"/>
      <c r="M72" s="12"/>
      <c r="S72" s="429"/>
    </row>
    <row r="73" spans="18:19" ht="15">
      <c r="R73" s="429"/>
      <c r="S73" s="429"/>
    </row>
    <row r="74" spans="18:19" ht="15">
      <c r="R74" s="429"/>
      <c r="S74" s="429"/>
    </row>
    <row r="75" ht="15">
      <c r="S75" s="429"/>
    </row>
    <row r="76" spans="18:19" ht="15">
      <c r="R76" s="429"/>
      <c r="S76" s="429"/>
    </row>
    <row r="77" spans="12:19" ht="15">
      <c r="L77" s="429"/>
      <c r="M77" s="429"/>
      <c r="R77" s="429"/>
      <c r="S77" s="429"/>
    </row>
    <row r="78" spans="12:19" ht="15">
      <c r="L78" s="429"/>
      <c r="M78" s="429"/>
      <c r="R78" s="429"/>
      <c r="S78" s="429"/>
    </row>
    <row r="79" spans="12:19" ht="15">
      <c r="L79" s="429"/>
      <c r="M79" s="429"/>
      <c r="R79" s="429"/>
      <c r="S79" s="429"/>
    </row>
    <row r="80" spans="18:19" ht="15">
      <c r="R80" s="429"/>
      <c r="S80" s="429"/>
    </row>
    <row r="81" spans="18:19" ht="15">
      <c r="R81" s="429"/>
      <c r="S81" s="429"/>
    </row>
  </sheetData>
  <sheetProtection/>
  <mergeCells count="7">
    <mergeCell ref="D37:H37"/>
    <mergeCell ref="I37:T37"/>
    <mergeCell ref="D7:E7"/>
    <mergeCell ref="D33:K33"/>
    <mergeCell ref="D34:K34"/>
    <mergeCell ref="H8:J8"/>
    <mergeCell ref="H7:J7"/>
  </mergeCells>
  <printOptions horizontalCentered="1" verticalCentered="1"/>
  <pageMargins left="0" right="0" top="0.25" bottom="0.25" header="0" footer="0"/>
  <pageSetup horizontalDpi="600" verticalDpi="600" orientation="landscape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Q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24" customWidth="1"/>
    <col min="2" max="2" width="17.28125" style="24" customWidth="1"/>
    <col min="3" max="3" width="12.57421875" style="24" customWidth="1"/>
    <col min="4" max="4" width="0.9921875" style="24" customWidth="1"/>
    <col min="5" max="5" width="12.57421875" style="24" customWidth="1"/>
    <col min="6" max="6" width="0.9921875" style="24" customWidth="1"/>
    <col min="7" max="7" width="12.57421875" style="24" customWidth="1"/>
    <col min="8" max="8" width="0.9921875" style="24" customWidth="1"/>
    <col min="9" max="9" width="12.57421875" style="24" customWidth="1"/>
    <col min="10" max="10" width="0.9921875" style="24" customWidth="1"/>
    <col min="11" max="11" width="12.57421875" style="24" customWidth="1"/>
    <col min="12" max="12" width="0.9921875" style="24" customWidth="1"/>
    <col min="13" max="13" width="12.7109375" style="24" customWidth="1"/>
    <col min="14" max="14" width="10.8515625" style="3" bestFit="1" customWidth="1"/>
    <col min="15" max="15" width="11.28125" style="3" bestFit="1" customWidth="1"/>
    <col min="16" max="16384" width="9.140625" style="3" customWidth="1"/>
  </cols>
  <sheetData>
    <row r="1" spans="1:13" ht="15">
      <c r="A1" s="25" t="s">
        <v>1294</v>
      </c>
      <c r="B1" s="26" t="str">
        <f>+INPUT!C1</f>
        <v>February 2012</v>
      </c>
      <c r="M1" s="25" t="s">
        <v>315</v>
      </c>
    </row>
    <row r="2" ht="15">
      <c r="M2" s="25" t="s">
        <v>299</v>
      </c>
    </row>
    <row r="3" ht="15">
      <c r="F3" s="25" t="s">
        <v>316</v>
      </c>
    </row>
    <row r="4" ht="15">
      <c r="F4" s="25" t="s">
        <v>879</v>
      </c>
    </row>
    <row r="5" ht="15">
      <c r="F5" s="76" t="s">
        <v>880</v>
      </c>
    </row>
    <row r="7" spans="3:13" ht="15">
      <c r="C7" s="42"/>
      <c r="D7" s="29" t="s">
        <v>851</v>
      </c>
      <c r="E7" s="42"/>
      <c r="G7" s="42"/>
      <c r="H7" s="29" t="s">
        <v>544</v>
      </c>
      <c r="I7" s="42"/>
      <c r="K7" s="42"/>
      <c r="L7" s="29" t="s">
        <v>305</v>
      </c>
      <c r="M7" s="42"/>
    </row>
    <row r="8" spans="3:13" ht="15">
      <c r="C8" s="25" t="s">
        <v>1299</v>
      </c>
      <c r="D8" s="25"/>
      <c r="E8" s="25" t="s">
        <v>1299</v>
      </c>
      <c r="F8" s="25"/>
      <c r="G8" s="25" t="s">
        <v>1299</v>
      </c>
      <c r="H8" s="25"/>
      <c r="I8" s="25" t="s">
        <v>1299</v>
      </c>
      <c r="K8" s="25" t="s">
        <v>1299</v>
      </c>
      <c r="L8" s="25"/>
      <c r="M8" s="25" t="s">
        <v>1299</v>
      </c>
    </row>
    <row r="9" spans="2:13" ht="15">
      <c r="B9" s="77"/>
      <c r="C9" s="25" t="s">
        <v>1300</v>
      </c>
      <c r="D9" s="25"/>
      <c r="E9" s="25" t="s">
        <v>1301</v>
      </c>
      <c r="F9" s="25"/>
      <c r="G9" s="25" t="s">
        <v>1300</v>
      </c>
      <c r="H9" s="25"/>
      <c r="I9" s="25" t="s">
        <v>1301</v>
      </c>
      <c r="K9" s="25" t="s">
        <v>1300</v>
      </c>
      <c r="L9" s="25"/>
      <c r="M9" s="25" t="s">
        <v>1301</v>
      </c>
    </row>
    <row r="10" spans="1:13" ht="15">
      <c r="A10" s="76"/>
      <c r="B10" s="77"/>
      <c r="C10" s="29" t="s">
        <v>1248</v>
      </c>
      <c r="D10" s="25"/>
      <c r="E10" s="29" t="s">
        <v>1249</v>
      </c>
      <c r="F10" s="25"/>
      <c r="G10" s="29" t="s">
        <v>1248</v>
      </c>
      <c r="H10" s="25"/>
      <c r="I10" s="29" t="s">
        <v>1249</v>
      </c>
      <c r="K10" s="29" t="s">
        <v>1248</v>
      </c>
      <c r="L10" s="25"/>
      <c r="M10" s="29" t="s">
        <v>1249</v>
      </c>
    </row>
    <row r="12" spans="1:13" ht="15">
      <c r="A12" s="87" t="s">
        <v>1736</v>
      </c>
      <c r="B12" s="24" t="s">
        <v>926</v>
      </c>
      <c r="C12" s="36">
        <f>IF('APPVII PG1'!J12-'APPVII PG1'!H12&gt;=0,0,'APPVII PG1'!J12-'APPVII PG1'!H12)*-1</f>
        <v>0</v>
      </c>
      <c r="D12" s="36"/>
      <c r="E12" s="36">
        <f>IF('APPVII PG1'!J12-'APPVII PG1'!H12&gt;=0,'APPVII PG1'!J12-'APPVII PG1'!H12,0)</f>
        <v>2722260.38</v>
      </c>
      <c r="F12" s="36"/>
      <c r="G12" s="36">
        <f>IF('APPVII PG1'!J19-'APPVII PG1'!H19&gt;=0,0,'APPVII PG1'!J19-'APPVII PG1'!H19)*-1</f>
        <v>0</v>
      </c>
      <c r="H12" s="36"/>
      <c r="I12" s="36">
        <f>IF('APPVII PG1'!J19-'APPVII PG1'!H19&gt;=0,'APPVII PG1'!J19-'APPVII PG1'!H19,0)</f>
        <v>2759803</v>
      </c>
      <c r="K12" s="36">
        <f>IF('APPVII PG1'!J26-'APPVII PG1'!H26&gt;=0,0,'APPVII PG1'!J26-'APPVII PG1'!H26)*-1</f>
        <v>37542.62000000011</v>
      </c>
      <c r="L12" s="36"/>
      <c r="M12" s="36">
        <f>IF('APPVII PG1'!J26-'APPVII PG1'!H26&gt;=0,'APPVII PG1'!J26-'APPVII PG1'!H26,0)</f>
        <v>0</v>
      </c>
    </row>
    <row r="13" spans="1:13" ht="15">
      <c r="A13" s="87" t="s">
        <v>1053</v>
      </c>
      <c r="B13" s="24" t="s">
        <v>927</v>
      </c>
      <c r="C13" s="36">
        <f>IF('APPVII PG1'!J13-'APPVII PG1'!H13&gt;=0,0,'APPVII PG1'!J13-'APPVII PG1'!H13)*-1</f>
        <v>0</v>
      </c>
      <c r="D13" s="36"/>
      <c r="E13" s="36">
        <f>IF('APPVII PG1'!J13-'APPVII PG1'!H13&gt;=0,'APPVII PG1'!J13-'APPVII PG1'!H13,0)</f>
        <v>571653.73</v>
      </c>
      <c r="F13" s="36"/>
      <c r="G13" s="36">
        <f>IF('APPVII PG1'!J20-'APPVII PG1'!H20&gt;=0,0,'APPVII PG1'!J20-'APPVII PG1'!H20)*-1</f>
        <v>0</v>
      </c>
      <c r="H13" s="36"/>
      <c r="I13" s="36">
        <f>IF('APPVII PG1'!J20-'APPVII PG1'!H20&gt;=0,'APPVII PG1'!J20-'APPVII PG1'!H20,0)</f>
        <v>579538.81</v>
      </c>
      <c r="K13" s="36">
        <f>IF('APPVII PG1'!J27-'APPVII PG1'!H27&gt;=0,0,'APPVII PG1'!J27-'APPVII PG1'!H27)*-1</f>
        <v>7885.0800000000745</v>
      </c>
      <c r="L13" s="36"/>
      <c r="M13" s="36">
        <f>IF('APPVII PG1'!J27-'APPVII PG1'!H27&gt;=0,'APPVII PG1'!J27-'APPVII PG1'!H27,0)</f>
        <v>0</v>
      </c>
    </row>
    <row r="14" spans="1:13" ht="15">
      <c r="A14" s="88"/>
      <c r="B14" s="24" t="s">
        <v>928</v>
      </c>
      <c r="C14" s="36">
        <f>IF('APPVII PG1'!J14-'APPVII PG1'!H14&gt;=0,0,'APPVII PG1'!J14-'APPVII PG1'!H14)*-1</f>
        <v>0</v>
      </c>
      <c r="D14" s="36"/>
      <c r="E14" s="36">
        <f>IF('APPVII PG1'!J14-'APPVII PG1'!H14&gt;=0,'APPVII PG1'!J14-'APPVII PG1'!H14,0)</f>
        <v>1816742.96</v>
      </c>
      <c r="F14" s="36"/>
      <c r="G14" s="36">
        <f>IF('APPVII PG1'!J21-'APPVII PG1'!H21&gt;=0,0,'APPVII PG1'!J21-'APPVII PG1'!H21)*-1</f>
        <v>0</v>
      </c>
      <c r="H14" s="36"/>
      <c r="I14" s="36">
        <f>IF('APPVII PG1'!J21-'APPVII PG1'!H21&gt;=0,'APPVII PG1'!J21-'APPVII PG1'!H21,0)</f>
        <v>1841797.85</v>
      </c>
      <c r="K14" s="36">
        <f>IF('APPVII PG1'!J28-'APPVII PG1'!H28&gt;=0,0,'APPVII PG1'!J28-'APPVII PG1'!H28)*-1</f>
        <v>25054.89000000013</v>
      </c>
      <c r="L14" s="36"/>
      <c r="M14" s="36">
        <f>IF('APPVII PG1'!J28-'APPVII PG1'!H28&gt;=0,'APPVII PG1'!J28-'APPVII PG1'!H28,0)</f>
        <v>0</v>
      </c>
    </row>
    <row r="15" spans="1:13" ht="15">
      <c r="A15" s="88"/>
      <c r="B15" s="24" t="s">
        <v>929</v>
      </c>
      <c r="C15" s="36">
        <f>IF('APPVII PG1'!J15-'APPVII PG1'!H15&gt;=0,0,'APPVII PG1'!J15-'APPVII PG1'!H15)*-1</f>
        <v>0</v>
      </c>
      <c r="D15" s="36"/>
      <c r="E15" s="36">
        <f>IF('APPVII PG1'!J15-'APPVII PG1'!H15&gt;=0,'APPVII PG1'!J15-'APPVII PG1'!H15,0)</f>
        <v>3808936.2</v>
      </c>
      <c r="F15" s="36"/>
      <c r="G15" s="36">
        <f>IF('APPVII PG1'!J22-'APPVII PG1'!H22&gt;=0,0,'APPVII PG1'!J22-'APPVII PG1'!H22)*-1</f>
        <v>0</v>
      </c>
      <c r="H15" s="36"/>
      <c r="I15" s="36">
        <f>IF('APPVII PG1'!J22-'APPVII PG1'!H22&gt;=0,'APPVII PG1'!J22-'APPVII PG1'!H22,0)</f>
        <v>3861471.09</v>
      </c>
      <c r="K15" s="36">
        <f>IF('APPVII PG1'!J29-'APPVII PG1'!H29&gt;=0,0,'APPVII PG1'!J29-'APPVII PG1'!H29)*-1</f>
        <v>52534.889999999665</v>
      </c>
      <c r="L15" s="36"/>
      <c r="M15" s="36">
        <f>IF('APPVII PG1'!J29-'APPVII PG1'!H29&gt;=0,'APPVII PG1'!J29-'APPVII PG1'!H29,0)</f>
        <v>0</v>
      </c>
    </row>
    <row r="16" spans="1:13" ht="15">
      <c r="A16" s="88"/>
      <c r="B16" s="24" t="s">
        <v>1754</v>
      </c>
      <c r="C16" s="36">
        <f>IF('APPVII PG1'!J16-'APPVII PG1'!H16&gt;=0,0,'APPVII PG1'!J16-'APPVII PG1'!H16)*-1</f>
        <v>0</v>
      </c>
      <c r="D16" s="38"/>
      <c r="E16" s="36">
        <f>IF('APPVII PG1'!J16-'APPVII PG1'!H16&gt;=0,'APPVII PG1'!J16-'APPVII PG1'!H16,0)</f>
        <v>0</v>
      </c>
      <c r="F16" s="38"/>
      <c r="G16" s="36">
        <f>IF('APPVII PG1'!J23-'APPVII PG1'!H23&gt;=0,0,'APPVII PG1'!J23-'APPVII PG1'!H23)*-1</f>
        <v>0</v>
      </c>
      <c r="H16" s="38"/>
      <c r="I16" s="36">
        <f>IF('APPVII PG1'!J23-'APPVII PG1'!H23&gt;=0,'APPVII PG1'!J23-'APPVII PG1'!H23,0)</f>
        <v>0</v>
      </c>
      <c r="J16" s="40"/>
      <c r="K16" s="36">
        <f>IF('APPVII PG1'!J30-'APPVII PG1'!H30&gt;=0,0,'APPVII PG1'!J30-'APPVII PG1'!H30)*-1</f>
        <v>0</v>
      </c>
      <c r="L16" s="38"/>
      <c r="M16" s="36">
        <f>IF('APPVII PG1'!J30-'APPVII PG1'!H30&gt;=0,'APPVII PG1'!J30-'APPVII PG1'!H30,0)</f>
        <v>0</v>
      </c>
    </row>
    <row r="17" spans="1:13" ht="15">
      <c r="A17" s="88"/>
      <c r="B17" s="24" t="s">
        <v>161</v>
      </c>
      <c r="C17" s="37">
        <f>IF(SUM(E12:E16)&lt;=0,0,SUM(E12:E16))</f>
        <v>8919593.27</v>
      </c>
      <c r="D17" s="36"/>
      <c r="E17" s="37">
        <f>IF(SUM(C12:C16)&lt;=0,0,SUM(C12:C16))</f>
        <v>0</v>
      </c>
      <c r="F17" s="36"/>
      <c r="G17" s="37">
        <f>IF(SUM(I12:I16)&lt;=0,0,SUM(I12:I16))</f>
        <v>9042610.75</v>
      </c>
      <c r="H17" s="36"/>
      <c r="I17" s="37">
        <f>IF(SUM(G12:G16)&lt;=0,0,SUM(G12:G16))</f>
        <v>0</v>
      </c>
      <c r="K17" s="37">
        <f>IF(SUM(M12:M16)&lt;=0,0,SUM(M12:M16))</f>
        <v>0</v>
      </c>
      <c r="L17" s="36"/>
      <c r="M17" s="37">
        <f>IF(SUM(K12:K16)&lt;=0,0,SUM(K12:K16))</f>
        <v>123017.47999999998</v>
      </c>
    </row>
    <row r="18" spans="1:16" ht="15">
      <c r="A18" s="88"/>
      <c r="B18" s="24" t="s">
        <v>543</v>
      </c>
      <c r="C18" s="36">
        <f>SUM(C12:C17)</f>
        <v>8919593.27</v>
      </c>
      <c r="D18" s="36"/>
      <c r="E18" s="36">
        <f>SUM(E12:E17)</f>
        <v>8919593.27</v>
      </c>
      <c r="F18" s="36"/>
      <c r="G18" s="36">
        <f>SUM(G12:G17)</f>
        <v>9042610.75</v>
      </c>
      <c r="H18" s="36"/>
      <c r="I18" s="36">
        <f>SUM(I12:I17)</f>
        <v>9042610.75</v>
      </c>
      <c r="K18" s="36">
        <f>SUM(K12:K17)</f>
        <v>123017.47999999998</v>
      </c>
      <c r="L18" s="36"/>
      <c r="M18" s="36">
        <f>SUM(M12:M17)</f>
        <v>123017.47999999998</v>
      </c>
      <c r="N18" s="442" t="s">
        <v>936</v>
      </c>
      <c r="O18" s="34">
        <f>ABS(C18-G18)</f>
        <v>123017.48000000045</v>
      </c>
      <c r="P18" s="12"/>
    </row>
    <row r="19" spans="1:13" ht="15">
      <c r="A19" s="88"/>
      <c r="C19" s="36"/>
      <c r="D19" s="36"/>
      <c r="E19" s="36"/>
      <c r="F19" s="36"/>
      <c r="G19" s="36"/>
      <c r="H19" s="36"/>
      <c r="I19" s="36"/>
      <c r="K19" s="36"/>
      <c r="L19" s="36"/>
      <c r="M19" s="36"/>
    </row>
    <row r="20" spans="1:13" ht="15">
      <c r="A20" s="87" t="s">
        <v>1785</v>
      </c>
      <c r="B20" s="24" t="s">
        <v>926</v>
      </c>
      <c r="C20" s="36">
        <f>IF('APPVII PG1'!J37-'APPVII PG1'!H37&gt;=0,0,'APPVII PG1'!J37-'APPVII PG1'!H37)*-1</f>
        <v>0</v>
      </c>
      <c r="D20" s="36"/>
      <c r="E20" s="36">
        <f>IF('APPVII PG1'!J37-'APPVII PG1'!H37&gt;=0,'APPVII PG1'!J37-'APPVII PG1'!H37,0)</f>
        <v>0</v>
      </c>
      <c r="F20" s="36"/>
      <c r="G20" s="36">
        <f>IF('APPVII PG1'!J44-'APPVII PG1'!H44&gt;=0,0,'APPVII PG1'!J44-'APPVII PG1'!H44)*-1</f>
        <v>0</v>
      </c>
      <c r="H20" s="36"/>
      <c r="I20" s="36">
        <f>IF('APPVII PG1'!J44-'APPVII PG1'!H44&gt;=0,'APPVII PG1'!J44-'APPVII PG1'!H44,0)</f>
        <v>0</v>
      </c>
      <c r="K20" s="36">
        <f>IF('APPVII PG1'!J51-'APPVII PG1'!H51&gt;=0,0,'APPVII PG1'!J51-'APPVII PG1'!H51)*-1</f>
        <v>0</v>
      </c>
      <c r="L20" s="36"/>
      <c r="M20" s="36">
        <f>IF('APPVII PG1'!J51-'APPVII PG1'!H51&gt;=0,'APPVII PG1'!J51-'APPVII PG1'!H51,0)</f>
        <v>0</v>
      </c>
    </row>
    <row r="21" spans="1:13" ht="15">
      <c r="A21" s="87" t="s">
        <v>1797</v>
      </c>
      <c r="B21" s="24" t="s">
        <v>927</v>
      </c>
      <c r="C21" s="36">
        <f>IF('APPVII PG1'!J38-'APPVII PG1'!H38&gt;=0,0,'APPVII PG1'!J38-'APPVII PG1'!H38)*-1</f>
        <v>0</v>
      </c>
      <c r="D21" s="36"/>
      <c r="E21" s="36">
        <f>IF('APPVII PG1'!J38-'APPVII PG1'!H38&gt;=0,'APPVII PG1'!J38-'APPVII PG1'!H38,0)</f>
        <v>0</v>
      </c>
      <c r="F21" s="36"/>
      <c r="G21" s="36">
        <f>IF('APPVII PG1'!J45-'APPVII PG1'!H45&gt;=0,0,'APPVII PG1'!J45-'APPVII PG1'!H45)*-1</f>
        <v>0</v>
      </c>
      <c r="H21" s="36"/>
      <c r="I21" s="36">
        <f>IF('APPVII PG1'!J45-'APPVII PG1'!H45&gt;=0,'APPVII PG1'!J45-'APPVII PG1'!H45,0)</f>
        <v>0</v>
      </c>
      <c r="K21" s="36">
        <f>IF('APPVII PG1'!J52-'APPVII PG1'!H52&gt;=0,0,'APPVII PG1'!J52-'APPVII PG1'!H52)*-1</f>
        <v>0</v>
      </c>
      <c r="L21" s="36"/>
      <c r="M21" s="36">
        <f>IF('APPVII PG1'!J52-'APPVII PG1'!H52&gt;=0,'APPVII PG1'!J52-'APPVII PG1'!H52,0)</f>
        <v>0</v>
      </c>
    </row>
    <row r="22" spans="1:13" ht="15">
      <c r="A22" s="87"/>
      <c r="B22" s="24" t="s">
        <v>928</v>
      </c>
      <c r="C22" s="36">
        <f>IF('APPVII PG1'!J39-'APPVII PG1'!H39&gt;=0,0,'APPVII PG1'!J39-'APPVII PG1'!H39)*-1</f>
        <v>0</v>
      </c>
      <c r="D22" s="36"/>
      <c r="E22" s="36">
        <f>IF('APPVII PG1'!J39-'APPVII PG1'!H39&gt;=0,'APPVII PG1'!J39-'APPVII PG1'!H39,0)</f>
        <v>0</v>
      </c>
      <c r="F22" s="36"/>
      <c r="G22" s="36">
        <f>IF('APPVII PG1'!J46-'APPVII PG1'!H46&gt;=0,0,'APPVII PG1'!J46-'APPVII PG1'!H46)*-1</f>
        <v>0</v>
      </c>
      <c r="H22" s="36"/>
      <c r="I22" s="36">
        <f>IF('APPVII PG1'!J46-'APPVII PG1'!H46&gt;=0,'APPVII PG1'!J46-'APPVII PG1'!H46,0)</f>
        <v>0</v>
      </c>
      <c r="K22" s="36">
        <f>IF('APPVII PG1'!J53-'APPVII PG1'!H53&gt;=0,0,'APPVII PG1'!J53-'APPVII PG1'!H53)*-1</f>
        <v>0</v>
      </c>
      <c r="L22" s="36"/>
      <c r="M22" s="36">
        <f>IF('APPVII PG1'!J53-'APPVII PG1'!H53&gt;=0,'APPVII PG1'!J53-'APPVII PG1'!H53,0)</f>
        <v>0</v>
      </c>
    </row>
    <row r="23" spans="1:13" ht="15">
      <c r="A23" s="88"/>
      <c r="B23" s="24" t="s">
        <v>929</v>
      </c>
      <c r="C23" s="36">
        <f>IF('APPVII PG1'!J40-'APPVII PG1'!H40&gt;=0,0,'APPVII PG1'!J40-'APPVII PG1'!H40)*-1</f>
        <v>0</v>
      </c>
      <c r="D23" s="36"/>
      <c r="E23" s="36">
        <f>IF('APPVII PG1'!J40-'APPVII PG1'!H40&gt;=0,'APPVII PG1'!J40-'APPVII PG1'!H40,0)</f>
        <v>0</v>
      </c>
      <c r="F23" s="36"/>
      <c r="G23" s="36">
        <f>IF('APPVII PG1'!J47-'APPVII PG1'!H47&gt;=0,0,'APPVII PG1'!J47-'APPVII PG1'!H47)*-1</f>
        <v>0</v>
      </c>
      <c r="H23" s="36"/>
      <c r="I23" s="36">
        <f>IF('APPVII PG1'!J47-'APPVII PG1'!H47&gt;=0,'APPVII PG1'!J47-'APPVII PG1'!H47,0)</f>
        <v>0</v>
      </c>
      <c r="K23" s="36">
        <f>IF('APPVII PG1'!J54-'APPVII PG1'!H54&gt;=0,0,'APPVII PG1'!J54-'APPVII PG1'!H54)*-1</f>
        <v>0</v>
      </c>
      <c r="L23" s="36"/>
      <c r="M23" s="36">
        <f>IF('APPVII PG1'!J54-'APPVII PG1'!H54&gt;=0,'APPVII PG1'!J54-'APPVII PG1'!H54,0)</f>
        <v>0</v>
      </c>
    </row>
    <row r="24" spans="1:13" ht="15">
      <c r="A24" s="88"/>
      <c r="B24" s="24" t="s">
        <v>1754</v>
      </c>
      <c r="C24" s="38">
        <f>IF('APPVII PG1'!J41-'APPVII PG1'!H41&gt;=0,0,'APPVII PG1'!J41-'APPVII PG1'!H41)*-1</f>
        <v>0</v>
      </c>
      <c r="D24" s="38"/>
      <c r="E24" s="38">
        <f>IF('APPVII PG1'!J41-'APPVII PG1'!H41&gt;=0,'APPVII PG1'!J41-'APPVII PG1'!H41,0)</f>
        <v>0</v>
      </c>
      <c r="F24" s="38"/>
      <c r="G24" s="38">
        <f>IF('APPVII PG1'!J48-'APPVII PG1'!H48&gt;=0,0,'APPVII PG1'!J48-'APPVII PG1'!H48)*-1</f>
        <v>0</v>
      </c>
      <c r="H24" s="38"/>
      <c r="I24" s="38">
        <f>IF('APPVII PG1'!J48-'APPVII PG1'!H48&gt;=0,'APPVII PG1'!J48-'APPVII PG1'!H48,0)</f>
        <v>0</v>
      </c>
      <c r="J24" s="40"/>
      <c r="K24" s="36">
        <f>IF('APPVII PG1'!J55-'APPVII PG1'!H55&gt;=0,0,'APPVII PG1'!J55-'APPVII PG1'!H55)*-1</f>
        <v>0</v>
      </c>
      <c r="L24" s="38"/>
      <c r="M24" s="36">
        <f>IF('APPVII PG1'!J55-'APPVII PG1'!H55&gt;=0,'APPVII PG1'!J55-'APPVII PG1'!H55,0)</f>
        <v>0</v>
      </c>
    </row>
    <row r="25" spans="1:13" ht="15">
      <c r="A25" s="88"/>
      <c r="B25" s="24" t="s">
        <v>161</v>
      </c>
      <c r="C25" s="37">
        <f>IF(SUM(E20:E24)&lt;=0,0,SUM(E20:E24))</f>
        <v>0</v>
      </c>
      <c r="D25" s="36"/>
      <c r="E25" s="37">
        <f>IF(SUM(C20:C24)&lt;=0,0,SUM(C20:C24))</f>
        <v>0</v>
      </c>
      <c r="F25" s="36"/>
      <c r="G25" s="37">
        <f>IF(SUM(I20:I24)&lt;=0,0,SUM(I20:I24))</f>
        <v>0</v>
      </c>
      <c r="H25" s="36"/>
      <c r="I25" s="37">
        <f>IF(SUM(G20:G24)&lt;=0,0,SUM(G20:G24))</f>
        <v>0</v>
      </c>
      <c r="K25" s="37">
        <f>IF(SUM(M20:M24)&lt;=0,0,SUM(M20:M24))</f>
        <v>0</v>
      </c>
      <c r="L25" s="36"/>
      <c r="M25" s="37">
        <f>IF(SUM(K20:K24)&lt;=0,0,SUM(K20:K24))</f>
        <v>0</v>
      </c>
    </row>
    <row r="26" spans="1:15" ht="15">
      <c r="A26" s="88"/>
      <c r="B26" s="24" t="s">
        <v>543</v>
      </c>
      <c r="C26" s="36">
        <f>SUM(C20:C25)</f>
        <v>0</v>
      </c>
      <c r="D26" s="36"/>
      <c r="E26" s="36">
        <f>SUM(E20:E25)</f>
        <v>0</v>
      </c>
      <c r="F26" s="36"/>
      <c r="G26" s="36">
        <f>SUM(G20:G25)</f>
        <v>0</v>
      </c>
      <c r="H26" s="36"/>
      <c r="I26" s="36">
        <f>SUM(I20:I25)</f>
        <v>0</v>
      </c>
      <c r="K26" s="36">
        <f>SUM(K20:K25)</f>
        <v>0</v>
      </c>
      <c r="L26" s="36"/>
      <c r="M26" s="36">
        <f>SUM(M20:M25)</f>
        <v>0</v>
      </c>
      <c r="N26" s="442" t="s">
        <v>936</v>
      </c>
      <c r="O26" s="34">
        <f>ABS(C26-G26)</f>
        <v>0</v>
      </c>
    </row>
    <row r="27" spans="1:13" ht="15">
      <c r="A27" s="88"/>
      <c r="C27" s="36"/>
      <c r="D27" s="36"/>
      <c r="E27" s="36"/>
      <c r="F27" s="36"/>
      <c r="G27" s="36"/>
      <c r="H27" s="36"/>
      <c r="I27" s="36"/>
      <c r="J27" s="46"/>
      <c r="K27" s="36"/>
      <c r="L27" s="36"/>
      <c r="M27" s="36"/>
    </row>
    <row r="28" spans="1:14" ht="15">
      <c r="A28" s="87" t="s">
        <v>729</v>
      </c>
      <c r="B28" s="46" t="s">
        <v>926</v>
      </c>
      <c r="C28" s="36">
        <f>IF('APPVII PG2'!N12-('APPVII PG2'!J12+'APPVII PG2'!L12)&gt;=0,0,'APPVII PG2'!N12-('APPVII PG2'!J12+'APPVII PG2'!L12))*-1</f>
        <v>0</v>
      </c>
      <c r="D28" s="36"/>
      <c r="E28" s="36">
        <f>IF('APPVII PG2'!N12-('APPVII PG2'!J12+'APPVII PG2'!L12)&lt;=0,0,'APPVII PG2'!N12-('APPVII PG2'!J12+'APPVII PG2'!L12))</f>
        <v>0</v>
      </c>
      <c r="F28" s="36"/>
      <c r="G28" s="36">
        <f>IF('APPVII PG2'!N19-('APPVII PG2'!J19+'APPVII PG2'!L19)&gt;=0,0,'APPVII PG2'!N19-('APPVII PG2'!J19+'APPVII PG2'!L19))*-1</f>
        <v>0</v>
      </c>
      <c r="H28" s="36"/>
      <c r="I28" s="36">
        <f>IF('APPVII PG2'!N19-('APPVII PG2'!J19+'APPVII PG2'!L19)&gt;=0,'APPVII PG2'!N19-('APPVII PG2'!J19+'APPVII PG2'!L19),0)</f>
        <v>0</v>
      </c>
      <c r="J28" s="46"/>
      <c r="K28" s="36">
        <f>IF('APPVII PG2'!N26-('APPVII PG2'!J26+'APPVII PG2'!L26)&gt;=0,0,'APPVII PG2'!N26-('APPVII PG2'!J26+'APPVII PG2'!L26))*-1</f>
        <v>0</v>
      </c>
      <c r="L28" s="36"/>
      <c r="M28" s="36">
        <f>IF('APPVII PG2'!N26-('APPVII PG2'!J26+'APPVII PG2'!L26)&gt;=0,'APPVII PG2'!N26-('APPVII PG2'!J26+'APPVII PG2'!L26),0)</f>
        <v>0</v>
      </c>
      <c r="N28" s="235"/>
    </row>
    <row r="29" spans="1:14" ht="15">
      <c r="A29" s="87"/>
      <c r="B29" s="46" t="s">
        <v>927</v>
      </c>
      <c r="C29" s="36">
        <f>IF('APPVII PG2'!N13-('APPVII PG2'!J13+'APPVII PG2'!L13)&gt;=0,0,'APPVII PG2'!N13-('APPVII PG2'!J13+'APPVII PG2'!L13))*-1</f>
        <v>0</v>
      </c>
      <c r="D29" s="36"/>
      <c r="E29" s="36">
        <f>IF('APPVII PG2'!N13-('APPVII PG2'!J13+'APPVII PG2'!L13)&lt;=0,0,'APPVII PG2'!N13-('APPVII PG2'!J13+'APPVII PG2'!L13))</f>
        <v>0</v>
      </c>
      <c r="F29" s="36"/>
      <c r="G29" s="36">
        <f>IF('APPVII PG2'!N20-('APPVII PG2'!J20+'APPVII PG2'!L20)&gt;=0,0,'APPVII PG2'!N20-('APPVII PG2'!J20+'APPVII PG2'!L20))*-1</f>
        <v>0</v>
      </c>
      <c r="H29" s="36"/>
      <c r="I29" s="36">
        <f>IF('APPVII PG2'!N20-('APPVII PG2'!J20+'APPVII PG2'!L20)&gt;=0,'APPVII PG2'!N20-('APPVII PG2'!J20+'APPVII PG2'!L20),0)</f>
        <v>0</v>
      </c>
      <c r="J29" s="46"/>
      <c r="K29" s="36">
        <f>IF('APPVII PG2'!N27-('APPVII PG2'!J27+'APPVII PG2'!L27)&gt;=0,0,'APPVII PG2'!N27-('APPVII PG2'!J27+'APPVII PG2'!L27))*-1</f>
        <v>0</v>
      </c>
      <c r="L29" s="36"/>
      <c r="M29" s="36">
        <f>IF('APPVII PG2'!N27-('APPVII PG2'!J27+'APPVII PG2'!L27)&gt;=0,'APPVII PG2'!N27-('APPVII PG2'!J27+'APPVII PG2'!L27),0)</f>
        <v>0</v>
      </c>
      <c r="N29" s="2"/>
    </row>
    <row r="30" spans="1:14" ht="15">
      <c r="A30" s="87" t="s">
        <v>923</v>
      </c>
      <c r="B30" s="46" t="s">
        <v>928</v>
      </c>
      <c r="C30" s="36">
        <f>IF('APPVII PG2'!N14-('APPVII PG2'!J14+'APPVII PG2'!L14)&gt;=0,0,'APPVII PG2'!N14-('APPVII PG2'!J14+'APPVII PG2'!L14))*-1</f>
        <v>0</v>
      </c>
      <c r="D30" s="36"/>
      <c r="E30" s="36">
        <f>IF('APPVII PG2'!N14-('APPVII PG2'!J14+'APPVII PG2'!L14)&lt;=0,0,'APPVII PG2'!N14-('APPVII PG2'!J14+'APPVII PG2'!L14))</f>
        <v>0</v>
      </c>
      <c r="F30" s="36"/>
      <c r="G30" s="36">
        <f>IF('APPVII PG2'!N21-('APPVII PG2'!J21+'APPVII PG2'!L21)&gt;=0,0,'APPVII PG2'!N21-('APPVII PG2'!J21+'APPVII PG2'!L21))*-1</f>
        <v>0</v>
      </c>
      <c r="H30" s="36"/>
      <c r="I30" s="36">
        <f>IF('APPVII PG2'!N21-('APPVII PG2'!J21+'APPVII PG2'!L21)&gt;=0,'APPVII PG2'!N21-('APPVII PG2'!J21+'APPVII PG2'!L21),0)</f>
        <v>0</v>
      </c>
      <c r="J30" s="46"/>
      <c r="K30" s="36">
        <f>IF('APPVII PG2'!N28-('APPVII PG2'!J28+'APPVII PG2'!L28)&gt;=0,0,'APPVII PG2'!N28-('APPVII PG2'!J28+'APPVII PG2'!L28))*-1</f>
        <v>0</v>
      </c>
      <c r="L30" s="36"/>
      <c r="M30" s="36">
        <f>IF('APPVII PG2'!N28-('APPVII PG2'!J28+'APPVII PG2'!L28)&gt;=0,'APPVII PG2'!N28-('APPVII PG2'!J28+'APPVII PG2'!L28),0)</f>
        <v>0</v>
      </c>
      <c r="N30" s="2"/>
    </row>
    <row r="31" spans="1:14" ht="15">
      <c r="A31" s="88"/>
      <c r="B31" s="46" t="s">
        <v>929</v>
      </c>
      <c r="C31" s="36">
        <f>IF('APPVII PG2'!N15-('APPVII PG2'!J15+'APPVII PG2'!L15)&gt;=0,0,'APPVII PG2'!N15-('APPVII PG2'!J15+'APPVII PG2'!L15))*-1</f>
        <v>0</v>
      </c>
      <c r="D31" s="36"/>
      <c r="E31" s="36">
        <f>IF('APPVII PG2'!N15-('APPVII PG2'!J15+'APPVII PG2'!L15)&lt;=0,0,'APPVII PG2'!N15-('APPVII PG2'!J15+'APPVII PG2'!L15))</f>
        <v>0</v>
      </c>
      <c r="F31" s="36"/>
      <c r="G31" s="36">
        <f>IF('APPVII PG2'!N22-('APPVII PG2'!J22+'APPVII PG2'!L22)&gt;=0,0,'APPVII PG2'!N22-('APPVII PG2'!J22+'APPVII PG2'!L22))*-1</f>
        <v>0</v>
      </c>
      <c r="H31" s="36"/>
      <c r="I31" s="36">
        <f>IF('APPVII PG2'!N22-('APPVII PG2'!J22+'APPVII PG2'!L22)&gt;=0,'APPVII PG2'!N22-('APPVII PG2'!J22+'APPVII PG2'!L22),0)</f>
        <v>0</v>
      </c>
      <c r="J31" s="46"/>
      <c r="K31" s="36">
        <f>IF('APPVII PG2'!N29-('APPVII PG2'!J29+'APPVII PG2'!L29)&gt;=0,0,'APPVII PG2'!N29-('APPVII PG2'!J29+'APPVII PG2'!L29))*-1</f>
        <v>0</v>
      </c>
      <c r="L31" s="36"/>
      <c r="M31" s="36">
        <f>IF('APPVII PG2'!N29-('APPVII PG2'!J29+'APPVII PG2'!L29)&gt;=0,'APPVII PG2'!N29-('APPVII PG2'!J29+'APPVII PG2'!L29),0)</f>
        <v>0</v>
      </c>
      <c r="N31" s="2"/>
    </row>
    <row r="32" spans="1:14" ht="15">
      <c r="A32" s="88"/>
      <c r="B32" s="46" t="s">
        <v>1754</v>
      </c>
      <c r="C32" s="36">
        <f>IF('APPVII PG2'!N16-('APPVII PG2'!J16+'APPVII PG2'!L16)&gt;=0,0,'APPVII PG2'!N16-('APPVII PG2'!J16+'APPVII PG2'!L16))*-1</f>
        <v>0</v>
      </c>
      <c r="D32" s="36"/>
      <c r="E32" s="36">
        <f>IF('APPVII PG2'!N16-('APPVII PG2'!J16+'APPVII PG2'!L16)&lt;=0,0,'APPVII PG2'!N16-('APPVII PG2'!J16+'APPVII PG2'!L16))</f>
        <v>0</v>
      </c>
      <c r="F32" s="36"/>
      <c r="G32" s="36">
        <f>IF('APPVII PG2'!N23-('APPVII PG2'!J23+'APPVII PG2'!L23)&gt;=0,0,'APPVII PG2'!N23-('APPVII PG2'!J23+'APPVII PG2'!L23))*-1</f>
        <v>0</v>
      </c>
      <c r="H32" s="36"/>
      <c r="I32" s="36">
        <f>IF('APPVII PG2'!N23-('APPVII PG2'!J23+'APPVII PG2'!L23)&gt;=0,'APPVII PG2'!N23-('APPVII PG2'!J23+'APPVII PG2'!L23),0)</f>
        <v>0</v>
      </c>
      <c r="J32" s="46"/>
      <c r="K32" s="36">
        <f>IF('APPVII PG2'!N30-('APPVII PG2'!J30+'APPVII PG2'!L30)&gt;=0,0,'APPVII PG2'!N30-('APPVII PG2'!J30+'APPVII PG2'!L30))*-1</f>
        <v>0</v>
      </c>
      <c r="L32" s="36"/>
      <c r="M32" s="36">
        <f>IF('APPVII PG2'!N30-('APPVII PG2'!J30+'APPVII PG2'!L30)&gt;=0,'APPVII PG2'!N30-('APPVII PG2'!J30+'APPVII PG2'!L30),0)</f>
        <v>0</v>
      </c>
      <c r="N32" s="2"/>
    </row>
    <row r="33" spans="1:14" ht="15">
      <c r="A33" s="88"/>
      <c r="B33" s="24" t="s">
        <v>161</v>
      </c>
      <c r="C33" s="37">
        <f>IF(SUM(E28:E32)&lt;=0,0,SUM(E28:E32))</f>
        <v>0</v>
      </c>
      <c r="D33" s="38"/>
      <c r="E33" s="37">
        <f>IF(SUM(C28:C32)&lt;=0,0,SUM(C28:C32))</f>
        <v>0</v>
      </c>
      <c r="F33" s="38"/>
      <c r="G33" s="37">
        <f>IF(SUM(I28:I32)&lt;=0,0,SUM(I28:I32))</f>
        <v>0</v>
      </c>
      <c r="H33" s="38"/>
      <c r="I33" s="37">
        <f>IF(SUM(G28:G32)&lt;=0,0,SUM(G28:G32))</f>
        <v>0</v>
      </c>
      <c r="J33" s="205"/>
      <c r="K33" s="37">
        <f>IF(SUM(M28:M32)&lt;=0,0,SUM(M28:M32))</f>
        <v>0</v>
      </c>
      <c r="L33" s="38"/>
      <c r="M33" s="37">
        <f>IF(SUM(K28:K32)&lt;=0,0,SUM(K28:K32))</f>
        <v>0</v>
      </c>
      <c r="N33" s="2"/>
    </row>
    <row r="34" spans="1:15" ht="15">
      <c r="A34" s="88"/>
      <c r="B34" s="24" t="s">
        <v>543</v>
      </c>
      <c r="C34" s="38">
        <f>SUM(C28:C33)</f>
        <v>0</v>
      </c>
      <c r="D34" s="38"/>
      <c r="E34" s="38">
        <f>SUM(E28:E33)</f>
        <v>0</v>
      </c>
      <c r="F34" s="38">
        <f>SUM(F28:F33)</f>
        <v>0</v>
      </c>
      <c r="G34" s="38">
        <f>SUM(G28:G33)</f>
        <v>0</v>
      </c>
      <c r="H34" s="38"/>
      <c r="I34" s="38">
        <f>SUM(I28:I33)</f>
        <v>0</v>
      </c>
      <c r="J34" s="205"/>
      <c r="K34" s="38">
        <f>SUM(K28:K33)</f>
        <v>0</v>
      </c>
      <c r="L34" s="38"/>
      <c r="M34" s="38">
        <f>SUM(M28:M33)</f>
        <v>0</v>
      </c>
      <c r="N34" s="442" t="s">
        <v>936</v>
      </c>
      <c r="O34" s="34">
        <f>ABS(C34-G34)</f>
        <v>0</v>
      </c>
    </row>
    <row r="35" spans="1:13" ht="15">
      <c r="A35" s="88"/>
      <c r="C35" s="36"/>
      <c r="D35" s="36"/>
      <c r="E35" s="36"/>
      <c r="F35" s="36"/>
      <c r="G35" s="36"/>
      <c r="H35" s="36"/>
      <c r="I35" s="36"/>
      <c r="K35" s="36"/>
      <c r="L35" s="36"/>
      <c r="M35" s="36"/>
    </row>
    <row r="36" spans="1:14" ht="15">
      <c r="A36" s="87" t="s">
        <v>1791</v>
      </c>
      <c r="B36" s="24" t="s">
        <v>926</v>
      </c>
      <c r="C36" s="36">
        <f>IF('APPVII PG2'!N39-'APPVII PG2'!L39-'APPVII PG2'!F39-'APPVII PG2'!H39-'APPVII PG2'!J39&gt;=0,0,'APPVII PG2'!N39-'APPVII PG2'!L39-'APPVII PG2'!F39-'APPVII PG2'!H39-'APPVII PG2'!J39)*-1</f>
        <v>60821.33</v>
      </c>
      <c r="D36" s="36"/>
      <c r="E36" s="36">
        <f>IF('APPVII PG2'!N39-'APPVII PG2'!L39-'APPVII PG2'!F39&lt;=0,0,'APPVII PG2'!N39-'APPVII PG2'!L39-'APPVII PG2'!F39)</f>
        <v>0</v>
      </c>
      <c r="F36" s="36"/>
      <c r="G36" s="36">
        <f>IF('APPVII PG2'!N46-'APPVII PG2'!L46-'APPVII PG2'!F46-'APPVII PG2'!H46-'APPVII PG2'!J46&gt;=0,0,'APPVII PG2'!N46-'APPVII PG2'!L46-'APPVII PG2'!F46-'APPVII PG2'!H46-'APPVII PG2'!J46)*-1</f>
        <v>60544.08</v>
      </c>
      <c r="H36" s="36"/>
      <c r="I36" s="36">
        <f>IF('APPVII PG2'!N46-'APPVII PG2'!L46-'APPVII PG2'!F46&gt;=0,'APPVII PG2'!N46-'APPVII PG2'!L46-'APPVII PG2'!F46,0)</f>
        <v>0</v>
      </c>
      <c r="J36" s="46"/>
      <c r="K36" s="36">
        <f>IF('APPVII PG2'!N53-'APPVII PG2'!L53-'APPVII PG2'!F53-'APPVII PG2'!J53-'APPVII PG2'!H53&gt;=0,0,'APPVII PG2'!N53-'APPVII PG2'!L53-'APPVII PG2'!F53-'APPVII PG2'!J53-'APPVII PG2'!H53)*-1</f>
        <v>277.25</v>
      </c>
      <c r="L36" s="36">
        <f>IF('APPVII PG2'!O53-'APPVII PG2'!M53-'APPVII PG2'!G53-'APPVII PG2'!K53-'APPVII PG2'!I53&gt;=0,0,'APPVII PG2'!O53-'APPVII PG2'!M53-'APPVII PG2'!G53-'APPVII PG2'!K53-'APPVII PG2'!I53)*-1</f>
        <v>0</v>
      </c>
      <c r="M36" s="36">
        <f>IF('APPVII PG2'!N53-'APPVII PG2'!L53-'APPVII PG2'!F53-'APPVII PG2'!H53-'APPVII PG2'!J53&gt;=0,'APPVII PG2'!N53-'APPVII PG2'!L53-'APPVII PG2'!F53-'APPVII PG2'!H53-'APPVII PG2'!J53,0)</f>
        <v>0</v>
      </c>
      <c r="N36" s="2"/>
    </row>
    <row r="37" spans="1:14" ht="15">
      <c r="A37" s="87" t="s">
        <v>219</v>
      </c>
      <c r="B37" s="24" t="s">
        <v>927</v>
      </c>
      <c r="C37" s="36">
        <f>IF('APPVII PG2'!N40-'APPVII PG2'!L40-'APPVII PG2'!F40-'APPVII PG2'!H40-'APPVII PG2'!J40&gt;=0,0,'APPVII PG2'!N40-'APPVII PG2'!L40-'APPVII PG2'!F40-'APPVII PG2'!H40-'APPVII PG2'!J40)*-1</f>
        <v>12772.49</v>
      </c>
      <c r="D37" s="36"/>
      <c r="E37" s="36">
        <f>IF('APPVII PG2'!N40-'APPVII PG2'!L40-'APPVII PG2'!F40&lt;=0,0,'APPVII PG2'!N40-'APPVII PG2'!L40-'APPVII PG2'!F40)</f>
        <v>0</v>
      </c>
      <c r="F37" s="36"/>
      <c r="G37" s="36">
        <f>IF('APPVII PG2'!N47-'APPVII PG2'!L47-'APPVII PG2'!F47-'APPVII PG2'!H47-'APPVII PG2'!J47&gt;=0,0,'APPVII PG2'!N47-'APPVII PG2'!L47-'APPVII PG2'!F47-'APPVII PG2'!H47-'APPVII PG2'!J47)*-1</f>
        <v>12713.99</v>
      </c>
      <c r="H37" s="36"/>
      <c r="I37" s="36">
        <f>IF('APPVII PG2'!N47-'APPVII PG2'!L47-'APPVII PG2'!F47&gt;=0,'APPVII PG2'!N47-'APPVII PG2'!L47-'APPVII PG2'!F47,0)</f>
        <v>0</v>
      </c>
      <c r="J37" s="46"/>
      <c r="K37" s="36">
        <f>IF('APPVII PG2'!N54-'APPVII PG2'!L54-'APPVII PG2'!F54-'APPVII PG2'!J54-'APPVII PG2'!H54&gt;=0,0,'APPVII PG2'!N54-'APPVII PG2'!L54-'APPVII PG2'!F54-'APPVII PG2'!J54-'APPVII PG2'!H54)*-1</f>
        <v>58.5</v>
      </c>
      <c r="L37" s="36"/>
      <c r="M37" s="36">
        <f>IF('APPVII PG2'!N54-'APPVII PG2'!L54-'APPVII PG2'!F54-'APPVII PG2'!H54-'APPVII PG2'!J54&gt;=0,'APPVII PG2'!N54-'APPVII PG2'!L54-'APPVII PG2'!F54-'APPVII PG2'!H54-'APPVII PG2'!J54,0)</f>
        <v>0</v>
      </c>
      <c r="N37" s="2"/>
    </row>
    <row r="38" spans="1:14" ht="15">
      <c r="A38" s="109"/>
      <c r="B38" s="24" t="s">
        <v>928</v>
      </c>
      <c r="C38" s="36">
        <f>IF('APPVII PG2'!N41-'APPVII PG2'!L41-'APPVII PG2'!F41-'APPVII PG2'!H41-'APPVII PG2'!J41&gt;=0,0,'APPVII PG2'!N41-'APPVII PG2'!L41-'APPVII PG2'!F41-'APPVII PG2'!H41-'APPVII PG2'!J41)*-1</f>
        <v>40590.46</v>
      </c>
      <c r="D38" s="36"/>
      <c r="E38" s="36">
        <f>IF('APPVII PG2'!N41-'APPVII PG2'!L41-'APPVII PG2'!F41&lt;=0,0,'APPVII PG2'!N41-'APPVII PG2'!L41-'APPVII PG2'!F41)</f>
        <v>0</v>
      </c>
      <c r="F38" s="36"/>
      <c r="G38" s="36">
        <f>IF('APPVII PG2'!N48-'APPVII PG2'!L48-'APPVII PG2'!F48-'APPVII PG2'!H48-'APPVII PG2'!J48&gt;=0,0,'APPVII PG2'!N48-'APPVII PG2'!L48-'APPVII PG2'!F48-'APPVII PG2'!H48-'APPVII PG2'!J48)*-1</f>
        <v>40404.76</v>
      </c>
      <c r="H38" s="36"/>
      <c r="I38" s="36">
        <f>IF('APPVII PG2'!N48-'APPVII PG2'!L48-'APPVII PG2'!F48&gt;=0,'APPVII PG2'!N48-'APPVII PG2'!L48-'APPVII PG2'!F48,0)</f>
        <v>0</v>
      </c>
      <c r="J38" s="46"/>
      <c r="K38" s="36">
        <f>IF('APPVII PG2'!N55-'APPVII PG2'!L55-'APPVII PG2'!F55-'APPVII PG2'!J55-'APPVII PG2'!H55&gt;=0,0,'APPVII PG2'!N55-'APPVII PG2'!L55-'APPVII PG2'!F55-'APPVII PG2'!J55-'APPVII PG2'!H55)*-1</f>
        <v>185.70000000000073</v>
      </c>
      <c r="L38" s="36"/>
      <c r="M38" s="36">
        <f>IF('APPVII PG2'!N55-'APPVII PG2'!L55-'APPVII PG2'!F55-'APPVII PG2'!H55-'APPVII PG2'!J55&gt;=0,'APPVII PG2'!N55-'APPVII PG2'!L55-'APPVII PG2'!F55-'APPVII PG2'!H55-'APPVII PG2'!J55,0)</f>
        <v>0</v>
      </c>
      <c r="N38" s="2"/>
    </row>
    <row r="39" spans="1:14" ht="15">
      <c r="A39" s="88"/>
      <c r="B39" s="24" t="s">
        <v>929</v>
      </c>
      <c r="C39" s="36">
        <f>IF('APPVII PG2'!N42-'APPVII PG2'!L42-'APPVII PG2'!F42-'APPVII PG2'!H42-'APPVII PG2'!J42&gt;=0,0,'APPVII PG2'!N42-'APPVII PG2'!L42-'APPVII PG2'!F42-'APPVII PG2'!H42-'APPVII PG2'!J42)*-1</f>
        <v>85101.07</v>
      </c>
      <c r="D39" s="36"/>
      <c r="E39" s="36">
        <f>IF('APPVII PG2'!N42-'APPVII PG2'!L42-'APPVII PG2'!F42&lt;=0,0,'APPVII PG2'!N42-'APPVII PG2'!L42-'APPVII PG2'!F42)</f>
        <v>0</v>
      </c>
      <c r="F39" s="36"/>
      <c r="G39" s="36">
        <f>IF('APPVII PG2'!N49-'APPVII PG2'!L49-'APPVII PG2'!F49-'APPVII PG2'!H49-'APPVII PG2'!J49&gt;=0,0,'APPVII PG2'!N49-'APPVII PG2'!L49-'APPVII PG2'!F49-'APPVII PG2'!H49-'APPVII PG2'!J49)*-1</f>
        <v>84713.35</v>
      </c>
      <c r="H39" s="36"/>
      <c r="I39" s="36">
        <f>IF('APPVII PG2'!N49-'APPVII PG2'!L49-'APPVII PG2'!F49&gt;=0,'APPVII PG2'!N49-'APPVII PG2'!L49-'APPVII PG2'!F49,0)</f>
        <v>0</v>
      </c>
      <c r="J39" s="46"/>
      <c r="K39" s="36">
        <f>IF('APPVII PG2'!N56-'APPVII PG2'!L56-'APPVII PG2'!F56-'APPVII PG2'!J56-'APPVII PG2'!H56&gt;=0,0,'APPVII PG2'!N56-'APPVII PG2'!L56-'APPVII PG2'!F56-'APPVII PG2'!J56-'APPVII PG2'!H56)*-1</f>
        <v>387.7199999999975</v>
      </c>
      <c r="L39" s="36"/>
      <c r="M39" s="36">
        <f>IF('APPVII PG2'!N56-'APPVII PG2'!L56-'APPVII PG2'!F56-'APPVII PG2'!H55-'APPVII PG2'!J56&gt;=0,'APPVII PG2'!N56-'APPVII PG2'!L56-'APPVII PG2'!F56-'APPVII PG2'!H56-'APPVII PG2'!J56,0)</f>
        <v>0</v>
      </c>
      <c r="N39" s="2"/>
    </row>
    <row r="40" spans="1:14" ht="15">
      <c r="A40" s="88"/>
      <c r="B40" s="24" t="s">
        <v>1754</v>
      </c>
      <c r="C40" s="36">
        <f>IF('APPVII PG2'!N43-'APPVII PG2'!L43-'APPVII PG2'!F43-'APPVII PG2'!H43-'APPVII PG2'!J43&gt;=0,0,'APPVII PG2'!N43-'APPVII PG2'!L43-'APPVII PG2'!F43-'APPVII PG2'!H43-'APPVII PG2'!J43)*-1</f>
        <v>0</v>
      </c>
      <c r="D40" s="36"/>
      <c r="E40" s="36">
        <f>IF('APPVII PG2'!N43-'APPVII PG2'!L43-'APPVII PG2'!F43&lt;=0,0,'APPVII PG2'!N43-'APPVII PG2'!L43-'APPVII PG2'!F43)</f>
        <v>0</v>
      </c>
      <c r="F40" s="38"/>
      <c r="G40" s="36">
        <f>IF('APPVII PG2'!N50-'APPVII PG2'!L50-'APPVII PG2'!F50-'APPVII PG2'!H50-'APPVII PG2'!J50&gt;=0,0,'APPVII PG2'!N50-'APPVII PG2'!L50-'APPVII PG2'!F50-'APPVII PG2'!H50-'APPVII PG2'!J50)*-1</f>
        <v>0</v>
      </c>
      <c r="H40" s="36"/>
      <c r="I40" s="36">
        <f>IF('APPVII PG2'!N50-'APPVII PG2'!L50-'APPVII PG2'!F50&gt;=0,'APPVII PG2'!N50-'APPVII PG2'!L50-'APPVII PG2'!F50,0)</f>
        <v>0</v>
      </c>
      <c r="J40" s="205"/>
      <c r="K40" s="36">
        <f>IF('APPVII PG2'!N57-'APPVII PG2'!L57-'APPVII PG2'!F57-'APPVII PG2'!J57-'APPVII PG2'!H57&gt;=0,0,'APPVII PG2'!N57-'APPVII PG2'!L57-'APPVII PG2'!F57-'APPVII PG2'!J57-'APPVII PG2'!H57)*-1</f>
        <v>0</v>
      </c>
      <c r="L40" s="36"/>
      <c r="M40" s="36">
        <f>IF('APPVII PG2'!N57-'APPVII PG2'!L57-'APPVII PG2'!F57-'APPVII PG2'!H56-'APPVII PG2'!J57&gt;=0,'APPVII PG2'!N57-'APPVII PG2'!L57-'APPVII PG2'!F57-'APPVII PG2'!H57-'APPVII PG2'!J57,0)</f>
        <v>0</v>
      </c>
      <c r="N40" s="2"/>
    </row>
    <row r="41" spans="1:14" ht="15">
      <c r="A41" s="88"/>
      <c r="B41" s="24" t="s">
        <v>161</v>
      </c>
      <c r="C41" s="37">
        <f>IF(SUM(E36:E40)&lt;=0,0,SUM(E36:E40))</f>
        <v>0</v>
      </c>
      <c r="D41" s="36"/>
      <c r="E41" s="37">
        <f>IF(SUM(C36:C40)&lt;=0,0,SUM(C36:C40))</f>
        <v>199285.35</v>
      </c>
      <c r="F41" s="36"/>
      <c r="G41" s="37">
        <f>IF(SUM(I36:I40)&lt;=0,0,SUM(I36:I40))</f>
        <v>0</v>
      </c>
      <c r="H41" s="36"/>
      <c r="I41" s="37">
        <f>IF(SUM(G36:G40)&lt;=0,0,SUM(G36:G40))</f>
        <v>198376.18000000002</v>
      </c>
      <c r="J41" s="46"/>
      <c r="K41" s="37">
        <f>IF(SUM(M36:M40)&lt;=0,0,SUM(M36:M40))</f>
        <v>0</v>
      </c>
      <c r="L41" s="36"/>
      <c r="M41" s="37">
        <f>IF(SUM(K36:K40)&lt;=0,0,SUM(K36:K40))</f>
        <v>909.1699999999983</v>
      </c>
      <c r="N41" s="2"/>
    </row>
    <row r="42" spans="1:15" ht="15">
      <c r="A42" s="88"/>
      <c r="B42" s="24" t="s">
        <v>543</v>
      </c>
      <c r="C42" s="36">
        <f>SUM(C36:C41)</f>
        <v>199285.35</v>
      </c>
      <c r="D42" s="36"/>
      <c r="E42" s="36">
        <f>SUM(E36:E41)</f>
        <v>199285.35</v>
      </c>
      <c r="F42" s="36"/>
      <c r="G42" s="36">
        <f>SUM(G36:G41)</f>
        <v>198376.18000000002</v>
      </c>
      <c r="H42" s="36"/>
      <c r="I42" s="36">
        <f>SUM(I36:I41)</f>
        <v>198376.18000000002</v>
      </c>
      <c r="J42" s="46"/>
      <c r="K42" s="36">
        <f>SUM(K36:K41)</f>
        <v>909.1699999999983</v>
      </c>
      <c r="L42" s="36"/>
      <c r="M42" s="36">
        <f>SUM(M36:M41)</f>
        <v>909.1699999999983</v>
      </c>
      <c r="N42" s="442" t="s">
        <v>936</v>
      </c>
      <c r="O42" s="36">
        <f>ABS(C42-G42)</f>
        <v>909.1699999999837</v>
      </c>
    </row>
    <row r="43" spans="1:13" ht="15">
      <c r="A43" s="88"/>
      <c r="C43" s="36"/>
      <c r="D43" s="36"/>
      <c r="E43" s="36"/>
      <c r="F43" s="36"/>
      <c r="G43" s="36"/>
      <c r="H43" s="36"/>
      <c r="I43" s="36"/>
      <c r="K43" s="36"/>
      <c r="L43" s="36"/>
      <c r="M43" s="36"/>
    </row>
    <row r="44" spans="1:13" ht="15">
      <c r="A44" s="87" t="s">
        <v>581</v>
      </c>
      <c r="B44" s="24" t="s">
        <v>926</v>
      </c>
      <c r="C44" s="36">
        <f>IF(-'APPVII PG3'!H12+'APPVII PG3'!I12+'APPVII PG3'!J12&gt;=0,0,-'APPVII PG3'!H12+'APPVII PG3'!I12+'APPVII PG3'!J12)*-1</f>
        <v>1890776.6300000001</v>
      </c>
      <c r="D44" s="36"/>
      <c r="E44" s="36">
        <f>IF(-'APPVII PG3'!H12+'APPVII PG3'!I12+'APPVII PG3'!J12&gt;=0,-'APPVII PG3'!H12+'APPVII PG3'!I12+'APPVII PG3'!J12,0)</f>
        <v>0</v>
      </c>
      <c r="F44" s="36"/>
      <c r="G44" s="36">
        <f>IF(-'APPVII PG3'!H19+'APPVII PG3'!I19+'APPVII PG3'!J19&gt;=0,0,-'APPVII PG3'!H19+'APPVII PG3'!I19+'APPVII PG3'!J19)*-1</f>
        <v>1888231.6800000002</v>
      </c>
      <c r="H44" s="36"/>
      <c r="I44" s="36">
        <f>IF(-'APPVII PG3'!H19+'APPVII PG3'!I19+'APPVII PG3'!J19&gt;=0,-'APPVII PG3'!H19+'APPVII PG3'!I19+'APPVII PG3'!J19,0)</f>
        <v>0</v>
      </c>
      <c r="K44" s="36">
        <f>IF(-'APPVII PG3'!H26+'APPVII PG3'!I26+'APPVII PG3'!J26&gt;=0,0,-'APPVII PG3'!H26+'APPVII PG3'!I26+'APPVII PG3'!J26)*-1</f>
        <v>2544.9500000000116</v>
      </c>
      <c r="L44" s="36"/>
      <c r="M44" s="36">
        <f>IF(-'APPVII PG3'!H26+'APPVII PG3'!I26+'APPVII PG3'!J26&gt;=0,-'APPVII PG3'!H26+'APPVII PG3'!I26+'APPVII PG3'!J26,0)</f>
        <v>0</v>
      </c>
    </row>
    <row r="45" spans="1:13" ht="15">
      <c r="A45" s="109"/>
      <c r="B45" s="24" t="s">
        <v>927</v>
      </c>
      <c r="C45" s="36">
        <f>IF(-'APPVII PG3'!H13+'APPVII PG3'!I13+'APPVII PG3'!J13&gt;=0,0,-'APPVII PG3'!H13+'APPVII PG3'!I13+'APPVII PG3'!J13)*-1</f>
        <v>397050.88</v>
      </c>
      <c r="D45" s="36"/>
      <c r="E45" s="36">
        <f>IF(-'APPVII PG3'!H13+'APPVII PG3'!I13+'APPVII PG3'!J13&gt;=0,-'APPVII PG3'!H13+'APPVII PG3'!I13+'APPVII PG3'!J13,0)</f>
        <v>0</v>
      </c>
      <c r="F45" s="36"/>
      <c r="G45" s="36">
        <f>IF(-'APPVII PG3'!H20+'APPVII PG3'!I20+'APPVII PG3'!J20&gt;=0,0,-'APPVII PG3'!H20+'APPVII PG3'!I20+'APPVII PG3'!J20)*-1</f>
        <v>396516.47000000003</v>
      </c>
      <c r="H45" s="36"/>
      <c r="I45" s="36">
        <f>IF(-'APPVII PG3'!H20+'APPVII PG3'!I20+'APPVII PG3'!J20&gt;=0,-'APPVII PG3'!H20+'APPVII PG3'!I20+'APPVII PG3'!J20,0)</f>
        <v>0</v>
      </c>
      <c r="K45" s="36">
        <f>IF(-'APPVII PG3'!H27+'APPVII PG3'!I27+'APPVII PG3'!J27&gt;=0,0,-'APPVII PG3'!H27+'APPVII PG3'!I27+'APPVII PG3'!J27)*-1</f>
        <v>534.4100000000035</v>
      </c>
      <c r="L45" s="36"/>
      <c r="M45" s="36">
        <f>IF(-'APPVII PG3'!H27+'APPVII PG3'!I27+'APPVII PG3'!J27&gt;=0,-'APPVII PG3'!H27+'APPVII PG3'!I27+'APPVII PG3'!J27,0)</f>
        <v>0</v>
      </c>
    </row>
    <row r="46" spans="1:13" ht="15">
      <c r="A46" s="88"/>
      <c r="B46" s="24" t="s">
        <v>928</v>
      </c>
      <c r="C46" s="36">
        <f>IF(-'APPVII PG3'!H14+'APPVII PG3'!I14+'APPVII PG3'!J14&gt;=0,0,-'APPVII PG3'!H14+'APPVII PG3'!I14+'APPVII PG3'!J14)*-1</f>
        <v>1261839.4300000002</v>
      </c>
      <c r="D46" s="36"/>
      <c r="E46" s="36">
        <f>IF(-'APPVII PG3'!H14+'APPVII PG3'!I14+'APPVII PG3'!J14&gt;=0,-'APPVII PG3'!H14+'APPVII PG3'!I14+'APPVII PG3'!J14,0)</f>
        <v>0</v>
      </c>
      <c r="F46" s="36"/>
      <c r="G46" s="36">
        <f>IF(-'APPVII PG3'!H21+'APPVII PG3'!I21+'APPVII PG3'!J21&gt;=0,0,-'APPVII PG3'!H21+'APPVII PG3'!I21+'APPVII PG3'!J21)*-1</f>
        <v>1260141</v>
      </c>
      <c r="H46" s="36"/>
      <c r="I46" s="36">
        <f>IF(-'APPVII PG3'!H21+'APPVII PG3'!I21+'APPVII PG3'!J21&gt;=0,-'APPVII PG3'!H21+'APPVII PG3'!I21+'APPVII PG3'!J21,0)</f>
        <v>0</v>
      </c>
      <c r="K46" s="36">
        <f>IF(-'APPVII PG3'!H28+'APPVII PG3'!I28+'APPVII PG3'!J28&gt;=0,0,-'APPVII PG3'!H28+'APPVII PG3'!I28+'APPVII PG3'!J28)*-1</f>
        <v>1698.4300000000512</v>
      </c>
      <c r="L46" s="36"/>
      <c r="M46" s="36">
        <f>IF(-'APPVII PG3'!H28+'APPVII PG3'!I28+'APPVII PG3'!J28&gt;=0,-'APPVII PG3'!H28+'APPVII PG3'!I28+'APPVII PG3'!J28,0)</f>
        <v>0</v>
      </c>
    </row>
    <row r="47" spans="1:13" ht="15">
      <c r="A47" s="88"/>
      <c r="B47" s="24" t="s">
        <v>929</v>
      </c>
      <c r="C47" s="36">
        <f>IF(-'APPVII PG3'!H15+'APPVII PG3'!I15+'APPVII PG3'!J15&gt;=0,0,-'APPVII PG3'!H15+'APPVII PG3'!I15+'APPVII PG3'!J15)*-1</f>
        <v>2645538.5700000003</v>
      </c>
      <c r="D47" s="36"/>
      <c r="E47" s="36">
        <f>IF(-'APPVII PG3'!H15+'APPVII PG3'!I15+'APPVII PG3'!J15&gt;=0,-'APPVII PG3'!H15+'APPVII PG3'!I15+'APPVII PG3'!J15,0)</f>
        <v>0</v>
      </c>
      <c r="F47" s="36"/>
      <c r="G47" s="36">
        <f>IF(-'APPVII PG3'!H22+'APPVII PG3'!I22+'APPVII PG3'!J22&gt;=0,0,-'APPVII PG3'!H22+'APPVII PG3'!I22+'APPVII PG3'!J22)*-1</f>
        <v>2641977.6799999997</v>
      </c>
      <c r="H47" s="36"/>
      <c r="I47" s="36">
        <f>IF(-'APPVII PG3'!H22+'APPVII PG3'!I22+'APPVII PG3'!J22&gt;=0,-'APPVII PG3'!H22+'APPVII PG3'!I22+'APPVII PG3'!J22,0)</f>
        <v>0</v>
      </c>
      <c r="K47" s="36">
        <f>IF(-'APPVII PG3'!H29+'APPVII PG3'!I29+'APPVII PG3'!J29&gt;=0,0,-'APPVII PG3'!H29+'APPVII PG3'!I29+'APPVII PG3'!J29)*-1</f>
        <v>3560.890000000247</v>
      </c>
      <c r="L47" s="36"/>
      <c r="M47" s="36">
        <f>IF(-'APPVII PG3'!H29+'APPVII PG3'!I29+'APPVII PG3'!J29&gt;=0,-'APPVII PG3'!H29+'APPVII PG3'!I29+'APPVII PG3'!J29,0)</f>
        <v>0</v>
      </c>
    </row>
    <row r="48" spans="1:13" ht="15">
      <c r="A48" s="88"/>
      <c r="B48" s="24" t="s">
        <v>1754</v>
      </c>
      <c r="C48" s="36">
        <f>IF(-'APPVII PG3'!H16+'APPVII PG3'!I16+'APPVII PG3'!J16&gt;=0,0,-'APPVII PG3'!H16+'APPVII PG3'!I16+'APPVII PG3'!J16)*-1</f>
        <v>0</v>
      </c>
      <c r="D48" s="36"/>
      <c r="E48" s="36">
        <f>IF(-'APPVII PG3'!H16+'APPVII PG3'!I16+'APPVII PG3'!J16&gt;=0,-'APPVII PG3'!H16+'APPVII PG3'!I16+'APPVII PG3'!J16,0)</f>
        <v>0</v>
      </c>
      <c r="F48" s="36"/>
      <c r="G48" s="36">
        <f>IF(-'APPVII PG3'!H23+'APPVII PG3'!I23+'APPVII PG3'!J23&gt;=0,0,-'APPVII PG3'!H23+'APPVII PG3'!I23+'APPVII PG3'!J23)*-1</f>
        <v>0</v>
      </c>
      <c r="H48" s="36"/>
      <c r="I48" s="36">
        <f>IF(-'APPVII PG3'!H23+'APPVII PG3'!I23+'APPVII PG3'!J23&gt;=0,-'APPVII PG3'!H23+'APPVII PG3'!I23+'APPVII PG3'!J23,0)</f>
        <v>0</v>
      </c>
      <c r="K48" s="36">
        <f>IF(-'APPVII PG3'!H30+'APPVII PG3'!I30+'APPVII PG3'!J30&gt;=0,0,-'APPVII PG3'!H30+'APPVII PG3'!I30+'APPVII PG3'!J30)*-1</f>
        <v>0</v>
      </c>
      <c r="L48" s="36"/>
      <c r="M48" s="36">
        <f>IF(-'APPVII PG3'!H30+'APPVII PG3'!I30+'APPVII PG3'!J30&gt;=0,-'APPVII PG3'!H30+'APPVII PG3'!I30+'APPVII PG3'!J30,0)</f>
        <v>0</v>
      </c>
    </row>
    <row r="49" spans="1:13" ht="15">
      <c r="A49" s="88"/>
      <c r="B49" s="24" t="s">
        <v>161</v>
      </c>
      <c r="C49" s="37">
        <f>IF(SUM(E44:E48)&lt;=0,0,SUM(E44:E48))</f>
        <v>0</v>
      </c>
      <c r="D49" s="36"/>
      <c r="E49" s="37">
        <f>IF(SUM(C44:C48)&lt;=0,0,SUM(C44:C48))</f>
        <v>6195205.510000001</v>
      </c>
      <c r="F49" s="36"/>
      <c r="G49" s="37">
        <f>IF(SUM(I44:I48)&lt;=0,0,SUM(I44:I48))</f>
        <v>0</v>
      </c>
      <c r="H49" s="36"/>
      <c r="I49" s="37">
        <f>IF(SUM(G44:G48)&lt;=0,0,SUM(G44:G48))</f>
        <v>6186866.83</v>
      </c>
      <c r="J49" s="46"/>
      <c r="K49" s="37">
        <f>IF(SUM(M44:M48)&lt;=0,0,SUM(M44:M48))</f>
        <v>0</v>
      </c>
      <c r="L49" s="36"/>
      <c r="M49" s="37">
        <f>IF(SUM(K44:K48)&lt;=0,0,SUM(K44:K48))</f>
        <v>8338.680000000313</v>
      </c>
    </row>
    <row r="50" spans="1:15" ht="15">
      <c r="A50" s="88"/>
      <c r="B50" s="24" t="s">
        <v>543</v>
      </c>
      <c r="C50" s="36">
        <f>SUM(C44:C49)</f>
        <v>6195205.510000001</v>
      </c>
      <c r="D50" s="36"/>
      <c r="E50" s="36">
        <f>SUM(E44:E49)</f>
        <v>6195205.510000001</v>
      </c>
      <c r="F50" s="36"/>
      <c r="G50" s="36">
        <f>SUM(G44:G49)</f>
        <v>6186866.83</v>
      </c>
      <c r="H50" s="36"/>
      <c r="I50" s="36">
        <f>SUM(I44:I49)</f>
        <v>6186866.83</v>
      </c>
      <c r="K50" s="36">
        <f>SUM(K44:K49)</f>
        <v>8338.680000000313</v>
      </c>
      <c r="L50" s="36"/>
      <c r="M50" s="36">
        <f>SUM(M44:M49)</f>
        <v>8338.680000000313</v>
      </c>
      <c r="N50" s="442" t="s">
        <v>936</v>
      </c>
      <c r="O50" s="34">
        <f>ABS(C50-G50)</f>
        <v>8338.680000000633</v>
      </c>
    </row>
    <row r="51" spans="1:13" ht="15">
      <c r="A51" s="88"/>
      <c r="C51" s="36"/>
      <c r="D51" s="36"/>
      <c r="E51" s="36"/>
      <c r="F51" s="36"/>
      <c r="G51" s="36"/>
      <c r="H51" s="36"/>
      <c r="I51" s="36"/>
      <c r="K51" s="36"/>
      <c r="L51" s="36"/>
      <c r="M51" s="36"/>
    </row>
    <row r="52" spans="1:14" ht="15">
      <c r="A52" s="293" t="s">
        <v>24</v>
      </c>
      <c r="B52" s="24" t="s">
        <v>926</v>
      </c>
      <c r="C52" s="36">
        <f>IF('APPVII PG3'!W41&gt;=0,0,'APPVII PG3'!W41)*-1</f>
        <v>0</v>
      </c>
      <c r="D52" s="36"/>
      <c r="E52" s="36">
        <f>IF('APPVII PG3'!W41&lt;=0,0,'APPVII PG3'!W41)</f>
        <v>799933.5499999993</v>
      </c>
      <c r="F52" s="36"/>
      <c r="G52" s="36">
        <f>IF('APPVII PG3'!W48&gt;=0,0,'APPVII PG3'!W48)*-1</f>
        <v>0</v>
      </c>
      <c r="H52" s="36"/>
      <c r="I52" s="36">
        <f>IF('APPVII PG3'!W48&lt;=0,0,'APPVII PG3'!W48)</f>
        <v>822327.0299999993</v>
      </c>
      <c r="J52" s="46"/>
      <c r="K52" s="36">
        <f>IF('APPVII PG3'!W55&gt;=0,0,'APPVII PG3'!W55)*-1</f>
        <v>22393.479999999436</v>
      </c>
      <c r="L52" s="36"/>
      <c r="M52" s="36">
        <f>IF('APPVII PG3'!W55&lt;=0,0,'APPVII PG3'!W55)</f>
        <v>0</v>
      </c>
      <c r="N52" s="12"/>
    </row>
    <row r="53" spans="1:14" ht="15">
      <c r="A53" s="293" t="s">
        <v>787</v>
      </c>
      <c r="B53" s="24" t="s">
        <v>927</v>
      </c>
      <c r="C53" s="36">
        <f>IF('APPVII PG3'!W42&gt;=0,0,'APPVII PG3'!W42)*-1</f>
        <v>0</v>
      </c>
      <c r="D53" s="36"/>
      <c r="E53" s="36">
        <f>IF('APPVII PG3'!W42&lt;=0,0,'APPVII PG3'!W42)</f>
        <v>167979.38</v>
      </c>
      <c r="F53" s="36"/>
      <c r="G53" s="36">
        <f>IF('APPVII PG3'!W49&gt;=0,0,'APPVII PG3'!W49)*-1</f>
        <v>0</v>
      </c>
      <c r="H53" s="36"/>
      <c r="I53" s="36">
        <f>IF('APPVII PG3'!W49&lt;=0,0,'APPVII PG3'!W49)</f>
        <v>172681.42000000004</v>
      </c>
      <c r="J53" s="46"/>
      <c r="K53" s="36">
        <f>IF('APPVII PG3'!W56&gt;=0,0,'APPVII PG3'!W56)*-1</f>
        <v>4702.040000000057</v>
      </c>
      <c r="L53" s="36"/>
      <c r="M53" s="36">
        <f>IF('APPVII PG3'!W56&lt;=0,0,'APPVII PG3'!W56)</f>
        <v>0</v>
      </c>
      <c r="N53" s="12"/>
    </row>
    <row r="54" spans="1:14" ht="15">
      <c r="A54" s="88"/>
      <c r="B54" s="24" t="s">
        <v>928</v>
      </c>
      <c r="C54" s="36">
        <f>IF('APPVII PG3'!W43&gt;=0,0,'APPVII PG3'!W43)*-1</f>
        <v>0</v>
      </c>
      <c r="D54" s="36"/>
      <c r="E54" s="36">
        <f>IF('APPVII PG3'!W43&lt;=0,0,'APPVII PG3'!W43)</f>
        <v>533847.169999999</v>
      </c>
      <c r="F54" s="36"/>
      <c r="G54" s="36">
        <f>IF('APPVII PG3'!W50&gt;=0,0,'APPVII PG3'!W50)*-1</f>
        <v>0</v>
      </c>
      <c r="H54" s="36"/>
      <c r="I54" s="36">
        <f>IF('APPVII PG3'!W50&lt;=0,0,'APPVII PG3'!W50)</f>
        <v>548788.9300000006</v>
      </c>
      <c r="J54" s="46"/>
      <c r="K54" s="36">
        <f>IF('APPVII PG3'!W57&gt;=0,0,'APPVII PG3'!W57)*-1</f>
        <v>14941.760000000668</v>
      </c>
      <c r="L54" s="36"/>
      <c r="M54" s="36">
        <f>IF('APPVII PG3'!W57&lt;=0,0,'APPVII PG3'!W57)</f>
        <v>0</v>
      </c>
      <c r="N54" s="12"/>
    </row>
    <row r="55" spans="1:14" ht="15">
      <c r="A55" s="88"/>
      <c r="B55" s="24" t="s">
        <v>929</v>
      </c>
      <c r="C55" s="36">
        <f>IF('APPVII PG3'!W44&gt;=0,0,'APPVII PG3'!W44)*-1</f>
        <v>0</v>
      </c>
      <c r="D55" s="36"/>
      <c r="E55" s="36">
        <f>IF('APPVII PG3'!W44&lt;=0,0,'APPVII PG3'!W44)</f>
        <v>1119252.83</v>
      </c>
      <c r="F55" s="36"/>
      <c r="G55" s="36">
        <f>IF('APPVII PG3'!W51&gt;=0,0,'APPVII PG3'!W51)*-1</f>
        <v>0</v>
      </c>
      <c r="H55" s="36"/>
      <c r="I55" s="36">
        <f>IF('APPVII PG3'!W51&lt;=0,0,'APPVII PG3'!W51)</f>
        <v>1150764.7399999993</v>
      </c>
      <c r="J55" s="46"/>
      <c r="K55" s="36">
        <f>IF('APPVII PG3'!W58&gt;=0,0,'APPVII PG3'!W58)*-1</f>
        <v>31511.90999999961</v>
      </c>
      <c r="L55" s="36"/>
      <c r="M55" s="36">
        <f>IF('APPVII PG3'!W58&lt;=0,0,'APPVII PG3'!W58)</f>
        <v>0</v>
      </c>
      <c r="N55" s="12"/>
    </row>
    <row r="56" spans="1:14" ht="15">
      <c r="A56" s="88"/>
      <c r="B56" s="24" t="s">
        <v>1754</v>
      </c>
      <c r="C56" s="36">
        <f>IF('APPVII PG3'!W45&gt;=0,0,'APPVII PG3'!W45)*-1</f>
        <v>0</v>
      </c>
      <c r="D56" s="36"/>
      <c r="E56" s="36">
        <f>IF('APPVII PG3'!W45&lt;=0,0,'APPVII PG3'!W45)</f>
        <v>0</v>
      </c>
      <c r="F56" s="36"/>
      <c r="G56" s="36">
        <f>IF('APPVII PG3'!W52&gt;=0,0,'APPVII PG3'!W52)*-1</f>
        <v>0</v>
      </c>
      <c r="H56" s="36"/>
      <c r="I56" s="36">
        <f>IF('APPVII PG3'!W52&lt;=0,0,'APPVII PG3'!W52)</f>
        <v>0</v>
      </c>
      <c r="J56" s="46"/>
      <c r="K56" s="36">
        <f>IF('APPVII PG3'!W59&gt;=0,0,'APPVII PG3'!W59)*-1</f>
        <v>0</v>
      </c>
      <c r="L56" s="36"/>
      <c r="M56" s="36">
        <f>IF('APPVII PG3'!W59&lt;=0,0,'APPVII PG3'!W59)</f>
        <v>0</v>
      </c>
      <c r="N56" s="12"/>
    </row>
    <row r="57" spans="1:13" ht="15">
      <c r="A57" s="88"/>
      <c r="B57" s="24" t="s">
        <v>161</v>
      </c>
      <c r="C57" s="37">
        <f>IF(SUM(E52:E56)&lt;=0,0,SUM(E52:E56))</f>
        <v>2621012.9299999983</v>
      </c>
      <c r="D57" s="36"/>
      <c r="E57" s="37">
        <f>IF(SUM(C52:C56)&lt;=0,0,SUM(C52:C56))</f>
        <v>0</v>
      </c>
      <c r="F57" s="36"/>
      <c r="G57" s="37">
        <f>IF(SUM(I52:I56)&lt;=0,0,SUM(I52:I56))</f>
        <v>2694562.119999999</v>
      </c>
      <c r="H57" s="36"/>
      <c r="I57" s="37">
        <f>IF(SUM(G52:G56)&lt;=0,0,SUM(G52:G56))</f>
        <v>0</v>
      </c>
      <c r="J57" s="46"/>
      <c r="K57" s="37">
        <f>IF(SUM(M52:M56)&lt;=0,0,SUM(M52:M56))</f>
        <v>0</v>
      </c>
      <c r="L57" s="36"/>
      <c r="M57" s="37">
        <f>IF(SUM(K52:K56)&lt;=0,0,SUM(K52:K56))</f>
        <v>73549.18999999977</v>
      </c>
    </row>
    <row r="58" spans="1:15" ht="15">
      <c r="A58" s="88"/>
      <c r="B58" s="24" t="s">
        <v>543</v>
      </c>
      <c r="C58" s="36">
        <f>SUM(C52:C57)</f>
        <v>2621012.9299999983</v>
      </c>
      <c r="D58" s="36"/>
      <c r="E58" s="36">
        <f>SUM(E52:E57)</f>
        <v>2621012.9299999983</v>
      </c>
      <c r="F58" s="36"/>
      <c r="G58" s="36">
        <f>SUM(G52:G57)</f>
        <v>2694562.119999999</v>
      </c>
      <c r="H58" s="36"/>
      <c r="I58" s="36">
        <f>SUM(I52:I57)</f>
        <v>2694562.119999999</v>
      </c>
      <c r="K58" s="36">
        <f>SUM(K52:K57)</f>
        <v>73549.18999999977</v>
      </c>
      <c r="L58" s="36"/>
      <c r="M58" s="36">
        <f>SUM(M52:M57)</f>
        <v>73549.18999999977</v>
      </c>
      <c r="N58" s="442" t="s">
        <v>936</v>
      </c>
      <c r="O58" s="34">
        <f>ABS(C58-G58)</f>
        <v>73549.19000000088</v>
      </c>
    </row>
    <row r="59" spans="1:13" ht="15">
      <c r="A59" s="88"/>
      <c r="C59" s="36"/>
      <c r="D59" s="36"/>
      <c r="E59" s="36"/>
      <c r="F59" s="36"/>
      <c r="G59" s="36"/>
      <c r="H59" s="36"/>
      <c r="I59" s="36"/>
      <c r="K59" s="36"/>
      <c r="L59" s="36"/>
      <c r="M59" s="36"/>
    </row>
    <row r="60" spans="1:15" ht="15">
      <c r="A60" s="87" t="s">
        <v>1593</v>
      </c>
      <c r="B60" s="24" t="s">
        <v>926</v>
      </c>
      <c r="C60" s="91">
        <f aca="true" t="shared" si="0" ref="C60:C65">+C12+C20+C28+C36+C44+C52</f>
        <v>1951597.9600000002</v>
      </c>
      <c r="D60" s="34"/>
      <c r="E60" s="34">
        <f aca="true" t="shared" si="1" ref="E60:E65">+E12+E20+E28+E36+E44+E52</f>
        <v>3522193.9299999992</v>
      </c>
      <c r="F60" s="34"/>
      <c r="G60" s="91">
        <f>+G12+G20+G28+G36+G44+G52</f>
        <v>1948775.7600000002</v>
      </c>
      <c r="H60" s="34"/>
      <c r="I60" s="91">
        <f>+I12+I20+I28+I36+I44+I52</f>
        <v>3582130.0299999993</v>
      </c>
      <c r="K60" s="91">
        <f aca="true" t="shared" si="2" ref="K60:K65">+K12+K20+K28+K36+K44+K52</f>
        <v>62758.29999999956</v>
      </c>
      <c r="L60" s="34"/>
      <c r="M60" s="91">
        <f aca="true" t="shared" si="3" ref="M60:M65">+M12+M20+M28+M36+M44+M52</f>
        <v>0</v>
      </c>
      <c r="N60" s="12"/>
      <c r="O60" s="12"/>
    </row>
    <row r="61" spans="1:15" ht="15">
      <c r="A61" s="87" t="s">
        <v>1598</v>
      </c>
      <c r="B61" s="24" t="s">
        <v>927</v>
      </c>
      <c r="C61" s="91">
        <f t="shared" si="0"/>
        <v>409823.37</v>
      </c>
      <c r="D61" s="34"/>
      <c r="E61" s="34">
        <f t="shared" si="1"/>
        <v>739633.11</v>
      </c>
      <c r="F61" s="34"/>
      <c r="G61" s="91">
        <f aca="true" t="shared" si="4" ref="G61:I65">+G13+G21+G29+G37+G45+G53</f>
        <v>409230.46</v>
      </c>
      <c r="H61" s="34"/>
      <c r="I61" s="91">
        <f t="shared" si="4"/>
        <v>752220.2300000001</v>
      </c>
      <c r="K61" s="91">
        <f t="shared" si="2"/>
        <v>13180.030000000135</v>
      </c>
      <c r="L61" s="34"/>
      <c r="M61" s="91">
        <f t="shared" si="3"/>
        <v>0</v>
      </c>
      <c r="N61" s="12"/>
      <c r="O61" s="12"/>
    </row>
    <row r="62" spans="1:15" ht="15">
      <c r="A62" s="87" t="s">
        <v>1791</v>
      </c>
      <c r="B62" s="24" t="s">
        <v>928</v>
      </c>
      <c r="C62" s="91">
        <f t="shared" si="0"/>
        <v>1302429.8900000001</v>
      </c>
      <c r="D62" s="34"/>
      <c r="E62" s="34">
        <f t="shared" si="1"/>
        <v>2350590.129999999</v>
      </c>
      <c r="F62" s="34"/>
      <c r="G62" s="91">
        <f t="shared" si="4"/>
        <v>1300545.76</v>
      </c>
      <c r="H62" s="34"/>
      <c r="I62" s="91">
        <f t="shared" si="4"/>
        <v>2390586.7800000007</v>
      </c>
      <c r="K62" s="91">
        <f t="shared" si="2"/>
        <v>41880.78000000085</v>
      </c>
      <c r="L62" s="34"/>
      <c r="M62" s="91">
        <f t="shared" si="3"/>
        <v>0</v>
      </c>
      <c r="N62" s="12"/>
      <c r="O62" s="12"/>
    </row>
    <row r="63" spans="1:15" ht="15">
      <c r="A63" s="87" t="s">
        <v>1599</v>
      </c>
      <c r="B63" s="24" t="s">
        <v>929</v>
      </c>
      <c r="C63" s="91">
        <f t="shared" si="0"/>
        <v>2730639.64</v>
      </c>
      <c r="D63" s="34"/>
      <c r="E63" s="34">
        <f t="shared" si="1"/>
        <v>4928189.03</v>
      </c>
      <c r="F63" s="34"/>
      <c r="G63" s="91">
        <f t="shared" si="4"/>
        <v>2726691.03</v>
      </c>
      <c r="H63" s="34"/>
      <c r="I63" s="91">
        <f t="shared" si="4"/>
        <v>5012235.829999999</v>
      </c>
      <c r="K63" s="91">
        <f t="shared" si="2"/>
        <v>87995.40999999952</v>
      </c>
      <c r="L63" s="34"/>
      <c r="M63" s="91">
        <f t="shared" si="3"/>
        <v>0</v>
      </c>
      <c r="N63" s="12"/>
      <c r="O63" s="12"/>
    </row>
    <row r="64" spans="1:15" ht="15">
      <c r="A64" s="87" t="s">
        <v>788</v>
      </c>
      <c r="B64" s="24" t="s">
        <v>1754</v>
      </c>
      <c r="C64" s="91">
        <f t="shared" si="0"/>
        <v>0</v>
      </c>
      <c r="D64" s="34"/>
      <c r="E64" s="34">
        <f t="shared" si="1"/>
        <v>0</v>
      </c>
      <c r="F64" s="34"/>
      <c r="G64" s="91">
        <f t="shared" si="4"/>
        <v>0</v>
      </c>
      <c r="H64" s="34"/>
      <c r="I64" s="91">
        <f t="shared" si="4"/>
        <v>0</v>
      </c>
      <c r="K64" s="91">
        <f t="shared" si="2"/>
        <v>0</v>
      </c>
      <c r="L64" s="34"/>
      <c r="M64" s="91">
        <f t="shared" si="3"/>
        <v>0</v>
      </c>
      <c r="N64" s="12"/>
      <c r="O64" s="12"/>
    </row>
    <row r="65" spans="1:15" ht="15">
      <c r="A65" s="87" t="s">
        <v>787</v>
      </c>
      <c r="B65" s="24" t="s">
        <v>161</v>
      </c>
      <c r="C65" s="39">
        <f t="shared" si="0"/>
        <v>11540606.199999997</v>
      </c>
      <c r="D65" s="34"/>
      <c r="E65" s="39">
        <f t="shared" si="1"/>
        <v>6394490.86</v>
      </c>
      <c r="F65" s="34"/>
      <c r="G65" s="39">
        <f t="shared" si="4"/>
        <v>11737172.87</v>
      </c>
      <c r="H65" s="34"/>
      <c r="I65" s="39">
        <f t="shared" si="4"/>
        <v>6385243.01</v>
      </c>
      <c r="K65" s="39">
        <f t="shared" si="2"/>
        <v>0</v>
      </c>
      <c r="L65" s="34"/>
      <c r="M65" s="39">
        <f t="shared" si="3"/>
        <v>205814.52000000008</v>
      </c>
      <c r="N65" s="12"/>
      <c r="O65" s="12"/>
    </row>
    <row r="66" spans="1:17" ht="15">
      <c r="A66" s="32"/>
      <c r="B66" s="24" t="s">
        <v>543</v>
      </c>
      <c r="C66" s="34">
        <f>SUM(C60:C65)</f>
        <v>17935097.06</v>
      </c>
      <c r="D66" s="34"/>
      <c r="E66" s="34">
        <f>SUM(E60:E65)</f>
        <v>17935097.06</v>
      </c>
      <c r="F66" s="34"/>
      <c r="G66" s="34">
        <f>SUM(G60:G65)</f>
        <v>18122415.88</v>
      </c>
      <c r="H66" s="34"/>
      <c r="I66" s="34">
        <f>SUM(I60:I65)</f>
        <v>18122415.880000003</v>
      </c>
      <c r="K66" s="34">
        <f>SUM(K60:K65)</f>
        <v>205814.52000000008</v>
      </c>
      <c r="L66" s="34"/>
      <c r="M66" s="34">
        <f>SUM(M60:M65)</f>
        <v>205814.52000000008</v>
      </c>
      <c r="N66" s="442"/>
      <c r="O66" s="34"/>
      <c r="P66" s="34"/>
      <c r="Q66" s="34"/>
    </row>
    <row r="67" spans="1:13" ht="15">
      <c r="A67" s="32"/>
      <c r="C67" s="34"/>
      <c r="D67" s="34"/>
      <c r="E67" s="34"/>
      <c r="F67" s="34"/>
      <c r="G67" s="34"/>
      <c r="H67" s="34"/>
      <c r="I67" s="34"/>
      <c r="M67" s="34"/>
    </row>
    <row r="68" ht="15">
      <c r="A68" s="24" t="s">
        <v>1690</v>
      </c>
    </row>
    <row r="69" ht="15">
      <c r="A69" s="77" t="s">
        <v>1783</v>
      </c>
    </row>
    <row r="70" spans="1:5" ht="15">
      <c r="A70" s="77" t="s">
        <v>1051</v>
      </c>
      <c r="E70" s="26" t="str">
        <f>+INPUT!C1</f>
        <v>February 2012</v>
      </c>
    </row>
    <row r="71" spans="1:5" ht="15">
      <c r="A71" s="77" t="s">
        <v>1617</v>
      </c>
      <c r="D71" s="26"/>
      <c r="E71" s="26" t="str">
        <f>+INPUT!C1</f>
        <v>February 2012</v>
      </c>
    </row>
  </sheetData>
  <sheetProtection/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6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1.140625" style="0" customWidth="1"/>
    <col min="2" max="2" width="27.57421875" style="0" customWidth="1"/>
    <col min="3" max="3" width="15.7109375" style="0" customWidth="1"/>
    <col min="4" max="4" width="16.140625" style="0" bestFit="1" customWidth="1"/>
    <col min="5" max="5" width="16.8515625" style="0" customWidth="1"/>
    <col min="6" max="6" width="4.421875" style="0" customWidth="1"/>
    <col min="7" max="7" width="15.8515625" style="0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217" t="s">
        <v>1294</v>
      </c>
      <c r="B1" s="311" t="str">
        <f>INPUT!C1</f>
        <v>February 2012</v>
      </c>
      <c r="C1" s="143"/>
      <c r="D1" s="143"/>
      <c r="E1" s="143"/>
      <c r="F1" s="143"/>
      <c r="G1" s="142" t="s">
        <v>752</v>
      </c>
    </row>
    <row r="2" spans="1:7" ht="12.75">
      <c r="A2" s="143"/>
      <c r="B2" s="143"/>
      <c r="C2" s="143"/>
      <c r="D2" s="143"/>
      <c r="E2" s="143"/>
      <c r="F2" s="143"/>
      <c r="G2" s="142" t="s">
        <v>875</v>
      </c>
    </row>
    <row r="3" spans="1:4" ht="20.25">
      <c r="A3" s="627" t="s">
        <v>1291</v>
      </c>
      <c r="B3" s="423"/>
      <c r="C3" s="423"/>
      <c r="D3" s="423"/>
    </row>
    <row r="4" ht="20.25">
      <c r="A4" s="627" t="s">
        <v>591</v>
      </c>
    </row>
    <row r="6" spans="1:9" ht="12.75">
      <c r="A6" s="141"/>
      <c r="B6" s="141"/>
      <c r="C6" s="312" t="s">
        <v>1637</v>
      </c>
      <c r="D6" s="312" t="s">
        <v>1638</v>
      </c>
      <c r="E6" s="312" t="s">
        <v>1279</v>
      </c>
      <c r="F6" s="312"/>
      <c r="G6" s="312" t="s">
        <v>1640</v>
      </c>
      <c r="H6" s="218"/>
      <c r="I6" s="312" t="s">
        <v>526</v>
      </c>
    </row>
    <row r="7" spans="1:10" ht="12.75">
      <c r="A7" s="134" t="s">
        <v>1636</v>
      </c>
      <c r="B7" s="134" t="s">
        <v>747</v>
      </c>
      <c r="C7" s="313" t="s">
        <v>1639</v>
      </c>
      <c r="D7" s="313" t="s">
        <v>1639</v>
      </c>
      <c r="E7" s="313" t="s">
        <v>1639</v>
      </c>
      <c r="F7" s="313"/>
      <c r="G7" s="313" t="s">
        <v>1641</v>
      </c>
      <c r="H7" s="313" t="s">
        <v>369</v>
      </c>
      <c r="I7" s="313" t="s">
        <v>527</v>
      </c>
      <c r="J7" s="313" t="s">
        <v>528</v>
      </c>
    </row>
    <row r="9" ht="15.75">
      <c r="A9" s="351" t="s">
        <v>372</v>
      </c>
    </row>
    <row r="10" spans="2:10" s="218" customFormat="1" ht="12.75">
      <c r="B10" s="271"/>
      <c r="C10" s="365"/>
      <c r="D10" s="365"/>
      <c r="E10" s="365"/>
      <c r="F10" s="221"/>
      <c r="G10" s="365"/>
      <c r="H10" s="218" t="s">
        <v>761</v>
      </c>
      <c r="I10" s="218" t="s">
        <v>530</v>
      </c>
      <c r="J10" s="218" t="s">
        <v>529</v>
      </c>
    </row>
    <row r="11" spans="2:10" s="218" customFormat="1" ht="12.75">
      <c r="B11" s="271"/>
      <c r="C11" s="365"/>
      <c r="D11" s="365"/>
      <c r="E11" s="365"/>
      <c r="F11" s="221"/>
      <c r="G11" s="365"/>
      <c r="H11" s="218" t="s">
        <v>1859</v>
      </c>
      <c r="I11" s="218" t="s">
        <v>530</v>
      </c>
      <c r="J11" s="218" t="s">
        <v>529</v>
      </c>
    </row>
    <row r="12" spans="2:10" s="218" customFormat="1" ht="12.75">
      <c r="B12" s="271"/>
      <c r="C12" s="365"/>
      <c r="D12" s="365"/>
      <c r="E12" s="365"/>
      <c r="F12" s="221"/>
      <c r="G12" s="365"/>
      <c r="H12" s="218" t="s">
        <v>769</v>
      </c>
      <c r="I12" s="218" t="s">
        <v>530</v>
      </c>
      <c r="J12" s="218" t="s">
        <v>531</v>
      </c>
    </row>
    <row r="13" spans="2:10" s="218" customFormat="1" ht="12.75">
      <c r="B13" s="271"/>
      <c r="C13" s="365"/>
      <c r="D13" s="365"/>
      <c r="E13" s="365"/>
      <c r="F13" s="221"/>
      <c r="G13" s="365"/>
      <c r="H13" s="218" t="s">
        <v>1157</v>
      </c>
      <c r="I13" s="218" t="s">
        <v>530</v>
      </c>
      <c r="J13" s="218" t="s">
        <v>531</v>
      </c>
    </row>
    <row r="14" spans="1:10" s="218" customFormat="1" ht="12.75">
      <c r="A14" s="614"/>
      <c r="B14" s="271"/>
      <c r="C14" s="365"/>
      <c r="D14" s="365"/>
      <c r="E14" s="365"/>
      <c r="F14" s="221"/>
      <c r="G14" s="365"/>
      <c r="H14" s="218" t="s">
        <v>769</v>
      </c>
      <c r="I14" s="218" t="s">
        <v>530</v>
      </c>
      <c r="J14" s="218" t="s">
        <v>531</v>
      </c>
    </row>
    <row r="15" spans="2:10" s="218" customFormat="1" ht="12.75">
      <c r="B15" s="271"/>
      <c r="C15" s="365"/>
      <c r="D15" s="365"/>
      <c r="E15" s="365"/>
      <c r="F15" s="221"/>
      <c r="G15" s="365"/>
      <c r="H15" s="218" t="s">
        <v>1158</v>
      </c>
      <c r="I15" s="218" t="s">
        <v>530</v>
      </c>
      <c r="J15" s="218" t="s">
        <v>529</v>
      </c>
    </row>
    <row r="16" spans="2:10" s="218" customFormat="1" ht="12.75">
      <c r="B16" s="271"/>
      <c r="C16" s="365"/>
      <c r="D16" s="365"/>
      <c r="E16" s="365"/>
      <c r="F16" s="365"/>
      <c r="G16" s="365"/>
      <c r="H16" s="218" t="s">
        <v>1159</v>
      </c>
      <c r="I16" s="218" t="s">
        <v>530</v>
      </c>
      <c r="J16" s="218" t="s">
        <v>531</v>
      </c>
    </row>
    <row r="17" spans="2:10" s="218" customFormat="1" ht="12.75">
      <c r="B17" s="271"/>
      <c r="C17" s="365"/>
      <c r="D17" s="365"/>
      <c r="E17" s="365"/>
      <c r="F17" s="365"/>
      <c r="G17" s="365"/>
      <c r="I17" s="218" t="s">
        <v>2044</v>
      </c>
      <c r="J17" s="218" t="s">
        <v>2045</v>
      </c>
    </row>
    <row r="18" spans="2:9" s="218" customFormat="1" ht="12.75">
      <c r="B18" s="271"/>
      <c r="C18" s="365"/>
      <c r="D18" s="365"/>
      <c r="E18" s="365"/>
      <c r="F18" s="365"/>
      <c r="G18" s="365"/>
      <c r="H18" s="218" t="s">
        <v>1159</v>
      </c>
      <c r="I18" s="218" t="s">
        <v>1160</v>
      </c>
    </row>
    <row r="19" spans="2:9" s="218" customFormat="1" ht="12.75">
      <c r="B19" s="271"/>
      <c r="C19" s="365"/>
      <c r="D19" s="365"/>
      <c r="E19" s="365"/>
      <c r="F19" s="365"/>
      <c r="G19" s="365"/>
      <c r="I19" s="218" t="s">
        <v>1161</v>
      </c>
    </row>
    <row r="20" spans="2:10" s="218" customFormat="1" ht="12.75">
      <c r="B20" s="271"/>
      <c r="C20" s="365"/>
      <c r="D20" s="365"/>
      <c r="E20" s="734"/>
      <c r="F20" s="365"/>
      <c r="G20" s="365"/>
      <c r="H20" s="218" t="s">
        <v>1162</v>
      </c>
      <c r="I20" s="218" t="s">
        <v>1163</v>
      </c>
      <c r="J20" s="218" t="s">
        <v>165</v>
      </c>
    </row>
    <row r="21" spans="2:10" s="218" customFormat="1" ht="12.75">
      <c r="B21" s="271"/>
      <c r="C21" s="365"/>
      <c r="D21" s="365"/>
      <c r="E21" s="365"/>
      <c r="F21" s="365"/>
      <c r="G21" s="365"/>
      <c r="H21" s="218" t="s">
        <v>520</v>
      </c>
      <c r="I21" s="218" t="s">
        <v>166</v>
      </c>
      <c r="J21" s="218" t="s">
        <v>2047</v>
      </c>
    </row>
    <row r="22" spans="2:10" s="218" customFormat="1" ht="12.75">
      <c r="B22" s="271"/>
      <c r="C22" s="365"/>
      <c r="D22" s="365"/>
      <c r="E22" s="365"/>
      <c r="F22" s="365"/>
      <c r="G22" s="365"/>
      <c r="H22" s="218" t="s">
        <v>520</v>
      </c>
      <c r="I22" s="218" t="s">
        <v>166</v>
      </c>
      <c r="J22" s="218" t="s">
        <v>167</v>
      </c>
    </row>
    <row r="23" spans="2:9" s="218" customFormat="1" ht="12.75">
      <c r="B23" s="271"/>
      <c r="C23" s="365"/>
      <c r="D23" s="365"/>
      <c r="E23" s="365"/>
      <c r="F23" s="365"/>
      <c r="G23" s="365"/>
      <c r="I23" s="218" t="s">
        <v>166</v>
      </c>
    </row>
    <row r="24" spans="2:10" s="218" customFormat="1" ht="12.75">
      <c r="B24" s="271"/>
      <c r="C24" s="365"/>
      <c r="D24" s="365"/>
      <c r="E24" s="365"/>
      <c r="F24" s="365"/>
      <c r="G24" s="365"/>
      <c r="H24" s="218" t="s">
        <v>520</v>
      </c>
      <c r="I24" s="218" t="s">
        <v>168</v>
      </c>
      <c r="J24" s="218" t="s">
        <v>2048</v>
      </c>
    </row>
    <row r="25" spans="2:10" s="218" customFormat="1" ht="12.75">
      <c r="B25" s="271"/>
      <c r="C25" s="365"/>
      <c r="D25" s="365"/>
      <c r="E25" s="365"/>
      <c r="F25" s="365"/>
      <c r="G25" s="365"/>
      <c r="H25" s="218" t="s">
        <v>520</v>
      </c>
      <c r="I25" s="218" t="s">
        <v>168</v>
      </c>
      <c r="J25" s="218" t="s">
        <v>2048</v>
      </c>
    </row>
    <row r="26" spans="2:10" s="218" customFormat="1" ht="12.75">
      <c r="B26" s="271"/>
      <c r="C26" s="365"/>
      <c r="D26" s="365"/>
      <c r="E26" s="365"/>
      <c r="F26" s="365"/>
      <c r="G26" s="365"/>
      <c r="H26" s="218" t="s">
        <v>520</v>
      </c>
      <c r="I26" s="218" t="s">
        <v>168</v>
      </c>
      <c r="J26" s="218" t="s">
        <v>2048</v>
      </c>
    </row>
    <row r="27" spans="2:10" s="218" customFormat="1" ht="12.75">
      <c r="B27" s="271"/>
      <c r="C27" s="365"/>
      <c r="D27" s="365"/>
      <c r="E27" s="365"/>
      <c r="F27" s="365"/>
      <c r="G27" s="365"/>
      <c r="H27" s="218" t="s">
        <v>520</v>
      </c>
      <c r="I27" s="218" t="s">
        <v>168</v>
      </c>
      <c r="J27" s="218" t="s">
        <v>2048</v>
      </c>
    </row>
    <row r="28" spans="2:10" s="218" customFormat="1" ht="12.75">
      <c r="B28" s="271"/>
      <c r="C28" s="365"/>
      <c r="D28" s="365"/>
      <c r="E28" s="365"/>
      <c r="F28" s="365"/>
      <c r="G28" s="365"/>
      <c r="H28" s="218" t="s">
        <v>520</v>
      </c>
      <c r="I28" s="218" t="s">
        <v>168</v>
      </c>
      <c r="J28" s="218" t="s">
        <v>2048</v>
      </c>
    </row>
    <row r="29" spans="2:12" s="218" customFormat="1" ht="14.25" customHeight="1">
      <c r="B29" s="271"/>
      <c r="C29" s="365"/>
      <c r="D29" s="365"/>
      <c r="E29" s="365"/>
      <c r="F29" s="365"/>
      <c r="G29" s="365"/>
      <c r="H29" s="218" t="s">
        <v>520</v>
      </c>
      <c r="I29" s="218" t="s">
        <v>166</v>
      </c>
      <c r="J29" s="218" t="s">
        <v>2048</v>
      </c>
      <c r="K29" s="365"/>
      <c r="L29" s="221"/>
    </row>
    <row r="30" spans="2:10" s="218" customFormat="1" ht="12.75">
      <c r="B30" s="271"/>
      <c r="C30" s="365"/>
      <c r="D30" s="365"/>
      <c r="E30" s="365"/>
      <c r="F30" s="365"/>
      <c r="G30" s="365"/>
      <c r="H30" s="218" t="s">
        <v>520</v>
      </c>
      <c r="I30" s="218" t="s">
        <v>168</v>
      </c>
      <c r="J30" s="218" t="s">
        <v>2048</v>
      </c>
    </row>
    <row r="31" spans="2:10" s="218" customFormat="1" ht="12.75">
      <c r="B31" s="271"/>
      <c r="C31" s="365"/>
      <c r="D31" s="365"/>
      <c r="E31" s="365"/>
      <c r="F31" s="365"/>
      <c r="G31" s="365"/>
      <c r="H31" s="218" t="s">
        <v>520</v>
      </c>
      <c r="I31" s="218" t="s">
        <v>168</v>
      </c>
      <c r="J31" s="218" t="s">
        <v>2048</v>
      </c>
    </row>
    <row r="32" spans="2:10" s="218" customFormat="1" ht="12.75">
      <c r="B32" s="271"/>
      <c r="C32" s="365"/>
      <c r="D32" s="365"/>
      <c r="E32" s="365"/>
      <c r="F32" s="365"/>
      <c r="G32" s="365"/>
      <c r="H32" s="218" t="s">
        <v>520</v>
      </c>
      <c r="I32" s="218" t="s">
        <v>169</v>
      </c>
      <c r="J32" s="218" t="s">
        <v>2048</v>
      </c>
    </row>
    <row r="33" spans="2:10" s="218" customFormat="1" ht="12.75">
      <c r="B33" s="271"/>
      <c r="C33" s="365"/>
      <c r="D33" s="365"/>
      <c r="E33" s="365"/>
      <c r="F33" s="365"/>
      <c r="G33" s="365"/>
      <c r="I33" s="218" t="s">
        <v>334</v>
      </c>
      <c r="J33" s="218" t="s">
        <v>335</v>
      </c>
    </row>
    <row r="34" spans="2:7" s="218" customFormat="1" ht="12.75">
      <c r="B34" s="271"/>
      <c r="C34" s="365"/>
      <c r="D34" s="365"/>
      <c r="E34" s="365"/>
      <c r="F34" s="365"/>
      <c r="G34" s="365"/>
    </row>
    <row r="35" spans="2:10" s="218" customFormat="1" ht="12.75">
      <c r="B35" s="271"/>
      <c r="C35" s="365"/>
      <c r="D35" s="365"/>
      <c r="E35" s="365"/>
      <c r="F35" s="365"/>
      <c r="G35" s="365"/>
      <c r="H35" s="218" t="s">
        <v>336</v>
      </c>
      <c r="I35" s="218" t="s">
        <v>2046</v>
      </c>
      <c r="J35" s="218" t="s">
        <v>335</v>
      </c>
    </row>
    <row r="36" spans="2:10" s="218" customFormat="1" ht="12.75">
      <c r="B36" s="271"/>
      <c r="C36" s="365"/>
      <c r="D36" s="365"/>
      <c r="E36" s="365"/>
      <c r="F36" s="365"/>
      <c r="G36" s="365"/>
      <c r="H36" s="218" t="s">
        <v>337</v>
      </c>
      <c r="I36" s="218" t="s">
        <v>2046</v>
      </c>
      <c r="J36" s="218" t="s">
        <v>335</v>
      </c>
    </row>
    <row r="37" spans="2:10" s="218" customFormat="1" ht="12.75">
      <c r="B37" s="271"/>
      <c r="C37" s="365"/>
      <c r="D37" s="365"/>
      <c r="E37" s="365"/>
      <c r="F37" s="365"/>
      <c r="G37" s="365"/>
      <c r="I37" s="218" t="s">
        <v>338</v>
      </c>
      <c r="J37" s="218" t="s">
        <v>339</v>
      </c>
    </row>
    <row r="38" spans="2:7" s="218" customFormat="1" ht="12.75">
      <c r="B38" s="271"/>
      <c r="C38" s="365"/>
      <c r="D38" s="365"/>
      <c r="E38" s="365"/>
      <c r="F38" s="365"/>
      <c r="G38" s="365"/>
    </row>
    <row r="39" spans="2:7" s="218" customFormat="1" ht="12.75">
      <c r="B39" s="271"/>
      <c r="C39" s="365"/>
      <c r="D39" s="365"/>
      <c r="E39" s="365"/>
      <c r="F39" s="365"/>
      <c r="G39" s="365"/>
    </row>
    <row r="40" spans="2:10" s="218" customFormat="1" ht="12.75">
      <c r="B40" s="314"/>
      <c r="C40" s="365"/>
      <c r="D40" s="365"/>
      <c r="E40" s="365"/>
      <c r="F40" s="365"/>
      <c r="G40" s="365"/>
      <c r="H40" s="218" t="s">
        <v>340</v>
      </c>
      <c r="I40" s="218" t="s">
        <v>530</v>
      </c>
      <c r="J40" s="218" t="s">
        <v>341</v>
      </c>
    </row>
    <row r="41" spans="2:10" s="218" customFormat="1" ht="12.75">
      <c r="B41" s="271"/>
      <c r="C41" s="365"/>
      <c r="D41" s="365"/>
      <c r="E41" s="365"/>
      <c r="F41" s="365"/>
      <c r="G41" s="365"/>
      <c r="H41" s="218" t="s">
        <v>340</v>
      </c>
      <c r="I41" s="218" t="s">
        <v>530</v>
      </c>
      <c r="J41" s="218" t="s">
        <v>341</v>
      </c>
    </row>
    <row r="42" spans="2:10" s="218" customFormat="1" ht="12.75">
      <c r="B42" s="314"/>
      <c r="C42" s="365"/>
      <c r="D42" s="365"/>
      <c r="E42" s="365"/>
      <c r="F42" s="365"/>
      <c r="G42" s="365"/>
      <c r="H42" s="218" t="s">
        <v>342</v>
      </c>
      <c r="I42" s="218" t="s">
        <v>530</v>
      </c>
      <c r="J42" s="218" t="s">
        <v>341</v>
      </c>
    </row>
    <row r="43" spans="2:10" s="218" customFormat="1" ht="12.75">
      <c r="B43" s="314"/>
      <c r="C43" s="365"/>
      <c r="D43" s="365"/>
      <c r="E43" s="365"/>
      <c r="F43" s="365"/>
      <c r="G43" s="365"/>
      <c r="I43" s="218" t="s">
        <v>530</v>
      </c>
      <c r="J43" s="218" t="s">
        <v>343</v>
      </c>
    </row>
    <row r="44" spans="2:10" s="218" customFormat="1" ht="12.75">
      <c r="B44" s="314"/>
      <c r="C44" s="365"/>
      <c r="D44" s="365"/>
      <c r="E44" s="365"/>
      <c r="F44" s="365"/>
      <c r="G44" s="365"/>
      <c r="I44" s="218" t="s">
        <v>344</v>
      </c>
      <c r="J44" s="218" t="s">
        <v>345</v>
      </c>
    </row>
    <row r="45" spans="2:10" s="218" customFormat="1" ht="12.75">
      <c r="B45" s="314"/>
      <c r="C45" s="365"/>
      <c r="D45" s="365"/>
      <c r="E45" s="365"/>
      <c r="F45" s="365"/>
      <c r="G45" s="365"/>
      <c r="I45" s="218" t="s">
        <v>530</v>
      </c>
      <c r="J45" s="218" t="s">
        <v>345</v>
      </c>
    </row>
    <row r="46" spans="2:7" s="218" customFormat="1" ht="12.75">
      <c r="B46" s="314"/>
      <c r="C46" s="365"/>
      <c r="D46" s="365"/>
      <c r="E46" s="365"/>
      <c r="F46" s="365"/>
      <c r="G46" s="365"/>
    </row>
    <row r="47" spans="2:10" s="218" customFormat="1" ht="12.75">
      <c r="B47" s="271"/>
      <c r="C47" s="365"/>
      <c r="D47" s="365"/>
      <c r="E47" s="365"/>
      <c r="F47" s="365"/>
      <c r="G47" s="365"/>
      <c r="I47" s="218" t="s">
        <v>530</v>
      </c>
      <c r="J47" s="218" t="s">
        <v>345</v>
      </c>
    </row>
    <row r="48" spans="2:10" s="218" customFormat="1" ht="12.75">
      <c r="B48" s="271"/>
      <c r="C48" s="365"/>
      <c r="D48" s="365"/>
      <c r="E48" s="365"/>
      <c r="F48" s="365"/>
      <c r="G48" s="365"/>
      <c r="I48" s="218" t="s">
        <v>530</v>
      </c>
      <c r="J48" s="218" t="s">
        <v>345</v>
      </c>
    </row>
    <row r="49" spans="2:10" s="218" customFormat="1" ht="12.75">
      <c r="B49" s="271"/>
      <c r="C49" s="365"/>
      <c r="D49" s="365"/>
      <c r="E49" s="365"/>
      <c r="F49" s="365"/>
      <c r="G49" s="365"/>
      <c r="I49" s="218" t="s">
        <v>530</v>
      </c>
      <c r="J49" s="218" t="s">
        <v>345</v>
      </c>
    </row>
    <row r="50" spans="2:10" s="218" customFormat="1" ht="12.75">
      <c r="B50" s="271"/>
      <c r="C50" s="365"/>
      <c r="D50" s="365"/>
      <c r="E50" s="365"/>
      <c r="F50" s="365"/>
      <c r="G50" s="365"/>
      <c r="I50" s="218" t="s">
        <v>530</v>
      </c>
      <c r="J50" s="218" t="s">
        <v>345</v>
      </c>
    </row>
    <row r="51" spans="2:7" s="218" customFormat="1" ht="12.75">
      <c r="B51" s="271"/>
      <c r="C51" s="365"/>
      <c r="D51" s="365"/>
      <c r="E51" s="365"/>
      <c r="F51" s="365"/>
      <c r="G51" s="365"/>
    </row>
    <row r="52" spans="2:7" s="218" customFormat="1" ht="12.75">
      <c r="B52" s="314"/>
      <c r="C52" s="365"/>
      <c r="D52" s="365"/>
      <c r="E52" s="365"/>
      <c r="F52" s="365"/>
      <c r="G52" s="365"/>
    </row>
    <row r="53" spans="2:10" s="218" customFormat="1" ht="12.75">
      <c r="B53" s="314"/>
      <c r="C53" s="365"/>
      <c r="D53" s="365"/>
      <c r="E53" s="365"/>
      <c r="F53" s="365"/>
      <c r="G53" s="365"/>
      <c r="H53" s="218" t="s">
        <v>346</v>
      </c>
      <c r="I53" s="218" t="s">
        <v>347</v>
      </c>
      <c r="J53" s="218" t="s">
        <v>350</v>
      </c>
    </row>
    <row r="54" spans="2:10" s="218" customFormat="1" ht="12.75">
      <c r="B54" s="271"/>
      <c r="C54" s="365"/>
      <c r="D54" s="365"/>
      <c r="E54" s="365"/>
      <c r="F54" s="365"/>
      <c r="G54" s="365"/>
      <c r="H54" s="218" t="s">
        <v>351</v>
      </c>
      <c r="I54" s="218" t="s">
        <v>2046</v>
      </c>
      <c r="J54" s="218" t="s">
        <v>352</v>
      </c>
    </row>
    <row r="55" spans="2:10" s="218" customFormat="1" ht="12.75">
      <c r="B55" s="271"/>
      <c r="C55" s="365"/>
      <c r="D55" s="365"/>
      <c r="E55" s="365"/>
      <c r="F55" s="365"/>
      <c r="G55" s="365"/>
      <c r="H55" s="218" t="s">
        <v>945</v>
      </c>
      <c r="I55" s="218" t="s">
        <v>347</v>
      </c>
      <c r="J55" s="218" t="s">
        <v>350</v>
      </c>
    </row>
    <row r="56" spans="2:10" s="218" customFormat="1" ht="12.75">
      <c r="B56" s="314"/>
      <c r="C56" s="365"/>
      <c r="D56" s="365"/>
      <c r="E56" s="365"/>
      <c r="F56" s="365"/>
      <c r="G56" s="365"/>
      <c r="H56" s="218" t="s">
        <v>946</v>
      </c>
      <c r="I56" s="218" t="s">
        <v>2046</v>
      </c>
      <c r="J56" s="218" t="s">
        <v>352</v>
      </c>
    </row>
    <row r="57" spans="2:10" s="218" customFormat="1" ht="12.75">
      <c r="B57" s="271"/>
      <c r="C57" s="365"/>
      <c r="D57" s="365"/>
      <c r="E57" s="365"/>
      <c r="F57" s="365"/>
      <c r="G57" s="365"/>
      <c r="H57" s="218" t="s">
        <v>947</v>
      </c>
      <c r="I57" s="218" t="s">
        <v>2046</v>
      </c>
      <c r="J57" s="218" t="s">
        <v>948</v>
      </c>
    </row>
    <row r="58" spans="2:10" s="218" customFormat="1" ht="12.75">
      <c r="B58" s="271"/>
      <c r="C58" s="365"/>
      <c r="D58" s="365"/>
      <c r="E58" s="365"/>
      <c r="F58" s="365"/>
      <c r="G58" s="365"/>
      <c r="H58" s="218" t="s">
        <v>949</v>
      </c>
      <c r="I58" s="218" t="s">
        <v>2046</v>
      </c>
      <c r="J58" s="218" t="s">
        <v>948</v>
      </c>
    </row>
    <row r="59" spans="2:10" s="218" customFormat="1" ht="12.75">
      <c r="B59" s="271"/>
      <c r="C59" s="365"/>
      <c r="D59" s="365"/>
      <c r="E59" s="365"/>
      <c r="F59" s="365"/>
      <c r="G59" s="365"/>
      <c r="H59" s="218" t="s">
        <v>950</v>
      </c>
      <c r="I59" s="218" t="s">
        <v>2046</v>
      </c>
      <c r="J59" s="218" t="s">
        <v>948</v>
      </c>
    </row>
    <row r="60" spans="2:10" s="218" customFormat="1" ht="12.75">
      <c r="B60" s="271"/>
      <c r="C60" s="365"/>
      <c r="D60" s="365"/>
      <c r="E60" s="365"/>
      <c r="F60" s="365"/>
      <c r="G60" s="365"/>
      <c r="H60" s="218" t="s">
        <v>951</v>
      </c>
      <c r="I60" s="218" t="s">
        <v>2046</v>
      </c>
      <c r="J60" s="218" t="s">
        <v>948</v>
      </c>
    </row>
    <row r="61" spans="2:10" s="218" customFormat="1" ht="12.75">
      <c r="B61" s="271"/>
      <c r="C61" s="365"/>
      <c r="D61" s="365"/>
      <c r="E61" s="365"/>
      <c r="F61" s="365"/>
      <c r="G61" s="365"/>
      <c r="H61" s="218" t="s">
        <v>950</v>
      </c>
      <c r="I61" s="218" t="s">
        <v>2046</v>
      </c>
      <c r="J61" s="218" t="s">
        <v>948</v>
      </c>
    </row>
    <row r="62" spans="2:10" s="218" customFormat="1" ht="12.75">
      <c r="B62" s="314"/>
      <c r="C62" s="365"/>
      <c r="D62" s="365"/>
      <c r="E62" s="365"/>
      <c r="F62" s="365"/>
      <c r="G62" s="365"/>
      <c r="H62" s="218" t="s">
        <v>950</v>
      </c>
      <c r="I62" s="218" t="s">
        <v>2046</v>
      </c>
      <c r="J62" s="218" t="s">
        <v>948</v>
      </c>
    </row>
    <row r="63" spans="2:10" s="218" customFormat="1" ht="12.75">
      <c r="B63" s="271"/>
      <c r="C63" s="365"/>
      <c r="D63" s="365"/>
      <c r="E63" s="365"/>
      <c r="F63" s="365"/>
      <c r="G63" s="365"/>
      <c r="H63" s="218" t="s">
        <v>950</v>
      </c>
      <c r="I63" s="218" t="s">
        <v>2046</v>
      </c>
      <c r="J63" s="218" t="s">
        <v>948</v>
      </c>
    </row>
    <row r="64" spans="2:10" s="218" customFormat="1" ht="12.75">
      <c r="B64" s="314"/>
      <c r="C64" s="365"/>
      <c r="D64" s="365"/>
      <c r="E64" s="365"/>
      <c r="F64" s="365"/>
      <c r="G64" s="365"/>
      <c r="H64" s="218" t="s">
        <v>950</v>
      </c>
      <c r="I64" s="218" t="s">
        <v>2046</v>
      </c>
      <c r="J64" s="218" t="s">
        <v>948</v>
      </c>
    </row>
    <row r="65" spans="2:10" s="218" customFormat="1" ht="12.75">
      <c r="B65" s="314"/>
      <c r="C65" s="365"/>
      <c r="D65" s="365"/>
      <c r="E65" s="365"/>
      <c r="F65" s="365"/>
      <c r="G65" s="365"/>
      <c r="H65" s="218" t="s">
        <v>950</v>
      </c>
      <c r="I65" s="218" t="s">
        <v>2046</v>
      </c>
      <c r="J65" s="218" t="s">
        <v>948</v>
      </c>
    </row>
    <row r="66" spans="2:10" s="218" customFormat="1" ht="12.75">
      <c r="B66" s="271"/>
      <c r="C66" s="365"/>
      <c r="D66" s="365"/>
      <c r="E66" s="365"/>
      <c r="F66" s="365"/>
      <c r="G66" s="365"/>
      <c r="H66" s="218" t="s">
        <v>952</v>
      </c>
      <c r="I66" s="218" t="s">
        <v>953</v>
      </c>
      <c r="J66" s="218" t="s">
        <v>954</v>
      </c>
    </row>
    <row r="67" spans="2:10" s="218" customFormat="1" ht="12.75">
      <c r="B67" s="271"/>
      <c r="C67" s="365"/>
      <c r="D67" s="365"/>
      <c r="E67" s="365"/>
      <c r="F67" s="365"/>
      <c r="G67" s="365"/>
      <c r="H67" s="218" t="s">
        <v>955</v>
      </c>
      <c r="I67" s="218" t="s">
        <v>2046</v>
      </c>
      <c r="J67" s="218" t="s">
        <v>948</v>
      </c>
    </row>
    <row r="68" spans="2:10" s="218" customFormat="1" ht="12.75">
      <c r="B68" s="314"/>
      <c r="C68" s="365"/>
      <c r="D68" s="365"/>
      <c r="E68" s="365"/>
      <c r="F68" s="365"/>
      <c r="G68" s="365"/>
      <c r="H68" s="218" t="s">
        <v>956</v>
      </c>
      <c r="I68" s="218" t="s">
        <v>2046</v>
      </c>
      <c r="J68" s="218" t="s">
        <v>948</v>
      </c>
    </row>
    <row r="69" spans="2:10" s="218" customFormat="1" ht="12.75">
      <c r="B69" s="271"/>
      <c r="C69" s="365"/>
      <c r="D69" s="365"/>
      <c r="E69" s="365"/>
      <c r="F69" s="365"/>
      <c r="G69" s="365"/>
      <c r="H69" s="218" t="s">
        <v>957</v>
      </c>
      <c r="I69" s="218" t="s">
        <v>1161</v>
      </c>
      <c r="J69" s="218" t="s">
        <v>958</v>
      </c>
    </row>
    <row r="70" spans="2:10" s="218" customFormat="1" ht="12.75">
      <c r="B70" s="314"/>
      <c r="C70" s="628"/>
      <c r="D70" s="365"/>
      <c r="E70" s="365"/>
      <c r="F70" s="365"/>
      <c r="G70" s="365"/>
      <c r="H70" s="218" t="s">
        <v>959</v>
      </c>
      <c r="I70" s="218" t="s">
        <v>2046</v>
      </c>
      <c r="J70" s="218" t="s">
        <v>948</v>
      </c>
    </row>
    <row r="71" spans="2:10" s="218" customFormat="1" ht="12.75">
      <c r="B71" s="314"/>
      <c r="C71" s="365"/>
      <c r="D71" s="365"/>
      <c r="E71" s="365"/>
      <c r="F71" s="365"/>
      <c r="G71" s="365"/>
      <c r="H71" s="218" t="s">
        <v>1631</v>
      </c>
      <c r="I71" s="218" t="s">
        <v>2046</v>
      </c>
      <c r="J71" s="218" t="s">
        <v>948</v>
      </c>
    </row>
    <row r="72" spans="2:10" s="218" customFormat="1" ht="12.75">
      <c r="B72" s="314"/>
      <c r="C72" s="365"/>
      <c r="D72" s="365"/>
      <c r="E72" s="365"/>
      <c r="F72" s="365"/>
      <c r="G72" s="365"/>
      <c r="H72" s="218" t="s">
        <v>960</v>
      </c>
      <c r="I72" s="218" t="s">
        <v>953</v>
      </c>
      <c r="J72" s="218" t="s">
        <v>954</v>
      </c>
    </row>
    <row r="73" spans="2:10" s="218" customFormat="1" ht="12.75">
      <c r="B73" s="314"/>
      <c r="C73" s="365"/>
      <c r="D73" s="365"/>
      <c r="E73" s="365"/>
      <c r="F73" s="365"/>
      <c r="G73" s="365"/>
      <c r="H73" s="218" t="s">
        <v>146</v>
      </c>
      <c r="I73" s="218" t="s">
        <v>2046</v>
      </c>
      <c r="J73" s="218" t="s">
        <v>352</v>
      </c>
    </row>
    <row r="74" spans="2:10" s="218" customFormat="1" ht="12.75">
      <c r="B74" s="314"/>
      <c r="C74" s="365"/>
      <c r="D74" s="365"/>
      <c r="E74" s="365"/>
      <c r="F74" s="365"/>
      <c r="G74" s="365"/>
      <c r="I74" s="218" t="s">
        <v>953</v>
      </c>
      <c r="J74" s="218" t="s">
        <v>147</v>
      </c>
    </row>
    <row r="75" spans="2:10" s="218" customFormat="1" ht="12.75">
      <c r="B75" s="314"/>
      <c r="C75" s="365"/>
      <c r="D75" s="365"/>
      <c r="E75" s="365"/>
      <c r="F75" s="365"/>
      <c r="G75" s="365"/>
      <c r="H75" s="218" t="s">
        <v>148</v>
      </c>
      <c r="I75" s="218" t="s">
        <v>2046</v>
      </c>
      <c r="J75" s="218" t="s">
        <v>352</v>
      </c>
    </row>
    <row r="76" spans="2:10" s="218" customFormat="1" ht="12.75">
      <c r="B76" s="314"/>
      <c r="C76" s="365"/>
      <c r="D76" s="365"/>
      <c r="E76" s="365"/>
      <c r="F76" s="365"/>
      <c r="G76" s="365"/>
      <c r="I76" s="218" t="s">
        <v>953</v>
      </c>
      <c r="J76" s="218" t="s">
        <v>147</v>
      </c>
    </row>
    <row r="77" spans="2:10" s="218" customFormat="1" ht="12.75">
      <c r="B77" s="314"/>
      <c r="C77" s="365"/>
      <c r="D77" s="365"/>
      <c r="E77" s="365"/>
      <c r="F77" s="365"/>
      <c r="G77" s="365"/>
      <c r="H77" s="218" t="s">
        <v>149</v>
      </c>
      <c r="I77" s="218" t="s">
        <v>953</v>
      </c>
      <c r="J77" s="218" t="s">
        <v>954</v>
      </c>
    </row>
    <row r="78" spans="2:10" s="218" customFormat="1" ht="12.75">
      <c r="B78" s="314"/>
      <c r="C78" s="365"/>
      <c r="D78" s="365"/>
      <c r="E78" s="365"/>
      <c r="F78" s="365"/>
      <c r="G78" s="365"/>
      <c r="H78" s="218" t="s">
        <v>150</v>
      </c>
      <c r="I78" s="218" t="s">
        <v>2046</v>
      </c>
      <c r="J78" s="218" t="s">
        <v>948</v>
      </c>
    </row>
    <row r="79" spans="2:10" s="218" customFormat="1" ht="12.75">
      <c r="B79" s="271"/>
      <c r="C79" s="365"/>
      <c r="D79" s="365"/>
      <c r="E79" s="365"/>
      <c r="F79" s="365"/>
      <c r="G79" s="365"/>
      <c r="H79" s="218" t="s">
        <v>151</v>
      </c>
      <c r="I79" s="218" t="s">
        <v>2046</v>
      </c>
      <c r="J79" s="218" t="s">
        <v>948</v>
      </c>
    </row>
    <row r="80" spans="2:10" s="218" customFormat="1" ht="12.75">
      <c r="B80" s="271"/>
      <c r="C80" s="365"/>
      <c r="D80" s="365"/>
      <c r="E80" s="365"/>
      <c r="F80" s="365"/>
      <c r="G80" s="365"/>
      <c r="H80" s="218" t="s">
        <v>152</v>
      </c>
      <c r="I80" s="218" t="s">
        <v>2046</v>
      </c>
      <c r="J80" s="218" t="s">
        <v>948</v>
      </c>
    </row>
    <row r="81" spans="2:10" s="218" customFormat="1" ht="12.75">
      <c r="B81" s="271"/>
      <c r="C81" s="365"/>
      <c r="D81" s="365"/>
      <c r="E81" s="365"/>
      <c r="F81" s="365"/>
      <c r="G81" s="365"/>
      <c r="I81" s="218" t="s">
        <v>2046</v>
      </c>
      <c r="J81" s="218" t="s">
        <v>948</v>
      </c>
    </row>
    <row r="82" spans="2:10" s="218" customFormat="1" ht="13.5" customHeight="1">
      <c r="B82" s="314"/>
      <c r="C82" s="365"/>
      <c r="D82" s="365"/>
      <c r="E82" s="365"/>
      <c r="G82" s="365"/>
      <c r="I82" s="218" t="s">
        <v>2046</v>
      </c>
      <c r="J82" s="218" t="s">
        <v>948</v>
      </c>
    </row>
    <row r="83" spans="2:10" s="218" customFormat="1" ht="12.75">
      <c r="B83" s="314"/>
      <c r="C83" s="365"/>
      <c r="D83" s="365"/>
      <c r="E83" s="365"/>
      <c r="G83" s="365"/>
      <c r="H83" s="218" t="s">
        <v>153</v>
      </c>
      <c r="I83" s="218" t="s">
        <v>1161</v>
      </c>
      <c r="J83" s="218" t="s">
        <v>154</v>
      </c>
    </row>
    <row r="84" spans="2:10" s="290" customFormat="1" ht="12.75" hidden="1">
      <c r="B84" s="392"/>
      <c r="C84" s="733"/>
      <c r="D84" s="733"/>
      <c r="E84" s="733"/>
      <c r="G84" s="733"/>
      <c r="H84" s="290" t="s">
        <v>155</v>
      </c>
      <c r="I84" s="290" t="s">
        <v>1161</v>
      </c>
      <c r="J84" s="290" t="s">
        <v>154</v>
      </c>
    </row>
    <row r="85" spans="1:7" s="290" customFormat="1" ht="12.75" hidden="1">
      <c r="A85" s="336"/>
      <c r="B85" s="392"/>
      <c r="C85" s="733"/>
      <c r="D85" s="733"/>
      <c r="E85" s="733"/>
      <c r="G85" s="733"/>
    </row>
    <row r="86" spans="1:7" s="290" customFormat="1" ht="12.75">
      <c r="A86" s="673" t="s">
        <v>1389</v>
      </c>
      <c r="B86" s="392"/>
      <c r="C86" s="733"/>
      <c r="D86" s="733"/>
      <c r="E86" s="733"/>
      <c r="G86" s="733"/>
    </row>
    <row r="87" spans="2:10" s="218" customFormat="1" ht="14.25" customHeight="1">
      <c r="B87" s="271"/>
      <c r="C87" s="365"/>
      <c r="D87" s="365"/>
      <c r="E87" s="365"/>
      <c r="G87" s="365"/>
      <c r="H87" s="218" t="s">
        <v>156</v>
      </c>
      <c r="I87" s="218" t="s">
        <v>2046</v>
      </c>
      <c r="J87" s="218" t="s">
        <v>948</v>
      </c>
    </row>
    <row r="88" spans="2:7" s="218" customFormat="1" ht="14.25" customHeight="1">
      <c r="B88" s="271"/>
      <c r="C88" s="365"/>
      <c r="D88" s="365"/>
      <c r="E88" s="365"/>
      <c r="G88" s="365"/>
    </row>
    <row r="89" spans="2:7" s="218" customFormat="1" ht="12.75">
      <c r="B89" s="736" t="s">
        <v>1279</v>
      </c>
      <c r="C89" s="737">
        <f>SUM(C10:C88)</f>
        <v>0</v>
      </c>
      <c r="D89" s="737">
        <f>SUM(D10:D88)</f>
        <v>0</v>
      </c>
      <c r="E89" s="737">
        <f>SUM(C89:D89)</f>
        <v>0</v>
      </c>
      <c r="F89" s="221"/>
      <c r="G89" s="737">
        <f>SUM(G10:G88)</f>
        <v>0</v>
      </c>
    </row>
    <row r="91" spans="2:7" ht="12.75">
      <c r="B91" s="141"/>
      <c r="C91" s="370"/>
      <c r="D91" s="370"/>
      <c r="E91" s="370"/>
      <c r="F91" s="370"/>
      <c r="G91" s="370"/>
    </row>
    <row r="92" spans="3:7" ht="12.75">
      <c r="C92" s="738" t="e">
        <f>SUM(C89/E89)</f>
        <v>#DIV/0!</v>
      </c>
      <c r="D92" s="738" t="e">
        <f>SUM(D89/E89)</f>
        <v>#DIV/0!</v>
      </c>
      <c r="E92" s="214"/>
      <c r="G92" s="214"/>
    </row>
    <row r="94" spans="3:7" ht="12.75">
      <c r="C94" s="214"/>
      <c r="D94" s="214"/>
      <c r="E94" s="214"/>
      <c r="G94" s="214"/>
    </row>
    <row r="96" spans="3:7" ht="12.75">
      <c r="C96" s="214"/>
      <c r="D96" s="214"/>
      <c r="E96" s="214"/>
      <c r="G96" s="214"/>
    </row>
    <row r="97" ht="12.75">
      <c r="C97">
        <f>22062158-23011861</f>
        <v>-949703</v>
      </c>
    </row>
    <row r="98" spans="3:7" ht="12.75">
      <c r="C98" s="214"/>
      <c r="D98" s="214"/>
      <c r="E98" s="214"/>
      <c r="G98" s="214"/>
    </row>
    <row r="101" spans="3:7" ht="12.75">
      <c r="C101" s="214"/>
      <c r="D101" s="214"/>
      <c r="E101" s="214"/>
      <c r="G101" s="214"/>
    </row>
    <row r="103" spans="3:7" ht="12.75">
      <c r="C103" s="214"/>
      <c r="D103" s="214"/>
      <c r="E103" s="214"/>
      <c r="G103" s="214"/>
    </row>
    <row r="105" spans="3:7" ht="12.75">
      <c r="C105" s="214"/>
      <c r="D105" s="214"/>
      <c r="E105" s="214"/>
      <c r="G105" s="214"/>
    </row>
    <row r="107" spans="3:7" ht="12.75">
      <c r="C107" s="214"/>
      <c r="D107" s="214"/>
      <c r="E107" s="214"/>
      <c r="G107" s="214"/>
    </row>
    <row r="109" spans="3:7" ht="12.75">
      <c r="C109" s="214"/>
      <c r="D109" s="214"/>
      <c r="E109" s="214"/>
      <c r="G109" s="214"/>
    </row>
    <row r="111" spans="3:7" ht="12.75">
      <c r="C111" s="214"/>
      <c r="D111" s="214"/>
      <c r="E111" s="214"/>
      <c r="G111" s="214"/>
    </row>
    <row r="113" spans="3:7" ht="12.75">
      <c r="C113" s="214"/>
      <c r="D113" s="214"/>
      <c r="E113" s="214"/>
      <c r="G113" s="214"/>
    </row>
    <row r="115" spans="3:7" ht="12.75">
      <c r="C115" s="214"/>
      <c r="D115" s="214"/>
      <c r="E115" s="214"/>
      <c r="G115" s="214"/>
    </row>
    <row r="117" spans="3:7" ht="12.75">
      <c r="C117" s="214"/>
      <c r="D117" s="214"/>
      <c r="E117" s="214"/>
      <c r="G117" s="214"/>
    </row>
    <row r="120" spans="3:7" ht="12.75">
      <c r="C120" s="214"/>
      <c r="D120" s="214"/>
      <c r="E120" s="214"/>
      <c r="G120" s="214"/>
    </row>
    <row r="123" spans="3:7" ht="12.75">
      <c r="C123" s="214"/>
      <c r="D123" s="214"/>
      <c r="E123" s="214"/>
      <c r="G123" s="214"/>
    </row>
    <row r="125" spans="3:7" ht="12.75">
      <c r="C125" s="214"/>
      <c r="D125" s="214"/>
      <c r="E125" s="214"/>
      <c r="G125" s="214"/>
    </row>
    <row r="127" spans="3:7" ht="12.75">
      <c r="C127" s="214"/>
      <c r="D127" s="214"/>
      <c r="E127" s="214"/>
      <c r="G127" s="214"/>
    </row>
    <row r="129" spans="3:7" ht="12.75">
      <c r="C129" s="214"/>
      <c r="D129" s="214"/>
      <c r="E129" s="214"/>
      <c r="G129" s="214"/>
    </row>
    <row r="132" spans="3:7" ht="12.75">
      <c r="C132" s="214"/>
      <c r="D132" s="214"/>
      <c r="E132" s="214"/>
      <c r="G132" s="214"/>
    </row>
    <row r="135" spans="3:7" ht="12.75">
      <c r="C135" s="214"/>
      <c r="D135" s="214"/>
      <c r="E135" s="214"/>
      <c r="G135" s="214"/>
    </row>
    <row r="138" spans="3:7" ht="12.75">
      <c r="C138" s="214"/>
      <c r="D138" s="214"/>
      <c r="E138" s="214"/>
      <c r="G138" s="214"/>
    </row>
    <row r="141" spans="3:7" ht="12.75">
      <c r="C141" s="214"/>
      <c r="D141" s="214"/>
      <c r="E141" s="214"/>
      <c r="G141" s="214"/>
    </row>
    <row r="144" spans="3:7" ht="12.75">
      <c r="C144" s="214"/>
      <c r="D144" s="214"/>
      <c r="E144" s="214"/>
      <c r="G144" s="214"/>
    </row>
    <row r="146" spans="3:7" ht="12.75">
      <c r="C146" s="214"/>
      <c r="D146" s="214"/>
      <c r="E146" s="214"/>
      <c r="G146" s="214"/>
    </row>
    <row r="148" spans="3:7" ht="12.75">
      <c r="C148" s="214"/>
      <c r="D148" s="214"/>
      <c r="E148" s="214"/>
      <c r="G148" s="214"/>
    </row>
    <row r="150" spans="3:7" ht="12.75">
      <c r="C150" s="214"/>
      <c r="D150" s="214"/>
      <c r="E150" s="214"/>
      <c r="G150" s="214"/>
    </row>
    <row r="152" spans="3:7" ht="12.75">
      <c r="C152" s="214"/>
      <c r="D152" s="214"/>
      <c r="E152" s="214"/>
      <c r="G152" s="214"/>
    </row>
    <row r="157" spans="3:7" ht="12.75">
      <c r="C157" s="214"/>
      <c r="D157" s="214"/>
      <c r="E157" s="214"/>
      <c r="G157" s="214"/>
    </row>
    <row r="159" spans="3:7" ht="12.75">
      <c r="C159" s="214"/>
      <c r="D159" s="214"/>
      <c r="E159" s="214"/>
      <c r="G159" s="214"/>
    </row>
    <row r="163" spans="3:7" ht="12.75">
      <c r="C163" s="214"/>
      <c r="D163" s="214"/>
      <c r="E163" s="214"/>
      <c r="G163" s="214"/>
    </row>
    <row r="165" spans="3:4" ht="12.75">
      <c r="C165" s="432"/>
      <c r="D165" s="43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2.8515625" style="759" customWidth="1"/>
    <col min="2" max="2" width="18.7109375" style="759" bestFit="1" customWidth="1"/>
    <col min="3" max="3" width="17.421875" style="759" customWidth="1"/>
    <col min="4" max="9" width="15.7109375" style="759" customWidth="1"/>
    <col min="10" max="16384" width="9.140625" style="759" customWidth="1"/>
  </cols>
  <sheetData>
    <row r="1" ht="18">
      <c r="A1" s="774" t="s">
        <v>592</v>
      </c>
    </row>
    <row r="2" ht="18">
      <c r="A2" s="774" t="s">
        <v>1571</v>
      </c>
    </row>
    <row r="3" ht="13.5" thickBot="1"/>
    <row r="4" spans="1:9" ht="12.75">
      <c r="A4" s="775"/>
      <c r="B4" s="350" t="s">
        <v>1568</v>
      </c>
      <c r="C4" s="776"/>
      <c r="D4" s="776"/>
      <c r="E4" s="776"/>
      <c r="F4" s="776"/>
      <c r="G4" s="776"/>
      <c r="H4" s="776"/>
      <c r="I4" s="777"/>
    </row>
    <row r="5" spans="1:9" ht="12.75">
      <c r="A5" s="778"/>
      <c r="B5" s="352" t="s">
        <v>2016</v>
      </c>
      <c r="C5" s="353"/>
      <c r="D5" s="348">
        <v>0.32375</v>
      </c>
      <c r="E5" s="348">
        <v>0.06714</v>
      </c>
      <c r="F5" s="348">
        <v>0.19468</v>
      </c>
      <c r="G5" s="348">
        <v>0.2278</v>
      </c>
      <c r="H5" s="348">
        <v>0.18663</v>
      </c>
      <c r="I5" s="349">
        <v>1</v>
      </c>
    </row>
    <row r="6" spans="1:9" ht="12.75">
      <c r="A6" s="778"/>
      <c r="B6" s="779" t="s">
        <v>747</v>
      </c>
      <c r="C6" s="779" t="s">
        <v>751</v>
      </c>
      <c r="D6" s="779" t="s">
        <v>926</v>
      </c>
      <c r="E6" s="779" t="s">
        <v>927</v>
      </c>
      <c r="F6" s="779" t="s">
        <v>928</v>
      </c>
      <c r="G6" s="779" t="s">
        <v>929</v>
      </c>
      <c r="H6" s="779" t="s">
        <v>1754</v>
      </c>
      <c r="I6" s="780" t="s">
        <v>1279</v>
      </c>
    </row>
    <row r="7" spans="1:9" ht="12.75">
      <c r="A7" s="778"/>
      <c r="B7" s="781"/>
      <c r="C7" s="781"/>
      <c r="D7" s="781"/>
      <c r="E7" s="781"/>
      <c r="F7" s="781"/>
      <c r="G7" s="781"/>
      <c r="H7" s="781"/>
      <c r="I7" s="782"/>
    </row>
    <row r="8" spans="1:9" ht="12.75">
      <c r="A8" s="783" t="s">
        <v>1569</v>
      </c>
      <c r="B8" s="784">
        <v>4470.006</v>
      </c>
      <c r="C8" s="785">
        <v>0</v>
      </c>
      <c r="D8" s="785">
        <v>0</v>
      </c>
      <c r="E8" s="785">
        <v>0</v>
      </c>
      <c r="F8" s="785">
        <v>0</v>
      </c>
      <c r="G8" s="785">
        <v>0</v>
      </c>
      <c r="H8" s="785">
        <v>0</v>
      </c>
      <c r="I8" s="786">
        <v>0</v>
      </c>
    </row>
    <row r="9" spans="1:9" ht="12.75">
      <c r="A9" s="783" t="s">
        <v>1570</v>
      </c>
      <c r="B9" s="784">
        <v>4470.006</v>
      </c>
      <c r="C9" s="787">
        <v>0</v>
      </c>
      <c r="D9" s="787">
        <v>0</v>
      </c>
      <c r="E9" s="787">
        <v>0</v>
      </c>
      <c r="F9" s="787">
        <v>0</v>
      </c>
      <c r="G9" s="787">
        <v>0</v>
      </c>
      <c r="H9" s="787">
        <v>0</v>
      </c>
      <c r="I9" s="788">
        <v>0</v>
      </c>
    </row>
    <row r="10" spans="1:9" ht="13.5" thickBot="1">
      <c r="A10" s="789"/>
      <c r="B10" s="790" t="s">
        <v>1279</v>
      </c>
      <c r="C10" s="791">
        <v>0</v>
      </c>
      <c r="D10" s="791">
        <v>0</v>
      </c>
      <c r="E10" s="791">
        <v>0</v>
      </c>
      <c r="F10" s="791">
        <v>0</v>
      </c>
      <c r="G10" s="791">
        <v>0</v>
      </c>
      <c r="H10" s="791">
        <v>0</v>
      </c>
      <c r="I10" s="792">
        <v>0</v>
      </c>
    </row>
    <row r="12" ht="13.5" thickBot="1"/>
    <row r="13" spans="1:9" ht="12.75">
      <c r="A13" s="775"/>
      <c r="B13" s="350" t="s">
        <v>254</v>
      </c>
      <c r="C13" s="776"/>
      <c r="D13" s="776"/>
      <c r="E13" s="776"/>
      <c r="F13" s="776"/>
      <c r="G13" s="776"/>
      <c r="H13" s="776"/>
      <c r="I13" s="777"/>
    </row>
    <row r="14" spans="1:9" ht="12.75">
      <c r="A14" s="778"/>
      <c r="B14" s="352" t="s">
        <v>255</v>
      </c>
      <c r="C14" s="781"/>
      <c r="D14" s="348">
        <v>0.32375</v>
      </c>
      <c r="E14" s="348">
        <v>0.06714</v>
      </c>
      <c r="F14" s="348">
        <v>0.19468</v>
      </c>
      <c r="G14" s="348">
        <v>0.2278</v>
      </c>
      <c r="H14" s="348">
        <v>0.18663</v>
      </c>
      <c r="I14" s="349">
        <v>1</v>
      </c>
    </row>
    <row r="15" spans="1:9" ht="12.75">
      <c r="A15" s="778"/>
      <c r="B15" s="779" t="s">
        <v>747</v>
      </c>
      <c r="C15" s="779" t="s">
        <v>751</v>
      </c>
      <c r="D15" s="779" t="s">
        <v>926</v>
      </c>
      <c r="E15" s="779" t="s">
        <v>927</v>
      </c>
      <c r="F15" s="779" t="s">
        <v>928</v>
      </c>
      <c r="G15" s="779" t="s">
        <v>929</v>
      </c>
      <c r="H15" s="779" t="s">
        <v>1754</v>
      </c>
      <c r="I15" s="780" t="s">
        <v>1279</v>
      </c>
    </row>
    <row r="16" spans="1:9" ht="12.75">
      <c r="A16" s="778"/>
      <c r="B16" s="781"/>
      <c r="C16" s="781"/>
      <c r="D16" s="781"/>
      <c r="E16" s="781"/>
      <c r="F16" s="781"/>
      <c r="G16" s="781"/>
      <c r="H16" s="781"/>
      <c r="I16" s="782"/>
    </row>
    <row r="17" spans="1:9" ht="12.75">
      <c r="A17" s="783" t="s">
        <v>1569</v>
      </c>
      <c r="B17" s="784">
        <v>4470.006</v>
      </c>
      <c r="C17" s="785">
        <v>0</v>
      </c>
      <c r="D17" s="785">
        <v>0</v>
      </c>
      <c r="E17" s="785">
        <v>0</v>
      </c>
      <c r="F17" s="785">
        <v>0</v>
      </c>
      <c r="G17" s="785">
        <v>0</v>
      </c>
      <c r="H17" s="785">
        <v>0</v>
      </c>
      <c r="I17" s="786">
        <v>0</v>
      </c>
    </row>
    <row r="18" spans="1:9" ht="12.75">
      <c r="A18" s="783" t="s">
        <v>1570</v>
      </c>
      <c r="B18" s="784">
        <v>4470.006</v>
      </c>
      <c r="C18" s="787">
        <v>0</v>
      </c>
      <c r="D18" s="787">
        <v>0</v>
      </c>
      <c r="E18" s="787">
        <v>0</v>
      </c>
      <c r="F18" s="787">
        <v>0</v>
      </c>
      <c r="G18" s="787">
        <v>0</v>
      </c>
      <c r="H18" s="787">
        <v>0</v>
      </c>
      <c r="I18" s="788">
        <v>0</v>
      </c>
    </row>
    <row r="19" spans="1:9" ht="13.5" thickBot="1">
      <c r="A19" s="793"/>
      <c r="B19" s="790" t="s">
        <v>1279</v>
      </c>
      <c r="C19" s="791">
        <v>0</v>
      </c>
      <c r="D19" s="791">
        <v>0</v>
      </c>
      <c r="E19" s="791">
        <v>0</v>
      </c>
      <c r="F19" s="791">
        <v>0</v>
      </c>
      <c r="G19" s="791">
        <v>0</v>
      </c>
      <c r="H19" s="791">
        <v>0</v>
      </c>
      <c r="I19" s="792">
        <v>0</v>
      </c>
    </row>
    <row r="20" ht="12.75">
      <c r="A20" s="141"/>
    </row>
    <row r="21" ht="13.5" thickBot="1">
      <c r="A21" s="141"/>
    </row>
    <row r="22" spans="1:9" ht="12.75">
      <c r="A22" s="775"/>
      <c r="B22" s="350" t="s">
        <v>1573</v>
      </c>
      <c r="C22" s="776"/>
      <c r="D22" s="776"/>
      <c r="E22" s="776"/>
      <c r="F22" s="776"/>
      <c r="G22" s="776"/>
      <c r="H22" s="776"/>
      <c r="I22" s="777"/>
    </row>
    <row r="23" spans="1:9" ht="12.75">
      <c r="A23" s="778"/>
      <c r="B23" s="352" t="s">
        <v>255</v>
      </c>
      <c r="C23" s="781"/>
      <c r="D23" s="781"/>
      <c r="E23" s="781"/>
      <c r="F23" s="781"/>
      <c r="G23" s="781"/>
      <c r="H23" s="781"/>
      <c r="I23" s="782"/>
    </row>
    <row r="24" spans="1:9" ht="12.75">
      <c r="A24" s="778"/>
      <c r="B24" s="352" t="s">
        <v>1574</v>
      </c>
      <c r="C24" s="781"/>
      <c r="D24" s="348">
        <v>0.32375</v>
      </c>
      <c r="E24" s="348">
        <v>0.06714</v>
      </c>
      <c r="F24" s="348">
        <v>0.19468</v>
      </c>
      <c r="G24" s="348">
        <v>0.2278</v>
      </c>
      <c r="H24" s="348">
        <v>0.18663</v>
      </c>
      <c r="I24" s="349">
        <v>1</v>
      </c>
    </row>
    <row r="25" spans="1:9" ht="12.75">
      <c r="A25" s="778"/>
      <c r="B25" s="779" t="s">
        <v>747</v>
      </c>
      <c r="C25" s="779" t="s">
        <v>751</v>
      </c>
      <c r="D25" s="779" t="s">
        <v>926</v>
      </c>
      <c r="E25" s="779" t="s">
        <v>927</v>
      </c>
      <c r="F25" s="779" t="s">
        <v>928</v>
      </c>
      <c r="G25" s="779" t="s">
        <v>929</v>
      </c>
      <c r="H25" s="779" t="s">
        <v>1754</v>
      </c>
      <c r="I25" s="780" t="s">
        <v>1279</v>
      </c>
    </row>
    <row r="26" spans="1:9" ht="12.75">
      <c r="A26" s="778"/>
      <c r="B26" s="781"/>
      <c r="C26" s="781"/>
      <c r="D26" s="781"/>
      <c r="E26" s="781"/>
      <c r="F26" s="781"/>
      <c r="G26" s="781"/>
      <c r="H26" s="781"/>
      <c r="I26" s="782"/>
    </row>
    <row r="27" spans="1:9" ht="12.75">
      <c r="A27" s="783" t="s">
        <v>1569</v>
      </c>
      <c r="B27" s="784">
        <v>4470.006</v>
      </c>
      <c r="C27" s="785">
        <v>0</v>
      </c>
      <c r="D27" s="785">
        <v>0</v>
      </c>
      <c r="E27" s="785">
        <v>0</v>
      </c>
      <c r="F27" s="785">
        <v>0</v>
      </c>
      <c r="G27" s="785">
        <v>0</v>
      </c>
      <c r="H27" s="785">
        <v>0</v>
      </c>
      <c r="I27" s="786">
        <v>0</v>
      </c>
    </row>
    <row r="28" spans="1:9" ht="12.75">
      <c r="A28" s="783" t="s">
        <v>1570</v>
      </c>
      <c r="B28" s="784">
        <v>4470.006</v>
      </c>
      <c r="C28" s="787">
        <v>0</v>
      </c>
      <c r="D28" s="787">
        <v>0</v>
      </c>
      <c r="E28" s="787">
        <v>0</v>
      </c>
      <c r="F28" s="787">
        <v>0</v>
      </c>
      <c r="G28" s="787">
        <v>0</v>
      </c>
      <c r="H28" s="787">
        <v>0</v>
      </c>
      <c r="I28" s="788">
        <v>0</v>
      </c>
    </row>
    <row r="29" spans="1:9" ht="13.5" thickBot="1">
      <c r="A29" s="793"/>
      <c r="B29" s="790" t="s">
        <v>1279</v>
      </c>
      <c r="C29" s="791">
        <v>0</v>
      </c>
      <c r="D29" s="791">
        <v>0</v>
      </c>
      <c r="E29" s="791">
        <v>0</v>
      </c>
      <c r="F29" s="791">
        <v>0</v>
      </c>
      <c r="G29" s="791">
        <v>0</v>
      </c>
      <c r="H29" s="791">
        <v>0</v>
      </c>
      <c r="I29" s="792">
        <v>0</v>
      </c>
    </row>
    <row r="30" ht="12.75">
      <c r="A30" s="141"/>
    </row>
    <row r="31" ht="12.75">
      <c r="A31" s="141"/>
    </row>
    <row r="32" ht="13.5" thickBot="1"/>
    <row r="33" spans="1:9" ht="12.75">
      <c r="A33" s="775"/>
      <c r="B33" s="350" t="s">
        <v>1639</v>
      </c>
      <c r="C33" s="776"/>
      <c r="D33" s="776"/>
      <c r="E33" s="776"/>
      <c r="F33" s="776"/>
      <c r="G33" s="776"/>
      <c r="H33" s="776"/>
      <c r="I33" s="777"/>
    </row>
    <row r="34" spans="1:9" ht="12.75">
      <c r="A34" s="778"/>
      <c r="B34" s="352" t="s">
        <v>2017</v>
      </c>
      <c r="C34" s="781"/>
      <c r="D34" s="348">
        <v>0.32375</v>
      </c>
      <c r="E34" s="348">
        <v>0.06714</v>
      </c>
      <c r="F34" s="348">
        <v>0.19468</v>
      </c>
      <c r="G34" s="348">
        <v>0.2278</v>
      </c>
      <c r="H34" s="348">
        <v>0.18663</v>
      </c>
      <c r="I34" s="349">
        <v>1</v>
      </c>
    </row>
    <row r="35" spans="1:9" ht="12.75">
      <c r="A35" s="778"/>
      <c r="B35" s="779" t="s">
        <v>747</v>
      </c>
      <c r="C35" s="779" t="s">
        <v>751</v>
      </c>
      <c r="D35" s="779" t="s">
        <v>926</v>
      </c>
      <c r="E35" s="779" t="s">
        <v>927</v>
      </c>
      <c r="F35" s="779" t="s">
        <v>928</v>
      </c>
      <c r="G35" s="779" t="s">
        <v>929</v>
      </c>
      <c r="H35" s="779" t="s">
        <v>1754</v>
      </c>
      <c r="I35" s="780" t="s">
        <v>1279</v>
      </c>
    </row>
    <row r="36" spans="1:9" ht="12.75">
      <c r="A36" s="778"/>
      <c r="B36" s="781"/>
      <c r="C36" s="781"/>
      <c r="D36" s="781"/>
      <c r="E36" s="781"/>
      <c r="F36" s="781"/>
      <c r="G36" s="781"/>
      <c r="H36" s="781"/>
      <c r="I36" s="782"/>
    </row>
    <row r="37" spans="1:9" ht="12.75">
      <c r="A37" s="783" t="s">
        <v>1569</v>
      </c>
      <c r="B37" s="784">
        <v>4470.006</v>
      </c>
      <c r="C37" s="785">
        <v>0</v>
      </c>
      <c r="D37" s="785">
        <v>0</v>
      </c>
      <c r="E37" s="785">
        <v>0</v>
      </c>
      <c r="F37" s="785">
        <v>0</v>
      </c>
      <c r="G37" s="785">
        <v>0</v>
      </c>
      <c r="H37" s="785">
        <v>0</v>
      </c>
      <c r="I37" s="786">
        <v>0</v>
      </c>
    </row>
    <row r="38" spans="1:9" ht="12.75">
      <c r="A38" s="783" t="s">
        <v>1570</v>
      </c>
      <c r="B38" s="784">
        <v>4470.006</v>
      </c>
      <c r="C38" s="787">
        <v>0</v>
      </c>
      <c r="D38" s="787">
        <v>0</v>
      </c>
      <c r="E38" s="787">
        <v>0</v>
      </c>
      <c r="F38" s="787">
        <v>0</v>
      </c>
      <c r="G38" s="787">
        <v>0</v>
      </c>
      <c r="H38" s="787">
        <v>0</v>
      </c>
      <c r="I38" s="788">
        <v>0</v>
      </c>
    </row>
    <row r="39" spans="1:9" ht="13.5" thickBot="1">
      <c r="A39" s="789"/>
      <c r="B39" s="790" t="s">
        <v>1279</v>
      </c>
      <c r="C39" s="791">
        <v>0</v>
      </c>
      <c r="D39" s="791">
        <v>0</v>
      </c>
      <c r="E39" s="791">
        <v>0</v>
      </c>
      <c r="F39" s="791">
        <v>0</v>
      </c>
      <c r="G39" s="791">
        <v>0</v>
      </c>
      <c r="H39" s="791">
        <v>0</v>
      </c>
      <c r="I39" s="792">
        <v>0</v>
      </c>
    </row>
    <row r="40" spans="2:9" ht="12.75">
      <c r="B40" s="784"/>
      <c r="C40" s="785"/>
      <c r="D40" s="785"/>
      <c r="E40" s="785"/>
      <c r="F40" s="785"/>
      <c r="G40" s="785"/>
      <c r="H40" s="785"/>
      <c r="I40" s="785"/>
    </row>
    <row r="41" spans="1:9" ht="13.5" thickBot="1">
      <c r="A41" s="803"/>
      <c r="B41" s="803"/>
      <c r="C41" s="803"/>
      <c r="D41" s="803"/>
      <c r="E41" s="803"/>
      <c r="F41" s="803"/>
      <c r="G41" s="803"/>
      <c r="H41" s="803"/>
      <c r="I41" s="803"/>
    </row>
    <row r="43" ht="13.5" thickBot="1"/>
    <row r="44" spans="1:9" ht="12.75">
      <c r="A44" s="804"/>
      <c r="B44" s="350" t="s">
        <v>254</v>
      </c>
      <c r="C44" s="776"/>
      <c r="D44" s="776"/>
      <c r="E44" s="776"/>
      <c r="F44" s="776"/>
      <c r="G44" s="776"/>
      <c r="H44" s="777"/>
      <c r="I44" s="781"/>
    </row>
    <row r="45" spans="1:9" ht="12.75">
      <c r="A45" s="805"/>
      <c r="B45" s="352" t="s">
        <v>593</v>
      </c>
      <c r="C45" s="781"/>
      <c r="D45" s="348">
        <v>0</v>
      </c>
      <c r="E45" s="348">
        <v>0.45492</v>
      </c>
      <c r="F45" s="348">
        <v>0.54508</v>
      </c>
      <c r="G45" s="348">
        <v>0</v>
      </c>
      <c r="H45" s="349">
        <v>1</v>
      </c>
      <c r="I45" s="781"/>
    </row>
    <row r="46" spans="1:9" ht="12.75">
      <c r="A46" s="778"/>
      <c r="B46" s="779" t="s">
        <v>747</v>
      </c>
      <c r="C46" s="779" t="s">
        <v>751</v>
      </c>
      <c r="D46" s="779" t="s">
        <v>1650</v>
      </c>
      <c r="E46" s="779" t="s">
        <v>1648</v>
      </c>
      <c r="F46" s="779" t="s">
        <v>256</v>
      </c>
      <c r="G46" s="779" t="s">
        <v>1651</v>
      </c>
      <c r="H46" s="780" t="s">
        <v>1279</v>
      </c>
      <c r="I46" s="781"/>
    </row>
    <row r="47" spans="1:9" ht="12.75">
      <c r="A47" s="778"/>
      <c r="B47" s="781"/>
      <c r="C47" s="781"/>
      <c r="D47" s="781"/>
      <c r="E47" s="781"/>
      <c r="F47" s="781"/>
      <c r="G47" s="781"/>
      <c r="H47" s="782"/>
      <c r="I47" s="781"/>
    </row>
    <row r="48" spans="1:9" ht="12.75">
      <c r="A48" s="783" t="s">
        <v>1569</v>
      </c>
      <c r="B48" s="784">
        <v>4470.006</v>
      </c>
      <c r="C48" s="785">
        <v>0</v>
      </c>
      <c r="D48" s="785">
        <v>0</v>
      </c>
      <c r="E48" s="785">
        <v>0</v>
      </c>
      <c r="F48" s="785">
        <v>0</v>
      </c>
      <c r="G48" s="785">
        <v>0</v>
      </c>
      <c r="H48" s="786">
        <v>0</v>
      </c>
      <c r="I48" s="781"/>
    </row>
    <row r="49" spans="1:8" ht="12.75">
      <c r="A49" s="783" t="s">
        <v>1570</v>
      </c>
      <c r="B49" s="784">
        <v>4470.006</v>
      </c>
      <c r="C49" s="787">
        <v>0</v>
      </c>
      <c r="D49" s="787">
        <v>0</v>
      </c>
      <c r="E49" s="787">
        <v>0</v>
      </c>
      <c r="F49" s="787">
        <v>0</v>
      </c>
      <c r="G49" s="787">
        <v>0</v>
      </c>
      <c r="H49" s="788">
        <v>0</v>
      </c>
    </row>
    <row r="50" spans="1:8" ht="13.5" thickBot="1">
      <c r="A50" s="789"/>
      <c r="B50" s="790" t="s">
        <v>1279</v>
      </c>
      <c r="C50" s="791">
        <v>0</v>
      </c>
      <c r="D50" s="791">
        <v>0</v>
      </c>
      <c r="E50" s="791">
        <v>0</v>
      </c>
      <c r="F50" s="791">
        <v>0</v>
      </c>
      <c r="G50" s="791">
        <v>0</v>
      </c>
      <c r="H50" s="792">
        <v>0</v>
      </c>
    </row>
  </sheetData>
  <sheetProtection/>
  <printOptions/>
  <pageMargins left="0.75" right="0.75" top="0.5" bottom="0.5" header="0.5" footer="0.5"/>
  <pageSetup fitToHeight="1" fitToWidth="1" horizontalDpi="600" verticalDpi="600" orientation="landscape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5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2.8515625" style="759" customWidth="1"/>
    <col min="2" max="2" width="18.140625" style="759" customWidth="1"/>
    <col min="3" max="3" width="17.421875" style="759" customWidth="1"/>
    <col min="4" max="9" width="15.7109375" style="759" customWidth="1"/>
    <col min="10" max="16384" width="9.140625" style="759" customWidth="1"/>
  </cols>
  <sheetData>
    <row r="1" ht="18">
      <c r="A1" s="774" t="s">
        <v>594</v>
      </c>
    </row>
    <row r="2" ht="18">
      <c r="A2" s="774" t="s">
        <v>1572</v>
      </c>
    </row>
    <row r="3" ht="13.5" thickBot="1"/>
    <row r="4" spans="1:9" ht="12.75">
      <c r="A4" s="775"/>
      <c r="B4" s="350" t="s">
        <v>1568</v>
      </c>
      <c r="C4" s="776"/>
      <c r="D4" s="776"/>
      <c r="E4" s="776"/>
      <c r="F4" s="776"/>
      <c r="G4" s="776"/>
      <c r="H4" s="776"/>
      <c r="I4" s="777"/>
    </row>
    <row r="5" spans="1:9" ht="12.75">
      <c r="A5" s="778"/>
      <c r="B5" s="352" t="s">
        <v>2016</v>
      </c>
      <c r="C5" s="353"/>
      <c r="D5" s="348">
        <v>0.32375</v>
      </c>
      <c r="E5" s="348">
        <v>0.06714</v>
      </c>
      <c r="F5" s="348">
        <v>0.19468</v>
      </c>
      <c r="G5" s="348">
        <v>0.2278</v>
      </c>
      <c r="H5" s="348">
        <v>0.18663</v>
      </c>
      <c r="I5" s="349">
        <v>1</v>
      </c>
    </row>
    <row r="6" spans="1:9" ht="12.75">
      <c r="A6" s="778"/>
      <c r="B6" s="779" t="s">
        <v>747</v>
      </c>
      <c r="C6" s="779" t="s">
        <v>751</v>
      </c>
      <c r="D6" s="779" t="s">
        <v>926</v>
      </c>
      <c r="E6" s="779" t="s">
        <v>927</v>
      </c>
      <c r="F6" s="779" t="s">
        <v>928</v>
      </c>
      <c r="G6" s="779" t="s">
        <v>929</v>
      </c>
      <c r="H6" s="779" t="s">
        <v>1754</v>
      </c>
      <c r="I6" s="780" t="s">
        <v>1279</v>
      </c>
    </row>
    <row r="7" spans="1:9" ht="12.75">
      <c r="A7" s="778"/>
      <c r="B7" s="781"/>
      <c r="C7" s="781"/>
      <c r="D7" s="781"/>
      <c r="E7" s="781"/>
      <c r="F7" s="781"/>
      <c r="G7" s="781"/>
      <c r="H7" s="781"/>
      <c r="I7" s="782"/>
    </row>
    <row r="8" spans="1:9" ht="12.75">
      <c r="A8" s="783" t="s">
        <v>1569</v>
      </c>
      <c r="B8" s="784">
        <v>4470.01</v>
      </c>
      <c r="C8" s="785">
        <v>0</v>
      </c>
      <c r="D8" s="785">
        <v>0</v>
      </c>
      <c r="E8" s="785">
        <v>0</v>
      </c>
      <c r="F8" s="785">
        <v>0</v>
      </c>
      <c r="G8" s="785">
        <v>0</v>
      </c>
      <c r="H8" s="785">
        <v>0</v>
      </c>
      <c r="I8" s="786">
        <v>0</v>
      </c>
    </row>
    <row r="9" spans="1:9" ht="12.75">
      <c r="A9" s="783" t="s">
        <v>1570</v>
      </c>
      <c r="B9" s="784">
        <v>4470.01</v>
      </c>
      <c r="C9" s="787">
        <v>0</v>
      </c>
      <c r="D9" s="787">
        <v>0</v>
      </c>
      <c r="E9" s="787">
        <v>0</v>
      </c>
      <c r="F9" s="787">
        <v>0</v>
      </c>
      <c r="G9" s="787">
        <v>0</v>
      </c>
      <c r="H9" s="787">
        <v>0</v>
      </c>
      <c r="I9" s="788">
        <v>0</v>
      </c>
    </row>
    <row r="10" spans="1:9" ht="13.5" thickBot="1">
      <c r="A10" s="789"/>
      <c r="B10" s="790" t="s">
        <v>1279</v>
      </c>
      <c r="C10" s="791">
        <v>0</v>
      </c>
      <c r="D10" s="791">
        <v>0</v>
      </c>
      <c r="E10" s="791">
        <v>0</v>
      </c>
      <c r="F10" s="791">
        <v>0</v>
      </c>
      <c r="G10" s="791">
        <v>0</v>
      </c>
      <c r="H10" s="791">
        <v>0</v>
      </c>
      <c r="I10" s="792">
        <v>0</v>
      </c>
    </row>
    <row r="12" ht="13.5" thickBot="1"/>
    <row r="13" spans="1:9" ht="12.75">
      <c r="A13" s="775"/>
      <c r="B13" s="350" t="s">
        <v>254</v>
      </c>
      <c r="C13" s="776"/>
      <c r="D13" s="776"/>
      <c r="E13" s="776"/>
      <c r="F13" s="776"/>
      <c r="G13" s="776"/>
      <c r="H13" s="776"/>
      <c r="I13" s="777"/>
    </row>
    <row r="14" spans="1:9" ht="12.75">
      <c r="A14" s="778"/>
      <c r="B14" s="352" t="s">
        <v>255</v>
      </c>
      <c r="C14" s="781"/>
      <c r="D14" s="348">
        <v>0.32375</v>
      </c>
      <c r="E14" s="348">
        <v>0.06714</v>
      </c>
      <c r="F14" s="348">
        <v>0.19468</v>
      </c>
      <c r="G14" s="348">
        <v>0.2278</v>
      </c>
      <c r="H14" s="348">
        <v>0.18663</v>
      </c>
      <c r="I14" s="349">
        <f>SUM(D14:H14)</f>
        <v>0.9999999999999999</v>
      </c>
    </row>
    <row r="15" spans="1:9" ht="12.75">
      <c r="A15" s="778"/>
      <c r="B15" s="779" t="s">
        <v>747</v>
      </c>
      <c r="C15" s="779" t="s">
        <v>751</v>
      </c>
      <c r="D15" s="779" t="s">
        <v>926</v>
      </c>
      <c r="E15" s="779" t="s">
        <v>927</v>
      </c>
      <c r="F15" s="779" t="s">
        <v>928</v>
      </c>
      <c r="G15" s="779" t="s">
        <v>929</v>
      </c>
      <c r="H15" s="779" t="s">
        <v>1754</v>
      </c>
      <c r="I15" s="780" t="s">
        <v>1279</v>
      </c>
    </row>
    <row r="16" spans="1:9" ht="12.75">
      <c r="A16" s="778"/>
      <c r="B16" s="781"/>
      <c r="C16" s="781"/>
      <c r="D16" s="781"/>
      <c r="E16" s="781"/>
      <c r="F16" s="781"/>
      <c r="G16" s="781"/>
      <c r="H16" s="781"/>
      <c r="I16" s="782"/>
    </row>
    <row r="17" spans="1:9" ht="12.75">
      <c r="A17" s="783" t="s">
        <v>1569</v>
      </c>
      <c r="B17" s="784">
        <v>4470.01</v>
      </c>
      <c r="C17" s="785">
        <v>0</v>
      </c>
      <c r="D17" s="785">
        <v>0</v>
      </c>
      <c r="E17" s="785">
        <v>0</v>
      </c>
      <c r="F17" s="785">
        <v>0</v>
      </c>
      <c r="G17" s="785">
        <v>0</v>
      </c>
      <c r="H17" s="785">
        <v>0</v>
      </c>
      <c r="I17" s="786">
        <v>0</v>
      </c>
    </row>
    <row r="18" spans="1:9" ht="12.75">
      <c r="A18" s="783" t="s">
        <v>1570</v>
      </c>
      <c r="B18" s="784">
        <v>4470.01</v>
      </c>
      <c r="C18" s="787">
        <v>0</v>
      </c>
      <c r="D18" s="787">
        <v>0</v>
      </c>
      <c r="E18" s="787">
        <v>0</v>
      </c>
      <c r="F18" s="787">
        <v>0</v>
      </c>
      <c r="G18" s="787">
        <v>0</v>
      </c>
      <c r="H18" s="787">
        <v>0</v>
      </c>
      <c r="I18" s="788">
        <v>0</v>
      </c>
    </row>
    <row r="19" spans="1:9" ht="13.5" thickBot="1">
      <c r="A19" s="793"/>
      <c r="B19" s="790" t="s">
        <v>1279</v>
      </c>
      <c r="C19" s="791">
        <v>0</v>
      </c>
      <c r="D19" s="791">
        <v>0</v>
      </c>
      <c r="E19" s="791">
        <v>0</v>
      </c>
      <c r="F19" s="791">
        <v>0</v>
      </c>
      <c r="G19" s="791">
        <v>0</v>
      </c>
      <c r="H19" s="791">
        <v>0</v>
      </c>
      <c r="I19" s="792">
        <v>0</v>
      </c>
    </row>
    <row r="20" ht="12.75">
      <c r="A20" s="141"/>
    </row>
    <row r="21" ht="13.5" thickBot="1">
      <c r="A21" s="141"/>
    </row>
    <row r="22" spans="1:9" ht="12.75">
      <c r="A22" s="775"/>
      <c r="B22" s="350" t="s">
        <v>1573</v>
      </c>
      <c r="C22" s="776"/>
      <c r="D22" s="776"/>
      <c r="E22" s="776"/>
      <c r="F22" s="776"/>
      <c r="G22" s="776"/>
      <c r="H22" s="776"/>
      <c r="I22" s="777"/>
    </row>
    <row r="23" spans="1:9" ht="12.75">
      <c r="A23" s="778"/>
      <c r="B23" s="352" t="s">
        <v>255</v>
      </c>
      <c r="C23" s="781"/>
      <c r="D23" s="781"/>
      <c r="E23" s="781"/>
      <c r="F23" s="781"/>
      <c r="G23" s="781"/>
      <c r="H23" s="781"/>
      <c r="I23" s="782"/>
    </row>
    <row r="24" spans="1:9" ht="12.75">
      <c r="A24" s="778"/>
      <c r="B24" s="352" t="s">
        <v>1574</v>
      </c>
      <c r="C24" s="781"/>
      <c r="D24" s="348">
        <v>0.32375</v>
      </c>
      <c r="E24" s="348">
        <v>0.06714</v>
      </c>
      <c r="F24" s="348">
        <v>0.19468</v>
      </c>
      <c r="G24" s="348">
        <v>0.2278</v>
      </c>
      <c r="H24" s="348">
        <v>0.18663</v>
      </c>
      <c r="I24" s="349">
        <f>SUM(D24:H24)</f>
        <v>0.9999999999999999</v>
      </c>
    </row>
    <row r="25" spans="1:9" ht="12.75">
      <c r="A25" s="778"/>
      <c r="B25" s="779" t="s">
        <v>747</v>
      </c>
      <c r="C25" s="779" t="s">
        <v>751</v>
      </c>
      <c r="D25" s="779" t="s">
        <v>926</v>
      </c>
      <c r="E25" s="779" t="s">
        <v>927</v>
      </c>
      <c r="F25" s="779" t="s">
        <v>928</v>
      </c>
      <c r="G25" s="779" t="s">
        <v>929</v>
      </c>
      <c r="H25" s="779" t="s">
        <v>1754</v>
      </c>
      <c r="I25" s="780" t="s">
        <v>1279</v>
      </c>
    </row>
    <row r="26" spans="1:9" ht="12.75">
      <c r="A26" s="778"/>
      <c r="B26" s="781"/>
      <c r="C26" s="781"/>
      <c r="D26" s="781"/>
      <c r="E26" s="781"/>
      <c r="F26" s="781"/>
      <c r="G26" s="781"/>
      <c r="H26" s="781"/>
      <c r="I26" s="782"/>
    </row>
    <row r="27" spans="1:9" ht="12.75">
      <c r="A27" s="783" t="s">
        <v>1569</v>
      </c>
      <c r="B27" s="784">
        <v>4470.01</v>
      </c>
      <c r="C27" s="785">
        <v>0</v>
      </c>
      <c r="D27" s="785">
        <v>0</v>
      </c>
      <c r="E27" s="785">
        <v>0</v>
      </c>
      <c r="F27" s="785">
        <v>0</v>
      </c>
      <c r="G27" s="785">
        <v>0</v>
      </c>
      <c r="H27" s="785">
        <v>0</v>
      </c>
      <c r="I27" s="786">
        <v>0</v>
      </c>
    </row>
    <row r="28" spans="1:9" ht="12.75">
      <c r="A28" s="783" t="s">
        <v>1570</v>
      </c>
      <c r="B28" s="784">
        <v>4470.01</v>
      </c>
      <c r="C28" s="787">
        <v>0</v>
      </c>
      <c r="D28" s="787">
        <v>0</v>
      </c>
      <c r="E28" s="787">
        <v>0</v>
      </c>
      <c r="F28" s="787">
        <v>0</v>
      </c>
      <c r="G28" s="787">
        <v>0</v>
      </c>
      <c r="H28" s="787">
        <v>0</v>
      </c>
      <c r="I28" s="788">
        <v>0</v>
      </c>
    </row>
    <row r="29" spans="1:9" ht="13.5" thickBot="1">
      <c r="A29" s="793"/>
      <c r="B29" s="790" t="s">
        <v>1279</v>
      </c>
      <c r="C29" s="791">
        <v>0</v>
      </c>
      <c r="D29" s="791">
        <v>0</v>
      </c>
      <c r="E29" s="791">
        <v>0</v>
      </c>
      <c r="F29" s="791">
        <v>0</v>
      </c>
      <c r="G29" s="791">
        <v>0</v>
      </c>
      <c r="H29" s="791">
        <v>0</v>
      </c>
      <c r="I29" s="792">
        <v>0</v>
      </c>
    </row>
    <row r="30" ht="12.75">
      <c r="A30" s="141"/>
    </row>
    <row r="31" ht="12.75">
      <c r="A31" s="141"/>
    </row>
    <row r="32" ht="13.5" thickBot="1"/>
    <row r="33" spans="1:9" ht="12.75">
      <c r="A33" s="775"/>
      <c r="B33" s="350" t="s">
        <v>1639</v>
      </c>
      <c r="C33" s="776"/>
      <c r="D33" s="776"/>
      <c r="E33" s="776"/>
      <c r="F33" s="776"/>
      <c r="G33" s="776"/>
      <c r="H33" s="776"/>
      <c r="I33" s="777"/>
    </row>
    <row r="34" spans="1:9" ht="12.75">
      <c r="A34" s="778"/>
      <c r="B34" s="352" t="s">
        <v>2017</v>
      </c>
      <c r="C34" s="781"/>
      <c r="D34" s="348">
        <v>0.32375</v>
      </c>
      <c r="E34" s="348">
        <v>0.06714</v>
      </c>
      <c r="F34" s="348">
        <v>0.19468</v>
      </c>
      <c r="G34" s="348">
        <v>0.2278</v>
      </c>
      <c r="H34" s="348">
        <v>0.18663</v>
      </c>
      <c r="I34" s="349">
        <f>SUM(D34:H34)</f>
        <v>0.9999999999999999</v>
      </c>
    </row>
    <row r="35" spans="1:9" ht="12.75">
      <c r="A35" s="778"/>
      <c r="B35" s="779" t="s">
        <v>747</v>
      </c>
      <c r="C35" s="779" t="s">
        <v>751</v>
      </c>
      <c r="D35" s="779" t="s">
        <v>926</v>
      </c>
      <c r="E35" s="779" t="s">
        <v>927</v>
      </c>
      <c r="F35" s="779" t="s">
        <v>928</v>
      </c>
      <c r="G35" s="779" t="s">
        <v>929</v>
      </c>
      <c r="H35" s="779" t="s">
        <v>1754</v>
      </c>
      <c r="I35" s="780" t="s">
        <v>1279</v>
      </c>
    </row>
    <row r="36" spans="1:9" ht="12.75">
      <c r="A36" s="778"/>
      <c r="B36" s="781"/>
      <c r="C36" s="781"/>
      <c r="D36" s="781"/>
      <c r="E36" s="781"/>
      <c r="F36" s="781"/>
      <c r="G36" s="781"/>
      <c r="H36" s="781"/>
      <c r="I36" s="782"/>
    </row>
    <row r="37" spans="1:9" ht="12.75">
      <c r="A37" s="783" t="s">
        <v>1569</v>
      </c>
      <c r="B37" s="784">
        <v>4470.01</v>
      </c>
      <c r="C37" s="785">
        <v>0</v>
      </c>
      <c r="D37" s="785">
        <v>0</v>
      </c>
      <c r="E37" s="785">
        <v>0</v>
      </c>
      <c r="F37" s="785">
        <v>0</v>
      </c>
      <c r="G37" s="785">
        <v>0</v>
      </c>
      <c r="H37" s="785">
        <v>0</v>
      </c>
      <c r="I37" s="786">
        <v>0</v>
      </c>
    </row>
    <row r="38" spans="1:9" ht="12.75">
      <c r="A38" s="783" t="s">
        <v>1570</v>
      </c>
      <c r="B38" s="784">
        <v>4470.01</v>
      </c>
      <c r="C38" s="787">
        <v>0</v>
      </c>
      <c r="D38" s="787">
        <v>0</v>
      </c>
      <c r="E38" s="787">
        <v>0</v>
      </c>
      <c r="F38" s="787">
        <v>0</v>
      </c>
      <c r="G38" s="787">
        <v>0</v>
      </c>
      <c r="H38" s="787">
        <v>0</v>
      </c>
      <c r="I38" s="788">
        <v>0</v>
      </c>
    </row>
    <row r="39" spans="1:9" ht="13.5" thickBot="1">
      <c r="A39" s="789"/>
      <c r="B39" s="790" t="s">
        <v>1279</v>
      </c>
      <c r="C39" s="791">
        <v>0</v>
      </c>
      <c r="D39" s="791">
        <v>0</v>
      </c>
      <c r="E39" s="791">
        <v>0</v>
      </c>
      <c r="F39" s="791">
        <v>0</v>
      </c>
      <c r="G39" s="791">
        <v>0</v>
      </c>
      <c r="H39" s="791">
        <v>0</v>
      </c>
      <c r="I39" s="792">
        <v>0</v>
      </c>
    </row>
    <row r="40" spans="2:9" ht="12.75">
      <c r="B40" s="784"/>
      <c r="C40" s="785"/>
      <c r="D40" s="785"/>
      <c r="E40" s="785"/>
      <c r="F40" s="785"/>
      <c r="G40" s="785"/>
      <c r="H40" s="785"/>
      <c r="I40" s="785"/>
    </row>
    <row r="41" spans="1:9" ht="13.5" thickBot="1">
      <c r="A41" s="803"/>
      <c r="B41" s="803"/>
      <c r="C41" s="803"/>
      <c r="D41" s="803"/>
      <c r="E41" s="803"/>
      <c r="F41" s="803"/>
      <c r="G41" s="803"/>
      <c r="H41" s="803"/>
      <c r="I41" s="803"/>
    </row>
    <row r="43" ht="13.5" thickBot="1"/>
    <row r="44" spans="1:9" ht="12.75">
      <c r="A44" s="775"/>
      <c r="B44" s="350" t="s">
        <v>254</v>
      </c>
      <c r="C44" s="776"/>
      <c r="D44" s="776"/>
      <c r="E44" s="776"/>
      <c r="F44" s="776"/>
      <c r="G44" s="776"/>
      <c r="H44" s="777"/>
      <c r="I44" s="781"/>
    </row>
    <row r="45" spans="1:9" ht="12.75">
      <c r="A45" s="778"/>
      <c r="B45" s="352" t="s">
        <v>593</v>
      </c>
      <c r="C45" s="781"/>
      <c r="D45" s="348">
        <v>0</v>
      </c>
      <c r="E45" s="348">
        <v>0.45492</v>
      </c>
      <c r="F45" s="348">
        <v>0.54508</v>
      </c>
      <c r="G45" s="348">
        <v>0</v>
      </c>
      <c r="H45" s="349">
        <f>SUM(D45:G45)</f>
        <v>1</v>
      </c>
      <c r="I45" s="781"/>
    </row>
    <row r="46" spans="1:9" ht="12.75">
      <c r="A46" s="778"/>
      <c r="B46" s="779" t="s">
        <v>747</v>
      </c>
      <c r="C46" s="779" t="s">
        <v>751</v>
      </c>
      <c r="D46" s="779" t="s">
        <v>1650</v>
      </c>
      <c r="E46" s="779" t="s">
        <v>1648</v>
      </c>
      <c r="F46" s="779" t="s">
        <v>256</v>
      </c>
      <c r="G46" s="779" t="s">
        <v>1651</v>
      </c>
      <c r="H46" s="780" t="s">
        <v>1279</v>
      </c>
      <c r="I46" s="781"/>
    </row>
    <row r="47" spans="1:9" ht="12.75">
      <c r="A47" s="778"/>
      <c r="B47" s="781"/>
      <c r="C47" s="781"/>
      <c r="D47" s="781"/>
      <c r="E47" s="781"/>
      <c r="F47" s="781"/>
      <c r="G47" s="781"/>
      <c r="H47" s="782"/>
      <c r="I47" s="781"/>
    </row>
    <row r="48" spans="1:9" ht="12.75">
      <c r="A48" s="783" t="s">
        <v>1569</v>
      </c>
      <c r="B48" s="784">
        <v>4470.01</v>
      </c>
      <c r="C48" s="785">
        <v>0</v>
      </c>
      <c r="D48" s="785">
        <v>0</v>
      </c>
      <c r="E48" s="785">
        <v>0</v>
      </c>
      <c r="F48" s="785">
        <v>0</v>
      </c>
      <c r="G48" s="785">
        <v>0</v>
      </c>
      <c r="H48" s="786">
        <v>0</v>
      </c>
      <c r="I48" s="781"/>
    </row>
    <row r="49" spans="1:8" ht="12.75">
      <c r="A49" s="783" t="s">
        <v>1570</v>
      </c>
      <c r="B49" s="784">
        <v>4470.01</v>
      </c>
      <c r="C49" s="787">
        <v>0</v>
      </c>
      <c r="D49" s="787">
        <v>0</v>
      </c>
      <c r="E49" s="787">
        <v>0</v>
      </c>
      <c r="F49" s="787">
        <v>0</v>
      </c>
      <c r="G49" s="787">
        <v>0</v>
      </c>
      <c r="H49" s="788">
        <v>0</v>
      </c>
    </row>
    <row r="50" spans="1:8" ht="13.5" thickBot="1">
      <c r="A50" s="789"/>
      <c r="B50" s="790" t="s">
        <v>1279</v>
      </c>
      <c r="C50" s="791">
        <v>0</v>
      </c>
      <c r="D50" s="791">
        <v>0</v>
      </c>
      <c r="E50" s="791">
        <v>0</v>
      </c>
      <c r="F50" s="791">
        <v>0</v>
      </c>
      <c r="G50" s="791">
        <v>0</v>
      </c>
      <c r="H50" s="792">
        <v>0</v>
      </c>
    </row>
  </sheetData>
  <sheetProtection/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759" customWidth="1"/>
    <col min="2" max="3" width="17.421875" style="759" customWidth="1"/>
    <col min="4" max="9" width="15.7109375" style="759" customWidth="1"/>
    <col min="10" max="16384" width="9.140625" style="759" customWidth="1"/>
  </cols>
  <sheetData>
    <row r="1" ht="18">
      <c r="A1" s="774" t="s">
        <v>595</v>
      </c>
    </row>
    <row r="2" ht="18">
      <c r="A2" s="774" t="s">
        <v>872</v>
      </c>
    </row>
    <row r="3" ht="13.5" thickBot="1"/>
    <row r="4" spans="1:9" ht="12.75">
      <c r="A4" s="775"/>
      <c r="B4" s="350" t="s">
        <v>1568</v>
      </c>
      <c r="C4" s="776"/>
      <c r="D4" s="776"/>
      <c r="E4" s="776"/>
      <c r="F4" s="776"/>
      <c r="G4" s="776"/>
      <c r="H4" s="776"/>
      <c r="I4" s="777"/>
    </row>
    <row r="5" spans="1:9" ht="12.75">
      <c r="A5" s="778"/>
      <c r="B5" s="352" t="s">
        <v>2016</v>
      </c>
      <c r="C5" s="353"/>
      <c r="D5" s="348">
        <v>0.32375</v>
      </c>
      <c r="E5" s="348">
        <v>0.06714</v>
      </c>
      <c r="F5" s="348">
        <v>0.19468</v>
      </c>
      <c r="G5" s="348">
        <v>0.2278</v>
      </c>
      <c r="H5" s="348">
        <v>0.18663</v>
      </c>
      <c r="I5" s="349">
        <v>1</v>
      </c>
    </row>
    <row r="6" spans="1:9" ht="12.75">
      <c r="A6" s="778"/>
      <c r="B6" s="779" t="s">
        <v>747</v>
      </c>
      <c r="C6" s="779" t="s">
        <v>751</v>
      </c>
      <c r="D6" s="779" t="s">
        <v>926</v>
      </c>
      <c r="E6" s="779" t="s">
        <v>927</v>
      </c>
      <c r="F6" s="779" t="s">
        <v>928</v>
      </c>
      <c r="G6" s="779" t="s">
        <v>929</v>
      </c>
      <c r="H6" s="779" t="s">
        <v>1754</v>
      </c>
      <c r="I6" s="780" t="s">
        <v>1279</v>
      </c>
    </row>
    <row r="7" spans="1:9" ht="12.75">
      <c r="A7" s="778"/>
      <c r="B7" s="781"/>
      <c r="C7" s="781"/>
      <c r="D7" s="781"/>
      <c r="E7" s="781"/>
      <c r="F7" s="781"/>
      <c r="G7" s="781"/>
      <c r="H7" s="781"/>
      <c r="I7" s="782"/>
    </row>
    <row r="8" spans="1:9" ht="12.75">
      <c r="A8" s="783" t="s">
        <v>873</v>
      </c>
      <c r="B8" s="784">
        <v>4470.066</v>
      </c>
      <c r="C8" s="787">
        <v>0</v>
      </c>
      <c r="D8" s="787">
        <v>0</v>
      </c>
      <c r="E8" s="787">
        <v>0</v>
      </c>
      <c r="F8" s="787">
        <v>0</v>
      </c>
      <c r="G8" s="787">
        <v>0</v>
      </c>
      <c r="H8" s="787">
        <v>0</v>
      </c>
      <c r="I8" s="788">
        <v>0</v>
      </c>
    </row>
    <row r="9" spans="1:9" ht="13.5" thickBot="1">
      <c r="A9" s="793" t="s">
        <v>874</v>
      </c>
      <c r="B9" s="790" t="s">
        <v>1279</v>
      </c>
      <c r="C9" s="791">
        <v>0</v>
      </c>
      <c r="D9" s="791">
        <v>0</v>
      </c>
      <c r="E9" s="791">
        <v>0</v>
      </c>
      <c r="F9" s="791">
        <v>0</v>
      </c>
      <c r="G9" s="791">
        <v>0</v>
      </c>
      <c r="H9" s="791">
        <v>0</v>
      </c>
      <c r="I9" s="792">
        <v>0</v>
      </c>
    </row>
    <row r="11" ht="13.5" thickBot="1"/>
    <row r="12" spans="1:9" ht="12.75">
      <c r="A12" s="775"/>
      <c r="B12" s="350" t="s">
        <v>254</v>
      </c>
      <c r="C12" s="776"/>
      <c r="D12" s="776"/>
      <c r="E12" s="776"/>
      <c r="F12" s="776"/>
      <c r="G12" s="776"/>
      <c r="H12" s="776"/>
      <c r="I12" s="777"/>
    </row>
    <row r="13" spans="1:9" ht="12.75">
      <c r="A13" s="778"/>
      <c r="B13" s="352" t="s">
        <v>255</v>
      </c>
      <c r="C13" s="781"/>
      <c r="D13" s="348">
        <v>0.32375</v>
      </c>
      <c r="E13" s="348">
        <v>0.06714</v>
      </c>
      <c r="F13" s="348">
        <v>0.19468</v>
      </c>
      <c r="G13" s="348">
        <v>0.2278</v>
      </c>
      <c r="H13" s="348">
        <v>0.18663</v>
      </c>
      <c r="I13" s="349">
        <v>1</v>
      </c>
    </row>
    <row r="14" spans="1:9" ht="12.75">
      <c r="A14" s="778"/>
      <c r="B14" s="779" t="s">
        <v>747</v>
      </c>
      <c r="C14" s="779" t="s">
        <v>751</v>
      </c>
      <c r="D14" s="779" t="s">
        <v>926</v>
      </c>
      <c r="E14" s="779" t="s">
        <v>927</v>
      </c>
      <c r="F14" s="779" t="s">
        <v>928</v>
      </c>
      <c r="G14" s="779" t="s">
        <v>929</v>
      </c>
      <c r="H14" s="779" t="s">
        <v>1754</v>
      </c>
      <c r="I14" s="780" t="s">
        <v>1279</v>
      </c>
    </row>
    <row r="15" spans="1:9" ht="12.75">
      <c r="A15" s="778"/>
      <c r="B15" s="781"/>
      <c r="C15" s="781"/>
      <c r="D15" s="781"/>
      <c r="E15" s="781"/>
      <c r="F15" s="781"/>
      <c r="G15" s="781"/>
      <c r="H15" s="781"/>
      <c r="I15" s="782"/>
    </row>
    <row r="16" spans="1:9" ht="12.75">
      <c r="A16" s="783" t="s">
        <v>873</v>
      </c>
      <c r="B16" s="784">
        <v>4470.066</v>
      </c>
      <c r="C16" s="787">
        <v>0</v>
      </c>
      <c r="D16" s="787">
        <v>0</v>
      </c>
      <c r="E16" s="787">
        <v>0</v>
      </c>
      <c r="F16" s="787">
        <v>0</v>
      </c>
      <c r="G16" s="787">
        <v>0</v>
      </c>
      <c r="H16" s="787">
        <v>0</v>
      </c>
      <c r="I16" s="788">
        <v>0</v>
      </c>
    </row>
    <row r="17" spans="1:9" ht="13.5" thickBot="1">
      <c r="A17" s="793" t="s">
        <v>874</v>
      </c>
      <c r="B17" s="790" t="s">
        <v>1279</v>
      </c>
      <c r="C17" s="791">
        <v>0</v>
      </c>
      <c r="D17" s="791">
        <v>0</v>
      </c>
      <c r="E17" s="791">
        <v>0</v>
      </c>
      <c r="F17" s="791">
        <v>0</v>
      </c>
      <c r="G17" s="791">
        <v>0</v>
      </c>
      <c r="H17" s="791">
        <v>0</v>
      </c>
      <c r="I17" s="792">
        <v>0</v>
      </c>
    </row>
    <row r="18" ht="12.75">
      <c r="A18" s="141"/>
    </row>
    <row r="19" ht="13.5" thickBot="1">
      <c r="A19" s="141"/>
    </row>
    <row r="20" spans="1:9" ht="12.75">
      <c r="A20" s="775"/>
      <c r="B20" s="350" t="s">
        <v>1573</v>
      </c>
      <c r="C20" s="776"/>
      <c r="D20" s="776"/>
      <c r="E20" s="776"/>
      <c r="F20" s="776"/>
      <c r="G20" s="776"/>
      <c r="H20" s="776"/>
      <c r="I20" s="777"/>
    </row>
    <row r="21" spans="1:9" ht="12.75">
      <c r="A21" s="778"/>
      <c r="B21" s="352" t="s">
        <v>255</v>
      </c>
      <c r="C21" s="781"/>
      <c r="D21" s="781"/>
      <c r="E21" s="781"/>
      <c r="F21" s="781"/>
      <c r="G21" s="781"/>
      <c r="H21" s="781"/>
      <c r="I21" s="782"/>
    </row>
    <row r="22" spans="1:9" ht="12.75">
      <c r="A22" s="778"/>
      <c r="B22" s="352" t="s">
        <v>1574</v>
      </c>
      <c r="C22" s="781"/>
      <c r="D22" s="348">
        <v>0.32375</v>
      </c>
      <c r="E22" s="348">
        <v>0.06714</v>
      </c>
      <c r="F22" s="348">
        <v>0.19468</v>
      </c>
      <c r="G22" s="348">
        <v>0.2278</v>
      </c>
      <c r="H22" s="348">
        <v>0.18663</v>
      </c>
      <c r="I22" s="349">
        <v>1</v>
      </c>
    </row>
    <row r="23" spans="1:9" ht="12.75">
      <c r="A23" s="778"/>
      <c r="B23" s="779" t="s">
        <v>747</v>
      </c>
      <c r="C23" s="779" t="s">
        <v>751</v>
      </c>
      <c r="D23" s="779" t="s">
        <v>926</v>
      </c>
      <c r="E23" s="779" t="s">
        <v>927</v>
      </c>
      <c r="F23" s="779" t="s">
        <v>928</v>
      </c>
      <c r="G23" s="779" t="s">
        <v>929</v>
      </c>
      <c r="H23" s="779" t="s">
        <v>1754</v>
      </c>
      <c r="I23" s="780" t="s">
        <v>1279</v>
      </c>
    </row>
    <row r="24" spans="1:9" ht="12.75">
      <c r="A24" s="778"/>
      <c r="B24" s="781"/>
      <c r="C24" s="781"/>
      <c r="D24" s="781"/>
      <c r="E24" s="781"/>
      <c r="F24" s="781"/>
      <c r="G24" s="781"/>
      <c r="H24" s="781"/>
      <c r="I24" s="782"/>
    </row>
    <row r="25" spans="1:9" ht="12.75">
      <c r="A25" s="783" t="s">
        <v>873</v>
      </c>
      <c r="B25" s="784">
        <v>4470.066</v>
      </c>
      <c r="C25" s="787">
        <v>0</v>
      </c>
      <c r="D25" s="787">
        <v>0</v>
      </c>
      <c r="E25" s="787">
        <v>0</v>
      </c>
      <c r="F25" s="787">
        <v>0</v>
      </c>
      <c r="G25" s="787">
        <v>0</v>
      </c>
      <c r="H25" s="787">
        <v>0</v>
      </c>
      <c r="I25" s="788">
        <v>0</v>
      </c>
    </row>
    <row r="26" spans="1:9" ht="13.5" thickBot="1">
      <c r="A26" s="793" t="s">
        <v>874</v>
      </c>
      <c r="B26" s="790" t="s">
        <v>1279</v>
      </c>
      <c r="C26" s="791">
        <v>0</v>
      </c>
      <c r="D26" s="791">
        <v>0</v>
      </c>
      <c r="E26" s="791">
        <v>0</v>
      </c>
      <c r="F26" s="791">
        <v>0</v>
      </c>
      <c r="G26" s="791">
        <v>0</v>
      </c>
      <c r="H26" s="791">
        <v>0</v>
      </c>
      <c r="I26" s="792">
        <v>0</v>
      </c>
    </row>
    <row r="27" ht="12.75">
      <c r="A27" s="141"/>
    </row>
    <row r="28" ht="12.75">
      <c r="A28" s="141"/>
    </row>
    <row r="29" ht="13.5" thickBot="1"/>
    <row r="30" spans="1:9" ht="12.75">
      <c r="A30" s="775"/>
      <c r="B30" s="350" t="s">
        <v>1639</v>
      </c>
      <c r="C30" s="776"/>
      <c r="D30" s="776"/>
      <c r="E30" s="776"/>
      <c r="F30" s="776"/>
      <c r="G30" s="776"/>
      <c r="H30" s="776"/>
      <c r="I30" s="777"/>
    </row>
    <row r="31" spans="1:9" ht="12.75">
      <c r="A31" s="778"/>
      <c r="B31" s="352" t="s">
        <v>2017</v>
      </c>
      <c r="C31" s="781"/>
      <c r="D31" s="348">
        <v>0.32375</v>
      </c>
      <c r="E31" s="348">
        <v>0.06714</v>
      </c>
      <c r="F31" s="348">
        <v>0.19468</v>
      </c>
      <c r="G31" s="348">
        <v>0.2278</v>
      </c>
      <c r="H31" s="348">
        <v>0.18663</v>
      </c>
      <c r="I31" s="349">
        <v>1</v>
      </c>
    </row>
    <row r="32" spans="1:9" ht="12.75">
      <c r="A32" s="778"/>
      <c r="B32" s="779" t="s">
        <v>747</v>
      </c>
      <c r="C32" s="779" t="s">
        <v>751</v>
      </c>
      <c r="D32" s="779" t="s">
        <v>926</v>
      </c>
      <c r="E32" s="779" t="s">
        <v>927</v>
      </c>
      <c r="F32" s="779" t="s">
        <v>928</v>
      </c>
      <c r="G32" s="779" t="s">
        <v>929</v>
      </c>
      <c r="H32" s="779" t="s">
        <v>1754</v>
      </c>
      <c r="I32" s="780" t="s">
        <v>1279</v>
      </c>
    </row>
    <row r="33" spans="1:9" ht="12.75">
      <c r="A33" s="778"/>
      <c r="B33" s="781"/>
      <c r="C33" s="781"/>
      <c r="D33" s="781"/>
      <c r="E33" s="781"/>
      <c r="F33" s="781"/>
      <c r="G33" s="781"/>
      <c r="H33" s="781"/>
      <c r="I33" s="782"/>
    </row>
    <row r="34" spans="1:9" ht="12.75">
      <c r="A34" s="783" t="s">
        <v>873</v>
      </c>
      <c r="B34" s="784">
        <v>4470.066</v>
      </c>
      <c r="C34" s="787">
        <v>0</v>
      </c>
      <c r="D34" s="787">
        <v>0</v>
      </c>
      <c r="E34" s="787">
        <v>0</v>
      </c>
      <c r="F34" s="787">
        <v>0</v>
      </c>
      <c r="G34" s="787">
        <v>0</v>
      </c>
      <c r="H34" s="787">
        <v>0</v>
      </c>
      <c r="I34" s="788">
        <v>0</v>
      </c>
    </row>
    <row r="35" spans="1:9" ht="13.5" thickBot="1">
      <c r="A35" s="793" t="s">
        <v>874</v>
      </c>
      <c r="B35" s="790" t="s">
        <v>1279</v>
      </c>
      <c r="C35" s="791">
        <v>0</v>
      </c>
      <c r="D35" s="791">
        <v>0</v>
      </c>
      <c r="E35" s="791">
        <v>0</v>
      </c>
      <c r="F35" s="791">
        <v>0</v>
      </c>
      <c r="G35" s="791">
        <v>0</v>
      </c>
      <c r="H35" s="791">
        <v>0</v>
      </c>
      <c r="I35" s="792">
        <v>0</v>
      </c>
    </row>
    <row r="36" spans="2:9" ht="12.75">
      <c r="B36" s="784"/>
      <c r="C36" s="785"/>
      <c r="D36" s="785"/>
      <c r="E36" s="785"/>
      <c r="F36" s="785"/>
      <c r="G36" s="785"/>
      <c r="H36" s="785"/>
      <c r="I36" s="785"/>
    </row>
    <row r="37" spans="1:9" ht="13.5" thickBot="1">
      <c r="A37" s="803"/>
      <c r="B37" s="803"/>
      <c r="C37" s="803"/>
      <c r="D37" s="803"/>
      <c r="E37" s="803"/>
      <c r="F37" s="803"/>
      <c r="G37" s="803"/>
      <c r="H37" s="803"/>
      <c r="I37" s="803"/>
    </row>
    <row r="39" ht="13.5" thickBot="1"/>
    <row r="40" spans="1:9" ht="12.75">
      <c r="A40" s="775"/>
      <c r="B40" s="350" t="s">
        <v>254</v>
      </c>
      <c r="C40" s="776"/>
      <c r="D40" s="350" t="s">
        <v>942</v>
      </c>
      <c r="E40" s="350" t="s">
        <v>942</v>
      </c>
      <c r="F40" s="350" t="s">
        <v>942</v>
      </c>
      <c r="G40" s="350" t="s">
        <v>942</v>
      </c>
      <c r="H40" s="390" t="s">
        <v>942</v>
      </c>
      <c r="I40" s="781"/>
    </row>
    <row r="41" spans="1:9" ht="12.75">
      <c r="A41" s="778"/>
      <c r="B41" s="352" t="s">
        <v>593</v>
      </c>
      <c r="C41" s="781"/>
      <c r="D41" s="348">
        <v>0</v>
      </c>
      <c r="E41" s="348">
        <v>0</v>
      </c>
      <c r="F41" s="348">
        <v>0</v>
      </c>
      <c r="G41" s="348">
        <v>0</v>
      </c>
      <c r="H41" s="349">
        <v>0</v>
      </c>
      <c r="I41" s="781"/>
    </row>
    <row r="42" spans="1:9" ht="12.75">
      <c r="A42" s="778"/>
      <c r="B42" s="779" t="s">
        <v>747</v>
      </c>
      <c r="C42" s="779" t="s">
        <v>751</v>
      </c>
      <c r="D42" s="779" t="s">
        <v>1650</v>
      </c>
      <c r="E42" s="779" t="s">
        <v>1648</v>
      </c>
      <c r="F42" s="779" t="s">
        <v>256</v>
      </c>
      <c r="G42" s="779" t="s">
        <v>1651</v>
      </c>
      <c r="H42" s="780" t="s">
        <v>1279</v>
      </c>
      <c r="I42" s="781"/>
    </row>
    <row r="43" spans="1:9" ht="12.75">
      <c r="A43" s="778"/>
      <c r="B43" s="781"/>
      <c r="C43" s="781"/>
      <c r="D43" s="781"/>
      <c r="E43" s="781"/>
      <c r="F43" s="781"/>
      <c r="G43" s="781"/>
      <c r="H43" s="782"/>
      <c r="I43" s="781"/>
    </row>
    <row r="44" spans="1:8" ht="12.75">
      <c r="A44" s="783" t="s">
        <v>873</v>
      </c>
      <c r="B44" s="784">
        <v>5650.002</v>
      </c>
      <c r="C44" s="787">
        <v>0</v>
      </c>
      <c r="D44" s="787">
        <v>0</v>
      </c>
      <c r="E44" s="787">
        <v>0</v>
      </c>
      <c r="F44" s="787">
        <v>0</v>
      </c>
      <c r="G44" s="787">
        <v>0</v>
      </c>
      <c r="H44" s="788">
        <v>0</v>
      </c>
    </row>
    <row r="45" spans="1:8" ht="13.5" thickBot="1">
      <c r="A45" s="793" t="s">
        <v>874</v>
      </c>
      <c r="B45" s="790" t="s">
        <v>1279</v>
      </c>
      <c r="C45" s="791">
        <v>0</v>
      </c>
      <c r="D45" s="791">
        <v>0</v>
      </c>
      <c r="E45" s="791">
        <v>0</v>
      </c>
      <c r="F45" s="791">
        <v>0</v>
      </c>
      <c r="G45" s="791">
        <v>0</v>
      </c>
      <c r="H45" s="792">
        <v>0</v>
      </c>
    </row>
  </sheetData>
  <sheetProtection/>
  <printOptions/>
  <pageMargins left="0.5" right="0.5" top="0.5" bottom="0.5" header="0.5" footer="0.5"/>
  <pageSetup horizontalDpi="600" verticalDpi="600" orientation="landscape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K2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4.57421875" style="759" customWidth="1"/>
    <col min="2" max="2" width="9.7109375" style="759" bestFit="1" customWidth="1"/>
    <col min="3" max="3" width="15.00390625" style="759" bestFit="1" customWidth="1"/>
    <col min="4" max="4" width="13.57421875" style="759" bestFit="1" customWidth="1"/>
    <col min="5" max="5" width="12.28125" style="759" bestFit="1" customWidth="1"/>
    <col min="6" max="6" width="2.28125" style="759" customWidth="1"/>
    <col min="7" max="7" width="14.00390625" style="759" bestFit="1" customWidth="1"/>
    <col min="8" max="8" width="11.28125" style="759" bestFit="1" customWidth="1"/>
    <col min="9" max="9" width="11.8515625" style="759" bestFit="1" customWidth="1"/>
    <col min="10" max="10" width="2.28125" style="759" customWidth="1"/>
    <col min="11" max="11" width="18.421875" style="759" bestFit="1" customWidth="1"/>
    <col min="12" max="16384" width="9.140625" style="759" customWidth="1"/>
  </cols>
  <sheetData>
    <row r="1" spans="1:11" ht="12.75">
      <c r="A1" s="217" t="s">
        <v>1294</v>
      </c>
      <c r="B1" s="757" t="str">
        <f>INPUT!C1</f>
        <v>February 2012</v>
      </c>
      <c r="C1" s="758"/>
      <c r="D1" s="758"/>
      <c r="E1" s="758"/>
      <c r="F1" s="758"/>
      <c r="G1" s="758"/>
      <c r="K1" s="142" t="s">
        <v>752</v>
      </c>
    </row>
    <row r="2" spans="1:11" ht="12.75">
      <c r="A2" s="760"/>
      <c r="B2" s="758"/>
      <c r="C2" s="758"/>
      <c r="D2" s="758"/>
      <c r="E2" s="758"/>
      <c r="F2" s="758"/>
      <c r="G2" s="758"/>
      <c r="K2" s="142" t="s">
        <v>876</v>
      </c>
    </row>
    <row r="4" spans="1:11" ht="12.75">
      <c r="A4" s="1205" t="s">
        <v>2065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</row>
    <row r="6" spans="3:9" ht="12.75">
      <c r="C6" s="1206" t="s">
        <v>2066</v>
      </c>
      <c r="D6" s="1206"/>
      <c r="E6" s="1206"/>
      <c r="F6" s="1206"/>
      <c r="G6" s="1206"/>
      <c r="H6" s="1206"/>
      <c r="I6" s="1206"/>
    </row>
    <row r="7" spans="3:9" ht="12.75">
      <c r="C7" s="761" t="s">
        <v>1061</v>
      </c>
      <c r="D7" s="761" t="s">
        <v>1061</v>
      </c>
      <c r="E7" s="761" t="s">
        <v>1061</v>
      </c>
      <c r="G7" s="761" t="s">
        <v>1062</v>
      </c>
      <c r="H7" s="761" t="s">
        <v>1062</v>
      </c>
      <c r="I7" s="761" t="s">
        <v>1062</v>
      </c>
    </row>
    <row r="8" spans="3:11" ht="12.75">
      <c r="C8" s="761" t="s">
        <v>2067</v>
      </c>
      <c r="D8" s="761" t="s">
        <v>2068</v>
      </c>
      <c r="E8" s="761" t="s">
        <v>1279</v>
      </c>
      <c r="G8" s="761" t="s">
        <v>2067</v>
      </c>
      <c r="H8" s="761" t="s">
        <v>2068</v>
      </c>
      <c r="I8" s="761" t="s">
        <v>1279</v>
      </c>
      <c r="K8" s="761" t="s">
        <v>1279</v>
      </c>
    </row>
    <row r="9" spans="3:11" ht="12.75">
      <c r="C9" s="762" t="s">
        <v>2069</v>
      </c>
      <c r="D9" s="762" t="s">
        <v>2069</v>
      </c>
      <c r="E9" s="762" t="s">
        <v>2069</v>
      </c>
      <c r="G9" s="762" t="s">
        <v>2069</v>
      </c>
      <c r="H9" s="762" t="s">
        <v>2069</v>
      </c>
      <c r="I9" s="762" t="s">
        <v>2069</v>
      </c>
      <c r="K9" s="762" t="s">
        <v>261</v>
      </c>
    </row>
    <row r="10" spans="3:11" ht="12.75">
      <c r="C10" s="761"/>
      <c r="D10" s="761"/>
      <c r="E10" s="761"/>
      <c r="G10" s="761"/>
      <c r="H10" s="761"/>
      <c r="I10" s="761"/>
      <c r="K10" s="761"/>
    </row>
    <row r="11" spans="1:11" ht="12.75">
      <c r="A11" s="763">
        <v>40156</v>
      </c>
      <c r="B11" s="761" t="s">
        <v>2070</v>
      </c>
      <c r="C11" s="615"/>
      <c r="D11" s="764">
        <v>0</v>
      </c>
      <c r="E11" s="615">
        <f aca="true" t="shared" si="0" ref="E11:E22">C11+D11</f>
        <v>0</v>
      </c>
      <c r="F11" s="765"/>
      <c r="G11" s="615">
        <v>0</v>
      </c>
      <c r="H11" s="615">
        <v>0</v>
      </c>
      <c r="I11" s="615">
        <f aca="true" t="shared" si="1" ref="I11:I21">G11+H11</f>
        <v>0</v>
      </c>
      <c r="J11" s="765"/>
      <c r="K11" s="615">
        <f aca="true" t="shared" si="2" ref="K11:K20">E11+I11</f>
        <v>0</v>
      </c>
    </row>
    <row r="12" spans="1:11" ht="12.75">
      <c r="A12" s="763">
        <v>40179</v>
      </c>
      <c r="B12" s="761" t="s">
        <v>2070</v>
      </c>
      <c r="C12" s="615"/>
      <c r="D12" s="764">
        <v>0</v>
      </c>
      <c r="E12" s="615">
        <f t="shared" si="0"/>
        <v>0</v>
      </c>
      <c r="F12" s="765"/>
      <c r="G12" s="615">
        <v>0</v>
      </c>
      <c r="H12" s="615">
        <v>0</v>
      </c>
      <c r="I12" s="615">
        <f t="shared" si="1"/>
        <v>0</v>
      </c>
      <c r="J12" s="765"/>
      <c r="K12" s="615">
        <f t="shared" si="2"/>
        <v>0</v>
      </c>
    </row>
    <row r="13" spans="1:11" ht="12.75">
      <c r="A13" s="763">
        <v>40219</v>
      </c>
      <c r="B13" s="761" t="s">
        <v>2070</v>
      </c>
      <c r="C13" s="615"/>
      <c r="D13" s="764">
        <v>0</v>
      </c>
      <c r="E13" s="615">
        <f t="shared" si="0"/>
        <v>0</v>
      </c>
      <c r="F13" s="765"/>
      <c r="G13" s="615">
        <v>0</v>
      </c>
      <c r="H13" s="615">
        <v>0</v>
      </c>
      <c r="I13" s="615">
        <f t="shared" si="1"/>
        <v>0</v>
      </c>
      <c r="J13" s="765"/>
      <c r="K13" s="615">
        <f t="shared" si="2"/>
        <v>0</v>
      </c>
    </row>
    <row r="14" spans="1:11" ht="12.75">
      <c r="A14" s="763">
        <v>40247</v>
      </c>
      <c r="B14" s="761" t="s">
        <v>2070</v>
      </c>
      <c r="C14" s="615"/>
      <c r="D14" s="764">
        <v>0</v>
      </c>
      <c r="E14" s="615">
        <f t="shared" si="0"/>
        <v>0</v>
      </c>
      <c r="F14" s="765"/>
      <c r="G14" s="615">
        <v>0</v>
      </c>
      <c r="H14" s="615">
        <v>0</v>
      </c>
      <c r="I14" s="615">
        <f t="shared" si="1"/>
        <v>0</v>
      </c>
      <c r="J14" s="765"/>
      <c r="K14" s="615">
        <f t="shared" si="2"/>
        <v>0</v>
      </c>
    </row>
    <row r="15" spans="1:11" ht="12.75">
      <c r="A15" s="763">
        <v>40278</v>
      </c>
      <c r="B15" s="761" t="s">
        <v>2070</v>
      </c>
      <c r="C15" s="615"/>
      <c r="D15" s="764">
        <v>0</v>
      </c>
      <c r="E15" s="615">
        <f t="shared" si="0"/>
        <v>0</v>
      </c>
      <c r="F15" s="765"/>
      <c r="G15" s="615">
        <v>0</v>
      </c>
      <c r="H15" s="615">
        <v>0</v>
      </c>
      <c r="I15" s="615">
        <f t="shared" si="1"/>
        <v>0</v>
      </c>
      <c r="J15" s="765"/>
      <c r="K15" s="615">
        <f t="shared" si="2"/>
        <v>0</v>
      </c>
    </row>
    <row r="16" spans="1:11" ht="12.75">
      <c r="A16" s="763">
        <v>40308</v>
      </c>
      <c r="B16" s="761" t="s">
        <v>2070</v>
      </c>
      <c r="C16" s="721"/>
      <c r="D16" s="764">
        <v>0</v>
      </c>
      <c r="E16" s="615">
        <f t="shared" si="0"/>
        <v>0</v>
      </c>
      <c r="F16" s="765"/>
      <c r="G16" s="721">
        <v>0</v>
      </c>
      <c r="H16" s="615">
        <v>0</v>
      </c>
      <c r="I16" s="615">
        <f t="shared" si="1"/>
        <v>0</v>
      </c>
      <c r="J16" s="765"/>
      <c r="K16" s="615">
        <f t="shared" si="2"/>
        <v>0</v>
      </c>
    </row>
    <row r="17" spans="1:11" ht="12.75">
      <c r="A17" s="763">
        <v>40339</v>
      </c>
      <c r="B17" s="761" t="s">
        <v>2070</v>
      </c>
      <c r="C17" s="721"/>
      <c r="D17" s="764">
        <v>0</v>
      </c>
      <c r="E17" s="615">
        <f t="shared" si="0"/>
        <v>0</v>
      </c>
      <c r="F17" s="765"/>
      <c r="G17" s="721">
        <v>0</v>
      </c>
      <c r="H17" s="615">
        <v>0</v>
      </c>
      <c r="I17" s="615">
        <f t="shared" si="1"/>
        <v>0</v>
      </c>
      <c r="J17" s="765"/>
      <c r="K17" s="615">
        <f t="shared" si="2"/>
        <v>0</v>
      </c>
    </row>
    <row r="18" spans="1:11" ht="12.75">
      <c r="A18" s="763">
        <v>40369</v>
      </c>
      <c r="B18" s="761" t="s">
        <v>2070</v>
      </c>
      <c r="C18" s="721"/>
      <c r="D18" s="764">
        <v>0</v>
      </c>
      <c r="E18" s="615">
        <f t="shared" si="0"/>
        <v>0</v>
      </c>
      <c r="F18" s="765"/>
      <c r="G18" s="721">
        <v>0</v>
      </c>
      <c r="H18" s="615">
        <v>0</v>
      </c>
      <c r="I18" s="615">
        <f t="shared" si="1"/>
        <v>0</v>
      </c>
      <c r="J18" s="765"/>
      <c r="K18" s="615">
        <f t="shared" si="2"/>
        <v>0</v>
      </c>
    </row>
    <row r="19" spans="1:11" ht="12.75">
      <c r="A19" s="763">
        <v>40391</v>
      </c>
      <c r="B19" s="761" t="s">
        <v>2070</v>
      </c>
      <c r="C19" s="721"/>
      <c r="D19" s="764">
        <v>0</v>
      </c>
      <c r="E19" s="615">
        <f t="shared" si="0"/>
        <v>0</v>
      </c>
      <c r="F19" s="765"/>
      <c r="G19" s="721">
        <v>0</v>
      </c>
      <c r="H19" s="615">
        <v>0</v>
      </c>
      <c r="I19" s="615">
        <f t="shared" si="1"/>
        <v>0</v>
      </c>
      <c r="J19" s="765"/>
      <c r="K19" s="615">
        <f t="shared" si="2"/>
        <v>0</v>
      </c>
    </row>
    <row r="20" spans="1:11" ht="12.75">
      <c r="A20" s="763">
        <v>40422</v>
      </c>
      <c r="B20" s="766" t="s">
        <v>2070</v>
      </c>
      <c r="C20" s="721"/>
      <c r="D20" s="764">
        <v>0</v>
      </c>
      <c r="E20" s="615">
        <f t="shared" si="0"/>
        <v>0</v>
      </c>
      <c r="F20" s="765"/>
      <c r="G20" s="721">
        <v>0</v>
      </c>
      <c r="H20" s="615">
        <v>0</v>
      </c>
      <c r="I20" s="615">
        <f t="shared" si="1"/>
        <v>0</v>
      </c>
      <c r="J20" s="765"/>
      <c r="K20" s="615">
        <f t="shared" si="2"/>
        <v>0</v>
      </c>
    </row>
    <row r="21" spans="1:11" ht="12.75">
      <c r="A21" s="763">
        <v>40452</v>
      </c>
      <c r="B21" s="794" t="s">
        <v>2070</v>
      </c>
      <c r="C21" s="721"/>
      <c r="D21" s="765"/>
      <c r="E21" s="795">
        <f t="shared" si="0"/>
        <v>0</v>
      </c>
      <c r="F21" s="765"/>
      <c r="G21" s="721">
        <v>0</v>
      </c>
      <c r="H21" s="765"/>
      <c r="I21" s="615">
        <f t="shared" si="1"/>
        <v>0</v>
      </c>
      <c r="J21" s="765"/>
      <c r="K21" s="615">
        <f>E21+I21</f>
        <v>0</v>
      </c>
    </row>
    <row r="22" spans="1:11" ht="12.75">
      <c r="A22" s="810"/>
      <c r="B22" s="794" t="s">
        <v>2070</v>
      </c>
      <c r="C22" s="721">
        <f>'APPVIII PG 1'!C89</f>
        <v>0</v>
      </c>
      <c r="D22" s="764"/>
      <c r="E22" s="795">
        <f t="shared" si="0"/>
        <v>0</v>
      </c>
      <c r="F22" s="765"/>
      <c r="G22" s="721">
        <f>'APPVIII PG 1'!D89</f>
        <v>0</v>
      </c>
      <c r="H22" s="615"/>
      <c r="I22" s="615">
        <f>G22+H22</f>
        <v>0</v>
      </c>
      <c r="J22" s="765"/>
      <c r="K22" s="615">
        <f>E22+I22</f>
        <v>0</v>
      </c>
    </row>
    <row r="23" spans="3:11" ht="12.75">
      <c r="C23" s="765"/>
      <c r="D23" s="765"/>
      <c r="E23" s="765"/>
      <c r="F23" s="765"/>
      <c r="G23" s="765"/>
      <c r="H23" s="765"/>
      <c r="I23" s="765"/>
      <c r="J23" s="765"/>
      <c r="K23" s="765"/>
    </row>
    <row r="24" spans="3:11" ht="12.75">
      <c r="C24" s="361"/>
      <c r="D24" s="361"/>
      <c r="E24" s="361"/>
      <c r="F24" s="360"/>
      <c r="G24" s="361"/>
      <c r="H24" s="361"/>
      <c r="I24" s="361"/>
      <c r="J24" s="360"/>
      <c r="K24" s="361"/>
    </row>
    <row r="25" spans="1:11" ht="12.75">
      <c r="A25" s="759" t="s">
        <v>2071</v>
      </c>
      <c r="C25" s="360"/>
      <c r="D25" s="360"/>
      <c r="E25" s="360">
        <f>SUM(E11:E23)</f>
        <v>0</v>
      </c>
      <c r="F25" s="360"/>
      <c r="G25" s="360"/>
      <c r="H25" s="360"/>
      <c r="I25" s="360">
        <f>SUM(I11:I23)</f>
        <v>0</v>
      </c>
      <c r="J25" s="360"/>
      <c r="K25" s="360">
        <f>SUM(K11:K24)</f>
        <v>0</v>
      </c>
    </row>
    <row r="26" spans="3:11" ht="12.75">
      <c r="C26" s="360"/>
      <c r="D26" s="360"/>
      <c r="E26" s="360"/>
      <c r="F26" s="360"/>
      <c r="G26" s="360"/>
      <c r="H26" s="360"/>
      <c r="I26" s="360"/>
      <c r="J26" s="360"/>
      <c r="K26" s="360"/>
    </row>
    <row r="27" spans="1:11" ht="13.5" thickBot="1">
      <c r="A27" s="759" t="s">
        <v>2072</v>
      </c>
      <c r="C27" s="767" t="str">
        <f>B1</f>
        <v>February 2012</v>
      </c>
      <c r="D27" s="768" t="s">
        <v>383</v>
      </c>
      <c r="E27" s="769">
        <f>IF(I25&lt;=0,100%,E25/K25)</f>
        <v>1</v>
      </c>
      <c r="I27" s="769">
        <f>IF(I25&lt;=0,0,I25/K25)</f>
        <v>0</v>
      </c>
      <c r="K27" s="362">
        <f>E27+I27</f>
        <v>1</v>
      </c>
    </row>
    <row r="28" spans="3:11" ht="13.5" thickTop="1">
      <c r="C28" s="768"/>
      <c r="K28" s="362"/>
    </row>
    <row r="29" spans="1:11" ht="12.75">
      <c r="A29" s="770"/>
      <c r="B29" s="770"/>
      <c r="C29" s="770"/>
      <c r="D29" s="770"/>
      <c r="E29" s="770"/>
      <c r="F29" s="770"/>
      <c r="G29" s="770"/>
      <c r="H29" s="770"/>
      <c r="I29" s="770"/>
      <c r="J29" s="770"/>
      <c r="K29" s="770"/>
    </row>
  </sheetData>
  <sheetProtection/>
  <mergeCells count="2">
    <mergeCell ref="A4:K4"/>
    <mergeCell ref="C6:I6"/>
  </mergeCells>
  <printOptions/>
  <pageMargins left="0.75" right="0.75" top="1" bottom="1" header="0.5" footer="0.5"/>
  <pageSetup horizontalDpi="600" verticalDpi="600" orientation="landscape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11.0039062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6.2812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146" t="s">
        <v>485</v>
      </c>
      <c r="B1" s="354" t="str">
        <f>INPUT!C1</f>
        <v>February 2012</v>
      </c>
      <c r="V1" s="142" t="s">
        <v>486</v>
      </c>
    </row>
    <row r="2" spans="1:22" ht="12.75">
      <c r="A2" s="146"/>
      <c r="B2" s="354"/>
      <c r="V2" s="142" t="s">
        <v>877</v>
      </c>
    </row>
    <row r="3" ht="18">
      <c r="A3" s="140" t="str">
        <f>"Adjustments in "&amp;INPUT!C1&amp;" Actual Cycle that Apply to West Transmission Purchases from April 2006 thru February 2010"</f>
        <v>Adjustments in February 2012 Actual Cycle that Apply to West Transmission Purchases from April 2006 thru February 2010</v>
      </c>
    </row>
    <row r="5" spans="1:5" ht="12.75">
      <c r="A5" s="146" t="s">
        <v>1515</v>
      </c>
      <c r="E5" s="141" t="s">
        <v>1516</v>
      </c>
    </row>
    <row r="6" spans="1:22" ht="12.75">
      <c r="A6" s="134" t="s">
        <v>1054</v>
      </c>
      <c r="B6" s="134" t="s">
        <v>369</v>
      </c>
      <c r="C6" s="134" t="s">
        <v>1055</v>
      </c>
      <c r="D6" s="134" t="s">
        <v>751</v>
      </c>
      <c r="E6" s="134" t="s">
        <v>1056</v>
      </c>
      <c r="F6" s="134"/>
      <c r="H6" s="134" t="s">
        <v>1060</v>
      </c>
      <c r="I6" s="134" t="s">
        <v>1513</v>
      </c>
      <c r="K6" s="134" t="s">
        <v>926</v>
      </c>
      <c r="L6" s="134" t="s">
        <v>927</v>
      </c>
      <c r="M6" s="134" t="s">
        <v>928</v>
      </c>
      <c r="N6" s="134" t="s">
        <v>929</v>
      </c>
      <c r="O6" s="134" t="s">
        <v>1754</v>
      </c>
      <c r="P6" s="134" t="s">
        <v>1279</v>
      </c>
      <c r="R6" s="134" t="s">
        <v>1514</v>
      </c>
      <c r="S6" s="134" t="s">
        <v>1648</v>
      </c>
      <c r="T6" s="134" t="s">
        <v>1651</v>
      </c>
      <c r="U6" s="134" t="s">
        <v>1650</v>
      </c>
      <c r="V6" s="134" t="s">
        <v>1279</v>
      </c>
    </row>
    <row r="7" spans="11:22" ht="12.75">
      <c r="K7" s="720" t="s">
        <v>400</v>
      </c>
      <c r="L7" s="720" t="s">
        <v>400</v>
      </c>
      <c r="M7" s="720" t="s">
        <v>400</v>
      </c>
      <c r="N7" s="720" t="s">
        <v>400</v>
      </c>
      <c r="O7" s="720" t="s">
        <v>400</v>
      </c>
      <c r="P7" s="720" t="s">
        <v>400</v>
      </c>
      <c r="R7" s="720" t="s">
        <v>400</v>
      </c>
      <c r="S7" s="720" t="s">
        <v>400</v>
      </c>
      <c r="T7" s="720" t="s">
        <v>400</v>
      </c>
      <c r="U7" s="720" t="s">
        <v>400</v>
      </c>
      <c r="V7" s="720" t="s">
        <v>400</v>
      </c>
    </row>
    <row r="8" spans="1:22" ht="12.75">
      <c r="A8" s="701"/>
      <c r="B8" s="136"/>
      <c r="C8" s="433"/>
      <c r="D8" s="436">
        <v>0</v>
      </c>
      <c r="E8" s="136"/>
      <c r="F8" s="136"/>
      <c r="G8" s="136"/>
      <c r="H8" s="387"/>
      <c r="I8" s="388"/>
      <c r="K8" s="386"/>
      <c r="L8" s="386"/>
      <c r="M8" s="386"/>
      <c r="N8" s="386"/>
      <c r="O8" s="386"/>
      <c r="P8" s="389"/>
      <c r="Q8" s="388"/>
      <c r="R8" s="386"/>
      <c r="S8" s="386"/>
      <c r="T8" s="386"/>
      <c r="U8" s="386"/>
      <c r="V8" s="389"/>
    </row>
    <row r="9" spans="1:3" ht="12.75">
      <c r="A9" s="718"/>
      <c r="C9" s="136"/>
    </row>
    <row r="10" spans="11:21" ht="15.75">
      <c r="K10" s="355" t="s">
        <v>328</v>
      </c>
      <c r="L10" s="355">
        <v>4470.144</v>
      </c>
      <c r="M10" s="355">
        <v>4210.043</v>
      </c>
      <c r="N10" s="355" t="s">
        <v>1279</v>
      </c>
      <c r="R10" s="355" t="s">
        <v>329</v>
      </c>
      <c r="S10" s="355">
        <v>4470.144</v>
      </c>
      <c r="T10" s="355">
        <v>4210.043</v>
      </c>
      <c r="U10" s="355" t="s">
        <v>1279</v>
      </c>
    </row>
    <row r="12" spans="11:21" ht="15.75">
      <c r="K12" s="356" t="s">
        <v>926</v>
      </c>
      <c r="L12" s="439">
        <v>0</v>
      </c>
      <c r="M12" s="439">
        <v>0</v>
      </c>
      <c r="N12" s="439">
        <f>L12+M12</f>
        <v>0</v>
      </c>
      <c r="R12" s="141" t="s">
        <v>1514</v>
      </c>
      <c r="S12" s="438">
        <v>0</v>
      </c>
      <c r="T12" s="438">
        <v>0</v>
      </c>
      <c r="U12" s="438">
        <f>S12+T12</f>
        <v>0</v>
      </c>
    </row>
    <row r="13" spans="11:21" ht="15.75">
      <c r="K13" s="356" t="s">
        <v>927</v>
      </c>
      <c r="L13" s="439">
        <v>0</v>
      </c>
      <c r="M13" s="439">
        <v>0</v>
      </c>
      <c r="N13" s="439">
        <f>L13+M13</f>
        <v>0</v>
      </c>
      <c r="R13" s="141" t="s">
        <v>1648</v>
      </c>
      <c r="S13" s="438">
        <v>0</v>
      </c>
      <c r="T13" s="438">
        <v>0</v>
      </c>
      <c r="U13" s="438">
        <f>S13+T13</f>
        <v>0</v>
      </c>
    </row>
    <row r="14" spans="11:21" ht="15.75">
      <c r="K14" s="356" t="s">
        <v>928</v>
      </c>
      <c r="L14" s="439">
        <v>0</v>
      </c>
      <c r="M14" s="439">
        <v>0</v>
      </c>
      <c r="N14" s="439">
        <f>L14+M14</f>
        <v>0</v>
      </c>
      <c r="R14" s="141" t="s">
        <v>1651</v>
      </c>
      <c r="S14" s="434">
        <v>0</v>
      </c>
      <c r="T14" s="434">
        <v>0</v>
      </c>
      <c r="U14" s="438">
        <f>S14+T14</f>
        <v>0</v>
      </c>
    </row>
    <row r="15" spans="11:21" ht="15.75">
      <c r="K15" s="356" t="s">
        <v>929</v>
      </c>
      <c r="L15" s="439">
        <v>0</v>
      </c>
      <c r="M15" s="439">
        <v>0</v>
      </c>
      <c r="N15" s="439">
        <f>L15+M15</f>
        <v>0</v>
      </c>
      <c r="R15" s="141" t="s">
        <v>1650</v>
      </c>
      <c r="S15" s="434">
        <v>0</v>
      </c>
      <c r="T15" s="434">
        <v>0</v>
      </c>
      <c r="U15" s="438">
        <f>S15+T15</f>
        <v>0</v>
      </c>
    </row>
    <row r="16" spans="11:21" ht="15.75">
      <c r="K16" s="356" t="s">
        <v>1754</v>
      </c>
      <c r="L16" s="439">
        <v>0</v>
      </c>
      <c r="M16" s="439">
        <v>0</v>
      </c>
      <c r="N16" s="439">
        <f>L16+M16</f>
        <v>0</v>
      </c>
      <c r="R16" s="141"/>
      <c r="S16" s="358"/>
      <c r="T16" s="435"/>
      <c r="U16" s="435"/>
    </row>
    <row r="17" spans="11:21" ht="16.5" thickBot="1">
      <c r="K17" s="356"/>
      <c r="L17" s="358"/>
      <c r="M17" s="358"/>
      <c r="N17" s="357"/>
      <c r="R17" s="141" t="s">
        <v>543</v>
      </c>
      <c r="S17" s="719">
        <f>SUM(S12:S15)</f>
        <v>0</v>
      </c>
      <c r="T17" s="437">
        <f>SUM(T12:T16)</f>
        <v>0</v>
      </c>
      <c r="U17" s="437">
        <f>SUM(U12:U16)</f>
        <v>0</v>
      </c>
    </row>
    <row r="18" spans="11:14" ht="17.25" thickBot="1" thickTop="1">
      <c r="K18" s="356" t="s">
        <v>543</v>
      </c>
      <c r="L18" s="437">
        <f>SUM(L12:L17)</f>
        <v>0</v>
      </c>
      <c r="M18" s="437">
        <f>SUM(M12:M17)</f>
        <v>0</v>
      </c>
      <c r="N18" s="437">
        <f>SUM(N12:N17)</f>
        <v>0</v>
      </c>
    </row>
    <row r="19" spans="14:22" ht="16.5" thickTop="1">
      <c r="N19" s="393"/>
      <c r="S19" s="1207" t="s">
        <v>2059</v>
      </c>
      <c r="T19" s="1207"/>
      <c r="U19" s="1207"/>
      <c r="V19" s="1207"/>
    </row>
    <row r="20" spans="13:14" ht="12.75">
      <c r="M20" s="1207" t="s">
        <v>1553</v>
      </c>
      <c r="N20" s="1207"/>
    </row>
  </sheetData>
  <sheetProtection/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zoomScalePageLayoutView="0" workbookViewId="0" topLeftCell="A37">
      <selection activeCell="D24" sqref="D24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3" customFormat="1" ht="15">
      <c r="A1" s="217" t="s">
        <v>923</v>
      </c>
      <c r="B1" s="217"/>
      <c r="C1" s="311" t="str">
        <f>INPUT!C1</f>
        <v>February 2012</v>
      </c>
      <c r="D1" s="143"/>
      <c r="E1" s="143"/>
      <c r="F1" s="143"/>
      <c r="G1" s="143"/>
      <c r="H1" s="143"/>
      <c r="I1" s="143"/>
      <c r="J1" s="142" t="s">
        <v>752</v>
      </c>
    </row>
    <row r="2" spans="1:10" s="3" customFormat="1" ht="15">
      <c r="A2" s="143"/>
      <c r="B2" s="143"/>
      <c r="C2" s="143"/>
      <c r="D2" s="143"/>
      <c r="E2" s="143"/>
      <c r="F2" s="143"/>
      <c r="G2" s="143"/>
      <c r="H2" s="143"/>
      <c r="I2" s="143"/>
      <c r="J2" s="142" t="s">
        <v>878</v>
      </c>
    </row>
    <row r="3" spans="1:9" ht="15.75">
      <c r="A3" s="133" t="s">
        <v>1843</v>
      </c>
      <c r="B3" s="133"/>
      <c r="C3" s="133"/>
      <c r="G3" s="218"/>
      <c r="H3" s="218"/>
      <c r="I3" s="218"/>
    </row>
    <row r="4" spans="1:8" ht="15.75">
      <c r="A4" s="133"/>
      <c r="B4" s="133"/>
      <c r="C4" s="133"/>
      <c r="F4" s="218"/>
      <c r="G4" s="218"/>
      <c r="H4" s="218"/>
    </row>
    <row r="5" spans="1:10" ht="15.75">
      <c r="A5" s="133"/>
      <c r="B5" s="133"/>
      <c r="C5" s="136" t="s">
        <v>747</v>
      </c>
      <c r="D5" s="136" t="s">
        <v>1640</v>
      </c>
      <c r="E5" s="136"/>
      <c r="F5" s="271" t="s">
        <v>1854</v>
      </c>
      <c r="G5" s="271" t="s">
        <v>1844</v>
      </c>
      <c r="H5" s="271" t="s">
        <v>261</v>
      </c>
      <c r="I5" s="136" t="s">
        <v>1634</v>
      </c>
      <c r="J5" s="136" t="s">
        <v>747</v>
      </c>
    </row>
    <row r="6" spans="3:10" ht="12.75">
      <c r="C6" s="206" t="s">
        <v>1855</v>
      </c>
      <c r="D6" s="206" t="s">
        <v>1641</v>
      </c>
      <c r="E6" s="206"/>
      <c r="F6" s="272" t="s">
        <v>227</v>
      </c>
      <c r="G6" s="272" t="s">
        <v>227</v>
      </c>
      <c r="H6" s="272" t="s">
        <v>262</v>
      </c>
      <c r="I6" s="206" t="s">
        <v>1635</v>
      </c>
      <c r="J6" s="207" t="s">
        <v>1855</v>
      </c>
    </row>
    <row r="7" spans="1:9" ht="12.75">
      <c r="A7" t="s">
        <v>1643</v>
      </c>
      <c r="C7" s="136">
        <v>4470.081</v>
      </c>
      <c r="D7" s="657"/>
      <c r="F7" s="208"/>
      <c r="G7" s="208"/>
      <c r="H7" s="208"/>
      <c r="I7" s="209"/>
    </row>
    <row r="8" spans="1:9" ht="12.75">
      <c r="A8" s="143" t="s">
        <v>1644</v>
      </c>
      <c r="B8" s="143"/>
      <c r="C8" s="144">
        <v>4470.081</v>
      </c>
      <c r="D8" s="657"/>
      <c r="F8" s="208"/>
      <c r="G8" s="208"/>
      <c r="H8" s="208"/>
      <c r="I8" s="209"/>
    </row>
    <row r="9" spans="1:9" ht="12.75">
      <c r="A9" t="s">
        <v>1645</v>
      </c>
      <c r="C9" s="136">
        <v>4470.081</v>
      </c>
      <c r="D9" s="657"/>
      <c r="F9" s="210"/>
      <c r="G9" s="210"/>
      <c r="H9" s="210"/>
      <c r="I9" s="273"/>
    </row>
    <row r="10" spans="1:9" ht="12.75">
      <c r="A10" s="218" t="s">
        <v>163</v>
      </c>
      <c r="C10" s="136">
        <v>4470.081</v>
      </c>
      <c r="D10" s="657"/>
      <c r="F10" s="210"/>
      <c r="G10" s="210"/>
      <c r="H10" s="210"/>
      <c r="I10" s="273"/>
    </row>
    <row r="11" spans="1:10" ht="12.75">
      <c r="A11" s="218" t="s">
        <v>713</v>
      </c>
      <c r="C11" s="136">
        <v>4470.081</v>
      </c>
      <c r="D11" s="657"/>
      <c r="F11" s="211"/>
      <c r="G11" s="211"/>
      <c r="H11" s="211"/>
      <c r="I11" s="209"/>
      <c r="J11" s="134"/>
    </row>
    <row r="12" spans="1:9" ht="12.75">
      <c r="A12" s="218" t="s">
        <v>2053</v>
      </c>
      <c r="C12" s="725">
        <v>4470.01</v>
      </c>
      <c r="D12" s="657"/>
      <c r="F12" s="211"/>
      <c r="G12" s="211"/>
      <c r="H12" s="211"/>
      <c r="I12" s="137"/>
    </row>
    <row r="13" spans="1:9" ht="12.75">
      <c r="A13" s="218" t="s">
        <v>2054</v>
      </c>
      <c r="C13" s="271">
        <v>4470.006</v>
      </c>
      <c r="D13" s="657"/>
      <c r="F13" s="211"/>
      <c r="G13" s="211"/>
      <c r="H13" s="211"/>
      <c r="I13" s="145"/>
    </row>
    <row r="14" spans="1:9" ht="12.75">
      <c r="A14" s="218" t="s">
        <v>1297</v>
      </c>
      <c r="C14" s="725">
        <v>4470.01</v>
      </c>
      <c r="D14" s="657"/>
      <c r="F14" s="211"/>
      <c r="G14" s="211"/>
      <c r="H14" s="211"/>
      <c r="I14" s="145"/>
    </row>
    <row r="15" spans="1:9" ht="12.75">
      <c r="A15" s="218" t="s">
        <v>2049</v>
      </c>
      <c r="C15" s="271">
        <v>4470.006</v>
      </c>
      <c r="D15" s="657"/>
      <c r="F15" s="211"/>
      <c r="G15" s="211"/>
      <c r="H15" s="211"/>
      <c r="I15" s="145"/>
    </row>
    <row r="16" spans="4:10" ht="12.75">
      <c r="D16" s="391"/>
      <c r="E16" s="221">
        <f>ROUND(SUM(D7:D15),0)</f>
        <v>0</v>
      </c>
      <c r="F16" s="211">
        <f>ROUND(E16*E$31,0)</f>
        <v>0</v>
      </c>
      <c r="G16" s="211">
        <f>ROUND(E16*E$32,0)</f>
        <v>0</v>
      </c>
      <c r="H16" s="211">
        <v>0</v>
      </c>
      <c r="I16" s="145">
        <f>G16-H16</f>
        <v>0</v>
      </c>
      <c r="J16" s="147">
        <v>4470.144</v>
      </c>
    </row>
    <row r="17" ht="12.75">
      <c r="D17" s="391"/>
    </row>
    <row r="18" spans="1:9" ht="12.75">
      <c r="A18" t="s">
        <v>370</v>
      </c>
      <c r="C18" s="136">
        <v>4210.032</v>
      </c>
      <c r="D18" s="657"/>
      <c r="F18" s="211"/>
      <c r="G18" s="211"/>
      <c r="H18" s="211"/>
      <c r="I18" s="274"/>
    </row>
    <row r="19" spans="1:9" ht="12.75">
      <c r="A19" t="s">
        <v>371</v>
      </c>
      <c r="C19" s="136">
        <v>4210.031</v>
      </c>
      <c r="D19" s="657"/>
      <c r="F19" s="211"/>
      <c r="G19" s="211"/>
      <c r="H19" s="211"/>
      <c r="I19" s="274"/>
    </row>
    <row r="20" spans="4:10" ht="12.75">
      <c r="D20" s="137"/>
      <c r="E20" s="269">
        <f>ROUND(SUM(D18:D19),0)</f>
        <v>0</v>
      </c>
      <c r="F20" s="211">
        <f>ROUND(E20*E$31,0)</f>
        <v>0</v>
      </c>
      <c r="G20" s="211">
        <f>ROUND(E20*E$32,0)</f>
        <v>0</v>
      </c>
      <c r="H20" s="211">
        <v>0</v>
      </c>
      <c r="I20" s="145">
        <f>G20-H20</f>
        <v>0</v>
      </c>
      <c r="J20">
        <v>4210.043</v>
      </c>
    </row>
    <row r="21" spans="4:9" ht="12.75">
      <c r="D21" s="137"/>
      <c r="E21" s="269"/>
      <c r="F21" s="270"/>
      <c r="G21" s="270"/>
      <c r="H21" s="270"/>
      <c r="I21" s="269"/>
    </row>
    <row r="22" spans="1:17" ht="12.75">
      <c r="A22" s="218"/>
      <c r="C22" s="271"/>
      <c r="D22" s="391"/>
      <c r="E22" s="269"/>
      <c r="F22" s="270"/>
      <c r="G22" s="270"/>
      <c r="H22" s="270"/>
      <c r="I22" s="269"/>
      <c r="K22" s="139"/>
      <c r="L22" s="215"/>
      <c r="M22" s="215"/>
      <c r="N22" s="215"/>
      <c r="O22" s="215"/>
      <c r="P22" s="215"/>
      <c r="Q22" s="215"/>
    </row>
    <row r="23" spans="4:10" ht="12.75">
      <c r="D23" s="137"/>
      <c r="E23" s="212">
        <f>ROUND(SUM(D22:D22),0)</f>
        <v>0</v>
      </c>
      <c r="F23" s="213">
        <f>ROUND(E23*E$31,0)</f>
        <v>0</v>
      </c>
      <c r="G23" s="213">
        <f>ROUND(E23*E$32,0)</f>
        <v>0</v>
      </c>
      <c r="H23" s="213">
        <v>0</v>
      </c>
      <c r="I23" s="212">
        <f>G23-H23</f>
        <v>0</v>
      </c>
      <c r="J23">
        <v>4210.044</v>
      </c>
    </row>
    <row r="24" spans="4:9" ht="12.75">
      <c r="D24" s="137"/>
      <c r="F24" s="211"/>
      <c r="G24" s="211"/>
      <c r="H24" s="211"/>
      <c r="I24" s="145"/>
    </row>
    <row r="25" spans="1:9" ht="13.5" thickBot="1">
      <c r="A25" t="s">
        <v>1279</v>
      </c>
      <c r="D25" s="221"/>
      <c r="E25" s="634">
        <f>SUM(E7:E24)</f>
        <v>0</v>
      </c>
      <c r="F25" s="634">
        <f>SUM(F16:F23)</f>
        <v>0</v>
      </c>
      <c r="G25" s="634">
        <f>SUM(G16:G23)</f>
        <v>0</v>
      </c>
      <c r="H25" s="138">
        <f>SUM(H16:H23)</f>
        <v>0</v>
      </c>
      <c r="I25" s="138">
        <f>SUM(I11:I23)</f>
        <v>0</v>
      </c>
    </row>
    <row r="26" spans="4:9" ht="13.5" thickTop="1">
      <c r="D26" s="221"/>
      <c r="E26" s="139"/>
      <c r="F26" s="139"/>
      <c r="G26" s="139"/>
      <c r="H26" s="139"/>
      <c r="I26" s="139"/>
    </row>
    <row r="27" spans="4:10" ht="12.75">
      <c r="D27" s="221"/>
      <c r="E27" s="139"/>
      <c r="F27" s="384">
        <f>ABS(I25)</f>
        <v>0</v>
      </c>
      <c r="G27" s="139"/>
      <c r="H27" s="139"/>
      <c r="J27" s="319" t="str">
        <f>IF(I25&lt;0,"TO BE TRANSFERRED FROM WESTERN AEP TO EASTERN AEP","TO BE TRANSFERRED FROM EASTERN AEP TO WESTERN AEP")</f>
        <v>TO BE TRANSFERRED FROM EASTERN AEP TO WESTERN AEP</v>
      </c>
    </row>
    <row r="28" spans="4:10" ht="12.75">
      <c r="D28" s="221"/>
      <c r="E28" s="139"/>
      <c r="F28" s="139"/>
      <c r="G28" s="139"/>
      <c r="H28" s="139"/>
      <c r="J28" s="319"/>
    </row>
    <row r="29" spans="4:10" ht="13.5" thickBot="1">
      <c r="D29" s="137"/>
      <c r="G29" s="214"/>
      <c r="H29" s="214"/>
      <c r="I29" s="214"/>
      <c r="J29" s="139"/>
    </row>
    <row r="30" spans="2:5" ht="12.75">
      <c r="B30" s="320" t="s">
        <v>1647</v>
      </c>
      <c r="C30" s="316"/>
      <c r="D30" s="316"/>
      <c r="E30" s="317"/>
    </row>
    <row r="31" spans="2:5" ht="12.75">
      <c r="B31" s="315" t="s">
        <v>1652</v>
      </c>
      <c r="C31" s="215"/>
      <c r="D31" s="722">
        <f>'APPVIII PG 5'!E25</f>
        <v>0</v>
      </c>
      <c r="E31" s="723">
        <f>'APPVIII PG 5'!E27</f>
        <v>1</v>
      </c>
    </row>
    <row r="32" spans="2:5" ht="12.75">
      <c r="B32" s="315" t="s">
        <v>1653</v>
      </c>
      <c r="C32" s="215"/>
      <c r="D32" s="724">
        <f>'APPVIII PG 5'!I25</f>
        <v>0</v>
      </c>
      <c r="E32" s="723">
        <f>'APPVIII PG 5'!I27</f>
        <v>0</v>
      </c>
    </row>
    <row r="33" spans="2:5" ht="13.5" thickBot="1">
      <c r="B33" s="321" t="s">
        <v>1654</v>
      </c>
      <c r="C33" s="318"/>
      <c r="D33" s="322">
        <f>SUM(D31:D32)</f>
        <v>0</v>
      </c>
      <c r="E33" s="323"/>
    </row>
    <row r="36" ht="15.75">
      <c r="A36" s="133" t="s">
        <v>214</v>
      </c>
    </row>
    <row r="37" spans="1:10" ht="15.75" customHeight="1">
      <c r="A37" s="23"/>
      <c r="J37" s="11"/>
    </row>
    <row r="38" spans="1:7" ht="12.75">
      <c r="A38" s="146" t="s">
        <v>1633</v>
      </c>
      <c r="B38" s="146"/>
      <c r="C38" s="141" t="s">
        <v>743</v>
      </c>
      <c r="D38" s="141" t="s">
        <v>743</v>
      </c>
      <c r="E38" s="141" t="s">
        <v>743</v>
      </c>
      <c r="F38" s="141" t="s">
        <v>744</v>
      </c>
      <c r="G38" s="141"/>
    </row>
    <row r="39" spans="1:7" ht="12.75">
      <c r="A39" s="143"/>
      <c r="B39" s="324" t="s">
        <v>1386</v>
      </c>
      <c r="C39" s="325" t="s">
        <v>1646</v>
      </c>
      <c r="D39" s="325">
        <v>4210.043</v>
      </c>
      <c r="E39" s="324">
        <v>4210.044</v>
      </c>
      <c r="F39" s="324" t="s">
        <v>745</v>
      </c>
      <c r="G39" s="326"/>
    </row>
    <row r="40" spans="1:7" ht="12.75">
      <c r="A40" s="327" t="s">
        <v>926</v>
      </c>
      <c r="B40" s="328">
        <f>INPUT!C5</f>
        <v>0.3052</v>
      </c>
      <c r="C40" s="329">
        <f>ROUND(B40*$I$16,0)</f>
        <v>0</v>
      </c>
      <c r="D40" s="330">
        <f>ROUND(B40*I$20,0)</f>
        <v>0</v>
      </c>
      <c r="E40" s="329">
        <f>ROUND(B40*I$23,0)</f>
        <v>0</v>
      </c>
      <c r="F40" s="329">
        <f>C40+D40+E40</f>
        <v>0</v>
      </c>
      <c r="G40" s="329"/>
    </row>
    <row r="41" spans="1:7" ht="12.75">
      <c r="A41" s="327" t="s">
        <v>927</v>
      </c>
      <c r="B41" s="328">
        <f>INPUT!C6</f>
        <v>0.06409</v>
      </c>
      <c r="C41" s="329">
        <f>ROUND(B41*$I$16,0)</f>
        <v>0</v>
      </c>
      <c r="D41" s="330">
        <f>ROUND(B41*I$20,0)</f>
        <v>0</v>
      </c>
      <c r="E41" s="329">
        <f>ROUND(B41*I$23,0)</f>
        <v>0</v>
      </c>
      <c r="F41" s="329">
        <f>C41+D41+E41</f>
        <v>0</v>
      </c>
      <c r="G41" s="329"/>
    </row>
    <row r="42" spans="1:7" ht="12.75">
      <c r="A42" s="327" t="s">
        <v>928</v>
      </c>
      <c r="B42" s="328">
        <f>INPUT!C7</f>
        <v>0.20368</v>
      </c>
      <c r="C42" s="329">
        <f>ROUND(B42*$I$16,0)</f>
        <v>0</v>
      </c>
      <c r="D42" s="330">
        <f>ROUND(B42*I$20,0)</f>
        <v>0</v>
      </c>
      <c r="E42" s="329">
        <f>ROUND(B42*I$23,0)</f>
        <v>0</v>
      </c>
      <c r="F42" s="329">
        <f>C42+D42+E42</f>
        <v>0</v>
      </c>
      <c r="G42" s="329"/>
    </row>
    <row r="43" spans="1:7" ht="12.75">
      <c r="A43" s="327" t="s">
        <v>929</v>
      </c>
      <c r="B43" s="328">
        <f>INPUT!C8</f>
        <v>0.42703</v>
      </c>
      <c r="C43" s="329">
        <f>ROUND(B43*$I$16,0)</f>
        <v>0</v>
      </c>
      <c r="D43" s="330">
        <f>ROUND(B43*I$20,0)</f>
        <v>0</v>
      </c>
      <c r="E43" s="329">
        <f>ROUND(B43*I$23,0)</f>
        <v>0</v>
      </c>
      <c r="F43" s="329">
        <f>C43+D43+E43</f>
        <v>0</v>
      </c>
      <c r="G43" s="329"/>
    </row>
    <row r="44" spans="1:7" ht="12.75">
      <c r="A44" s="327" t="s">
        <v>1754</v>
      </c>
      <c r="B44" s="328">
        <f>INPUT!C9</f>
        <v>0</v>
      </c>
      <c r="C44" s="331">
        <f>ROUND(B44*$I$16,0)</f>
        <v>0</v>
      </c>
      <c r="D44" s="332">
        <f>ROUND(B44*I$20,0)</f>
        <v>0</v>
      </c>
      <c r="E44" s="331">
        <f>ROUND(B44*I$23,0)</f>
        <v>0</v>
      </c>
      <c r="F44" s="331">
        <f>C44+D44+E44</f>
        <v>0</v>
      </c>
      <c r="G44" s="333"/>
    </row>
    <row r="45" spans="1:7" ht="12.75">
      <c r="A45" s="327" t="s">
        <v>543</v>
      </c>
      <c r="B45" s="334">
        <f>SUM(B40:B44)</f>
        <v>1</v>
      </c>
      <c r="C45" s="329">
        <f>SUM(C40:C44)</f>
        <v>0</v>
      </c>
      <c r="D45" s="330">
        <f>SUM(D40:D44)</f>
        <v>0</v>
      </c>
      <c r="E45" s="329">
        <f>SUM(E40:E44)</f>
        <v>0</v>
      </c>
      <c r="F45" s="330">
        <f>SUM(F40:F44)</f>
        <v>0</v>
      </c>
      <c r="G45" s="330"/>
    </row>
    <row r="46" spans="1:7" ht="12.75">
      <c r="A46" s="327"/>
      <c r="B46" s="334"/>
      <c r="C46" s="329"/>
      <c r="D46" s="330"/>
      <c r="E46" s="329"/>
      <c r="F46" s="330"/>
      <c r="G46" s="330"/>
    </row>
    <row r="47" spans="1:7" ht="12.75">
      <c r="A47" s="327"/>
      <c r="B47" s="334"/>
      <c r="C47" s="329"/>
      <c r="D47" s="330"/>
      <c r="E47" s="329"/>
      <c r="F47" s="330"/>
      <c r="G47" s="330"/>
    </row>
    <row r="48" spans="1:7" ht="12.75">
      <c r="A48" s="327"/>
      <c r="B48" s="334"/>
      <c r="C48" s="329"/>
      <c r="D48" s="330"/>
      <c r="E48" s="329"/>
      <c r="F48" s="330"/>
      <c r="G48" s="330"/>
    </row>
    <row r="49" spans="1:7" ht="12.75">
      <c r="A49" s="327"/>
      <c r="B49" s="334"/>
      <c r="C49" s="329"/>
      <c r="D49" s="330"/>
      <c r="E49" s="329"/>
      <c r="F49" s="330"/>
      <c r="G49" s="330"/>
    </row>
    <row r="50" spans="1:7" ht="12.75">
      <c r="A50" s="327"/>
      <c r="B50" s="334"/>
      <c r="C50" s="329"/>
      <c r="D50" s="330"/>
      <c r="E50" s="329"/>
      <c r="F50" s="330"/>
      <c r="G50" s="330"/>
    </row>
    <row r="51" spans="1:7" ht="12.75">
      <c r="A51" s="146" t="s">
        <v>1632</v>
      </c>
      <c r="B51" s="146"/>
      <c r="C51" s="141" t="s">
        <v>743</v>
      </c>
      <c r="D51" s="141" t="s">
        <v>743</v>
      </c>
      <c r="E51" s="141" t="s">
        <v>743</v>
      </c>
      <c r="F51" s="141" t="s">
        <v>744</v>
      </c>
      <c r="G51" s="141"/>
    </row>
    <row r="52" spans="1:7" ht="12.75">
      <c r="A52" s="143"/>
      <c r="B52" s="324" t="s">
        <v>1655</v>
      </c>
      <c r="C52" s="325" t="s">
        <v>1646</v>
      </c>
      <c r="D52" s="325">
        <v>4210.043</v>
      </c>
      <c r="E52" s="324">
        <v>4210.044</v>
      </c>
      <c r="F52" s="324" t="s">
        <v>745</v>
      </c>
      <c r="G52" s="326"/>
    </row>
    <row r="53" spans="1:7" ht="12.75">
      <c r="A53" s="327" t="s">
        <v>1648</v>
      </c>
      <c r="B53" s="328">
        <f>INPUT!F5</f>
        <v>0</v>
      </c>
      <c r="C53" s="329">
        <f>ROUND(B53*$I$16,0)*-1</f>
        <v>0</v>
      </c>
      <c r="D53" s="330">
        <f>ROUND(B53*I$20,0)*-1</f>
        <v>0</v>
      </c>
      <c r="E53" s="329">
        <f>ROUND(B53*I$23,0)*-1</f>
        <v>0</v>
      </c>
      <c r="F53" s="329">
        <f>C53+D53+E53</f>
        <v>0</v>
      </c>
      <c r="G53" s="329"/>
    </row>
    <row r="54" spans="1:7" ht="12.75">
      <c r="A54" s="327" t="s">
        <v>1649</v>
      </c>
      <c r="B54" s="328">
        <f>INPUT!F6</f>
        <v>0</v>
      </c>
      <c r="C54" s="329">
        <f>ROUND(B54*$I$16,0)*-1</f>
        <v>0</v>
      </c>
      <c r="D54" s="330">
        <f>ROUND(B54*I$20,0)*-1</f>
        <v>0</v>
      </c>
      <c r="E54" s="329">
        <f>ROUND(B54*I$23,0)*-1</f>
        <v>0</v>
      </c>
      <c r="F54" s="329">
        <f>C54+D54+E54</f>
        <v>0</v>
      </c>
      <c r="G54" s="329"/>
    </row>
    <row r="55" spans="1:7" ht="12.75">
      <c r="A55" s="327" t="s">
        <v>1650</v>
      </c>
      <c r="B55" s="328">
        <f>INPUT!F7</f>
        <v>0</v>
      </c>
      <c r="C55" s="329">
        <f>ROUND(B55*$I$16,0)*-1</f>
        <v>0</v>
      </c>
      <c r="D55" s="330">
        <f>ROUND(B55*I$20,0)*-1</f>
        <v>0</v>
      </c>
      <c r="E55" s="329">
        <f>ROUND(B55*I$23,0)*-1</f>
        <v>0</v>
      </c>
      <c r="F55" s="329">
        <f>C55+D55+E55</f>
        <v>0</v>
      </c>
      <c r="G55" s="329"/>
    </row>
    <row r="56" spans="1:7" ht="12.75">
      <c r="A56" s="327" t="s">
        <v>1651</v>
      </c>
      <c r="B56" s="328">
        <f>INPUT!F8</f>
        <v>0</v>
      </c>
      <c r="C56" s="331">
        <f>ROUND(B56*$I$16,0)*-1</f>
        <v>0</v>
      </c>
      <c r="D56" s="332">
        <f>ROUND(B56*I$20,0)*-1</f>
        <v>0</v>
      </c>
      <c r="E56" s="331">
        <f>ROUND(B56*I$23,0)*-1</f>
        <v>0</v>
      </c>
      <c r="F56" s="331">
        <f>C56+D56+E56</f>
        <v>0</v>
      </c>
      <c r="G56" s="333"/>
    </row>
    <row r="57" spans="1:7" ht="12.75">
      <c r="A57" s="327" t="s">
        <v>543</v>
      </c>
      <c r="B57" s="334">
        <f>SUM(B53:B56)</f>
        <v>0</v>
      </c>
      <c r="C57" s="329">
        <f>SUM(C53:C56)</f>
        <v>0</v>
      </c>
      <c r="D57" s="330">
        <f>SUM(D53:D56)</f>
        <v>0</v>
      </c>
      <c r="E57" s="329">
        <f>SUM(E53:E56)</f>
        <v>0</v>
      </c>
      <c r="F57" s="330">
        <f>SUM(F53:F56)</f>
        <v>0</v>
      </c>
      <c r="G57" s="330"/>
    </row>
    <row r="58" spans="1:7" ht="12.75">
      <c r="A58" s="143"/>
      <c r="B58" s="143"/>
      <c r="C58" s="143"/>
      <c r="D58" s="335"/>
      <c r="E58" s="290"/>
      <c r="F58" s="336"/>
      <c r="G58" s="336"/>
    </row>
    <row r="59" spans="1:7" ht="12.75">
      <c r="A59" s="146"/>
      <c r="B59" s="146"/>
      <c r="C59" s="143"/>
      <c r="D59" s="143"/>
      <c r="E59" s="143"/>
      <c r="F59" s="141"/>
      <c r="G59" s="141"/>
    </row>
    <row r="60" spans="1:7" ht="12.75">
      <c r="A60" s="143"/>
      <c r="B60" s="143"/>
      <c r="C60" s="143"/>
      <c r="D60" s="143"/>
      <c r="E60" s="143"/>
      <c r="F60" s="143"/>
      <c r="G60" s="143"/>
    </row>
    <row r="61" spans="1:7" ht="12.75">
      <c r="A61" s="143"/>
      <c r="B61" s="143"/>
      <c r="C61" s="143"/>
      <c r="D61" s="143"/>
      <c r="E61" s="143"/>
      <c r="F61" s="143"/>
      <c r="G61" s="143"/>
    </row>
    <row r="62" spans="1:7" ht="12.75">
      <c r="A62" s="143"/>
      <c r="B62" s="143"/>
      <c r="C62" s="143"/>
      <c r="D62" s="143"/>
      <c r="E62" s="143"/>
      <c r="F62" s="143"/>
      <c r="G62" s="143"/>
    </row>
    <row r="63" spans="1:7" ht="12.75">
      <c r="A63" s="143"/>
      <c r="B63" s="143"/>
      <c r="C63" s="143"/>
      <c r="D63" s="143"/>
      <c r="E63" s="143"/>
      <c r="F63" s="143"/>
      <c r="G63" s="143"/>
    </row>
    <row r="64" spans="1:7" ht="12.75">
      <c r="A64" s="337"/>
      <c r="B64" s="337"/>
      <c r="C64" s="135" t="s">
        <v>790</v>
      </c>
      <c r="D64" s="143"/>
      <c r="E64" s="143"/>
      <c r="F64" s="143"/>
      <c r="G64" s="143"/>
    </row>
    <row r="65" spans="1:7" ht="12.75">
      <c r="A65" s="143"/>
      <c r="B65" s="143"/>
      <c r="C65" s="338">
        <f>($B40*$I$16)*-1</f>
        <v>0</v>
      </c>
      <c r="D65" s="276">
        <f>($B40*$G$20)*-1</f>
        <v>0</v>
      </c>
      <c r="E65" s="277">
        <f>($B40*$G$23)*-1</f>
        <v>0</v>
      </c>
      <c r="F65" s="251"/>
      <c r="G65" s="251"/>
    </row>
    <row r="66" spans="1:7" ht="12.75">
      <c r="A66" s="143"/>
      <c r="B66" s="143"/>
      <c r="C66" s="339">
        <f>($B41*$I$16)*-1</f>
        <v>0</v>
      </c>
      <c r="D66" s="278">
        <f>($B41*$G$20)*-1</f>
        <v>0</v>
      </c>
      <c r="E66" s="279">
        <f>($B41*$G$23)*-1</f>
        <v>0</v>
      </c>
      <c r="F66" s="251"/>
      <c r="G66" s="251"/>
    </row>
    <row r="67" spans="1:7" ht="12.75">
      <c r="A67" s="143"/>
      <c r="B67" s="143"/>
      <c r="C67" s="339">
        <f>($B42*$I$16)*-1</f>
        <v>0</v>
      </c>
      <c r="D67" s="278">
        <f>($B42*$G$20)*-1</f>
        <v>0</v>
      </c>
      <c r="E67" s="279">
        <f>($B42*$G$23)*-1</f>
        <v>0</v>
      </c>
      <c r="F67" s="251"/>
      <c r="G67" s="251"/>
    </row>
    <row r="68" spans="1:7" ht="12.75">
      <c r="A68" s="143"/>
      <c r="B68" s="143"/>
      <c r="C68" s="339">
        <f>($B43*$I$16)*-1</f>
        <v>0</v>
      </c>
      <c r="D68" s="278">
        <f>($B43*$G$20)*-1</f>
        <v>0</v>
      </c>
      <c r="E68" s="279">
        <f>($B43*$G$23)*-1</f>
        <v>0</v>
      </c>
      <c r="F68" s="251"/>
      <c r="G68" s="251"/>
    </row>
    <row r="69" spans="1:7" ht="12.75">
      <c r="A69" s="143"/>
      <c r="B69" s="143"/>
      <c r="C69" s="340">
        <f>($B44*$I$16)*-1</f>
        <v>0</v>
      </c>
      <c r="D69" s="280">
        <f>($B44*$G$20)*-1</f>
        <v>0</v>
      </c>
      <c r="E69" s="281">
        <f>($B44*$G$23)*-1</f>
        <v>0</v>
      </c>
      <c r="F69" s="251"/>
      <c r="G69" s="251"/>
    </row>
    <row r="70" spans="1:7" ht="12.75">
      <c r="A70" s="143"/>
      <c r="B70" s="143"/>
      <c r="C70" s="143"/>
      <c r="D70" s="143"/>
      <c r="E70" s="143"/>
      <c r="F70" s="143"/>
      <c r="G70" s="143"/>
    </row>
    <row r="71" spans="1:7" ht="12.75">
      <c r="A71" s="143"/>
      <c r="B71" s="143"/>
      <c r="C71" s="143"/>
      <c r="D71" s="143"/>
      <c r="E71" s="143"/>
      <c r="F71" s="143"/>
      <c r="G71" s="143"/>
    </row>
    <row r="72" spans="1:7" ht="12.75">
      <c r="A72" s="143"/>
      <c r="B72" s="143"/>
      <c r="C72" s="341" t="s">
        <v>790</v>
      </c>
      <c r="D72" s="143"/>
      <c r="E72" s="143"/>
      <c r="F72" s="143"/>
      <c r="G72" s="143"/>
    </row>
    <row r="73" spans="1:7" ht="12.75">
      <c r="A73" s="143"/>
      <c r="B73" s="143"/>
      <c r="C73" s="339">
        <f>($B53*$I$16)</f>
        <v>0</v>
      </c>
      <c r="D73" s="276">
        <f>($B53*$G$20)</f>
        <v>0</v>
      </c>
      <c r="E73" s="277">
        <f>($B53*$G$23)</f>
        <v>0</v>
      </c>
      <c r="F73" s="143"/>
      <c r="G73" s="143"/>
    </row>
    <row r="74" spans="1:7" ht="12.75">
      <c r="A74" s="143"/>
      <c r="B74" s="143"/>
      <c r="C74" s="339">
        <f>($B54*$I$16)</f>
        <v>0</v>
      </c>
      <c r="D74" s="278">
        <f>($B54*$G$20)</f>
        <v>0</v>
      </c>
      <c r="E74" s="279">
        <f>($B54*$G$23)</f>
        <v>0</v>
      </c>
      <c r="F74" s="143"/>
      <c r="G74" s="143"/>
    </row>
    <row r="75" spans="1:7" ht="12.75">
      <c r="A75" s="143"/>
      <c r="B75" s="143"/>
      <c r="C75" s="339">
        <f>($B55*$I$16)</f>
        <v>0</v>
      </c>
      <c r="D75" s="278">
        <f>($B55*$G$20)</f>
        <v>0</v>
      </c>
      <c r="E75" s="279">
        <f>($B55*$G$23)</f>
        <v>0</v>
      </c>
      <c r="F75" s="143"/>
      <c r="G75" s="143"/>
    </row>
    <row r="76" spans="1:7" ht="12.75">
      <c r="A76" s="143"/>
      <c r="B76" s="143"/>
      <c r="C76" s="340">
        <f>($B56*$I$16)</f>
        <v>0</v>
      </c>
      <c r="D76" s="280">
        <f>($B56*$G$20)</f>
        <v>0</v>
      </c>
      <c r="E76" s="281">
        <f>($B56*$G$23)</f>
        <v>0</v>
      </c>
      <c r="F76" s="143"/>
      <c r="G76" s="143"/>
    </row>
    <row r="77" spans="3:6" ht="12.75">
      <c r="C77" s="278"/>
      <c r="D77" s="278"/>
      <c r="E77" s="278"/>
      <c r="F77" s="278"/>
    </row>
  </sheetData>
  <sheetProtection/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2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6.57421875" style="3" customWidth="1"/>
    <col min="2" max="2" width="12.28125" style="2" bestFit="1" customWidth="1"/>
    <col min="3" max="3" width="14.57421875" style="255" bestFit="1" customWidth="1"/>
    <col min="4" max="4" width="12.8515625" style="255" bestFit="1" customWidth="1"/>
    <col min="5" max="5" width="14.00390625" style="255" bestFit="1" customWidth="1"/>
    <col min="6" max="6" width="14.57421875" style="255" bestFit="1" customWidth="1"/>
    <col min="7" max="7" width="14.28125" style="255" bestFit="1" customWidth="1"/>
    <col min="8" max="8" width="2.7109375" style="256" customWidth="1"/>
    <col min="9" max="9" width="18.28125" style="255" customWidth="1"/>
    <col min="10" max="10" width="2.7109375" style="255" customWidth="1"/>
    <col min="11" max="11" width="15.421875" style="3" hidden="1" customWidth="1"/>
    <col min="12" max="12" width="2.7109375" style="2" customWidth="1"/>
    <col min="13" max="13" width="16.8515625" style="267" bestFit="1" customWidth="1"/>
    <col min="14" max="14" width="15.57421875" style="3" bestFit="1" customWidth="1"/>
    <col min="15" max="15" width="12.00390625" style="3" bestFit="1" customWidth="1"/>
    <col min="16" max="16384" width="9.140625" style="3" customWidth="1"/>
  </cols>
  <sheetData>
    <row r="1" spans="1:13" ht="16.5">
      <c r="A1" s="1191" t="s">
        <v>889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</row>
    <row r="2" spans="1:13" ht="49.5">
      <c r="A2" s="17" t="s">
        <v>35</v>
      </c>
      <c r="B2" s="266" t="s">
        <v>743</v>
      </c>
      <c r="C2" s="258" t="s">
        <v>36</v>
      </c>
      <c r="D2" s="258" t="s">
        <v>37</v>
      </c>
      <c r="E2" s="258" t="s">
        <v>38</v>
      </c>
      <c r="F2" s="258" t="s">
        <v>39</v>
      </c>
      <c r="G2" s="258" t="s">
        <v>40</v>
      </c>
      <c r="H2" s="259"/>
      <c r="I2" s="258" t="s">
        <v>41</v>
      </c>
      <c r="J2" s="259"/>
      <c r="K2" s="258" t="s">
        <v>598</v>
      </c>
      <c r="M2" s="292" t="s">
        <v>739</v>
      </c>
    </row>
    <row r="3" spans="1:11" ht="16.5">
      <c r="A3" s="261" t="s">
        <v>348</v>
      </c>
      <c r="B3" s="250"/>
      <c r="C3" s="259"/>
      <c r="D3" s="259"/>
      <c r="E3" s="259"/>
      <c r="F3" s="259"/>
      <c r="G3" s="259"/>
      <c r="H3" s="259"/>
      <c r="I3" s="259"/>
      <c r="J3" s="259"/>
      <c r="K3" s="136"/>
    </row>
    <row r="4" spans="1:249" ht="16.5">
      <c r="A4" s="814" t="s">
        <v>453</v>
      </c>
      <c r="B4" s="133"/>
      <c r="C4" s="133"/>
      <c r="H4" s="133"/>
      <c r="I4" s="133"/>
      <c r="J4" s="133"/>
      <c r="K4" s="133"/>
      <c r="L4" s="296"/>
      <c r="M4" s="296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</row>
    <row r="5" spans="1:14" ht="16.5">
      <c r="A5" s="692" t="s">
        <v>865</v>
      </c>
      <c r="B5" s="294" t="s">
        <v>1642</v>
      </c>
      <c r="C5" s="656">
        <v>2331120.79</v>
      </c>
      <c r="D5" s="656">
        <v>491704.0499999992</v>
      </c>
      <c r="E5" s="656">
        <v>1564658.09</v>
      </c>
      <c r="F5" s="656">
        <v>3271215.51</v>
      </c>
      <c r="G5" s="656">
        <v>0</v>
      </c>
      <c r="H5" s="363"/>
      <c r="I5" s="656">
        <f>SUM(C5:G5)</f>
        <v>7658698.4399999995</v>
      </c>
      <c r="J5" s="267"/>
      <c r="K5" s="675" t="s">
        <v>1642</v>
      </c>
      <c r="M5" s="307"/>
      <c r="N5" s="850"/>
    </row>
    <row r="6" spans="1:13" ht="16.5">
      <c r="A6" s="813" t="s">
        <v>447</v>
      </c>
      <c r="B6" s="294"/>
      <c r="C6" s="267"/>
      <c r="D6" s="267"/>
      <c r="E6" s="267"/>
      <c r="F6" s="267"/>
      <c r="G6" s="267"/>
      <c r="H6" s="363"/>
      <c r="I6" s="267"/>
      <c r="J6" s="267"/>
      <c r="K6" s="294"/>
      <c r="M6" s="729"/>
    </row>
    <row r="7" spans="1:13" s="218" customFormat="1" ht="15">
      <c r="A7" s="692" t="s">
        <v>1750</v>
      </c>
      <c r="B7" s="294">
        <v>5614000</v>
      </c>
      <c r="C7" s="656">
        <v>39150.15791993659</v>
      </c>
      <c r="D7" s="656">
        <v>8221.28</v>
      </c>
      <c r="E7" s="656">
        <v>26127.47</v>
      </c>
      <c r="F7" s="656">
        <v>54778.15</v>
      </c>
      <c r="G7" s="656">
        <v>0</v>
      </c>
      <c r="H7" s="385"/>
      <c r="I7" s="656">
        <f>SUM(C7:G7)</f>
        <v>128277.05791993657</v>
      </c>
      <c r="J7" s="245"/>
      <c r="K7" s="675" t="s">
        <v>738</v>
      </c>
      <c r="M7" s="729"/>
    </row>
    <row r="8" spans="1:13" s="218" customFormat="1" ht="15">
      <c r="A8" s="692" t="s">
        <v>1750</v>
      </c>
      <c r="B8" s="294">
        <v>5614001</v>
      </c>
      <c r="C8" s="656">
        <v>481879.3594574471</v>
      </c>
      <c r="D8" s="656">
        <v>101191.51</v>
      </c>
      <c r="E8" s="656">
        <v>321589.74</v>
      </c>
      <c r="F8" s="656">
        <v>674236.38</v>
      </c>
      <c r="G8" s="656">
        <v>0</v>
      </c>
      <c r="H8" s="385"/>
      <c r="I8" s="656">
        <f aca="true" t="shared" si="0" ref="I8:I19">SUM(C8:G8)</f>
        <v>1578896.989457447</v>
      </c>
      <c r="J8" s="245"/>
      <c r="K8" s="675" t="s">
        <v>1964</v>
      </c>
      <c r="M8" s="729"/>
    </row>
    <row r="9" spans="1:13" s="218" customFormat="1" ht="15">
      <c r="A9" s="692" t="s">
        <v>1750</v>
      </c>
      <c r="B9" s="294">
        <v>5618000</v>
      </c>
      <c r="C9" s="656">
        <v>2744.4609735555223</v>
      </c>
      <c r="D9" s="656">
        <v>576.32</v>
      </c>
      <c r="E9" s="656">
        <v>1831.56</v>
      </c>
      <c r="F9" s="656">
        <v>3840</v>
      </c>
      <c r="G9" s="656">
        <v>0</v>
      </c>
      <c r="H9" s="385"/>
      <c r="I9" s="656">
        <f t="shared" si="0"/>
        <v>8992.340973555521</v>
      </c>
      <c r="J9" s="245"/>
      <c r="K9" s="675" t="s">
        <v>738</v>
      </c>
      <c r="M9" s="729"/>
    </row>
    <row r="10" spans="1:13" s="218" customFormat="1" ht="15">
      <c r="A10" s="692" t="s">
        <v>1750</v>
      </c>
      <c r="B10" s="294">
        <v>5618001</v>
      </c>
      <c r="C10" s="656">
        <v>33780.18629761194</v>
      </c>
      <c r="D10" s="656">
        <v>7093.62</v>
      </c>
      <c r="E10" s="656">
        <v>22543.74</v>
      </c>
      <c r="F10" s="656">
        <v>47264.6</v>
      </c>
      <c r="G10" s="656">
        <v>0</v>
      </c>
      <c r="H10" s="385"/>
      <c r="I10" s="656">
        <f t="shared" si="0"/>
        <v>110682.14629761194</v>
      </c>
      <c r="J10" s="245"/>
      <c r="K10" s="675" t="s">
        <v>1964</v>
      </c>
      <c r="M10" s="729"/>
    </row>
    <row r="11" spans="1:13" s="218" customFormat="1" ht="15">
      <c r="A11" s="692" t="s">
        <v>1750</v>
      </c>
      <c r="B11" s="294">
        <v>5757000</v>
      </c>
      <c r="C11" s="656">
        <v>37696.30001750788</v>
      </c>
      <c r="D11" s="656">
        <v>7915.98</v>
      </c>
      <c r="E11" s="656">
        <v>25157.22</v>
      </c>
      <c r="F11" s="656">
        <v>52743.95</v>
      </c>
      <c r="G11" s="656">
        <v>0</v>
      </c>
      <c r="H11" s="385"/>
      <c r="I11" s="656">
        <f t="shared" si="0"/>
        <v>123513.45001750787</v>
      </c>
      <c r="J11" s="245"/>
      <c r="K11" s="675" t="s">
        <v>738</v>
      </c>
      <c r="M11" s="729"/>
    </row>
    <row r="12" spans="1:13" s="218" customFormat="1" ht="15">
      <c r="A12" s="692" t="s">
        <v>1750</v>
      </c>
      <c r="B12" s="294">
        <v>5757001</v>
      </c>
      <c r="C12" s="656">
        <v>463984.6153339412</v>
      </c>
      <c r="D12" s="656">
        <v>97433.73</v>
      </c>
      <c r="E12" s="656">
        <v>309647.41</v>
      </c>
      <c r="F12" s="656">
        <v>649198.41</v>
      </c>
      <c r="G12" s="656">
        <v>0</v>
      </c>
      <c r="H12" s="385"/>
      <c r="I12" s="656">
        <f t="shared" si="0"/>
        <v>1520264.165333941</v>
      </c>
      <c r="J12" s="245"/>
      <c r="K12" s="675" t="s">
        <v>1964</v>
      </c>
      <c r="M12" s="729"/>
    </row>
    <row r="13" spans="1:13" s="218" customFormat="1" ht="15">
      <c r="A13" s="692" t="s">
        <v>1750</v>
      </c>
      <c r="B13" s="294">
        <v>5618000</v>
      </c>
      <c r="C13" s="656">
        <v>2305.4118898000006</v>
      </c>
      <c r="D13" s="656">
        <v>484.12</v>
      </c>
      <c r="E13" s="656">
        <v>1538.56</v>
      </c>
      <c r="F13" s="656">
        <v>3225.7</v>
      </c>
      <c r="G13" s="656">
        <v>0</v>
      </c>
      <c r="H13" s="385"/>
      <c r="I13" s="656">
        <f t="shared" si="0"/>
        <v>7553.7918898</v>
      </c>
      <c r="J13" s="245"/>
      <c r="K13" s="675" t="s">
        <v>738</v>
      </c>
      <c r="M13" s="729"/>
    </row>
    <row r="14" spans="1:13" s="218" customFormat="1" ht="15">
      <c r="A14" s="692" t="s">
        <v>1750</v>
      </c>
      <c r="B14" s="294">
        <v>5618001</v>
      </c>
      <c r="C14" s="656">
        <v>28376.198110200014</v>
      </c>
      <c r="D14" s="656">
        <v>5958.82</v>
      </c>
      <c r="E14" s="656">
        <v>18937.31</v>
      </c>
      <c r="F14" s="656">
        <v>39703.45</v>
      </c>
      <c r="G14" s="656">
        <v>0</v>
      </c>
      <c r="H14" s="385"/>
      <c r="I14" s="656">
        <f t="shared" si="0"/>
        <v>92975.77811020002</v>
      </c>
      <c r="J14" s="245"/>
      <c r="K14" s="675" t="s">
        <v>1964</v>
      </c>
      <c r="M14" s="729"/>
    </row>
    <row r="15" spans="1:13" s="218" customFormat="1" ht="15">
      <c r="A15" s="692" t="s">
        <v>1750</v>
      </c>
      <c r="B15" s="294">
        <v>5618000</v>
      </c>
      <c r="C15" s="656">
        <v>2881.7696744000004</v>
      </c>
      <c r="D15" s="656">
        <v>605.15</v>
      </c>
      <c r="E15" s="656">
        <v>1923.2</v>
      </c>
      <c r="F15" s="656">
        <v>4032.12</v>
      </c>
      <c r="G15" s="656">
        <v>0</v>
      </c>
      <c r="H15" s="385"/>
      <c r="I15" s="656">
        <f t="shared" si="0"/>
        <v>9442.2396744</v>
      </c>
      <c r="J15" s="245"/>
      <c r="K15" s="675" t="s">
        <v>738</v>
      </c>
      <c r="M15" s="729"/>
    </row>
    <row r="16" spans="1:13" s="218" customFormat="1" ht="15">
      <c r="A16" s="692" t="s">
        <v>1750</v>
      </c>
      <c r="B16" s="294">
        <v>5618001</v>
      </c>
      <c r="C16" s="656">
        <v>35470.2603256</v>
      </c>
      <c r="D16" s="656">
        <v>7448.52</v>
      </c>
      <c r="E16" s="656">
        <v>23671.63</v>
      </c>
      <c r="F16" s="656">
        <v>49629.31</v>
      </c>
      <c r="G16" s="656">
        <v>0</v>
      </c>
      <c r="H16" s="385"/>
      <c r="I16" s="656">
        <f t="shared" si="0"/>
        <v>116219.7203256</v>
      </c>
      <c r="J16" s="245"/>
      <c r="K16" s="675" t="s">
        <v>1964</v>
      </c>
      <c r="M16" s="729"/>
    </row>
    <row r="17" spans="1:13" ht="15" hidden="1">
      <c r="A17" s="2"/>
      <c r="B17" s="294"/>
      <c r="C17" s="822"/>
      <c r="D17" s="822"/>
      <c r="E17" s="822"/>
      <c r="F17" s="822"/>
      <c r="G17" s="822"/>
      <c r="H17" s="385"/>
      <c r="I17" s="656">
        <f t="shared" si="0"/>
        <v>0</v>
      </c>
      <c r="J17" s="245"/>
      <c r="K17" s="294"/>
      <c r="L17" s="218"/>
      <c r="M17" s="729"/>
    </row>
    <row r="18" spans="1:13" s="218" customFormat="1" ht="15">
      <c r="A18" s="692" t="s">
        <v>1751</v>
      </c>
      <c r="B18" s="294">
        <v>5757000</v>
      </c>
      <c r="C18" s="656">
        <v>2357.7913620000004</v>
      </c>
      <c r="D18" s="656">
        <v>495.12</v>
      </c>
      <c r="E18" s="656">
        <v>1573.51</v>
      </c>
      <c r="F18" s="656">
        <v>3298.97</v>
      </c>
      <c r="G18" s="656">
        <v>0</v>
      </c>
      <c r="H18" s="385"/>
      <c r="I18" s="656">
        <f t="shared" si="0"/>
        <v>7725.391362</v>
      </c>
      <c r="J18" s="245"/>
      <c r="K18" s="675" t="s">
        <v>738</v>
      </c>
      <c r="M18" s="729"/>
    </row>
    <row r="19" spans="1:13" s="218" customFormat="1" ht="15">
      <c r="A19" s="692" t="s">
        <v>1751</v>
      </c>
      <c r="B19" s="294">
        <v>5757001</v>
      </c>
      <c r="C19" s="656">
        <v>29020.828638000006</v>
      </c>
      <c r="D19" s="656">
        <v>6094.18</v>
      </c>
      <c r="E19" s="656">
        <v>19367.51</v>
      </c>
      <c r="F19" s="656">
        <v>40605.39</v>
      </c>
      <c r="G19" s="656">
        <v>0</v>
      </c>
      <c r="H19" s="385"/>
      <c r="I19" s="656">
        <f t="shared" si="0"/>
        <v>95087.90863800001</v>
      </c>
      <c r="J19" s="245"/>
      <c r="K19" s="675" t="s">
        <v>1067</v>
      </c>
      <c r="M19" s="729"/>
    </row>
    <row r="20" spans="1:13" ht="16.5">
      <c r="A20" s="813" t="s">
        <v>448</v>
      </c>
      <c r="B20" s="294"/>
      <c r="C20" s="245"/>
      <c r="D20" s="267"/>
      <c r="E20" s="267"/>
      <c r="F20" s="267"/>
      <c r="G20" s="267"/>
      <c r="H20" s="309"/>
      <c r="I20" s="267"/>
      <c r="J20" s="245"/>
      <c r="K20" s="295"/>
      <c r="L20" s="218"/>
      <c r="M20" s="729"/>
    </row>
    <row r="21" spans="1:13" s="218" customFormat="1" ht="15">
      <c r="A21" s="700" t="s">
        <v>1738</v>
      </c>
      <c r="B21" s="294">
        <v>4470107</v>
      </c>
      <c r="C21" s="656">
        <v>0.14000000089406966</v>
      </c>
      <c r="D21" s="656">
        <v>0.03</v>
      </c>
      <c r="E21" s="656">
        <v>0.09</v>
      </c>
      <c r="F21" s="656">
        <v>0.2</v>
      </c>
      <c r="G21" s="656">
        <v>0</v>
      </c>
      <c r="H21" s="309"/>
      <c r="I21" s="656">
        <f aca="true" t="shared" si="1" ref="I21:I85">SUM(C21:G21)</f>
        <v>0.46000000089406967</v>
      </c>
      <c r="J21" s="245"/>
      <c r="K21" s="674" t="s">
        <v>738</v>
      </c>
      <c r="M21" s="729"/>
    </row>
    <row r="22" spans="1:13" s="218" customFormat="1" ht="15">
      <c r="A22" s="700" t="s">
        <v>1739</v>
      </c>
      <c r="B22" s="294">
        <v>4470110</v>
      </c>
      <c r="C22" s="656">
        <v>1431.8799999999073</v>
      </c>
      <c r="D22" s="656">
        <v>300.69</v>
      </c>
      <c r="E22" s="656">
        <v>955.6</v>
      </c>
      <c r="F22" s="656">
        <v>2003.48</v>
      </c>
      <c r="G22" s="656">
        <v>0</v>
      </c>
      <c r="H22" s="309"/>
      <c r="I22" s="656">
        <f t="shared" si="1"/>
        <v>4691.649999999907</v>
      </c>
      <c r="J22" s="245"/>
      <c r="K22" s="674" t="s">
        <v>738</v>
      </c>
      <c r="M22" s="729"/>
    </row>
    <row r="23" spans="1:13" s="218" customFormat="1" ht="15">
      <c r="A23" s="700" t="s">
        <v>1740</v>
      </c>
      <c r="B23" s="294">
        <v>5550039</v>
      </c>
      <c r="C23" s="656">
        <v>71.09000000000233</v>
      </c>
      <c r="D23" s="656">
        <v>14.93</v>
      </c>
      <c r="E23" s="656">
        <v>47.45</v>
      </c>
      <c r="F23" s="656">
        <v>99.47</v>
      </c>
      <c r="G23" s="656">
        <v>0</v>
      </c>
      <c r="H23" s="309"/>
      <c r="I23" s="656">
        <f t="shared" si="1"/>
        <v>232.94000000000236</v>
      </c>
      <c r="J23" s="245"/>
      <c r="K23" s="674" t="s">
        <v>738</v>
      </c>
      <c r="M23" s="729"/>
    </row>
    <row r="24" spans="1:13" s="218" customFormat="1" ht="15">
      <c r="A24" s="700" t="s">
        <v>1741</v>
      </c>
      <c r="B24" s="294">
        <v>4470107</v>
      </c>
      <c r="C24" s="656">
        <v>671.0199999999976</v>
      </c>
      <c r="D24" s="656">
        <v>140.91</v>
      </c>
      <c r="E24" s="656">
        <v>447.82</v>
      </c>
      <c r="F24" s="656">
        <v>938.88</v>
      </c>
      <c r="G24" s="656">
        <v>0</v>
      </c>
      <c r="H24" s="309"/>
      <c r="I24" s="656">
        <f t="shared" si="1"/>
        <v>2198.6299999999974</v>
      </c>
      <c r="J24" s="245"/>
      <c r="K24" s="674" t="s">
        <v>738</v>
      </c>
      <c r="M24" s="729"/>
    </row>
    <row r="25" spans="1:13" ht="15" hidden="1">
      <c r="A25" s="1162"/>
      <c r="B25" s="294"/>
      <c r="C25" s="245"/>
      <c r="D25" s="267"/>
      <c r="E25" s="267"/>
      <c r="F25" s="267"/>
      <c r="G25" s="267"/>
      <c r="H25" s="309"/>
      <c r="I25" s="267"/>
      <c r="J25" s="245"/>
      <c r="K25" s="295"/>
      <c r="L25" s="218"/>
      <c r="M25" s="729"/>
    </row>
    <row r="26" spans="1:13" s="218" customFormat="1" ht="15">
      <c r="A26" s="692" t="s">
        <v>381</v>
      </c>
      <c r="B26" s="294">
        <v>4470124</v>
      </c>
      <c r="C26" s="656">
        <v>0</v>
      </c>
      <c r="D26" s="656">
        <v>0</v>
      </c>
      <c r="E26" s="656">
        <v>0</v>
      </c>
      <c r="F26" s="656">
        <v>0</v>
      </c>
      <c r="G26" s="656">
        <v>0</v>
      </c>
      <c r="H26" s="309"/>
      <c r="I26" s="656">
        <f t="shared" si="1"/>
        <v>0</v>
      </c>
      <c r="J26" s="245"/>
      <c r="K26" s="674" t="s">
        <v>738</v>
      </c>
      <c r="M26" s="729"/>
    </row>
    <row r="27" spans="1:13" ht="16.5">
      <c r="A27" s="813" t="s">
        <v>446</v>
      </c>
      <c r="B27" s="294"/>
      <c r="C27" s="245"/>
      <c r="D27" s="267"/>
      <c r="E27" s="267"/>
      <c r="F27" s="267"/>
      <c r="G27" s="267"/>
      <c r="H27" s="309"/>
      <c r="I27" s="267"/>
      <c r="J27" s="245"/>
      <c r="K27" s="295"/>
      <c r="L27" s="218"/>
      <c r="M27" s="729"/>
    </row>
    <row r="28" spans="1:13" s="218" customFormat="1" ht="16.5">
      <c r="A28" s="692" t="s">
        <v>322</v>
      </c>
      <c r="B28" s="294">
        <v>4470115</v>
      </c>
      <c r="C28" s="656">
        <v>0</v>
      </c>
      <c r="D28" s="656">
        <v>0</v>
      </c>
      <c r="E28" s="656">
        <v>0</v>
      </c>
      <c r="F28" s="656">
        <v>0</v>
      </c>
      <c r="G28" s="1165">
        <v>0</v>
      </c>
      <c r="H28" s="385"/>
      <c r="I28" s="656">
        <f t="shared" si="1"/>
        <v>0</v>
      </c>
      <c r="J28" s="245"/>
      <c r="K28" s="674" t="s">
        <v>738</v>
      </c>
      <c r="M28" s="729"/>
    </row>
    <row r="29" spans="1:13" s="218" customFormat="1" ht="16.5">
      <c r="A29" s="692" t="s">
        <v>444</v>
      </c>
      <c r="B29" s="294">
        <v>4470126</v>
      </c>
      <c r="C29" s="656">
        <v>17187.620000000003</v>
      </c>
      <c r="D29" s="656">
        <v>3609.29</v>
      </c>
      <c r="E29" s="656">
        <v>11470.42</v>
      </c>
      <c r="F29" s="656">
        <v>24048.58</v>
      </c>
      <c r="G29" s="1165">
        <v>0</v>
      </c>
      <c r="H29" s="385"/>
      <c r="I29" s="656">
        <f t="shared" si="1"/>
        <v>56315.91</v>
      </c>
      <c r="J29" s="245"/>
      <c r="K29" s="674" t="s">
        <v>1067</v>
      </c>
      <c r="M29" s="729"/>
    </row>
    <row r="30" spans="1:13" s="218" customFormat="1" ht="16.5">
      <c r="A30" s="692" t="s">
        <v>443</v>
      </c>
      <c r="B30" s="294">
        <v>4470093</v>
      </c>
      <c r="C30" s="656">
        <v>0</v>
      </c>
      <c r="D30" s="656">
        <v>0</v>
      </c>
      <c r="E30" s="656">
        <v>0</v>
      </c>
      <c r="F30" s="656">
        <v>0</v>
      </c>
      <c r="G30" s="1165">
        <v>0</v>
      </c>
      <c r="H30" s="385"/>
      <c r="I30" s="656">
        <f t="shared" si="1"/>
        <v>0</v>
      </c>
      <c r="J30" s="245"/>
      <c r="K30" s="674" t="s">
        <v>1067</v>
      </c>
      <c r="M30" s="729"/>
    </row>
    <row r="31" spans="1:13" s="218" customFormat="1" ht="16.5">
      <c r="A31" s="692" t="s">
        <v>1957</v>
      </c>
      <c r="B31" s="294">
        <v>5550039</v>
      </c>
      <c r="C31" s="656">
        <v>0</v>
      </c>
      <c r="D31" s="656">
        <v>0</v>
      </c>
      <c r="E31" s="656">
        <v>0</v>
      </c>
      <c r="F31" s="656">
        <v>0</v>
      </c>
      <c r="G31" s="1165">
        <v>0</v>
      </c>
      <c r="H31" s="385"/>
      <c r="I31" s="656">
        <f t="shared" si="1"/>
        <v>0</v>
      </c>
      <c r="J31" s="245"/>
      <c r="K31" s="674" t="s">
        <v>1067</v>
      </c>
      <c r="M31" s="729"/>
    </row>
    <row r="32" spans="1:13" s="218" customFormat="1" ht="16.5">
      <c r="A32" s="692" t="s">
        <v>1958</v>
      </c>
      <c r="B32" s="294">
        <v>5550040</v>
      </c>
      <c r="C32" s="656">
        <v>0</v>
      </c>
      <c r="D32" s="656">
        <v>0</v>
      </c>
      <c r="E32" s="656">
        <v>0</v>
      </c>
      <c r="F32" s="656">
        <v>0</v>
      </c>
      <c r="G32" s="1165">
        <v>0</v>
      </c>
      <c r="H32" s="385"/>
      <c r="I32" s="656">
        <f t="shared" si="1"/>
        <v>0</v>
      </c>
      <c r="J32" s="245"/>
      <c r="K32" s="674" t="s">
        <v>738</v>
      </c>
      <c r="M32" s="729"/>
    </row>
    <row r="33" spans="1:13" s="218" customFormat="1" ht="16.5">
      <c r="A33" s="692" t="s">
        <v>445</v>
      </c>
      <c r="B33" s="294">
        <v>4470107</v>
      </c>
      <c r="C33" s="656">
        <v>-0.4299999999999998</v>
      </c>
      <c r="D33" s="656">
        <v>-0.09</v>
      </c>
      <c r="E33" s="656">
        <v>-0.29</v>
      </c>
      <c r="F33" s="656">
        <v>-0.6</v>
      </c>
      <c r="G33" s="1165">
        <v>0</v>
      </c>
      <c r="H33" s="385"/>
      <c r="I33" s="656">
        <f t="shared" si="1"/>
        <v>-1.4099999999999997</v>
      </c>
      <c r="J33" s="245"/>
      <c r="K33" s="674" t="s">
        <v>738</v>
      </c>
      <c r="M33" s="729"/>
    </row>
    <row r="34" spans="1:13" s="218" customFormat="1" ht="16.5">
      <c r="A34" s="692" t="s">
        <v>1586</v>
      </c>
      <c r="B34" s="294">
        <v>4470116</v>
      </c>
      <c r="C34" s="656">
        <v>2873.9200000000005</v>
      </c>
      <c r="D34" s="656">
        <v>603.51</v>
      </c>
      <c r="E34" s="656">
        <v>1917.96</v>
      </c>
      <c r="F34" s="656">
        <v>4021.14</v>
      </c>
      <c r="G34" s="1165">
        <v>0</v>
      </c>
      <c r="H34" s="385"/>
      <c r="I34" s="656">
        <f t="shared" si="1"/>
        <v>9416.53</v>
      </c>
      <c r="J34" s="245"/>
      <c r="K34" s="674" t="s">
        <v>1067</v>
      </c>
      <c r="M34" s="729"/>
    </row>
    <row r="35" spans="1:13" s="218" customFormat="1" ht="16.5">
      <c r="A35" s="1138" t="s">
        <v>2100</v>
      </c>
      <c r="B35" s="294">
        <v>4470093</v>
      </c>
      <c r="C35" s="1136">
        <v>0</v>
      </c>
      <c r="D35" s="1136">
        <v>0</v>
      </c>
      <c r="E35" s="1136">
        <v>0</v>
      </c>
      <c r="F35" s="1136">
        <v>0</v>
      </c>
      <c r="G35" s="1166">
        <v>0</v>
      </c>
      <c r="H35" s="385"/>
      <c r="I35" s="1136">
        <f t="shared" si="1"/>
        <v>0</v>
      </c>
      <c r="J35" s="245"/>
      <c r="K35" s="674" t="s">
        <v>1067</v>
      </c>
      <c r="M35" s="729"/>
    </row>
    <row r="36" spans="1:13" s="218" customFormat="1" ht="15">
      <c r="A36" s="1138" t="s">
        <v>2101</v>
      </c>
      <c r="B36" s="294">
        <v>4470126</v>
      </c>
      <c r="C36" s="1136">
        <v>0</v>
      </c>
      <c r="D36" s="1136">
        <v>0</v>
      </c>
      <c r="E36" s="1136">
        <v>0</v>
      </c>
      <c r="F36" s="1136">
        <v>0</v>
      </c>
      <c r="G36" s="1136">
        <v>0</v>
      </c>
      <c r="H36" s="385"/>
      <c r="I36" s="1136">
        <f t="shared" si="1"/>
        <v>0</v>
      </c>
      <c r="J36" s="245"/>
      <c r="K36" s="1139" t="s">
        <v>1067</v>
      </c>
      <c r="M36" s="729"/>
    </row>
    <row r="37" spans="1:13" s="218" customFormat="1" ht="15" hidden="1">
      <c r="A37" s="892" t="s">
        <v>555</v>
      </c>
      <c r="B37" s="294">
        <v>4470107</v>
      </c>
      <c r="C37" s="894"/>
      <c r="D37" s="894"/>
      <c r="E37" s="894"/>
      <c r="F37" s="894"/>
      <c r="G37" s="894"/>
      <c r="H37" s="385"/>
      <c r="I37" s="894">
        <f t="shared" si="1"/>
        <v>0</v>
      </c>
      <c r="J37" s="245"/>
      <c r="K37" s="895" t="s">
        <v>1067</v>
      </c>
      <c r="M37" s="729"/>
    </row>
    <row r="38" spans="1:13" s="218" customFormat="1" ht="15" hidden="1">
      <c r="A38" s="892" t="s">
        <v>556</v>
      </c>
      <c r="B38" s="294">
        <v>4470116</v>
      </c>
      <c r="C38" s="894"/>
      <c r="D38" s="894"/>
      <c r="E38" s="894"/>
      <c r="F38" s="894"/>
      <c r="G38" s="894"/>
      <c r="H38" s="385"/>
      <c r="I38" s="894">
        <f t="shared" si="1"/>
        <v>0</v>
      </c>
      <c r="J38" s="245"/>
      <c r="K38" s="895" t="s">
        <v>1067</v>
      </c>
      <c r="M38" s="729"/>
    </row>
    <row r="39" spans="1:13" ht="16.5">
      <c r="A39" s="813" t="s">
        <v>451</v>
      </c>
      <c r="B39" s="294"/>
      <c r="C39" s="245"/>
      <c r="D39" s="267"/>
      <c r="E39" s="267"/>
      <c r="F39" s="267"/>
      <c r="G39" s="267"/>
      <c r="H39" s="309"/>
      <c r="I39" s="267"/>
      <c r="J39" s="245"/>
      <c r="K39" s="295"/>
      <c r="L39" s="218"/>
      <c r="M39" s="729"/>
    </row>
    <row r="40" spans="1:13" s="218" customFormat="1" ht="16.5">
      <c r="A40" s="692" t="s">
        <v>452</v>
      </c>
      <c r="B40" s="294">
        <v>4470124</v>
      </c>
      <c r="C40" s="656">
        <v>0.06714400000000001</v>
      </c>
      <c r="D40" s="656">
        <v>0.0140998</v>
      </c>
      <c r="E40" s="656">
        <v>0.0448096</v>
      </c>
      <c r="F40" s="656">
        <v>0.0939466</v>
      </c>
      <c r="G40" s="1165">
        <v>0</v>
      </c>
      <c r="H40" s="309"/>
      <c r="I40" s="656">
        <f t="shared" si="1"/>
        <v>0.22000000000000003</v>
      </c>
      <c r="J40" s="245"/>
      <c r="K40" s="674" t="s">
        <v>738</v>
      </c>
      <c r="M40" s="729"/>
    </row>
    <row r="41" spans="1:13" s="218" customFormat="1" ht="16.5">
      <c r="A41" s="692" t="s">
        <v>2119</v>
      </c>
      <c r="B41" s="294">
        <v>4470103</v>
      </c>
      <c r="C41" s="656">
        <v>0</v>
      </c>
      <c r="D41" s="656">
        <v>0</v>
      </c>
      <c r="E41" s="656">
        <v>0</v>
      </c>
      <c r="F41" s="656">
        <v>0</v>
      </c>
      <c r="G41" s="1165">
        <v>0</v>
      </c>
      <c r="H41" s="309"/>
      <c r="I41" s="656">
        <f t="shared" si="1"/>
        <v>0</v>
      </c>
      <c r="J41" s="245"/>
      <c r="K41" s="674" t="s">
        <v>738</v>
      </c>
      <c r="M41" s="729"/>
    </row>
    <row r="42" spans="1:13" s="218" customFormat="1" ht="12.75" customHeight="1">
      <c r="A42" s="692" t="s">
        <v>2120</v>
      </c>
      <c r="B42" s="294">
        <v>4470103</v>
      </c>
      <c r="C42" s="656">
        <v>0</v>
      </c>
      <c r="D42" s="656">
        <v>0</v>
      </c>
      <c r="E42" s="656">
        <v>0</v>
      </c>
      <c r="F42" s="656">
        <v>0</v>
      </c>
      <c r="G42" s="1165">
        <v>0</v>
      </c>
      <c r="H42" s="309"/>
      <c r="I42" s="656">
        <f t="shared" si="1"/>
        <v>0</v>
      </c>
      <c r="J42" s="245"/>
      <c r="K42" s="674" t="s">
        <v>1067</v>
      </c>
      <c r="M42" s="729"/>
    </row>
    <row r="43" spans="1:13" s="218" customFormat="1" ht="16.5">
      <c r="A43" s="692" t="s">
        <v>721</v>
      </c>
      <c r="B43" s="294">
        <v>4470203</v>
      </c>
      <c r="C43" s="656">
        <v>0</v>
      </c>
      <c r="D43" s="656">
        <v>0</v>
      </c>
      <c r="E43" s="656">
        <v>0</v>
      </c>
      <c r="F43" s="656">
        <v>0</v>
      </c>
      <c r="G43" s="1165">
        <v>0</v>
      </c>
      <c r="H43" s="309"/>
      <c r="I43" s="656">
        <f t="shared" si="1"/>
        <v>0</v>
      </c>
      <c r="J43" s="245"/>
      <c r="K43" s="674" t="s">
        <v>738</v>
      </c>
      <c r="M43" s="729"/>
    </row>
    <row r="44" spans="1:13" s="218" customFormat="1" ht="16.5">
      <c r="A44" s="692" t="s">
        <v>722</v>
      </c>
      <c r="B44" s="294">
        <v>4470098</v>
      </c>
      <c r="C44" s="656">
        <v>0</v>
      </c>
      <c r="D44" s="656">
        <v>0</v>
      </c>
      <c r="E44" s="656">
        <v>0</v>
      </c>
      <c r="F44" s="656">
        <v>0</v>
      </c>
      <c r="G44" s="1165">
        <v>0</v>
      </c>
      <c r="H44" s="309"/>
      <c r="I44" s="656">
        <f t="shared" si="1"/>
        <v>0</v>
      </c>
      <c r="J44" s="245"/>
      <c r="K44" s="674" t="s">
        <v>1067</v>
      </c>
      <c r="M44" s="729"/>
    </row>
    <row r="45" spans="1:13" s="218" customFormat="1" ht="16.5">
      <c r="A45" s="692" t="s">
        <v>1777</v>
      </c>
      <c r="B45" s="294">
        <v>4470141</v>
      </c>
      <c r="C45" s="656">
        <v>17734.503612</v>
      </c>
      <c r="D45" s="656">
        <v>3724.1295428999997</v>
      </c>
      <c r="E45" s="656">
        <v>11835.3987408</v>
      </c>
      <c r="F45" s="656">
        <v>24813.7781043</v>
      </c>
      <c r="G45" s="1165">
        <v>0</v>
      </c>
      <c r="H45" s="309"/>
      <c r="I45" s="656">
        <f t="shared" si="1"/>
        <v>58107.81</v>
      </c>
      <c r="J45" s="245"/>
      <c r="K45" s="674" t="s">
        <v>738</v>
      </c>
      <c r="M45" s="729"/>
    </row>
    <row r="46" spans="1:13" s="218" customFormat="1" ht="16.5">
      <c r="A46" s="692" t="s">
        <v>1777</v>
      </c>
      <c r="B46" s="294">
        <v>4470126</v>
      </c>
      <c r="C46" s="656">
        <v>-17734.503612</v>
      </c>
      <c r="D46" s="656">
        <v>-3724.1295428999997</v>
      </c>
      <c r="E46" s="656">
        <v>-11835.3987408</v>
      </c>
      <c r="F46" s="656">
        <v>-24813.7781043</v>
      </c>
      <c r="G46" s="1165">
        <v>0</v>
      </c>
      <c r="H46" s="309"/>
      <c r="I46" s="656">
        <f t="shared" si="1"/>
        <v>-58107.81</v>
      </c>
      <c r="J46" s="245"/>
      <c r="K46" s="674" t="s">
        <v>738</v>
      </c>
      <c r="M46" s="729"/>
    </row>
    <row r="47" spans="1:13" s="218" customFormat="1" ht="16.5">
      <c r="A47" s="692" t="s">
        <v>1778</v>
      </c>
      <c r="B47" s="294">
        <v>4470141</v>
      </c>
      <c r="C47" s="656">
        <v>0</v>
      </c>
      <c r="D47" s="656">
        <v>0</v>
      </c>
      <c r="E47" s="656">
        <v>0</v>
      </c>
      <c r="F47" s="656">
        <v>0</v>
      </c>
      <c r="G47" s="1165">
        <v>0</v>
      </c>
      <c r="H47" s="309"/>
      <c r="I47" s="656">
        <f t="shared" si="1"/>
        <v>0</v>
      </c>
      <c r="J47" s="245"/>
      <c r="K47" s="674" t="s">
        <v>738</v>
      </c>
      <c r="M47" s="729"/>
    </row>
    <row r="48" spans="1:13" s="218" customFormat="1" ht="16.5">
      <c r="A48" s="692" t="s">
        <v>723</v>
      </c>
      <c r="B48" s="294">
        <v>4470141</v>
      </c>
      <c r="C48" s="656">
        <v>0</v>
      </c>
      <c r="D48" s="656">
        <v>0</v>
      </c>
      <c r="E48" s="656">
        <v>0</v>
      </c>
      <c r="F48" s="656">
        <v>0</v>
      </c>
      <c r="G48" s="1165">
        <v>0</v>
      </c>
      <c r="H48" s="309"/>
      <c r="I48" s="656">
        <f t="shared" si="1"/>
        <v>0</v>
      </c>
      <c r="J48" s="245"/>
      <c r="K48" s="674" t="s">
        <v>738</v>
      </c>
      <c r="M48" s="729"/>
    </row>
    <row r="49" spans="1:13" s="218" customFormat="1" ht="16.5">
      <c r="A49" s="692" t="s">
        <v>1356</v>
      </c>
      <c r="B49" s="294">
        <v>4470141</v>
      </c>
      <c r="C49" s="656">
        <v>0</v>
      </c>
      <c r="D49" s="656">
        <v>0</v>
      </c>
      <c r="E49" s="656">
        <v>0</v>
      </c>
      <c r="F49" s="656">
        <v>0</v>
      </c>
      <c r="G49" s="1165">
        <v>0</v>
      </c>
      <c r="H49" s="309"/>
      <c r="I49" s="656">
        <f t="shared" si="1"/>
        <v>0</v>
      </c>
      <c r="J49" s="245"/>
      <c r="K49" s="674" t="s">
        <v>738</v>
      </c>
      <c r="M49" s="729"/>
    </row>
    <row r="50" spans="1:13" s="218" customFormat="1" ht="16.5">
      <c r="A50" s="692" t="s">
        <v>1357</v>
      </c>
      <c r="B50" s="294">
        <v>4470174</v>
      </c>
      <c r="C50" s="656">
        <v>0</v>
      </c>
      <c r="D50" s="656">
        <v>0</v>
      </c>
      <c r="E50" s="656">
        <v>0</v>
      </c>
      <c r="F50" s="656">
        <v>0</v>
      </c>
      <c r="G50" s="1165">
        <v>0</v>
      </c>
      <c r="H50" s="309"/>
      <c r="I50" s="656">
        <f t="shared" si="1"/>
        <v>0</v>
      </c>
      <c r="J50" s="245"/>
      <c r="K50" s="674" t="s">
        <v>738</v>
      </c>
      <c r="M50" s="729"/>
    </row>
    <row r="51" spans="1:13" s="218" customFormat="1" ht="16.5">
      <c r="A51" s="692" t="s">
        <v>2110</v>
      </c>
      <c r="B51" s="294">
        <v>4470099</v>
      </c>
      <c r="C51" s="656">
        <v>0</v>
      </c>
      <c r="D51" s="656">
        <v>0</v>
      </c>
      <c r="E51" s="656">
        <v>0</v>
      </c>
      <c r="F51" s="656">
        <v>0</v>
      </c>
      <c r="G51" s="1165">
        <v>0</v>
      </c>
      <c r="H51" s="309"/>
      <c r="I51" s="656">
        <f t="shared" si="1"/>
        <v>0</v>
      </c>
      <c r="J51" s="245"/>
      <c r="K51" s="674" t="s">
        <v>738</v>
      </c>
      <c r="M51" s="729"/>
    </row>
    <row r="52" spans="1:13" s="218" customFormat="1" ht="16.5">
      <c r="A52" s="692" t="s">
        <v>2111</v>
      </c>
      <c r="B52" s="294">
        <v>4470217</v>
      </c>
      <c r="C52" s="656">
        <v>0</v>
      </c>
      <c r="D52" s="656">
        <v>0</v>
      </c>
      <c r="E52" s="656">
        <v>0</v>
      </c>
      <c r="F52" s="656">
        <v>0</v>
      </c>
      <c r="G52" s="1165">
        <v>0</v>
      </c>
      <c r="H52" s="309"/>
      <c r="I52" s="656">
        <f t="shared" si="1"/>
        <v>0</v>
      </c>
      <c r="J52" s="245"/>
      <c r="K52" s="674" t="s">
        <v>738</v>
      </c>
      <c r="M52" s="729"/>
    </row>
    <row r="53" spans="1:13" s="218" customFormat="1" ht="16.5">
      <c r="A53" s="692" t="s">
        <v>724</v>
      </c>
      <c r="B53" s="294">
        <v>4470203</v>
      </c>
      <c r="C53" s="656">
        <v>0</v>
      </c>
      <c r="D53" s="656">
        <v>0</v>
      </c>
      <c r="E53" s="656">
        <v>0</v>
      </c>
      <c r="F53" s="656">
        <v>0</v>
      </c>
      <c r="G53" s="1165">
        <v>0</v>
      </c>
      <c r="H53" s="309"/>
      <c r="I53" s="656">
        <f t="shared" si="1"/>
        <v>0</v>
      </c>
      <c r="J53" s="245"/>
      <c r="K53" s="674" t="s">
        <v>738</v>
      </c>
      <c r="M53" s="729"/>
    </row>
    <row r="54" spans="1:13" s="218" customFormat="1" ht="16.5">
      <c r="A54" s="692" t="s">
        <v>725</v>
      </c>
      <c r="B54" s="294">
        <v>4470098</v>
      </c>
      <c r="C54" s="656">
        <v>0</v>
      </c>
      <c r="D54" s="656">
        <v>0</v>
      </c>
      <c r="E54" s="656">
        <v>0</v>
      </c>
      <c r="F54" s="656">
        <v>0</v>
      </c>
      <c r="G54" s="1165">
        <v>0</v>
      </c>
      <c r="H54" s="309"/>
      <c r="I54" s="656">
        <f t="shared" si="1"/>
        <v>0</v>
      </c>
      <c r="J54" s="245"/>
      <c r="K54" s="674" t="s">
        <v>738</v>
      </c>
      <c r="M54" s="729"/>
    </row>
    <row r="55" spans="1:13" s="218" customFormat="1" ht="16.5">
      <c r="A55" s="692" t="s">
        <v>852</v>
      </c>
      <c r="B55" s="294">
        <v>4470203</v>
      </c>
      <c r="C55" s="656">
        <v>0</v>
      </c>
      <c r="D55" s="656">
        <v>0</v>
      </c>
      <c r="E55" s="656">
        <v>0</v>
      </c>
      <c r="F55" s="656">
        <v>0</v>
      </c>
      <c r="G55" s="1165">
        <v>0</v>
      </c>
      <c r="H55" s="309"/>
      <c r="I55" s="656">
        <f t="shared" si="1"/>
        <v>0</v>
      </c>
      <c r="J55" s="245"/>
      <c r="K55" s="674" t="s">
        <v>738</v>
      </c>
      <c r="M55" s="729"/>
    </row>
    <row r="56" spans="1:13" s="218" customFormat="1" ht="16.5">
      <c r="A56" s="692" t="s">
        <v>2112</v>
      </c>
      <c r="B56" s="294">
        <v>5550083</v>
      </c>
      <c r="C56" s="656">
        <v>0</v>
      </c>
      <c r="D56" s="656">
        <v>0</v>
      </c>
      <c r="E56" s="656">
        <v>0</v>
      </c>
      <c r="F56" s="656">
        <v>0</v>
      </c>
      <c r="G56" s="1165">
        <v>0</v>
      </c>
      <c r="H56" s="309"/>
      <c r="I56" s="656">
        <f t="shared" si="1"/>
        <v>0</v>
      </c>
      <c r="J56" s="245"/>
      <c r="K56" s="674" t="s">
        <v>738</v>
      </c>
      <c r="M56" s="729"/>
    </row>
    <row r="57" spans="1:13" s="218" customFormat="1" ht="16.5">
      <c r="A57" s="692" t="s">
        <v>2113</v>
      </c>
      <c r="B57" s="294">
        <v>4470203</v>
      </c>
      <c r="C57" s="656">
        <v>0</v>
      </c>
      <c r="D57" s="656">
        <v>0</v>
      </c>
      <c r="E57" s="656">
        <v>0</v>
      </c>
      <c r="F57" s="656">
        <v>0</v>
      </c>
      <c r="G57" s="1165">
        <v>0</v>
      </c>
      <c r="H57" s="309"/>
      <c r="I57" s="656">
        <f t="shared" si="1"/>
        <v>0</v>
      </c>
      <c r="J57" s="245"/>
      <c r="K57" s="674" t="s">
        <v>738</v>
      </c>
      <c r="M57" s="729"/>
    </row>
    <row r="58" spans="1:13" s="218" customFormat="1" ht="16.5">
      <c r="A58" s="692" t="s">
        <v>2114</v>
      </c>
      <c r="B58" s="294">
        <v>4470098</v>
      </c>
      <c r="C58" s="656">
        <v>0</v>
      </c>
      <c r="D58" s="656">
        <v>0</v>
      </c>
      <c r="E58" s="656">
        <v>0</v>
      </c>
      <c r="F58" s="656">
        <v>0</v>
      </c>
      <c r="G58" s="1165">
        <v>0</v>
      </c>
      <c r="H58" s="309"/>
      <c r="I58" s="656">
        <f t="shared" si="1"/>
        <v>0</v>
      </c>
      <c r="J58" s="245"/>
      <c r="K58" s="674" t="s">
        <v>738</v>
      </c>
      <c r="M58" s="729"/>
    </row>
    <row r="59" spans="1:13" s="218" customFormat="1" ht="16.5">
      <c r="A59" s="692" t="s">
        <v>853</v>
      </c>
      <c r="B59" s="294">
        <v>4470099</v>
      </c>
      <c r="C59" s="656">
        <v>0</v>
      </c>
      <c r="D59" s="656">
        <v>0</v>
      </c>
      <c r="E59" s="656">
        <v>0</v>
      </c>
      <c r="F59" s="656">
        <v>0</v>
      </c>
      <c r="G59" s="1165">
        <v>0</v>
      </c>
      <c r="H59" s="309"/>
      <c r="I59" s="656">
        <f t="shared" si="1"/>
        <v>0</v>
      </c>
      <c r="J59" s="245"/>
      <c r="K59" s="674" t="s">
        <v>738</v>
      </c>
      <c r="M59" s="729"/>
    </row>
    <row r="60" spans="1:13" s="218" customFormat="1" ht="16.5">
      <c r="A60" s="692" t="s">
        <v>2097</v>
      </c>
      <c r="B60" s="294">
        <v>4470202</v>
      </c>
      <c r="C60" s="656">
        <v>12686.483403999999</v>
      </c>
      <c r="D60" s="656">
        <v>2664.0783792999996</v>
      </c>
      <c r="E60" s="656">
        <v>8466.523393599999</v>
      </c>
      <c r="F60" s="656">
        <v>17750.6848231</v>
      </c>
      <c r="G60" s="1165">
        <v>0</v>
      </c>
      <c r="H60" s="309"/>
      <c r="I60" s="656">
        <f t="shared" si="1"/>
        <v>41567.77</v>
      </c>
      <c r="J60" s="245"/>
      <c r="K60" s="674" t="s">
        <v>738</v>
      </c>
      <c r="M60" s="729"/>
    </row>
    <row r="61" spans="1:13" s="218" customFormat="1" ht="16.5">
      <c r="A61" s="692" t="s">
        <v>2097</v>
      </c>
      <c r="B61" s="294">
        <v>4470202</v>
      </c>
      <c r="C61" s="656">
        <v>-11407.989441992351</v>
      </c>
      <c r="D61" s="656">
        <v>-2395.603025351539</v>
      </c>
      <c r="E61" s="656">
        <v>-7613.3004244593785</v>
      </c>
      <c r="F61" s="656">
        <v>-15961.840535432486</v>
      </c>
      <c r="G61" s="1165">
        <v>0</v>
      </c>
      <c r="H61" s="309"/>
      <c r="I61" s="656">
        <f t="shared" si="1"/>
        <v>-37378.733427235755</v>
      </c>
      <c r="J61" s="245"/>
      <c r="K61" s="674" t="s">
        <v>738</v>
      </c>
      <c r="M61" s="729"/>
    </row>
    <row r="62" spans="1:13" s="218" customFormat="1" ht="16.5">
      <c r="A62" s="692" t="s">
        <v>2098</v>
      </c>
      <c r="B62" s="294">
        <v>4470098</v>
      </c>
      <c r="C62" s="656">
        <v>2394219.4396399995</v>
      </c>
      <c r="D62" s="656">
        <v>502770.39281299995</v>
      </c>
      <c r="E62" s="656">
        <v>1597819.840976</v>
      </c>
      <c r="F62" s="656">
        <v>3349946.0265710005</v>
      </c>
      <c r="G62" s="1165">
        <v>0</v>
      </c>
      <c r="H62" s="309"/>
      <c r="I62" s="656">
        <f t="shared" si="1"/>
        <v>7844755.699999999</v>
      </c>
      <c r="J62" s="245"/>
      <c r="K62" s="674" t="s">
        <v>738</v>
      </c>
      <c r="M62" s="729"/>
    </row>
    <row r="63" spans="1:13" s="218" customFormat="1" ht="16.5">
      <c r="A63" s="692" t="s">
        <v>2098</v>
      </c>
      <c r="B63" s="294">
        <v>4470098</v>
      </c>
      <c r="C63" s="656">
        <v>-2152939.4095620075</v>
      </c>
      <c r="D63" s="656">
        <v>-452103.1676239484</v>
      </c>
      <c r="E63" s="656">
        <v>-1436797.8340091407</v>
      </c>
      <c r="F63" s="656">
        <v>-3012351.6253776676</v>
      </c>
      <c r="G63" s="1165">
        <v>0</v>
      </c>
      <c r="H63" s="309"/>
      <c r="I63" s="656">
        <f t="shared" si="1"/>
        <v>-7054192.036572764</v>
      </c>
      <c r="J63" s="245"/>
      <c r="K63" s="674" t="s">
        <v>738</v>
      </c>
      <c r="M63" s="729"/>
    </row>
    <row r="64" spans="1:13" s="218" customFormat="1" ht="16.5">
      <c r="A64" s="692" t="s">
        <v>2099</v>
      </c>
      <c r="B64" s="294">
        <v>4470202</v>
      </c>
      <c r="C64" s="656">
        <v>-242558.52404000005</v>
      </c>
      <c r="D64" s="656">
        <v>-50935.70054299999</v>
      </c>
      <c r="E64" s="656">
        <v>-161875.229936</v>
      </c>
      <c r="F64" s="656">
        <v>-339383.245481</v>
      </c>
      <c r="G64" s="1165">
        <v>0</v>
      </c>
      <c r="H64" s="309"/>
      <c r="I64" s="656">
        <f t="shared" si="1"/>
        <v>-794752.7</v>
      </c>
      <c r="J64" s="245"/>
      <c r="K64" s="674" t="s">
        <v>738</v>
      </c>
      <c r="M64" s="729"/>
    </row>
    <row r="65" spans="1:13" s="218" customFormat="1" ht="16.5" hidden="1">
      <c r="A65" s="115" t="s">
        <v>2115</v>
      </c>
      <c r="B65" s="294"/>
      <c r="C65" s="267"/>
      <c r="D65" s="267"/>
      <c r="E65" s="267"/>
      <c r="F65" s="267"/>
      <c r="G65" s="267"/>
      <c r="H65" s="309"/>
      <c r="I65" s="267">
        <f t="shared" si="1"/>
        <v>0</v>
      </c>
      <c r="J65" s="245"/>
      <c r="K65" s="295"/>
      <c r="M65" s="729"/>
    </row>
    <row r="66" spans="1:13" s="218" customFormat="1" ht="15" hidden="1">
      <c r="A66" s="692" t="s">
        <v>2116</v>
      </c>
      <c r="B66" s="294">
        <v>4470103</v>
      </c>
      <c r="C66" s="656"/>
      <c r="D66" s="656"/>
      <c r="E66" s="656"/>
      <c r="F66" s="656"/>
      <c r="G66" s="656">
        <v>0</v>
      </c>
      <c r="H66" s="309"/>
      <c r="I66" s="656">
        <f t="shared" si="1"/>
        <v>0</v>
      </c>
      <c r="J66" s="245"/>
      <c r="K66" s="674" t="s">
        <v>738</v>
      </c>
      <c r="M66" s="729"/>
    </row>
    <row r="67" spans="1:13" s="218" customFormat="1" ht="15" hidden="1">
      <c r="A67" s="692" t="s">
        <v>2116</v>
      </c>
      <c r="B67" s="294">
        <v>1070001</v>
      </c>
      <c r="C67" s="656"/>
      <c r="D67" s="656"/>
      <c r="E67" s="656"/>
      <c r="F67" s="656"/>
      <c r="G67" s="656">
        <v>0</v>
      </c>
      <c r="H67" s="309"/>
      <c r="I67" s="656">
        <f t="shared" si="1"/>
        <v>0</v>
      </c>
      <c r="J67" s="245"/>
      <c r="K67" s="674" t="s">
        <v>738</v>
      </c>
      <c r="M67" s="729"/>
    </row>
    <row r="68" spans="1:13" s="218" customFormat="1" ht="15" hidden="1">
      <c r="A68" s="692" t="s">
        <v>2117</v>
      </c>
      <c r="B68" s="294">
        <v>4470093</v>
      </c>
      <c r="C68" s="656"/>
      <c r="D68" s="656"/>
      <c r="E68" s="656"/>
      <c r="F68" s="656"/>
      <c r="G68" s="656">
        <v>0</v>
      </c>
      <c r="H68" s="309"/>
      <c r="I68" s="656">
        <f t="shared" si="1"/>
        <v>0</v>
      </c>
      <c r="J68" s="245"/>
      <c r="K68" s="674" t="s">
        <v>738</v>
      </c>
      <c r="M68" s="729"/>
    </row>
    <row r="69" spans="1:13" s="218" customFormat="1" ht="15" hidden="1">
      <c r="A69" s="692" t="s">
        <v>2117</v>
      </c>
      <c r="B69" s="294">
        <v>1070001</v>
      </c>
      <c r="C69" s="656"/>
      <c r="D69" s="656"/>
      <c r="E69" s="656"/>
      <c r="F69" s="656"/>
      <c r="G69" s="656">
        <v>0</v>
      </c>
      <c r="H69" s="309"/>
      <c r="I69" s="656">
        <f t="shared" si="1"/>
        <v>0</v>
      </c>
      <c r="J69" s="245"/>
      <c r="K69" s="674" t="s">
        <v>738</v>
      </c>
      <c r="M69" s="729"/>
    </row>
    <row r="70" spans="1:13" s="218" customFormat="1" ht="15" hidden="1">
      <c r="A70" s="692" t="s">
        <v>2118</v>
      </c>
      <c r="B70" s="294">
        <v>4470207</v>
      </c>
      <c r="C70" s="656"/>
      <c r="D70" s="656"/>
      <c r="E70" s="656"/>
      <c r="F70" s="656"/>
      <c r="G70" s="656">
        <v>0</v>
      </c>
      <c r="H70" s="309"/>
      <c r="I70" s="656">
        <f t="shared" si="1"/>
        <v>0</v>
      </c>
      <c r="J70" s="245"/>
      <c r="K70" s="674" t="s">
        <v>738</v>
      </c>
      <c r="M70" s="729"/>
    </row>
    <row r="71" spans="1:13" s="218" customFormat="1" ht="15" hidden="1">
      <c r="A71" s="692" t="s">
        <v>2118</v>
      </c>
      <c r="B71" s="294">
        <v>1070001</v>
      </c>
      <c r="C71" s="656">
        <v>0</v>
      </c>
      <c r="D71" s="656">
        <v>0</v>
      </c>
      <c r="E71" s="656">
        <v>0</v>
      </c>
      <c r="F71" s="656">
        <v>0</v>
      </c>
      <c r="G71" s="656">
        <v>0</v>
      </c>
      <c r="H71" s="309"/>
      <c r="I71" s="656">
        <f t="shared" si="1"/>
        <v>0</v>
      </c>
      <c r="J71" s="245"/>
      <c r="K71" s="674" t="s">
        <v>738</v>
      </c>
      <c r="M71" s="729"/>
    </row>
    <row r="72" spans="1:13" s="218" customFormat="1" ht="16.5">
      <c r="A72" s="813" t="s">
        <v>2146</v>
      </c>
      <c r="B72" s="1168"/>
      <c r="C72" s="1169"/>
      <c r="D72" s="1169"/>
      <c r="E72" s="1169"/>
      <c r="F72" s="1169"/>
      <c r="G72" s="1169"/>
      <c r="H72" s="1170"/>
      <c r="I72" s="1169">
        <f t="shared" si="1"/>
        <v>0</v>
      </c>
      <c r="J72" s="1171"/>
      <c r="K72" s="1172"/>
      <c r="M72" s="729"/>
    </row>
    <row r="73" spans="1:13" s="218" customFormat="1" ht="15">
      <c r="A73" s="692" t="s">
        <v>2147</v>
      </c>
      <c r="B73" s="294">
        <v>4470099</v>
      </c>
      <c r="C73" s="656">
        <v>0</v>
      </c>
      <c r="D73" s="656">
        <v>0</v>
      </c>
      <c r="E73" s="656">
        <v>0</v>
      </c>
      <c r="F73" s="656">
        <v>-8037115.35</v>
      </c>
      <c r="G73" s="656">
        <v>0</v>
      </c>
      <c r="H73" s="309"/>
      <c r="I73" s="656">
        <f t="shared" si="1"/>
        <v>-8037115.35</v>
      </c>
      <c r="J73" s="245"/>
      <c r="K73" s="674"/>
      <c r="M73" s="729"/>
    </row>
    <row r="74" spans="1:13" s="218" customFormat="1" ht="15">
      <c r="A74" s="692" t="s">
        <v>2148</v>
      </c>
      <c r="B74" s="294">
        <v>4470217</v>
      </c>
      <c r="C74" s="656">
        <v>0</v>
      </c>
      <c r="D74" s="656">
        <v>0</v>
      </c>
      <c r="E74" s="656">
        <v>0</v>
      </c>
      <c r="F74" s="656">
        <v>-1872001.66</v>
      </c>
      <c r="G74" s="656">
        <v>0</v>
      </c>
      <c r="H74" s="309"/>
      <c r="I74" s="656">
        <f t="shared" si="1"/>
        <v>-1872001.66</v>
      </c>
      <c r="J74" s="245"/>
      <c r="K74" s="674"/>
      <c r="M74" s="729"/>
    </row>
    <row r="75" spans="1:13" s="218" customFormat="1" ht="15">
      <c r="A75" s="692" t="s">
        <v>2149</v>
      </c>
      <c r="B75" s="294">
        <v>4470217</v>
      </c>
      <c r="C75" s="656">
        <v>0</v>
      </c>
      <c r="D75" s="656">
        <v>0</v>
      </c>
      <c r="E75" s="656">
        <v>0</v>
      </c>
      <c r="F75" s="656">
        <v>0</v>
      </c>
      <c r="G75" s="656">
        <v>0</v>
      </c>
      <c r="H75" s="309"/>
      <c r="I75" s="656">
        <f t="shared" si="1"/>
        <v>0</v>
      </c>
      <c r="J75" s="245"/>
      <c r="K75" s="674"/>
      <c r="M75" s="729"/>
    </row>
    <row r="76" spans="1:13" s="218" customFormat="1" ht="15" hidden="1">
      <c r="A76" s="692"/>
      <c r="B76" s="294"/>
      <c r="C76" s="656"/>
      <c r="D76" s="656"/>
      <c r="E76" s="656"/>
      <c r="F76" s="656"/>
      <c r="G76" s="656"/>
      <c r="H76" s="309"/>
      <c r="I76" s="656">
        <f t="shared" si="1"/>
        <v>0</v>
      </c>
      <c r="J76" s="245"/>
      <c r="K76" s="674" t="s">
        <v>738</v>
      </c>
      <c r="M76" s="729"/>
    </row>
    <row r="77" spans="1:13" s="218" customFormat="1" ht="15" hidden="1">
      <c r="A77" s="692"/>
      <c r="B77" s="294"/>
      <c r="C77" s="656"/>
      <c r="D77" s="656"/>
      <c r="E77" s="656"/>
      <c r="F77" s="656"/>
      <c r="G77" s="656"/>
      <c r="H77" s="309"/>
      <c r="I77" s="656">
        <f t="shared" si="1"/>
        <v>0</v>
      </c>
      <c r="J77" s="245"/>
      <c r="K77" s="674" t="s">
        <v>1067</v>
      </c>
      <c r="M77" s="729"/>
    </row>
    <row r="78" spans="1:13" s="218" customFormat="1" ht="15" hidden="1">
      <c r="A78" s="692"/>
      <c r="B78" s="294"/>
      <c r="C78" s="656"/>
      <c r="D78" s="656"/>
      <c r="E78" s="656"/>
      <c r="F78" s="656"/>
      <c r="G78" s="656"/>
      <c r="H78" s="309"/>
      <c r="I78" s="656">
        <f t="shared" si="1"/>
        <v>0</v>
      </c>
      <c r="J78" s="245"/>
      <c r="K78" s="674" t="s">
        <v>1067</v>
      </c>
      <c r="M78" s="729"/>
    </row>
    <row r="79" spans="1:13" s="218" customFormat="1" ht="15" hidden="1">
      <c r="A79" s="692"/>
      <c r="B79" s="294"/>
      <c r="C79" s="656"/>
      <c r="D79" s="656"/>
      <c r="E79" s="656"/>
      <c r="F79" s="656"/>
      <c r="G79" s="656"/>
      <c r="H79" s="309"/>
      <c r="I79" s="656">
        <f t="shared" si="1"/>
        <v>0</v>
      </c>
      <c r="J79" s="245"/>
      <c r="K79" s="674" t="s">
        <v>1067</v>
      </c>
      <c r="M79" s="729"/>
    </row>
    <row r="80" spans="1:13" s="218" customFormat="1" ht="15" hidden="1">
      <c r="A80" s="692"/>
      <c r="B80" s="294"/>
      <c r="C80" s="656"/>
      <c r="D80" s="656"/>
      <c r="E80" s="656"/>
      <c r="F80" s="656"/>
      <c r="G80" s="656"/>
      <c r="H80" s="309"/>
      <c r="I80" s="656">
        <f t="shared" si="1"/>
        <v>0</v>
      </c>
      <c r="J80" s="245"/>
      <c r="K80" s="674" t="s">
        <v>1067</v>
      </c>
      <c r="M80" s="729"/>
    </row>
    <row r="81" spans="1:13" ht="16.5">
      <c r="A81" s="813" t="s">
        <v>449</v>
      </c>
      <c r="B81" s="294"/>
      <c r="C81" s="245"/>
      <c r="D81" s="267"/>
      <c r="E81" s="267"/>
      <c r="F81" s="267"/>
      <c r="G81" s="267"/>
      <c r="H81" s="267"/>
      <c r="I81" s="267"/>
      <c r="J81" s="245"/>
      <c r="K81" s="295"/>
      <c r="L81" s="218"/>
      <c r="M81" s="729"/>
    </row>
    <row r="82" spans="1:13" ht="15">
      <c r="A82" s="692" t="s">
        <v>439</v>
      </c>
      <c r="B82" s="294">
        <v>5650012</v>
      </c>
      <c r="C82" s="741">
        <v>-1130730.1481559998</v>
      </c>
      <c r="D82" s="656">
        <v>-237445.92134769997</v>
      </c>
      <c r="E82" s="656">
        <v>-754610.4737103999</v>
      </c>
      <c r="F82" s="656">
        <v>-1582095.9867859</v>
      </c>
      <c r="G82" s="656">
        <v>0</v>
      </c>
      <c r="H82" s="267"/>
      <c r="I82" s="656">
        <f t="shared" si="1"/>
        <v>-3704882.5300000003</v>
      </c>
      <c r="J82" s="245"/>
      <c r="K82" s="674" t="s">
        <v>1067</v>
      </c>
      <c r="L82" s="218"/>
      <c r="M82" s="729"/>
    </row>
    <row r="83" spans="1:13" ht="15">
      <c r="A83" s="692" t="s">
        <v>440</v>
      </c>
      <c r="B83" s="294">
        <v>4561002</v>
      </c>
      <c r="C83" s="741">
        <v>-42867.63000199999</v>
      </c>
      <c r="D83" s="656">
        <v>-10330.47135</v>
      </c>
      <c r="E83" s="656">
        <v>-34052.29445</v>
      </c>
      <c r="F83" s="656">
        <v>-65793.62419799999</v>
      </c>
      <c r="G83" s="656">
        <v>0</v>
      </c>
      <c r="H83" s="267"/>
      <c r="I83" s="656">
        <f t="shared" si="1"/>
        <v>-153044.01999999996</v>
      </c>
      <c r="J83" s="245"/>
      <c r="K83" s="674" t="s">
        <v>738</v>
      </c>
      <c r="L83" s="218"/>
      <c r="M83" s="729"/>
    </row>
    <row r="84" spans="1:13" ht="15">
      <c r="A84" s="692" t="s">
        <v>441</v>
      </c>
      <c r="B84" s="294">
        <v>4561003</v>
      </c>
      <c r="C84" s="741">
        <v>-27867.151801</v>
      </c>
      <c r="D84" s="656">
        <v>-6715.575675</v>
      </c>
      <c r="E84" s="656">
        <v>-22136.527224999998</v>
      </c>
      <c r="F84" s="656">
        <v>-42770.755299</v>
      </c>
      <c r="G84" s="656">
        <v>0</v>
      </c>
      <c r="H84" s="267"/>
      <c r="I84" s="656">
        <f t="shared" si="1"/>
        <v>-99490.01</v>
      </c>
      <c r="J84" s="245"/>
      <c r="K84" s="674" t="s">
        <v>738</v>
      </c>
      <c r="L84" s="218"/>
      <c r="M84" s="729"/>
    </row>
    <row r="85" spans="1:13" ht="15">
      <c r="A85" s="692" t="s">
        <v>442</v>
      </c>
      <c r="B85" s="294">
        <v>4561005</v>
      </c>
      <c r="C85" s="741">
        <v>236733.62638799998</v>
      </c>
      <c r="D85" s="656">
        <v>49712.51020709999</v>
      </c>
      <c r="E85" s="656">
        <v>157987.89325919998</v>
      </c>
      <c r="F85" s="656">
        <v>331233.1601457</v>
      </c>
      <c r="G85" s="656">
        <v>0</v>
      </c>
      <c r="H85" s="267"/>
      <c r="I85" s="656">
        <f t="shared" si="1"/>
        <v>775667.19</v>
      </c>
      <c r="J85" s="245"/>
      <c r="K85" s="674" t="s">
        <v>738</v>
      </c>
      <c r="L85" s="218"/>
      <c r="M85" s="729"/>
    </row>
    <row r="86" spans="1:12" ht="16.5">
      <c r="A86" s="813" t="s">
        <v>450</v>
      </c>
      <c r="B86" s="294"/>
      <c r="C86" s="245"/>
      <c r="D86" s="267"/>
      <c r="E86" s="267"/>
      <c r="F86" s="1135"/>
      <c r="G86" s="267"/>
      <c r="H86" s="267"/>
      <c r="I86" s="267"/>
      <c r="J86" s="245"/>
      <c r="K86" s="295"/>
      <c r="L86" s="218"/>
    </row>
    <row r="87" spans="1:13" s="218" customFormat="1" ht="15">
      <c r="A87" s="692" t="s">
        <v>439</v>
      </c>
      <c r="B87" s="294">
        <v>5650012</v>
      </c>
      <c r="C87" s="756">
        <v>1167838.5847514756</v>
      </c>
      <c r="D87" s="656">
        <v>229099.54459216222</v>
      </c>
      <c r="E87" s="656">
        <v>594937.953139491</v>
      </c>
      <c r="F87" s="656">
        <v>1198277.3475168713</v>
      </c>
      <c r="G87" s="656">
        <v>0</v>
      </c>
      <c r="H87" s="267"/>
      <c r="I87" s="656">
        <f aca="true" t="shared" si="2" ref="I87:I92">SUM(C87:G87)</f>
        <v>3190153.4299999997</v>
      </c>
      <c r="J87" s="245"/>
      <c r="K87" s="674" t="s">
        <v>869</v>
      </c>
      <c r="M87" s="267"/>
    </row>
    <row r="88" spans="1:13" s="218" customFormat="1" ht="15">
      <c r="A88" s="692" t="s">
        <v>440</v>
      </c>
      <c r="B88" s="294">
        <v>4561002</v>
      </c>
      <c r="C88" s="756">
        <v>56025.7415962205</v>
      </c>
      <c r="D88" s="756">
        <v>10990.79277969203</v>
      </c>
      <c r="E88" s="756">
        <v>28541.478645758845</v>
      </c>
      <c r="F88" s="756">
        <v>57486.0069783286</v>
      </c>
      <c r="G88" s="756">
        <v>0</v>
      </c>
      <c r="H88" s="385"/>
      <c r="I88" s="1136">
        <f t="shared" si="2"/>
        <v>153044.01999999996</v>
      </c>
      <c r="J88" s="245"/>
      <c r="K88" s="674" t="s">
        <v>738</v>
      </c>
      <c r="M88" s="267"/>
    </row>
    <row r="89" spans="1:13" s="218" customFormat="1" ht="15">
      <c r="A89" s="692" t="s">
        <v>441</v>
      </c>
      <c r="B89" s="294">
        <v>4561003</v>
      </c>
      <c r="C89" s="756">
        <v>36420.904205635714</v>
      </c>
      <c r="D89" s="756">
        <v>7144.833777624815</v>
      </c>
      <c r="E89" s="756">
        <v>18554.08656856592</v>
      </c>
      <c r="F89" s="756">
        <v>37370.185448173565</v>
      </c>
      <c r="G89" s="756">
        <v>0</v>
      </c>
      <c r="H89" s="385"/>
      <c r="I89" s="1136">
        <f t="shared" si="2"/>
        <v>99490.01000000001</v>
      </c>
      <c r="J89" s="245"/>
      <c r="K89" s="674" t="s">
        <v>1067</v>
      </c>
      <c r="M89" s="267"/>
    </row>
    <row r="90" spans="1:13" s="218" customFormat="1" ht="15">
      <c r="A90" s="692" t="s">
        <v>442</v>
      </c>
      <c r="B90" s="294">
        <v>4561005</v>
      </c>
      <c r="C90" s="656">
        <v>-267481.70493400143</v>
      </c>
      <c r="D90" s="656">
        <v>-52472.95096021824</v>
      </c>
      <c r="E90" s="656">
        <v>-136264.56610830445</v>
      </c>
      <c r="F90" s="656">
        <v>-274453.39799747587</v>
      </c>
      <c r="G90" s="656">
        <v>0</v>
      </c>
      <c r="H90" s="309"/>
      <c r="I90" s="1136">
        <f t="shared" si="2"/>
        <v>-730672.6199999999</v>
      </c>
      <c r="J90" s="245"/>
      <c r="K90" s="674" t="s">
        <v>1067</v>
      </c>
      <c r="M90" s="267"/>
    </row>
    <row r="91" spans="1:13" s="218" customFormat="1" ht="15">
      <c r="A91" s="692" t="s">
        <v>2090</v>
      </c>
      <c r="B91" s="294">
        <v>4560012</v>
      </c>
      <c r="C91" s="656">
        <v>0</v>
      </c>
      <c r="D91" s="656">
        <v>0</v>
      </c>
      <c r="E91" s="656">
        <v>0</v>
      </c>
      <c r="F91" s="656">
        <v>0</v>
      </c>
      <c r="G91" s="656">
        <v>0</v>
      </c>
      <c r="H91" s="309"/>
      <c r="I91" s="1136">
        <f t="shared" si="2"/>
        <v>0</v>
      </c>
      <c r="J91" s="245"/>
      <c r="K91" s="674" t="s">
        <v>1067</v>
      </c>
      <c r="M91" s="267"/>
    </row>
    <row r="92" spans="1:13" s="218" customFormat="1" ht="15">
      <c r="A92" s="692" t="s">
        <v>2088</v>
      </c>
      <c r="B92" s="294">
        <v>4470150</v>
      </c>
      <c r="C92" s="656">
        <v>32351.229999999996</v>
      </c>
      <c r="D92" s="656">
        <v>2294.9700000000003</v>
      </c>
      <c r="E92" s="656">
        <v>120421.31</v>
      </c>
      <c r="F92" s="656">
        <v>0</v>
      </c>
      <c r="G92" s="656">
        <v>0</v>
      </c>
      <c r="H92" s="309"/>
      <c r="I92" s="656">
        <f t="shared" si="2"/>
        <v>155067.51</v>
      </c>
      <c r="J92" s="245"/>
      <c r="K92" s="674" t="s">
        <v>1067</v>
      </c>
      <c r="M92" s="267"/>
    </row>
    <row r="93" spans="1:13" ht="15">
      <c r="A93" s="2"/>
      <c r="B93" s="294"/>
      <c r="C93" s="245"/>
      <c r="D93" s="245"/>
      <c r="E93" s="245"/>
      <c r="F93" s="245"/>
      <c r="G93" s="245"/>
      <c r="H93" s="309"/>
      <c r="I93" s="245"/>
      <c r="J93" s="245"/>
      <c r="K93" s="295"/>
      <c r="L93" s="218"/>
      <c r="M93" s="245"/>
    </row>
    <row r="94" spans="1:13" ht="15">
      <c r="A94" s="815" t="s">
        <v>1145</v>
      </c>
      <c r="C94" s="811">
        <f>ROUND(SUM(C5:C92),2)</f>
        <v>3573426.89</v>
      </c>
      <c r="D94" s="811">
        <f>ROUND(SUM(D5:D92),2)</f>
        <v>732169.42</v>
      </c>
      <c r="E94" s="811">
        <f>ROUND(SUM(E5:E92),2)</f>
        <v>2326784.9</v>
      </c>
      <c r="F94" s="811">
        <f>ROUND(SUM(F5:F92),2)</f>
        <v>-5324980.89</v>
      </c>
      <c r="G94" s="811">
        <f>ROUND(SUM(G5:G92),2)</f>
        <v>0</v>
      </c>
      <c r="H94" s="245"/>
      <c r="I94" s="811">
        <f>ROUND(SUM(I3:I92),0)</f>
        <v>1307400</v>
      </c>
      <c r="J94" s="244"/>
      <c r="M94" s="245"/>
    </row>
    <row r="95" spans="1:13" ht="15">
      <c r="A95" s="2"/>
      <c r="C95" s="256"/>
      <c r="D95" s="256"/>
      <c r="E95" s="256"/>
      <c r="F95" s="256"/>
      <c r="G95" s="256"/>
      <c r="I95" s="256"/>
      <c r="J95" s="256"/>
      <c r="M95" s="245"/>
    </row>
    <row r="96" spans="1:13" ht="15">
      <c r="A96" s="815" t="s">
        <v>1144</v>
      </c>
      <c r="C96" s="812">
        <f>INPUT!J201</f>
        <v>3345939.0977868754</v>
      </c>
      <c r="D96" s="812">
        <f>INPUT!J202</f>
        <v>684753.7930370705</v>
      </c>
      <c r="E96" s="812">
        <f>INPUT!J203</f>
        <v>2168532.0727566713</v>
      </c>
      <c r="F96" s="812">
        <f>INPUT!J204</f>
        <v>-5639304.006439901</v>
      </c>
      <c r="G96" s="812">
        <f>INPUT!J205</f>
        <v>0</v>
      </c>
      <c r="H96" s="817"/>
      <c r="I96" s="812">
        <f>SUM(C96:G96)</f>
        <v>559920.9571407167</v>
      </c>
      <c r="J96" s="244"/>
      <c r="M96" s="245"/>
    </row>
    <row r="97" spans="3:13" s="2" customFormat="1" ht="15">
      <c r="C97" s="245"/>
      <c r="D97" s="245"/>
      <c r="E97" s="245"/>
      <c r="F97" s="245"/>
      <c r="G97" s="245"/>
      <c r="H97" s="245"/>
      <c r="I97" s="245"/>
      <c r="J97" s="245"/>
      <c r="M97" s="245"/>
    </row>
    <row r="98" spans="1:13" ht="15.75" thickBot="1">
      <c r="A98" s="815" t="s">
        <v>1146</v>
      </c>
      <c r="B98" s="275" t="s">
        <v>119</v>
      </c>
      <c r="C98" s="816">
        <f>C94-C96</f>
        <v>227487.7922131247</v>
      </c>
      <c r="D98" s="816">
        <f>D94-D96</f>
        <v>47415.6269629295</v>
      </c>
      <c r="E98" s="816">
        <f>E94-E96</f>
        <v>158252.82724332856</v>
      </c>
      <c r="F98" s="816">
        <f>F94-F96</f>
        <v>314323.1164399013</v>
      </c>
      <c r="G98" s="816">
        <f>G94-G96</f>
        <v>0</v>
      </c>
      <c r="H98" s="817"/>
      <c r="I98" s="816">
        <f>SUM(C98:G98)</f>
        <v>747479.362859284</v>
      </c>
      <c r="J98" s="244"/>
      <c r="M98" s="245"/>
    </row>
    <row r="99" spans="2:13" ht="15.75" thickTop="1">
      <c r="B99" s="275"/>
      <c r="C99" s="244"/>
      <c r="D99" s="244"/>
      <c r="E99" s="244"/>
      <c r="F99" s="244"/>
      <c r="G99" s="244"/>
      <c r="H99" s="244"/>
      <c r="I99" s="244"/>
      <c r="J99" s="244"/>
      <c r="M99" s="245"/>
    </row>
    <row r="100" spans="1:10" ht="16.5">
      <c r="A100" s="1191" t="s">
        <v>1076</v>
      </c>
      <c r="B100" s="1191"/>
      <c r="C100" s="1191"/>
      <c r="D100" s="1191"/>
      <c r="E100" s="1191"/>
      <c r="F100" s="1191"/>
      <c r="G100" s="1191"/>
      <c r="H100" s="1191"/>
      <c r="I100" s="1191"/>
      <c r="J100" s="14"/>
    </row>
    <row r="102" spans="1:13" ht="49.5">
      <c r="A102" s="17" t="s">
        <v>35</v>
      </c>
      <c r="B102" s="266" t="s">
        <v>743</v>
      </c>
      <c r="C102" s="258" t="s">
        <v>36</v>
      </c>
      <c r="D102" s="258" t="s">
        <v>37</v>
      </c>
      <c r="E102" s="258" t="s">
        <v>38</v>
      </c>
      <c r="F102" s="258" t="s">
        <v>39</v>
      </c>
      <c r="G102" s="258" t="s">
        <v>40</v>
      </c>
      <c r="H102" s="259"/>
      <c r="I102" s="258" t="s">
        <v>41</v>
      </c>
      <c r="J102" s="259"/>
      <c r="K102" s="258"/>
      <c r="M102" s="292" t="s">
        <v>739</v>
      </c>
    </row>
    <row r="103" spans="1:21" ht="16.5">
      <c r="A103" s="814" t="s">
        <v>453</v>
      </c>
      <c r="C103" s="1167"/>
      <c r="D103" s="1167"/>
      <c r="E103" s="1167"/>
      <c r="F103" s="1167"/>
      <c r="G103" s="262"/>
      <c r="H103" s="244"/>
      <c r="I103" s="262"/>
      <c r="J103" s="262"/>
      <c r="Q103" s="129"/>
      <c r="R103" s="129"/>
      <c r="S103" s="129"/>
      <c r="T103" s="129"/>
      <c r="U103" s="129"/>
    </row>
    <row r="104" spans="1:11" ht="16.5" hidden="1">
      <c r="A104" s="2" t="s">
        <v>689</v>
      </c>
      <c r="B104" s="294">
        <v>4470141</v>
      </c>
      <c r="C104" s="1165"/>
      <c r="D104" s="1165"/>
      <c r="E104" s="1165"/>
      <c r="F104" s="1165"/>
      <c r="G104" s="656"/>
      <c r="H104" s="244"/>
      <c r="I104" s="267">
        <f aca="true" t="shared" si="3" ref="I104:I175">SUM(C104:G104)</f>
        <v>0</v>
      </c>
      <c r="J104" s="267"/>
      <c r="K104" s="295" t="s">
        <v>1067</v>
      </c>
    </row>
    <row r="105" spans="1:11" ht="16.5" hidden="1">
      <c r="A105" s="2" t="s">
        <v>1499</v>
      </c>
      <c r="B105" s="294">
        <v>4470141</v>
      </c>
      <c r="C105" s="1165"/>
      <c r="D105" s="1165"/>
      <c r="E105" s="1165"/>
      <c r="F105" s="1165"/>
      <c r="G105" s="656"/>
      <c r="H105" s="244"/>
      <c r="I105" s="267">
        <f t="shared" si="3"/>
        <v>0</v>
      </c>
      <c r="J105" s="267"/>
      <c r="K105" s="295" t="s">
        <v>1067</v>
      </c>
    </row>
    <row r="106" spans="1:11" ht="16.5" hidden="1">
      <c r="A106" s="2" t="s">
        <v>855</v>
      </c>
      <c r="B106" s="294">
        <v>4470141</v>
      </c>
      <c r="C106" s="1165"/>
      <c r="D106" s="1165"/>
      <c r="E106" s="1165"/>
      <c r="F106" s="1165"/>
      <c r="G106" s="656"/>
      <c r="H106" s="244"/>
      <c r="I106" s="267">
        <f t="shared" si="3"/>
        <v>0</v>
      </c>
      <c r="J106" s="267"/>
      <c r="K106" s="295" t="s">
        <v>1067</v>
      </c>
    </row>
    <row r="107" spans="1:11" ht="16.5" hidden="1">
      <c r="A107" s="2" t="s">
        <v>1517</v>
      </c>
      <c r="B107" s="294">
        <v>4470126</v>
      </c>
      <c r="C107" s="1165"/>
      <c r="D107" s="1165"/>
      <c r="E107" s="1165"/>
      <c r="F107" s="1165"/>
      <c r="G107" s="656"/>
      <c r="H107" s="244"/>
      <c r="I107" s="267">
        <f t="shared" si="3"/>
        <v>0</v>
      </c>
      <c r="J107" s="267"/>
      <c r="K107" s="295" t="s">
        <v>738</v>
      </c>
    </row>
    <row r="108" spans="1:11" ht="16.5" hidden="1">
      <c r="A108" s="2" t="s">
        <v>840</v>
      </c>
      <c r="B108" s="294">
        <v>4470141</v>
      </c>
      <c r="C108" s="1165"/>
      <c r="D108" s="1165"/>
      <c r="E108" s="1165"/>
      <c r="F108" s="1165"/>
      <c r="G108" s="656"/>
      <c r="H108" s="244"/>
      <c r="I108" s="267">
        <f t="shared" si="3"/>
        <v>0</v>
      </c>
      <c r="J108" s="267"/>
      <c r="K108" s="295" t="s">
        <v>1067</v>
      </c>
    </row>
    <row r="109" spans="1:11" ht="16.5" hidden="1">
      <c r="A109" s="2" t="s">
        <v>756</v>
      </c>
      <c r="B109" s="294">
        <v>4470141</v>
      </c>
      <c r="C109" s="1165"/>
      <c r="D109" s="1165"/>
      <c r="E109" s="1165"/>
      <c r="F109" s="1165"/>
      <c r="G109" s="656"/>
      <c r="H109" s="244"/>
      <c r="I109" s="267">
        <f t="shared" si="3"/>
        <v>0</v>
      </c>
      <c r="J109" s="267"/>
      <c r="K109" s="295" t="s">
        <v>1067</v>
      </c>
    </row>
    <row r="110" spans="1:11" ht="16.5" hidden="1">
      <c r="A110" s="2" t="s">
        <v>1920</v>
      </c>
      <c r="B110" s="294">
        <v>4470098</v>
      </c>
      <c r="C110" s="1165"/>
      <c r="D110" s="1165"/>
      <c r="E110" s="1165"/>
      <c r="F110" s="1165"/>
      <c r="G110" s="656"/>
      <c r="H110" s="244"/>
      <c r="I110" s="267">
        <f t="shared" si="3"/>
        <v>0</v>
      </c>
      <c r="J110" s="267"/>
      <c r="K110" s="295" t="s">
        <v>738</v>
      </c>
    </row>
    <row r="111" spans="1:11" ht="16.5" hidden="1">
      <c r="A111" s="2" t="s">
        <v>856</v>
      </c>
      <c r="B111" s="294">
        <v>4470141</v>
      </c>
      <c r="C111" s="1165"/>
      <c r="D111" s="1165"/>
      <c r="E111" s="1165"/>
      <c r="F111" s="1165"/>
      <c r="G111" s="656"/>
      <c r="H111" s="244"/>
      <c r="I111" s="267">
        <f t="shared" si="3"/>
        <v>0</v>
      </c>
      <c r="J111" s="267"/>
      <c r="K111" s="295" t="s">
        <v>1067</v>
      </c>
    </row>
    <row r="112" spans="1:11" ht="16.5" hidden="1">
      <c r="A112" s="2" t="s">
        <v>857</v>
      </c>
      <c r="B112" s="294">
        <v>4470141</v>
      </c>
      <c r="C112" s="1165"/>
      <c r="D112" s="1165"/>
      <c r="E112" s="1165"/>
      <c r="F112" s="1165"/>
      <c r="G112" s="656"/>
      <c r="H112" s="244"/>
      <c r="I112" s="267">
        <f t="shared" si="3"/>
        <v>0</v>
      </c>
      <c r="J112" s="267"/>
      <c r="K112" s="295" t="s">
        <v>1067</v>
      </c>
    </row>
    <row r="113" spans="1:11" ht="16.5" hidden="1">
      <c r="A113" s="2" t="s">
        <v>1032</v>
      </c>
      <c r="B113" s="294">
        <v>4470141</v>
      </c>
      <c r="C113" s="1165"/>
      <c r="D113" s="1165"/>
      <c r="E113" s="1165"/>
      <c r="F113" s="1165"/>
      <c r="G113" s="656"/>
      <c r="H113" s="244"/>
      <c r="I113" s="267">
        <f t="shared" si="3"/>
        <v>0</v>
      </c>
      <c r="J113" s="267"/>
      <c r="K113" s="295" t="s">
        <v>1067</v>
      </c>
    </row>
    <row r="114" spans="1:11" ht="16.5" hidden="1">
      <c r="A114" s="2" t="s">
        <v>1358</v>
      </c>
      <c r="B114" s="294">
        <v>4470141</v>
      </c>
      <c r="C114" s="1165"/>
      <c r="D114" s="1165"/>
      <c r="E114" s="1165"/>
      <c r="F114" s="1165"/>
      <c r="G114" s="656"/>
      <c r="H114" s="244"/>
      <c r="I114" s="267">
        <f t="shared" si="3"/>
        <v>0</v>
      </c>
      <c r="J114" s="267"/>
      <c r="K114" s="295" t="s">
        <v>1067</v>
      </c>
    </row>
    <row r="115" spans="1:11" ht="16.5" hidden="1">
      <c r="A115" s="2" t="s">
        <v>1259</v>
      </c>
      <c r="B115" s="294">
        <v>4470174</v>
      </c>
      <c r="C115" s="1165"/>
      <c r="D115" s="1165"/>
      <c r="E115" s="1165"/>
      <c r="F115" s="1165"/>
      <c r="G115" s="656"/>
      <c r="H115" s="244"/>
      <c r="I115" s="267">
        <f t="shared" si="3"/>
        <v>0</v>
      </c>
      <c r="J115" s="267"/>
      <c r="K115" s="295" t="s">
        <v>738</v>
      </c>
    </row>
    <row r="116" spans="1:11" ht="16.5" hidden="1">
      <c r="A116" s="2" t="s">
        <v>870</v>
      </c>
      <c r="B116" s="294">
        <v>4470206</v>
      </c>
      <c r="C116" s="1165"/>
      <c r="D116" s="1165"/>
      <c r="E116" s="1165"/>
      <c r="F116" s="1165"/>
      <c r="G116" s="656"/>
      <c r="H116" s="283"/>
      <c r="I116" s="267">
        <f t="shared" si="3"/>
        <v>0</v>
      </c>
      <c r="J116" s="267"/>
      <c r="K116" s="295" t="s">
        <v>738</v>
      </c>
    </row>
    <row r="117" spans="1:11" ht="16.5" hidden="1">
      <c r="A117" s="2" t="s">
        <v>1016</v>
      </c>
      <c r="B117" s="294">
        <v>4470141</v>
      </c>
      <c r="C117" s="1165"/>
      <c r="D117" s="1165"/>
      <c r="E117" s="1165"/>
      <c r="F117" s="1165"/>
      <c r="G117" s="656"/>
      <c r="H117" s="283"/>
      <c r="I117" s="267">
        <f t="shared" si="3"/>
        <v>0</v>
      </c>
      <c r="J117" s="267"/>
      <c r="K117" s="297" t="s">
        <v>1067</v>
      </c>
    </row>
    <row r="118" spans="1:11" ht="16.5" hidden="1">
      <c r="A118" s="2" t="s">
        <v>1078</v>
      </c>
      <c r="B118" s="294">
        <v>4470174</v>
      </c>
      <c r="C118" s="1165"/>
      <c r="D118" s="1165"/>
      <c r="E118" s="1165"/>
      <c r="F118" s="1165"/>
      <c r="G118" s="656"/>
      <c r="H118" s="283"/>
      <c r="I118" s="267">
        <f t="shared" si="3"/>
        <v>0</v>
      </c>
      <c r="J118" s="267"/>
      <c r="K118" s="295" t="s">
        <v>738</v>
      </c>
    </row>
    <row r="119" spans="1:11" ht="16.5" hidden="1">
      <c r="A119" s="2" t="s">
        <v>1079</v>
      </c>
      <c r="B119" s="294">
        <v>4470098</v>
      </c>
      <c r="C119" s="1165"/>
      <c r="D119" s="1165"/>
      <c r="E119" s="1165"/>
      <c r="F119" s="1165"/>
      <c r="G119" s="656"/>
      <c r="H119" s="283"/>
      <c r="I119" s="267">
        <f t="shared" si="3"/>
        <v>0</v>
      </c>
      <c r="J119" s="267"/>
      <c r="K119" s="297" t="s">
        <v>738</v>
      </c>
    </row>
    <row r="120" spans="1:11" ht="16.5" hidden="1">
      <c r="A120" s="2" t="s">
        <v>1262</v>
      </c>
      <c r="B120" s="294">
        <v>4470098</v>
      </c>
      <c r="C120" s="1165"/>
      <c r="D120" s="1165"/>
      <c r="E120" s="1165"/>
      <c r="F120" s="1165"/>
      <c r="G120" s="656"/>
      <c r="H120" s="283"/>
      <c r="I120" s="267">
        <f t="shared" si="3"/>
        <v>0</v>
      </c>
      <c r="J120" s="267"/>
      <c r="K120" s="297" t="s">
        <v>738</v>
      </c>
    </row>
    <row r="121" spans="1:11" ht="16.5" hidden="1">
      <c r="A121" s="2" t="s">
        <v>1080</v>
      </c>
      <c r="B121" s="294">
        <v>4470126</v>
      </c>
      <c r="C121" s="1165"/>
      <c r="D121" s="1165"/>
      <c r="E121" s="1165"/>
      <c r="F121" s="1165"/>
      <c r="G121" s="656"/>
      <c r="H121" s="283"/>
      <c r="I121" s="267">
        <f t="shared" si="3"/>
        <v>0</v>
      </c>
      <c r="J121" s="267"/>
      <c r="K121" s="295" t="s">
        <v>738</v>
      </c>
    </row>
    <row r="122" spans="1:13" s="2" customFormat="1" ht="15" customHeight="1" hidden="1">
      <c r="A122" s="2" t="s">
        <v>1081</v>
      </c>
      <c r="B122" s="294">
        <v>4470209</v>
      </c>
      <c r="C122" s="1165"/>
      <c r="D122" s="1165"/>
      <c r="E122" s="1165"/>
      <c r="F122" s="1165"/>
      <c r="G122" s="656"/>
      <c r="H122" s="283"/>
      <c r="I122" s="267">
        <f t="shared" si="3"/>
        <v>0</v>
      </c>
      <c r="J122" s="267"/>
      <c r="K122" s="295" t="s">
        <v>738</v>
      </c>
      <c r="M122" s="267"/>
    </row>
    <row r="123" spans="1:13" s="2" customFormat="1" ht="15" customHeight="1" hidden="1">
      <c r="A123" s="2" t="s">
        <v>1082</v>
      </c>
      <c r="B123" s="294">
        <v>4470141</v>
      </c>
      <c r="C123" s="1165"/>
      <c r="D123" s="1165"/>
      <c r="E123" s="1165"/>
      <c r="F123" s="1165"/>
      <c r="G123" s="656"/>
      <c r="H123" s="283"/>
      <c r="I123" s="267">
        <f t="shared" si="3"/>
        <v>0</v>
      </c>
      <c r="J123" s="267"/>
      <c r="K123" s="295" t="s">
        <v>1067</v>
      </c>
      <c r="M123" s="267"/>
    </row>
    <row r="124" spans="1:11" ht="16.5" hidden="1">
      <c r="A124" s="2" t="s">
        <v>1083</v>
      </c>
      <c r="B124" s="294">
        <v>4470141</v>
      </c>
      <c r="C124" s="1165"/>
      <c r="D124" s="1165"/>
      <c r="E124" s="1165"/>
      <c r="F124" s="1165"/>
      <c r="G124" s="656"/>
      <c r="H124" s="283"/>
      <c r="I124" s="267">
        <f t="shared" si="3"/>
        <v>0</v>
      </c>
      <c r="J124" s="267"/>
      <c r="K124" s="295" t="s">
        <v>1067</v>
      </c>
    </row>
    <row r="125" spans="1:11" ht="16.5" hidden="1">
      <c r="A125" s="2" t="s">
        <v>757</v>
      </c>
      <c r="B125" s="294">
        <v>4470141</v>
      </c>
      <c r="C125" s="1165"/>
      <c r="D125" s="1165"/>
      <c r="E125" s="1165"/>
      <c r="F125" s="1165"/>
      <c r="G125" s="656"/>
      <c r="H125" s="283"/>
      <c r="I125" s="267">
        <f t="shared" si="3"/>
        <v>0</v>
      </c>
      <c r="J125" s="267"/>
      <c r="K125" s="295" t="s">
        <v>1067</v>
      </c>
    </row>
    <row r="126" spans="1:11" ht="16.5" hidden="1">
      <c r="A126" s="2" t="s">
        <v>1914</v>
      </c>
      <c r="B126" s="294">
        <v>4470141</v>
      </c>
      <c r="C126" s="1165"/>
      <c r="D126" s="1165"/>
      <c r="E126" s="1165"/>
      <c r="F126" s="1165"/>
      <c r="G126" s="656"/>
      <c r="H126" s="283"/>
      <c r="I126" s="267">
        <f t="shared" si="3"/>
        <v>0</v>
      </c>
      <c r="J126" s="267"/>
      <c r="K126" s="295" t="s">
        <v>1067</v>
      </c>
    </row>
    <row r="127" spans="1:11" ht="16.5" hidden="1">
      <c r="A127" s="2" t="s">
        <v>1270</v>
      </c>
      <c r="B127" s="294">
        <v>4470141</v>
      </c>
      <c r="C127" s="1165"/>
      <c r="D127" s="1165"/>
      <c r="E127" s="1165"/>
      <c r="F127" s="1165"/>
      <c r="G127" s="656"/>
      <c r="H127" s="283"/>
      <c r="I127" s="267">
        <f t="shared" si="3"/>
        <v>0</v>
      </c>
      <c r="J127" s="267"/>
      <c r="K127" s="295" t="s">
        <v>1067</v>
      </c>
    </row>
    <row r="128" spans="1:11" ht="16.5" hidden="1">
      <c r="A128" s="2" t="s">
        <v>1260</v>
      </c>
      <c r="B128" s="294">
        <v>4470141</v>
      </c>
      <c r="C128" s="1165"/>
      <c r="D128" s="1165"/>
      <c r="E128" s="1165"/>
      <c r="F128" s="1165"/>
      <c r="G128" s="656"/>
      <c r="H128" s="283"/>
      <c r="I128" s="267">
        <f t="shared" si="3"/>
        <v>0</v>
      </c>
      <c r="J128" s="267"/>
      <c r="K128" s="295" t="s">
        <v>1067</v>
      </c>
    </row>
    <row r="129" spans="1:11" ht="16.5" hidden="1">
      <c r="A129" s="2" t="s">
        <v>1084</v>
      </c>
      <c r="B129" s="294">
        <v>4470141</v>
      </c>
      <c r="C129" s="1165"/>
      <c r="D129" s="1165"/>
      <c r="E129" s="1165"/>
      <c r="F129" s="1165"/>
      <c r="G129" s="656"/>
      <c r="H129" s="283"/>
      <c r="I129" s="267">
        <f t="shared" si="3"/>
        <v>0</v>
      </c>
      <c r="J129" s="267"/>
      <c r="K129" s="295" t="s">
        <v>1067</v>
      </c>
    </row>
    <row r="130" spans="1:11" ht="16.5" hidden="1">
      <c r="A130" s="2" t="s">
        <v>1194</v>
      </c>
      <c r="B130" s="294">
        <v>4470141</v>
      </c>
      <c r="C130" s="1165"/>
      <c r="D130" s="1165"/>
      <c r="E130" s="1165"/>
      <c r="F130" s="1165"/>
      <c r="G130" s="656"/>
      <c r="H130" s="283"/>
      <c r="I130" s="267">
        <f t="shared" si="3"/>
        <v>0</v>
      </c>
      <c r="J130" s="267"/>
      <c r="K130" s="295" t="s">
        <v>1067</v>
      </c>
    </row>
    <row r="131" spans="1:11" ht="16.5" hidden="1">
      <c r="A131" s="2" t="s">
        <v>1963</v>
      </c>
      <c r="B131" s="294">
        <v>4470141</v>
      </c>
      <c r="C131" s="1165"/>
      <c r="D131" s="1165"/>
      <c r="E131" s="1165"/>
      <c r="F131" s="1165"/>
      <c r="G131" s="656"/>
      <c r="H131" s="283"/>
      <c r="I131" s="267">
        <f t="shared" si="3"/>
        <v>0</v>
      </c>
      <c r="J131" s="267"/>
      <c r="K131" s="295" t="s">
        <v>1067</v>
      </c>
    </row>
    <row r="132" spans="1:11" ht="16.5" hidden="1">
      <c r="A132" s="2" t="s">
        <v>1085</v>
      </c>
      <c r="B132" s="294">
        <v>4470126</v>
      </c>
      <c r="C132" s="1165"/>
      <c r="D132" s="1165"/>
      <c r="E132" s="1165"/>
      <c r="F132" s="1165"/>
      <c r="G132" s="656"/>
      <c r="H132" s="283"/>
      <c r="I132" s="267">
        <f t="shared" si="3"/>
        <v>0</v>
      </c>
      <c r="J132" s="267"/>
      <c r="K132" s="295" t="s">
        <v>738</v>
      </c>
    </row>
    <row r="133" spans="1:11" ht="16.5" hidden="1">
      <c r="A133" s="2" t="s">
        <v>688</v>
      </c>
      <c r="B133" s="294">
        <v>4470209</v>
      </c>
      <c r="C133" s="1165"/>
      <c r="D133" s="1165"/>
      <c r="E133" s="1165"/>
      <c r="F133" s="1165"/>
      <c r="G133" s="656"/>
      <c r="H133" s="283"/>
      <c r="I133" s="267">
        <f t="shared" si="3"/>
        <v>0</v>
      </c>
      <c r="J133" s="267"/>
      <c r="K133" s="295" t="s">
        <v>738</v>
      </c>
    </row>
    <row r="134" spans="1:11" ht="16.5" hidden="1">
      <c r="A134" s="2" t="s">
        <v>1200</v>
      </c>
      <c r="B134" s="294">
        <v>4470141</v>
      </c>
      <c r="C134" s="1165"/>
      <c r="D134" s="1165"/>
      <c r="E134" s="1165"/>
      <c r="F134" s="1165"/>
      <c r="G134" s="656"/>
      <c r="H134" s="283"/>
      <c r="I134" s="267">
        <f t="shared" si="3"/>
        <v>0</v>
      </c>
      <c r="J134" s="267"/>
      <c r="K134" s="295" t="s">
        <v>1067</v>
      </c>
    </row>
    <row r="135" spans="1:11" ht="16.5" hidden="1">
      <c r="A135" s="2" t="s">
        <v>1271</v>
      </c>
      <c r="B135" s="294">
        <v>4470141</v>
      </c>
      <c r="C135" s="1165"/>
      <c r="D135" s="1165"/>
      <c r="E135" s="1165"/>
      <c r="F135" s="1165"/>
      <c r="G135" s="656"/>
      <c r="H135" s="283"/>
      <c r="I135" s="267">
        <f t="shared" si="3"/>
        <v>0</v>
      </c>
      <c r="J135" s="267"/>
      <c r="K135" s="295" t="s">
        <v>1067</v>
      </c>
    </row>
    <row r="136" spans="1:11" ht="16.5" hidden="1">
      <c r="A136" s="2" t="s">
        <v>690</v>
      </c>
      <c r="B136" s="294">
        <v>4470141</v>
      </c>
      <c r="C136" s="1165"/>
      <c r="D136" s="1165"/>
      <c r="E136" s="1165"/>
      <c r="F136" s="1165"/>
      <c r="G136" s="656"/>
      <c r="H136" s="283"/>
      <c r="I136" s="267">
        <f t="shared" si="3"/>
        <v>0</v>
      </c>
      <c r="J136" s="267"/>
      <c r="K136" s="295" t="s">
        <v>1067</v>
      </c>
    </row>
    <row r="137" spans="1:11" ht="16.5" hidden="1">
      <c r="A137" s="2" t="s">
        <v>930</v>
      </c>
      <c r="B137" s="294">
        <v>4470174</v>
      </c>
      <c r="C137" s="1165"/>
      <c r="D137" s="1165"/>
      <c r="E137" s="1165"/>
      <c r="F137" s="1165"/>
      <c r="G137" s="656"/>
      <c r="H137" s="283"/>
      <c r="I137" s="267">
        <f t="shared" si="3"/>
        <v>0</v>
      </c>
      <c r="J137" s="267"/>
      <c r="K137" s="295" t="s">
        <v>738</v>
      </c>
    </row>
    <row r="138" spans="1:11" ht="16.5" hidden="1">
      <c r="A138" s="2" t="s">
        <v>691</v>
      </c>
      <c r="B138" s="294">
        <v>4470174</v>
      </c>
      <c r="C138" s="1165"/>
      <c r="D138" s="1165"/>
      <c r="E138" s="1165"/>
      <c r="F138" s="1165"/>
      <c r="G138" s="656"/>
      <c r="H138" s="283"/>
      <c r="I138" s="267">
        <f t="shared" si="3"/>
        <v>0</v>
      </c>
      <c r="J138" s="267"/>
      <c r="K138" s="295" t="s">
        <v>738</v>
      </c>
    </row>
    <row r="139" spans="1:11" ht="16.5" hidden="1">
      <c r="A139" s="2" t="s">
        <v>931</v>
      </c>
      <c r="B139" s="294">
        <v>4470141</v>
      </c>
      <c r="C139" s="1165"/>
      <c r="D139" s="1165"/>
      <c r="E139" s="1165"/>
      <c r="F139" s="1165"/>
      <c r="G139" s="656"/>
      <c r="H139" s="283"/>
      <c r="I139" s="267">
        <f t="shared" si="3"/>
        <v>0</v>
      </c>
      <c r="J139" s="267"/>
      <c r="K139" s="295" t="s">
        <v>1067</v>
      </c>
    </row>
    <row r="140" spans="1:11" ht="16.5" hidden="1">
      <c r="A140" s="2" t="s">
        <v>858</v>
      </c>
      <c r="B140" s="294">
        <v>4470141</v>
      </c>
      <c r="C140" s="1165"/>
      <c r="D140" s="1165"/>
      <c r="E140" s="1165"/>
      <c r="F140" s="1165"/>
      <c r="G140" s="656"/>
      <c r="H140" s="283"/>
      <c r="I140" s="267">
        <f t="shared" si="3"/>
        <v>0</v>
      </c>
      <c r="J140" s="267"/>
      <c r="K140" s="295" t="s">
        <v>1067</v>
      </c>
    </row>
    <row r="141" spans="1:11" ht="16.5" hidden="1">
      <c r="A141" s="2" t="s">
        <v>321</v>
      </c>
      <c r="B141" s="294">
        <v>4470098</v>
      </c>
      <c r="C141" s="1165"/>
      <c r="D141" s="1165"/>
      <c r="E141" s="1165"/>
      <c r="F141" s="1165"/>
      <c r="G141" s="656"/>
      <c r="H141" s="283"/>
      <c r="I141" s="267">
        <f t="shared" si="3"/>
        <v>0</v>
      </c>
      <c r="J141" s="267"/>
      <c r="K141" s="295" t="s">
        <v>738</v>
      </c>
    </row>
    <row r="142" spans="1:11" ht="16.5" hidden="1">
      <c r="A142" s="2" t="s">
        <v>871</v>
      </c>
      <c r="B142" s="294">
        <v>4470141</v>
      </c>
      <c r="C142" s="1165"/>
      <c r="D142" s="1165"/>
      <c r="E142" s="1165"/>
      <c r="F142" s="1165"/>
      <c r="G142" s="656"/>
      <c r="H142" s="283"/>
      <c r="I142" s="267">
        <f t="shared" si="3"/>
        <v>0</v>
      </c>
      <c r="J142" s="267"/>
      <c r="K142" s="295" t="s">
        <v>1067</v>
      </c>
    </row>
    <row r="143" spans="1:14" ht="16.5" hidden="1">
      <c r="A143" s="2" t="s">
        <v>1150</v>
      </c>
      <c r="B143" s="294">
        <v>4470141</v>
      </c>
      <c r="C143" s="1165"/>
      <c r="D143" s="1165"/>
      <c r="E143" s="1165"/>
      <c r="F143" s="1165"/>
      <c r="G143" s="656"/>
      <c r="H143" s="283"/>
      <c r="I143" s="267">
        <f t="shared" si="3"/>
        <v>0</v>
      </c>
      <c r="J143" s="267"/>
      <c r="K143" s="295" t="s">
        <v>1067</v>
      </c>
      <c r="N143" s="2"/>
    </row>
    <row r="144" spans="1:14" ht="16.5" hidden="1">
      <c r="A144" s="2" t="s">
        <v>1148</v>
      </c>
      <c r="B144" s="294">
        <v>4470141</v>
      </c>
      <c r="C144" s="1165"/>
      <c r="D144" s="1165"/>
      <c r="E144" s="1165"/>
      <c r="F144" s="1165"/>
      <c r="G144" s="656"/>
      <c r="H144" s="283"/>
      <c r="I144" s="267">
        <f t="shared" si="3"/>
        <v>0</v>
      </c>
      <c r="J144" s="267"/>
      <c r="K144" s="295" t="s">
        <v>1067</v>
      </c>
      <c r="N144" s="2"/>
    </row>
    <row r="145" spans="1:14" ht="16.5" hidden="1">
      <c r="A145" s="2" t="s">
        <v>1152</v>
      </c>
      <c r="B145" s="294">
        <v>4470141</v>
      </c>
      <c r="C145" s="1165"/>
      <c r="D145" s="1165"/>
      <c r="E145" s="1165"/>
      <c r="F145" s="1165"/>
      <c r="G145" s="656"/>
      <c r="H145" s="283"/>
      <c r="I145" s="267">
        <f t="shared" si="3"/>
        <v>0</v>
      </c>
      <c r="J145" s="267"/>
      <c r="K145" s="295" t="s">
        <v>1067</v>
      </c>
      <c r="N145" s="2"/>
    </row>
    <row r="146" spans="1:14" ht="16.5" hidden="1">
      <c r="A146" s="2" t="s">
        <v>1151</v>
      </c>
      <c r="B146" s="294">
        <v>4470141</v>
      </c>
      <c r="C146" s="1165"/>
      <c r="D146" s="1165"/>
      <c r="E146" s="1165"/>
      <c r="F146" s="1165"/>
      <c r="G146" s="656"/>
      <c r="H146" s="283"/>
      <c r="I146" s="267">
        <f t="shared" si="3"/>
        <v>0</v>
      </c>
      <c r="J146" s="267"/>
      <c r="K146" s="295" t="s">
        <v>1067</v>
      </c>
      <c r="N146" s="2"/>
    </row>
    <row r="147" spans="1:14" ht="16.5" hidden="1">
      <c r="A147" s="2" t="s">
        <v>1149</v>
      </c>
      <c r="B147" s="294">
        <v>4470141</v>
      </c>
      <c r="C147" s="1165"/>
      <c r="D147" s="1165"/>
      <c r="E147" s="1165"/>
      <c r="F147" s="1165"/>
      <c r="G147" s="656"/>
      <c r="H147" s="283"/>
      <c r="I147" s="267">
        <f t="shared" si="3"/>
        <v>0</v>
      </c>
      <c r="J147" s="267"/>
      <c r="K147" s="295" t="s">
        <v>1067</v>
      </c>
      <c r="N147" s="2"/>
    </row>
    <row r="148" spans="1:14" ht="16.5" hidden="1">
      <c r="A148" s="2" t="s">
        <v>1153</v>
      </c>
      <c r="B148" s="294">
        <v>4470141</v>
      </c>
      <c r="C148" s="1165"/>
      <c r="D148" s="1165"/>
      <c r="E148" s="1165"/>
      <c r="F148" s="1165"/>
      <c r="G148" s="656"/>
      <c r="H148" s="283"/>
      <c r="I148" s="267">
        <f t="shared" si="3"/>
        <v>0</v>
      </c>
      <c r="J148" s="267"/>
      <c r="K148" s="295" t="s">
        <v>1067</v>
      </c>
      <c r="N148" s="2"/>
    </row>
    <row r="149" spans="1:14" ht="16.5" hidden="1">
      <c r="A149" s="2" t="s">
        <v>854</v>
      </c>
      <c r="B149" s="294">
        <v>4470141</v>
      </c>
      <c r="C149" s="1165"/>
      <c r="D149" s="1165"/>
      <c r="E149" s="1165"/>
      <c r="F149" s="1165"/>
      <c r="G149" s="656"/>
      <c r="H149" s="283"/>
      <c r="I149" s="267">
        <f t="shared" si="3"/>
        <v>0</v>
      </c>
      <c r="J149" s="267"/>
      <c r="K149" s="295" t="s">
        <v>1067</v>
      </c>
      <c r="N149" s="2"/>
    </row>
    <row r="150" spans="1:14" ht="16.5" hidden="1">
      <c r="A150" s="2" t="s">
        <v>692</v>
      </c>
      <c r="B150" s="294">
        <v>4470141</v>
      </c>
      <c r="C150" s="1165"/>
      <c r="D150" s="1165"/>
      <c r="E150" s="1165"/>
      <c r="F150" s="1165"/>
      <c r="G150" s="656"/>
      <c r="H150" s="283"/>
      <c r="I150" s="267">
        <f t="shared" si="3"/>
        <v>0</v>
      </c>
      <c r="J150" s="267"/>
      <c r="K150" s="295" t="s">
        <v>1067</v>
      </c>
      <c r="N150" s="2"/>
    </row>
    <row r="151" spans="1:14" ht="16.5" hidden="1">
      <c r="A151" s="2" t="s">
        <v>1199</v>
      </c>
      <c r="B151" s="294">
        <v>4470141</v>
      </c>
      <c r="C151" s="1165"/>
      <c r="D151" s="1165"/>
      <c r="E151" s="1165"/>
      <c r="F151" s="1165"/>
      <c r="G151" s="656"/>
      <c r="H151" s="283"/>
      <c r="I151" s="267">
        <f t="shared" si="3"/>
        <v>0</v>
      </c>
      <c r="J151" s="267"/>
      <c r="K151" s="295" t="s">
        <v>1067</v>
      </c>
      <c r="N151" s="2"/>
    </row>
    <row r="152" spans="1:14" ht="16.5" hidden="1">
      <c r="A152" s="2" t="s">
        <v>317</v>
      </c>
      <c r="B152" s="294">
        <v>4470141</v>
      </c>
      <c r="C152" s="1165"/>
      <c r="D152" s="1165"/>
      <c r="E152" s="1165"/>
      <c r="F152" s="1165"/>
      <c r="G152" s="656"/>
      <c r="H152" s="283"/>
      <c r="I152" s="267">
        <f t="shared" si="3"/>
        <v>0</v>
      </c>
      <c r="J152" s="267"/>
      <c r="K152" s="295" t="s">
        <v>1067</v>
      </c>
      <c r="N152" s="2"/>
    </row>
    <row r="153" spans="1:14" ht="16.5" hidden="1">
      <c r="A153" s="2" t="s">
        <v>1068</v>
      </c>
      <c r="B153" s="294">
        <v>4470141</v>
      </c>
      <c r="C153" s="1165"/>
      <c r="D153" s="1165"/>
      <c r="E153" s="1165"/>
      <c r="F153" s="1165"/>
      <c r="G153" s="656"/>
      <c r="H153" s="283"/>
      <c r="I153" s="267">
        <f t="shared" si="3"/>
        <v>0</v>
      </c>
      <c r="J153" s="267"/>
      <c r="K153" s="295" t="s">
        <v>1067</v>
      </c>
      <c r="N153" s="2"/>
    </row>
    <row r="154" spans="1:11" ht="16.5" hidden="1">
      <c r="A154" s="2" t="s">
        <v>758</v>
      </c>
      <c r="B154" s="294">
        <v>4470141</v>
      </c>
      <c r="C154" s="1165"/>
      <c r="D154" s="1165"/>
      <c r="E154" s="1165"/>
      <c r="F154" s="1165"/>
      <c r="G154" s="656"/>
      <c r="H154" s="283"/>
      <c r="I154" s="267">
        <f t="shared" si="3"/>
        <v>0</v>
      </c>
      <c r="J154" s="267"/>
      <c r="K154" s="295" t="s">
        <v>1067</v>
      </c>
    </row>
    <row r="155" spans="1:11" ht="16.5" hidden="1">
      <c r="A155" s="2" t="s">
        <v>1272</v>
      </c>
      <c r="B155" s="294">
        <v>4470141</v>
      </c>
      <c r="C155" s="1165"/>
      <c r="D155" s="1165"/>
      <c r="E155" s="1165"/>
      <c r="F155" s="1165"/>
      <c r="G155" s="656"/>
      <c r="H155" s="283"/>
      <c r="I155" s="267">
        <f t="shared" si="3"/>
        <v>0</v>
      </c>
      <c r="J155" s="267"/>
      <c r="K155" s="295" t="s">
        <v>1067</v>
      </c>
    </row>
    <row r="156" spans="1:11" ht="16.5" hidden="1">
      <c r="A156" s="2" t="s">
        <v>693</v>
      </c>
      <c r="B156" s="294">
        <v>4470141</v>
      </c>
      <c r="C156" s="1165"/>
      <c r="D156" s="1165"/>
      <c r="E156" s="1165"/>
      <c r="F156" s="1165"/>
      <c r="G156" s="656"/>
      <c r="H156" s="283"/>
      <c r="I156" s="267"/>
      <c r="J156" s="267"/>
      <c r="K156" s="295" t="s">
        <v>1067</v>
      </c>
    </row>
    <row r="157" spans="1:11" ht="16.5" hidden="1">
      <c r="A157" s="2" t="s">
        <v>694</v>
      </c>
      <c r="B157" s="294">
        <v>4470141</v>
      </c>
      <c r="C157" s="1165"/>
      <c r="D157" s="1165"/>
      <c r="E157" s="1165"/>
      <c r="F157" s="1165"/>
      <c r="G157" s="656"/>
      <c r="H157" s="283"/>
      <c r="I157" s="267"/>
      <c r="J157" s="267"/>
      <c r="K157" s="295" t="s">
        <v>1067</v>
      </c>
    </row>
    <row r="158" spans="1:11" ht="16.5" hidden="1">
      <c r="A158" s="2" t="s">
        <v>695</v>
      </c>
      <c r="B158" s="294">
        <v>4470141</v>
      </c>
      <c r="C158" s="1165"/>
      <c r="D158" s="1165"/>
      <c r="E158" s="1165"/>
      <c r="F158" s="1165"/>
      <c r="G158" s="656"/>
      <c r="H158" s="283"/>
      <c r="I158" s="267"/>
      <c r="J158" s="267"/>
      <c r="K158" s="295" t="s">
        <v>1067</v>
      </c>
    </row>
    <row r="159" spans="1:11" ht="16.5" hidden="1">
      <c r="A159" s="2" t="s">
        <v>1201</v>
      </c>
      <c r="B159" s="294">
        <v>4470141</v>
      </c>
      <c r="C159" s="1165"/>
      <c r="D159" s="1165"/>
      <c r="E159" s="1165"/>
      <c r="F159" s="1165"/>
      <c r="G159" s="656"/>
      <c r="H159" s="283"/>
      <c r="I159" s="267"/>
      <c r="J159" s="267"/>
      <c r="K159" s="295" t="s">
        <v>1067</v>
      </c>
    </row>
    <row r="160" spans="1:11" ht="16.5" hidden="1">
      <c r="A160" s="2" t="s">
        <v>696</v>
      </c>
      <c r="B160" s="294">
        <v>4470141</v>
      </c>
      <c r="C160" s="1165"/>
      <c r="D160" s="1165"/>
      <c r="E160" s="1165"/>
      <c r="F160" s="1165"/>
      <c r="G160" s="656"/>
      <c r="H160" s="283"/>
      <c r="I160" s="267"/>
      <c r="J160" s="267"/>
      <c r="K160" s="295" t="s">
        <v>1067</v>
      </c>
    </row>
    <row r="161" spans="1:11" ht="16.5" hidden="1">
      <c r="A161" s="2" t="s">
        <v>932</v>
      </c>
      <c r="B161" s="294">
        <v>4470141</v>
      </c>
      <c r="C161" s="1165"/>
      <c r="D161" s="1165"/>
      <c r="E161" s="1165"/>
      <c r="F161" s="1165"/>
      <c r="G161" s="656"/>
      <c r="H161" s="283"/>
      <c r="I161" s="267"/>
      <c r="J161" s="267"/>
      <c r="K161" s="295" t="s">
        <v>1067</v>
      </c>
    </row>
    <row r="162" spans="1:11" ht="16.5" hidden="1">
      <c r="A162" s="2" t="s">
        <v>1017</v>
      </c>
      <c r="B162" s="294">
        <v>4470141</v>
      </c>
      <c r="C162" s="1165"/>
      <c r="D162" s="1165"/>
      <c r="E162" s="1165"/>
      <c r="F162" s="1165"/>
      <c r="G162" s="656"/>
      <c r="H162" s="283"/>
      <c r="I162" s="267"/>
      <c r="J162" s="267"/>
      <c r="K162" s="295" t="s">
        <v>1067</v>
      </c>
    </row>
    <row r="163" spans="1:11" ht="16.5" hidden="1">
      <c r="A163" s="2" t="s">
        <v>859</v>
      </c>
      <c r="B163" s="294">
        <v>4470141</v>
      </c>
      <c r="C163" s="1165"/>
      <c r="D163" s="1165"/>
      <c r="E163" s="1165"/>
      <c r="F163" s="1165"/>
      <c r="G163" s="656"/>
      <c r="H163" s="283"/>
      <c r="I163" s="267"/>
      <c r="J163" s="267"/>
      <c r="K163" s="295" t="s">
        <v>1067</v>
      </c>
    </row>
    <row r="164" spans="1:11" ht="16.5" hidden="1">
      <c r="A164" s="2" t="s">
        <v>1360</v>
      </c>
      <c r="B164" s="294">
        <v>4470141</v>
      </c>
      <c r="C164" s="1165"/>
      <c r="D164" s="1165"/>
      <c r="E164" s="1165"/>
      <c r="F164" s="1165"/>
      <c r="G164" s="656"/>
      <c r="H164" s="283"/>
      <c r="I164" s="267"/>
      <c r="J164" s="267"/>
      <c r="K164" s="295" t="s">
        <v>1067</v>
      </c>
    </row>
    <row r="165" spans="1:11" ht="16.5" hidden="1">
      <c r="A165" s="2" t="s">
        <v>697</v>
      </c>
      <c r="B165" s="294">
        <v>4470141</v>
      </c>
      <c r="C165" s="1165"/>
      <c r="D165" s="1165"/>
      <c r="E165" s="1165"/>
      <c r="F165" s="1165"/>
      <c r="G165" s="656"/>
      <c r="H165" s="283"/>
      <c r="I165" s="267"/>
      <c r="J165" s="267"/>
      <c r="K165" s="295" t="s">
        <v>1067</v>
      </c>
    </row>
    <row r="166" spans="1:11" ht="16.5" hidden="1">
      <c r="A166" s="2" t="s">
        <v>1063</v>
      </c>
      <c r="B166" s="294">
        <v>4470141</v>
      </c>
      <c r="C166" s="1165"/>
      <c r="D166" s="1165"/>
      <c r="E166" s="1165"/>
      <c r="F166" s="1165"/>
      <c r="G166" s="656"/>
      <c r="H166" s="283"/>
      <c r="I166" s="267"/>
      <c r="J166" s="267"/>
      <c r="K166" s="295" t="s">
        <v>1067</v>
      </c>
    </row>
    <row r="167" spans="1:11" ht="16.5" hidden="1">
      <c r="A167" s="2" t="s">
        <v>1915</v>
      </c>
      <c r="B167" s="294">
        <v>4470141</v>
      </c>
      <c r="C167" s="1165"/>
      <c r="D167" s="1165"/>
      <c r="E167" s="1165"/>
      <c r="F167" s="1165"/>
      <c r="G167" s="656"/>
      <c r="H167" s="283"/>
      <c r="I167" s="267">
        <f t="shared" si="3"/>
        <v>0</v>
      </c>
      <c r="J167" s="267"/>
      <c r="K167" s="295" t="s">
        <v>1067</v>
      </c>
    </row>
    <row r="168" spans="1:11" ht="16.5" hidden="1">
      <c r="A168" s="2" t="s">
        <v>1916</v>
      </c>
      <c r="B168" s="294">
        <v>4470141</v>
      </c>
      <c r="C168" s="1165"/>
      <c r="D168" s="1165"/>
      <c r="E168" s="1165"/>
      <c r="F168" s="1165"/>
      <c r="G168" s="656"/>
      <c r="H168" s="283"/>
      <c r="I168" s="267">
        <f t="shared" si="3"/>
        <v>0</v>
      </c>
      <c r="J168" s="267"/>
      <c r="K168" s="295" t="s">
        <v>1067</v>
      </c>
    </row>
    <row r="169" spans="1:11" ht="16.5" hidden="1">
      <c r="A169" s="2" t="s">
        <v>1921</v>
      </c>
      <c r="B169" s="294">
        <v>4470126</v>
      </c>
      <c r="C169" s="1165"/>
      <c r="D169" s="1165"/>
      <c r="E169" s="1165"/>
      <c r="F169" s="1165"/>
      <c r="G169" s="656"/>
      <c r="H169" s="283"/>
      <c r="I169" s="267">
        <f t="shared" si="3"/>
        <v>0</v>
      </c>
      <c r="J169" s="267"/>
      <c r="K169" s="295" t="s">
        <v>738</v>
      </c>
    </row>
    <row r="170" spans="1:11" ht="16.5" hidden="1">
      <c r="A170" s="2" t="s">
        <v>1922</v>
      </c>
      <c r="B170" s="294">
        <v>4470209</v>
      </c>
      <c r="C170" s="1165"/>
      <c r="D170" s="1165"/>
      <c r="E170" s="1165"/>
      <c r="F170" s="1165"/>
      <c r="G170" s="656"/>
      <c r="H170" s="283"/>
      <c r="I170" s="267"/>
      <c r="J170" s="267"/>
      <c r="K170" s="295" t="s">
        <v>738</v>
      </c>
    </row>
    <row r="171" spans="1:11" ht="16.5" hidden="1">
      <c r="A171" s="2" t="s">
        <v>21</v>
      </c>
      <c r="B171" s="294">
        <v>4470206</v>
      </c>
      <c r="C171" s="1165"/>
      <c r="D171" s="1165"/>
      <c r="E171" s="1165"/>
      <c r="F171" s="1165"/>
      <c r="G171" s="656"/>
      <c r="H171" s="283"/>
      <c r="I171" s="267">
        <f t="shared" si="3"/>
        <v>0</v>
      </c>
      <c r="J171" s="267"/>
      <c r="K171" s="295" t="s">
        <v>738</v>
      </c>
    </row>
    <row r="172" spans="1:11" ht="16.5" hidden="1">
      <c r="A172" s="2" t="s">
        <v>1917</v>
      </c>
      <c r="B172" s="294">
        <v>4470141</v>
      </c>
      <c r="C172" s="1165"/>
      <c r="D172" s="1165"/>
      <c r="E172" s="1165"/>
      <c r="F172" s="1165"/>
      <c r="G172" s="656"/>
      <c r="H172" s="283"/>
      <c r="I172" s="267"/>
      <c r="J172" s="267"/>
      <c r="K172" s="295" t="s">
        <v>1067</v>
      </c>
    </row>
    <row r="173" spans="1:11" ht="16.5" hidden="1">
      <c r="A173" s="2" t="s">
        <v>1918</v>
      </c>
      <c r="B173" s="294">
        <v>4470141</v>
      </c>
      <c r="C173" s="1165"/>
      <c r="D173" s="1165"/>
      <c r="E173" s="1165"/>
      <c r="F173" s="1165"/>
      <c r="G173" s="656"/>
      <c r="H173" s="283"/>
      <c r="I173" s="267">
        <f t="shared" si="3"/>
        <v>0</v>
      </c>
      <c r="J173" s="267"/>
      <c r="K173" s="295" t="s">
        <v>1067</v>
      </c>
    </row>
    <row r="174" spans="1:11" ht="16.5" hidden="1">
      <c r="A174" s="2" t="s">
        <v>1919</v>
      </c>
      <c r="B174" s="294">
        <v>4470115</v>
      </c>
      <c r="C174" s="1165"/>
      <c r="D174" s="1165"/>
      <c r="E174" s="1165"/>
      <c r="F174" s="1165"/>
      <c r="G174" s="656"/>
      <c r="H174" s="283"/>
      <c r="I174" s="267"/>
      <c r="J174" s="267"/>
      <c r="K174" s="295" t="s">
        <v>738</v>
      </c>
    </row>
    <row r="175" spans="1:11" ht="16.5" hidden="1">
      <c r="A175" s="2" t="s">
        <v>1064</v>
      </c>
      <c r="B175" s="294">
        <v>4470141</v>
      </c>
      <c r="C175" s="1165"/>
      <c r="D175" s="1165"/>
      <c r="E175" s="1165"/>
      <c r="F175" s="1165"/>
      <c r="G175" s="656"/>
      <c r="H175" s="283"/>
      <c r="I175" s="267">
        <f t="shared" si="3"/>
        <v>0</v>
      </c>
      <c r="J175" s="267"/>
      <c r="K175" s="295" t="s">
        <v>1067</v>
      </c>
    </row>
    <row r="176" spans="1:11" ht="16.5" hidden="1">
      <c r="A176" s="2" t="s">
        <v>1065</v>
      </c>
      <c r="B176" s="294">
        <v>4470141</v>
      </c>
      <c r="C176" s="1165"/>
      <c r="D176" s="1165"/>
      <c r="E176" s="1165"/>
      <c r="F176" s="1165"/>
      <c r="G176" s="656"/>
      <c r="H176" s="283"/>
      <c r="I176" s="267"/>
      <c r="J176" s="267"/>
      <c r="K176" s="295" t="s">
        <v>1067</v>
      </c>
    </row>
    <row r="177" spans="1:11" ht="16.5" hidden="1">
      <c r="A177" s="2" t="s">
        <v>933</v>
      </c>
      <c r="B177" s="294">
        <v>4470141</v>
      </c>
      <c r="C177" s="1165"/>
      <c r="D177" s="1165"/>
      <c r="E177" s="1165"/>
      <c r="F177" s="1165"/>
      <c r="G177" s="656"/>
      <c r="H177" s="283"/>
      <c r="I177" s="267"/>
      <c r="J177" s="267"/>
      <c r="K177" s="295" t="s">
        <v>1067</v>
      </c>
    </row>
    <row r="178" spans="1:11" ht="16.5" hidden="1">
      <c r="A178" s="2" t="s">
        <v>1261</v>
      </c>
      <c r="B178" s="294">
        <v>4470141</v>
      </c>
      <c r="C178" s="1165"/>
      <c r="D178" s="1165"/>
      <c r="E178" s="1165"/>
      <c r="F178" s="1165"/>
      <c r="G178" s="656"/>
      <c r="H178" s="283"/>
      <c r="I178" s="267"/>
      <c r="J178" s="267"/>
      <c r="K178" s="295" t="s">
        <v>1067</v>
      </c>
    </row>
    <row r="179" spans="1:11" ht="16.5" hidden="1">
      <c r="A179" s="2" t="s">
        <v>1263</v>
      </c>
      <c r="B179" s="294">
        <v>4470141</v>
      </c>
      <c r="C179" s="1165"/>
      <c r="D179" s="1165"/>
      <c r="E179" s="1165"/>
      <c r="F179" s="1165"/>
      <c r="G179" s="656"/>
      <c r="H179" s="283"/>
      <c r="I179" s="267"/>
      <c r="J179" s="267"/>
      <c r="K179" s="295" t="s">
        <v>1067</v>
      </c>
    </row>
    <row r="180" spans="1:11" ht="16.5" hidden="1">
      <c r="A180" s="2" t="s">
        <v>1264</v>
      </c>
      <c r="B180" s="294">
        <v>4470141</v>
      </c>
      <c r="C180" s="1165"/>
      <c r="D180" s="1165"/>
      <c r="E180" s="1165"/>
      <c r="F180" s="1165"/>
      <c r="G180" s="656"/>
      <c r="H180" s="283"/>
      <c r="I180" s="267"/>
      <c r="J180" s="267"/>
      <c r="K180" s="295" t="s">
        <v>1067</v>
      </c>
    </row>
    <row r="181" spans="1:11" ht="16.5" hidden="1">
      <c r="A181" s="2" t="s">
        <v>1269</v>
      </c>
      <c r="B181" s="294">
        <v>4470141</v>
      </c>
      <c r="C181" s="1165"/>
      <c r="D181" s="1165"/>
      <c r="E181" s="1165"/>
      <c r="F181" s="1165"/>
      <c r="G181" s="656"/>
      <c r="H181" s="283"/>
      <c r="I181" s="267"/>
      <c r="J181" s="267"/>
      <c r="K181" s="295" t="s">
        <v>1067</v>
      </c>
    </row>
    <row r="182" spans="1:11" ht="16.5" hidden="1">
      <c r="A182" s="2" t="s">
        <v>18</v>
      </c>
      <c r="B182" s="294">
        <v>4470141</v>
      </c>
      <c r="C182" s="1165"/>
      <c r="D182" s="1165"/>
      <c r="E182" s="1165"/>
      <c r="F182" s="1165"/>
      <c r="G182" s="656"/>
      <c r="H182" s="283"/>
      <c r="I182" s="267"/>
      <c r="J182" s="267"/>
      <c r="K182" s="295" t="s">
        <v>1067</v>
      </c>
    </row>
    <row r="183" spans="1:11" ht="16.5" hidden="1">
      <c r="A183" s="2" t="s">
        <v>1066</v>
      </c>
      <c r="B183" s="294">
        <v>4470141</v>
      </c>
      <c r="C183" s="1165"/>
      <c r="D183" s="1165"/>
      <c r="E183" s="1165"/>
      <c r="F183" s="1165"/>
      <c r="G183" s="656"/>
      <c r="H183" s="283"/>
      <c r="I183" s="267"/>
      <c r="J183" s="267"/>
      <c r="K183" s="295" t="s">
        <v>1067</v>
      </c>
    </row>
    <row r="184" spans="1:11" ht="16.5" hidden="1">
      <c r="A184" s="2" t="s">
        <v>1069</v>
      </c>
      <c r="B184" s="294">
        <v>4470141</v>
      </c>
      <c r="C184" s="1165"/>
      <c r="D184" s="1165"/>
      <c r="E184" s="1165"/>
      <c r="F184" s="1165"/>
      <c r="G184" s="656"/>
      <c r="H184" s="283"/>
      <c r="I184" s="267"/>
      <c r="J184" s="267"/>
      <c r="K184" s="295" t="s">
        <v>1067</v>
      </c>
    </row>
    <row r="185" spans="1:15" ht="17.25">
      <c r="A185" s="820" t="s">
        <v>2019</v>
      </c>
      <c r="B185" s="294" t="s">
        <v>1642</v>
      </c>
      <c r="C185" s="656">
        <v>2756484.0899999924</v>
      </c>
      <c r="D185" s="656">
        <v>578973.9100000026</v>
      </c>
      <c r="E185" s="656">
        <v>1840114.82</v>
      </c>
      <c r="F185" s="656">
        <v>3857388.890000014</v>
      </c>
      <c r="G185" s="656">
        <v>0</v>
      </c>
      <c r="H185" s="283"/>
      <c r="I185" s="756">
        <f>SUM(C185:G185)</f>
        <v>9032961.710000008</v>
      </c>
      <c r="J185" s="267"/>
      <c r="K185" s="294" t="s">
        <v>1642</v>
      </c>
      <c r="M185" s="267">
        <v>5052149.6299999915</v>
      </c>
      <c r="N185" s="624"/>
      <c r="O185" s="626"/>
    </row>
    <row r="186" spans="1:15" ht="15" hidden="1">
      <c r="A186" s="692" t="s">
        <v>1864</v>
      </c>
      <c r="B186" s="294">
        <v>4470141</v>
      </c>
      <c r="C186" s="656"/>
      <c r="D186" s="656"/>
      <c r="E186" s="656"/>
      <c r="F186" s="656"/>
      <c r="G186" s="656"/>
      <c r="H186" s="283"/>
      <c r="I186" s="756"/>
      <c r="J186" s="267"/>
      <c r="K186" s="294"/>
      <c r="N186" s="623"/>
      <c r="O186" s="626"/>
    </row>
    <row r="187" spans="1:15" ht="15" hidden="1">
      <c r="A187" s="692" t="s">
        <v>1864</v>
      </c>
      <c r="B187" s="294">
        <v>4470126</v>
      </c>
      <c r="C187" s="656">
        <v>0</v>
      </c>
      <c r="D187" s="656">
        <v>0</v>
      </c>
      <c r="E187" s="656">
        <v>0</v>
      </c>
      <c r="F187" s="656">
        <v>0</v>
      </c>
      <c r="G187" s="656">
        <v>0</v>
      </c>
      <c r="H187" s="283"/>
      <c r="I187" s="756"/>
      <c r="J187" s="267"/>
      <c r="K187" s="294"/>
      <c r="N187" s="623"/>
      <c r="O187" s="626"/>
    </row>
    <row r="188" spans="1:13" ht="15">
      <c r="A188" s="2"/>
      <c r="B188" s="294"/>
      <c r="H188" s="283"/>
      <c r="I188" s="245"/>
      <c r="J188" s="267"/>
      <c r="K188" s="52"/>
      <c r="M188" s="245"/>
    </row>
    <row r="189" spans="1:13" ht="15">
      <c r="A189" s="815" t="s">
        <v>1970</v>
      </c>
      <c r="C189" s="811">
        <f>ROUND(SUM(C104:C188),0)</f>
        <v>2756484</v>
      </c>
      <c r="D189" s="811">
        <f>ROUND(SUM(D104:D188),0)</f>
        <v>578974</v>
      </c>
      <c r="E189" s="811">
        <f>ROUND(SUM(E104:E188),0)</f>
        <v>1840115</v>
      </c>
      <c r="F189" s="811">
        <f>ROUND(SUM(F104:F188),0)</f>
        <v>3857389</v>
      </c>
      <c r="G189" s="811">
        <f>ROUND(SUM(G104:G188),0)</f>
        <v>0</v>
      </c>
      <c r="H189" s="244"/>
      <c r="I189" s="811">
        <f>ROUND(SUM(I104:I188),0)</f>
        <v>9032962</v>
      </c>
      <c r="J189" s="245"/>
      <c r="K189" s="2"/>
      <c r="M189" s="245"/>
    </row>
    <row r="190" spans="3:11" ht="15">
      <c r="C190" s="256"/>
      <c r="D190" s="256"/>
      <c r="E190" s="256"/>
      <c r="F190" s="256"/>
      <c r="G190" s="256"/>
      <c r="I190" s="283"/>
      <c r="J190" s="283"/>
      <c r="K190" s="2"/>
    </row>
    <row r="191" spans="1:13" ht="15">
      <c r="A191" s="815" t="s">
        <v>1969</v>
      </c>
      <c r="C191" s="812">
        <f>INPUT!L201</f>
        <v>2704082.93</v>
      </c>
      <c r="D191" s="812">
        <f>INPUT!L202</f>
        <v>567960.8999999993</v>
      </c>
      <c r="E191" s="812">
        <f>INPUT!L203</f>
        <v>1805107.79</v>
      </c>
      <c r="F191" s="812">
        <f>INPUT!L204</f>
        <v>3784030.23</v>
      </c>
      <c r="G191" s="812">
        <f>INPUT!L205</f>
        <v>0</v>
      </c>
      <c r="H191" s="817"/>
      <c r="I191" s="812">
        <f>SUM(C191:H191)</f>
        <v>8861181.85</v>
      </c>
      <c r="J191" s="245"/>
      <c r="K191" s="2"/>
      <c r="M191" s="245"/>
    </row>
    <row r="192" spans="9:13" ht="15">
      <c r="I192" s="307"/>
      <c r="J192" s="307"/>
      <c r="K192" s="2"/>
      <c r="M192" s="245"/>
    </row>
    <row r="193" spans="1:13" ht="15.75" thickBot="1">
      <c r="A193" s="815" t="s">
        <v>1146</v>
      </c>
      <c r="B193" s="65" t="s">
        <v>119</v>
      </c>
      <c r="C193" s="816">
        <f>C189-C191</f>
        <v>52401.06999999983</v>
      </c>
      <c r="D193" s="816">
        <f>D189-D191</f>
        <v>11013.100000000675</v>
      </c>
      <c r="E193" s="816">
        <f>E189-E191</f>
        <v>35007.20999999996</v>
      </c>
      <c r="F193" s="816">
        <f>F189-F191</f>
        <v>73358.77000000002</v>
      </c>
      <c r="G193" s="816">
        <f>G189-G191</f>
        <v>0</v>
      </c>
      <c r="H193" s="817"/>
      <c r="I193" s="816">
        <f>SUM(C193:H193)</f>
        <v>171780.1500000005</v>
      </c>
      <c r="J193" s="245"/>
      <c r="K193" s="2"/>
      <c r="M193" s="245"/>
    </row>
    <row r="194" ht="15.75" thickTop="1">
      <c r="M194" s="245"/>
    </row>
    <row r="196" ht="15">
      <c r="D196" s="307"/>
    </row>
    <row r="198" spans="1:7" ht="15" hidden="1">
      <c r="A198" s="693"/>
      <c r="B198" s="693"/>
      <c r="C198" s="694"/>
      <c r="D198" s="694"/>
      <c r="E198" s="694"/>
      <c r="F198" s="694"/>
      <c r="G198" s="694"/>
    </row>
    <row r="199" spans="1:9" ht="15">
      <c r="A199"/>
      <c r="B199" s="218"/>
      <c r="C199" s="695"/>
      <c r="D199" s="695"/>
      <c r="E199" s="695"/>
      <c r="F199" s="695"/>
      <c r="G199" s="695"/>
      <c r="I199" s="818"/>
    </row>
    <row r="200" spans="1:15" ht="33">
      <c r="A200" s="17" t="s">
        <v>866</v>
      </c>
      <c r="B200" s="257" t="s">
        <v>743</v>
      </c>
      <c r="C200" s="258" t="s">
        <v>36</v>
      </c>
      <c r="D200" s="258" t="s">
        <v>37</v>
      </c>
      <c r="E200" s="258" t="s">
        <v>38</v>
      </c>
      <c r="F200" s="258" t="s">
        <v>39</v>
      </c>
      <c r="G200" s="258" t="s">
        <v>40</v>
      </c>
      <c r="O200" s="753"/>
    </row>
    <row r="201" spans="1:9" ht="16.5">
      <c r="A201" s="814" t="s">
        <v>453</v>
      </c>
      <c r="B201" s="696"/>
      <c r="C201" s="259"/>
      <c r="D201" s="259"/>
      <c r="E201" s="259"/>
      <c r="F201" s="259"/>
      <c r="G201" s="259"/>
      <c r="I201" s="695"/>
    </row>
    <row r="202" spans="1:14" ht="16.5">
      <c r="A202" s="707" t="s">
        <v>867</v>
      </c>
      <c r="B202" s="294" t="s">
        <v>1642</v>
      </c>
      <c r="C202" s="655">
        <v>224897.58</v>
      </c>
      <c r="D202" s="655">
        <v>47235.75999999994</v>
      </c>
      <c r="E202" s="655">
        <v>150123.1</v>
      </c>
      <c r="F202" s="655">
        <v>314711.77</v>
      </c>
      <c r="G202" s="655">
        <v>0</v>
      </c>
      <c r="I202" s="754">
        <f>SUM(C202:G202)</f>
        <v>736968.21</v>
      </c>
      <c r="K202" s="294" t="s">
        <v>1642</v>
      </c>
      <c r="M202" s="267">
        <v>1148591.7600000002</v>
      </c>
      <c r="N202" s="849"/>
    </row>
    <row r="203" spans="2:13" s="2" customFormat="1" ht="15" hidden="1">
      <c r="B203" s="294"/>
      <c r="H203" s="283"/>
      <c r="I203" s="702"/>
      <c r="J203" s="307"/>
      <c r="M203" s="729"/>
    </row>
    <row r="204" spans="1:13" s="2" customFormat="1" ht="16.5" hidden="1">
      <c r="A204" s="706"/>
      <c r="B204" s="294"/>
      <c r="C204" s="291"/>
      <c r="D204" s="291"/>
      <c r="E204" s="291"/>
      <c r="F204" s="291"/>
      <c r="G204" s="291"/>
      <c r="H204" s="283"/>
      <c r="I204" s="702"/>
      <c r="J204" s="307"/>
      <c r="M204" s="729"/>
    </row>
    <row r="205" spans="1:13" ht="15" hidden="1">
      <c r="A205" s="692" t="s">
        <v>1874</v>
      </c>
      <c r="B205" s="298">
        <v>4470206</v>
      </c>
      <c r="C205" s="705"/>
      <c r="D205" s="705"/>
      <c r="E205" s="705"/>
      <c r="F205" s="705"/>
      <c r="G205" s="705"/>
      <c r="I205" s="717">
        <f>SUM(C205:G205)</f>
        <v>0</v>
      </c>
      <c r="K205" s="692" t="s">
        <v>738</v>
      </c>
      <c r="M205" s="729"/>
    </row>
    <row r="206" spans="1:13" s="2" customFormat="1" ht="16.5">
      <c r="A206" s="819" t="s">
        <v>455</v>
      </c>
      <c r="B206" s="703"/>
      <c r="C206" s="704"/>
      <c r="D206" s="704"/>
      <c r="E206" s="704"/>
      <c r="F206" s="704"/>
      <c r="G206" s="704"/>
      <c r="H206" s="283"/>
      <c r="I206" s="702"/>
      <c r="J206" s="307"/>
      <c r="M206" s="729"/>
    </row>
    <row r="207" spans="1:13" ht="16.5">
      <c r="A207" s="697" t="s">
        <v>868</v>
      </c>
      <c r="B207" s="261"/>
      <c r="C207" s="259"/>
      <c r="D207" s="259"/>
      <c r="E207" s="259"/>
      <c r="F207" s="259"/>
      <c r="G207" s="259"/>
      <c r="I207" s="695"/>
      <c r="M207" s="729"/>
    </row>
    <row r="208" spans="1:13" ht="15">
      <c r="A208" s="698" t="s">
        <v>789</v>
      </c>
      <c r="B208" s="298">
        <v>4470099</v>
      </c>
      <c r="C208" s="655">
        <v>0</v>
      </c>
      <c r="D208" s="655">
        <v>0</v>
      </c>
      <c r="E208" s="655">
        <v>0</v>
      </c>
      <c r="F208" s="655">
        <v>0</v>
      </c>
      <c r="G208" s="655">
        <v>0</v>
      </c>
      <c r="H208" s="256">
        <v>0</v>
      </c>
      <c r="I208" s="717">
        <f aca="true" t="shared" si="4" ref="I208:I213">SUM(C208:G208)</f>
        <v>0</v>
      </c>
      <c r="K208" s="692" t="s">
        <v>738</v>
      </c>
      <c r="M208" s="1133" t="s">
        <v>2093</v>
      </c>
    </row>
    <row r="209" spans="1:13" ht="15">
      <c r="A209" s="698" t="s">
        <v>318</v>
      </c>
      <c r="B209" s="299">
        <v>4470143</v>
      </c>
      <c r="C209" s="655">
        <v>-320460</v>
      </c>
      <c r="D209" s="655">
        <v>-67294.5</v>
      </c>
      <c r="E209" s="655">
        <v>-213864</v>
      </c>
      <c r="F209" s="655">
        <v>-448381.5</v>
      </c>
      <c r="G209" s="655">
        <v>0</v>
      </c>
      <c r="H209" s="256">
        <v>-1050000</v>
      </c>
      <c r="I209" s="717">
        <f t="shared" si="4"/>
        <v>-1050000</v>
      </c>
      <c r="K209" s="692" t="s">
        <v>738</v>
      </c>
      <c r="M209" s="1133" t="s">
        <v>2093</v>
      </c>
    </row>
    <row r="210" spans="1:13" ht="15">
      <c r="A210" s="698" t="s">
        <v>287</v>
      </c>
      <c r="B210" s="299">
        <v>5550075</v>
      </c>
      <c r="C210" s="655">
        <v>30904.780000000006</v>
      </c>
      <c r="D210" s="655">
        <v>6489.8</v>
      </c>
      <c r="E210" s="655">
        <v>20624.79</v>
      </c>
      <c r="F210" s="655">
        <v>43241.38</v>
      </c>
      <c r="G210" s="655">
        <v>0</v>
      </c>
      <c r="H210" s="256">
        <v>101260.75</v>
      </c>
      <c r="I210" s="717">
        <f t="shared" si="4"/>
        <v>101260.75</v>
      </c>
      <c r="K210" s="692" t="s">
        <v>869</v>
      </c>
      <c r="M210" s="1133" t="s">
        <v>2093</v>
      </c>
    </row>
    <row r="211" spans="1:13" ht="15">
      <c r="A211" s="698" t="s">
        <v>288</v>
      </c>
      <c r="B211" s="299">
        <v>5550079</v>
      </c>
      <c r="C211" s="655">
        <v>12629.560000000001</v>
      </c>
      <c r="D211" s="655">
        <v>2652.13</v>
      </c>
      <c r="E211" s="655">
        <v>8428.54</v>
      </c>
      <c r="F211" s="655">
        <v>17671.05</v>
      </c>
      <c r="G211" s="655">
        <v>0</v>
      </c>
      <c r="H211" s="256">
        <v>68866.44</v>
      </c>
      <c r="I211" s="717">
        <f t="shared" si="4"/>
        <v>41381.28</v>
      </c>
      <c r="K211" s="692" t="s">
        <v>869</v>
      </c>
      <c r="M211" s="1133" t="s">
        <v>2093</v>
      </c>
    </row>
    <row r="212" spans="1:13" ht="15">
      <c r="A212" s="698" t="s">
        <v>286</v>
      </c>
      <c r="B212" s="299">
        <v>5550084</v>
      </c>
      <c r="C212" s="655">
        <v>0</v>
      </c>
      <c r="D212" s="655">
        <v>0</v>
      </c>
      <c r="E212" s="655">
        <v>0</v>
      </c>
      <c r="F212" s="655">
        <v>0</v>
      </c>
      <c r="G212" s="655">
        <v>0</v>
      </c>
      <c r="H212" s="256">
        <v>275.9</v>
      </c>
      <c r="I212" s="717">
        <f t="shared" si="4"/>
        <v>0</v>
      </c>
      <c r="K212" s="692" t="s">
        <v>869</v>
      </c>
      <c r="M212" s="1133" t="s">
        <v>2093</v>
      </c>
    </row>
    <row r="213" spans="1:13" ht="15">
      <c r="A213" s="699" t="s">
        <v>1848</v>
      </c>
      <c r="B213" s="299">
        <v>4470141</v>
      </c>
      <c r="C213" s="655">
        <v>-3107311.24</v>
      </c>
      <c r="D213" s="655">
        <v>-652645.59</v>
      </c>
      <c r="E213" s="655">
        <v>-2074245.0299999998</v>
      </c>
      <c r="F213" s="655">
        <v>-4348260.300000001</v>
      </c>
      <c r="G213" s="655">
        <v>0</v>
      </c>
      <c r="H213" s="256">
        <v>-10716902.94</v>
      </c>
      <c r="I213" s="717">
        <f t="shared" si="4"/>
        <v>-10182462.16</v>
      </c>
      <c r="K213" s="692" t="s">
        <v>869</v>
      </c>
      <c r="M213" s="1133" t="s">
        <v>2093</v>
      </c>
    </row>
    <row r="214" spans="1:13" ht="15">
      <c r="A214" s="699" t="s">
        <v>1066</v>
      </c>
      <c r="B214" s="299">
        <v>4470206</v>
      </c>
      <c r="C214" s="655">
        <v>99.15999999999997</v>
      </c>
      <c r="D214" s="655">
        <v>20.82</v>
      </c>
      <c r="E214" s="655">
        <v>66.18</v>
      </c>
      <c r="F214" s="655">
        <v>138.74</v>
      </c>
      <c r="G214" s="655">
        <v>0</v>
      </c>
      <c r="H214" s="256">
        <v>719.38</v>
      </c>
      <c r="I214" s="717">
        <f>SUM(C214:G214)</f>
        <v>324.9</v>
      </c>
      <c r="K214" s="692" t="s">
        <v>738</v>
      </c>
      <c r="M214" s="1133" t="s">
        <v>2093</v>
      </c>
    </row>
    <row r="215" spans="1:13" ht="15">
      <c r="A215"/>
      <c r="B215" s="218"/>
      <c r="C215" s="695"/>
      <c r="D215" s="695"/>
      <c r="E215" s="695"/>
      <c r="F215" s="695"/>
      <c r="G215" s="695"/>
      <c r="I215" s="695"/>
      <c r="M215" s="729"/>
    </row>
    <row r="216" spans="1:13" ht="16.5">
      <c r="A216" s="815" t="s">
        <v>454</v>
      </c>
      <c r="B216" s="218"/>
      <c r="C216" s="812">
        <f>SUM(C202:C214)</f>
        <v>-3159240.16</v>
      </c>
      <c r="D216" s="812">
        <f>SUM(D202:D214)</f>
        <v>-663541.5800000001</v>
      </c>
      <c r="E216" s="812">
        <f>SUM(E202:E214)</f>
        <v>-2108866.4199999995</v>
      </c>
      <c r="F216" s="812">
        <f>SUM(F202:F214)</f>
        <v>-4420878.86</v>
      </c>
      <c r="G216" s="812">
        <f>SUM(G202:G214)</f>
        <v>0</v>
      </c>
      <c r="H216" s="283"/>
      <c r="I216" s="812">
        <f>SUM(C216:G216)</f>
        <v>-10352527.02</v>
      </c>
      <c r="M216" s="729"/>
    </row>
    <row r="218" spans="1:9" ht="15">
      <c r="A218" s="815" t="s">
        <v>985</v>
      </c>
      <c r="C218" s="812">
        <f>INPUT!J212</f>
        <v>-3219120.5</v>
      </c>
      <c r="D218" s="812">
        <f>INPUT!J213</f>
        <v>-676115.73</v>
      </c>
      <c r="E218" s="812">
        <f>INPUT!J214</f>
        <v>-2148826.38</v>
      </c>
      <c r="F218" s="812">
        <f>INPUT!J215</f>
        <v>-4504660.73</v>
      </c>
      <c r="G218" s="812">
        <f>INPUT!J216</f>
        <v>0</v>
      </c>
      <c r="H218" s="244"/>
      <c r="I218" s="812">
        <f>SUM(C218:H218)</f>
        <v>-10548723.34</v>
      </c>
    </row>
    <row r="220" spans="1:9" ht="15">
      <c r="A220" s="815" t="s">
        <v>986</v>
      </c>
      <c r="B220" s="65" t="s">
        <v>119</v>
      </c>
      <c r="C220" s="812">
        <f>ROUND(C216-C218,0)</f>
        <v>59880</v>
      </c>
      <c r="D220" s="812">
        <f>ROUND(D216-D218,0)</f>
        <v>12574</v>
      </c>
      <c r="E220" s="812">
        <f>ROUND(E216-E218,0)</f>
        <v>39960</v>
      </c>
      <c r="F220" s="812">
        <f>ROUND(F216-F218,0)</f>
        <v>83782</v>
      </c>
      <c r="G220" s="812">
        <f>ROUND(G216-G218,0)</f>
        <v>0</v>
      </c>
      <c r="H220" s="848"/>
      <c r="I220" s="812">
        <f>SUM(C220:G220)</f>
        <v>196196</v>
      </c>
    </row>
    <row r="222" ht="15">
      <c r="A222" s="3" t="s">
        <v>42</v>
      </c>
    </row>
    <row r="223" ht="15">
      <c r="A223" s="2" t="s">
        <v>1147</v>
      </c>
    </row>
  </sheetData>
  <sheetProtection/>
  <mergeCells count="2">
    <mergeCell ref="A100:I100"/>
    <mergeCell ref="A1:M1"/>
  </mergeCells>
  <printOptions/>
  <pageMargins left="0.25" right="0.25" top="0.46" bottom="0.25" header="0.17" footer="0.5"/>
  <pageSetup fitToHeight="3" fitToWidth="1" horizontalDpi="600" verticalDpi="600" orientation="portrait" scale="47" r:id="rId3"/>
  <headerFooter alignWithMargins="0">
    <oddHeader>&amp;R&amp;"Comic Sans MS,Bold"APPENDIX IX&amp;"Arial,Regular"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405" t="s">
        <v>1956</v>
      </c>
      <c r="B1" s="399"/>
    </row>
    <row r="2" spans="1:2" ht="12.75">
      <c r="A2" s="409"/>
      <c r="B2" s="399"/>
    </row>
    <row r="3" spans="1:2" ht="12.75">
      <c r="A3" s="409"/>
      <c r="B3" s="399"/>
    </row>
    <row r="4" spans="1:2" ht="16.5">
      <c r="A4" s="399"/>
      <c r="B4" s="410" t="s">
        <v>396</v>
      </c>
    </row>
    <row r="5" spans="1:2" ht="16.5">
      <c r="A5" s="399"/>
      <c r="B5" s="410" t="s">
        <v>397</v>
      </c>
    </row>
    <row r="6" spans="1:2" ht="19.5">
      <c r="A6" s="406" t="s">
        <v>1959</v>
      </c>
      <c r="B6" s="399"/>
    </row>
    <row r="7" spans="1:2" ht="19.5">
      <c r="A7" s="408"/>
      <c r="B7" s="411"/>
    </row>
    <row r="8" spans="1:2" ht="19.5">
      <c r="A8" s="408" t="s">
        <v>1960</v>
      </c>
      <c r="B8" s="406">
        <v>1</v>
      </c>
    </row>
    <row r="9" spans="1:2" ht="19.5">
      <c r="A9" s="408"/>
      <c r="B9" s="411"/>
    </row>
    <row r="10" spans="1:2" ht="19.5">
      <c r="A10" s="412" t="s">
        <v>1961</v>
      </c>
      <c r="B10" s="411"/>
    </row>
    <row r="11" spans="1:2" ht="19.5">
      <c r="A11" s="408" t="s">
        <v>1526</v>
      </c>
      <c r="B11" s="406">
        <v>2</v>
      </c>
    </row>
    <row r="12" spans="1:2" ht="19.5">
      <c r="A12" s="408"/>
      <c r="B12" s="411"/>
    </row>
    <row r="13" spans="1:2" ht="19.5">
      <c r="A13" s="408" t="s">
        <v>1527</v>
      </c>
      <c r="B13" s="406">
        <v>3</v>
      </c>
    </row>
    <row r="14" spans="1:2" ht="19.5">
      <c r="A14" s="408"/>
      <c r="B14" s="411"/>
    </row>
    <row r="15" spans="1:2" ht="19.5">
      <c r="A15" s="408" t="s">
        <v>2060</v>
      </c>
      <c r="B15" s="406">
        <v>4</v>
      </c>
    </row>
    <row r="16" spans="1:2" ht="19.5">
      <c r="A16" s="408"/>
      <c r="B16" s="411"/>
    </row>
    <row r="17" spans="1:2" ht="19.5">
      <c r="A17" s="408" t="s">
        <v>2061</v>
      </c>
      <c r="B17" s="406">
        <v>5</v>
      </c>
    </row>
    <row r="18" spans="1:2" ht="19.5">
      <c r="A18" s="408"/>
      <c r="B18" s="411"/>
    </row>
    <row r="19" spans="1:2" ht="19.5">
      <c r="A19" s="408" t="s">
        <v>2062</v>
      </c>
      <c r="B19" s="411"/>
    </row>
    <row r="20" spans="1:2" ht="19.5">
      <c r="A20" s="408" t="s">
        <v>2063</v>
      </c>
      <c r="B20" s="406">
        <v>6</v>
      </c>
    </row>
    <row r="21" spans="1:2" ht="19.5">
      <c r="A21" s="408"/>
      <c r="B21" s="411"/>
    </row>
    <row r="22" spans="1:2" ht="19.5">
      <c r="A22" s="408" t="s">
        <v>1505</v>
      </c>
      <c r="B22" s="406">
        <v>7</v>
      </c>
    </row>
    <row r="23" spans="1:2" ht="19.5">
      <c r="A23" s="408"/>
      <c r="B23" s="411"/>
    </row>
    <row r="24" spans="1:2" ht="19.5">
      <c r="A24" s="408" t="s">
        <v>1564</v>
      </c>
      <c r="B24" s="406">
        <v>8</v>
      </c>
    </row>
    <row r="25" spans="1:2" ht="19.5">
      <c r="A25" s="408"/>
      <c r="B25" s="411"/>
    </row>
    <row r="26" spans="1:2" ht="19.5">
      <c r="A26" s="408" t="s">
        <v>1565</v>
      </c>
      <c r="B26" s="406">
        <v>9</v>
      </c>
    </row>
    <row r="27" spans="1:2" ht="19.5">
      <c r="A27" s="408"/>
      <c r="B27" s="411"/>
    </row>
    <row r="28" spans="1:2" ht="19.5">
      <c r="A28" s="408" t="s">
        <v>392</v>
      </c>
      <c r="B28" s="406">
        <v>10</v>
      </c>
    </row>
    <row r="29" spans="1:2" ht="19.5">
      <c r="A29" s="408"/>
      <c r="B29" s="411"/>
    </row>
    <row r="30" spans="1:2" ht="19.5">
      <c r="A30" s="408" t="s">
        <v>393</v>
      </c>
      <c r="B30" s="406">
        <v>11</v>
      </c>
    </row>
    <row r="31" spans="1:2" ht="19.5">
      <c r="A31" s="408"/>
      <c r="B31" s="411"/>
    </row>
    <row r="32" spans="1:2" ht="19.5">
      <c r="A32" s="408"/>
      <c r="B32" s="411"/>
    </row>
    <row r="33" spans="1:2" ht="19.5">
      <c r="A33" s="412" t="s">
        <v>394</v>
      </c>
      <c r="B33" s="411"/>
    </row>
    <row r="34" spans="1:2" ht="19.5">
      <c r="A34" s="408"/>
      <c r="B34" s="411"/>
    </row>
    <row r="35" spans="1:2" ht="19.5">
      <c r="A35" s="408" t="s">
        <v>395</v>
      </c>
      <c r="B35" s="406" t="s">
        <v>779</v>
      </c>
    </row>
    <row r="36" ht="19.5">
      <c r="A36" s="40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5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10.57421875" style="0" bestFit="1" customWidth="1"/>
    <col min="12" max="12" width="12.8515625" style="0" bestFit="1" customWidth="1"/>
    <col min="13" max="13" width="11.28125" style="0" bestFit="1" customWidth="1"/>
  </cols>
  <sheetData>
    <row r="1" spans="1:9" ht="16.5">
      <c r="A1" s="23" t="s">
        <v>1294</v>
      </c>
      <c r="B1" s="115"/>
      <c r="C1" s="115"/>
      <c r="D1" s="3"/>
      <c r="E1" s="3"/>
      <c r="F1" s="3"/>
      <c r="G1" s="3"/>
      <c r="H1" s="75"/>
      <c r="I1" s="253" t="s">
        <v>34</v>
      </c>
    </row>
    <row r="2" spans="1:9" ht="15">
      <c r="A2" s="254" t="str">
        <f>INPUT!C1</f>
        <v>February 2012</v>
      </c>
      <c r="B2" s="3"/>
      <c r="C2" s="3"/>
      <c r="D2" s="3"/>
      <c r="E2" s="3"/>
      <c r="F2" s="3"/>
      <c r="G2" s="3"/>
      <c r="H2" s="75"/>
      <c r="I2" s="3"/>
    </row>
    <row r="3" spans="1:9" ht="15">
      <c r="A3" s="3"/>
      <c r="B3" s="3"/>
      <c r="C3" s="3"/>
      <c r="D3" s="3"/>
      <c r="E3" s="3"/>
      <c r="F3" s="3"/>
      <c r="G3" s="3"/>
      <c r="H3" s="75"/>
      <c r="I3" s="3"/>
    </row>
    <row r="4" spans="1:9" ht="16.5">
      <c r="A4" s="1191" t="s">
        <v>923</v>
      </c>
      <c r="B4" s="1191"/>
      <c r="C4" s="1191"/>
      <c r="D4" s="1191"/>
      <c r="E4" s="1191"/>
      <c r="F4" s="1191"/>
      <c r="G4" s="1191"/>
      <c r="H4" s="1191"/>
      <c r="I4" s="1191"/>
    </row>
    <row r="5" spans="1:9" ht="15">
      <c r="A5" s="3"/>
      <c r="B5" s="3"/>
      <c r="C5" s="255"/>
      <c r="D5" s="255"/>
      <c r="E5" s="255"/>
      <c r="F5" s="255"/>
      <c r="G5" s="255"/>
      <c r="H5" s="256"/>
      <c r="I5" s="255"/>
    </row>
    <row r="6" spans="1:9" ht="33" customHeight="1">
      <c r="A6" s="17" t="s">
        <v>35</v>
      </c>
      <c r="B6" s="257" t="s">
        <v>743</v>
      </c>
      <c r="C6" s="258" t="s">
        <v>36</v>
      </c>
      <c r="D6" s="258" t="s">
        <v>37</v>
      </c>
      <c r="E6" s="258" t="s">
        <v>38</v>
      </c>
      <c r="F6" s="258" t="s">
        <v>39</v>
      </c>
      <c r="G6" s="258" t="s">
        <v>40</v>
      </c>
      <c r="H6" s="259"/>
      <c r="I6" s="260" t="s">
        <v>710</v>
      </c>
    </row>
    <row r="7" spans="1:9" ht="16.5">
      <c r="A7" s="261"/>
      <c r="B7" s="261"/>
      <c r="C7" s="259"/>
      <c r="D7" s="259"/>
      <c r="E7" s="259"/>
      <c r="F7" s="259"/>
      <c r="G7" s="259"/>
      <c r="H7" s="259"/>
      <c r="I7" s="259"/>
    </row>
    <row r="8" spans="1:9" ht="16.5">
      <c r="A8" s="261" t="s">
        <v>1849</v>
      </c>
      <c r="B8" s="261"/>
      <c r="C8" s="259"/>
      <c r="D8" s="259"/>
      <c r="E8" s="259"/>
      <c r="F8" s="259"/>
      <c r="G8" s="259"/>
      <c r="H8" s="259"/>
      <c r="I8" s="259"/>
    </row>
    <row r="9" spans="1:11" ht="16.5">
      <c r="A9" s="285" t="s">
        <v>789</v>
      </c>
      <c r="B9" s="298">
        <v>4470099</v>
      </c>
      <c r="C9" s="655"/>
      <c r="D9" s="655"/>
      <c r="E9" s="655"/>
      <c r="F9" s="655"/>
      <c r="G9" s="655"/>
      <c r="H9" s="306"/>
      <c r="I9" s="291">
        <f>SUM(C9:G9)</f>
        <v>0</v>
      </c>
      <c r="J9" s="218" t="s">
        <v>738</v>
      </c>
      <c r="K9" s="267">
        <f>IF(J9="East Zone SIA",I9,"")</f>
        <v>0</v>
      </c>
    </row>
    <row r="10" spans="1:11" ht="16.5">
      <c r="A10" s="290" t="s">
        <v>318</v>
      </c>
      <c r="B10" s="298">
        <v>4470143</v>
      </c>
      <c r="C10" s="655"/>
      <c r="D10" s="655"/>
      <c r="E10" s="655"/>
      <c r="F10" s="655"/>
      <c r="G10" s="655"/>
      <c r="H10" s="306"/>
      <c r="I10" s="291">
        <f aca="true" t="shared" si="0" ref="I10:I15">SUM(C10:G10)</f>
        <v>0</v>
      </c>
      <c r="J10" s="218" t="s">
        <v>738</v>
      </c>
      <c r="K10" s="267">
        <f aca="true" t="shared" si="1" ref="K10:K118">IF(J10="East Zone SIA",I10,"")</f>
        <v>0</v>
      </c>
    </row>
    <row r="11" spans="1:11" ht="16.5">
      <c r="A11" s="290" t="s">
        <v>287</v>
      </c>
      <c r="B11" s="299">
        <v>5550075</v>
      </c>
      <c r="C11" s="655"/>
      <c r="D11" s="655"/>
      <c r="E11" s="655"/>
      <c r="F11" s="655"/>
      <c r="G11" s="655"/>
      <c r="H11" s="306"/>
      <c r="I11" s="291">
        <f t="shared" si="0"/>
        <v>0</v>
      </c>
      <c r="J11" s="218" t="s">
        <v>869</v>
      </c>
      <c r="K11" s="267">
        <f t="shared" si="1"/>
      </c>
    </row>
    <row r="12" spans="1:11" ht="16.5">
      <c r="A12" s="290" t="s">
        <v>288</v>
      </c>
      <c r="B12" s="299">
        <v>5550079</v>
      </c>
      <c r="C12" s="655"/>
      <c r="D12" s="655"/>
      <c r="E12" s="655"/>
      <c r="F12" s="655"/>
      <c r="G12" s="655"/>
      <c r="H12" s="306"/>
      <c r="I12" s="291">
        <f t="shared" si="0"/>
        <v>0</v>
      </c>
      <c r="J12" s="218" t="s">
        <v>869</v>
      </c>
      <c r="K12" s="267"/>
    </row>
    <row r="13" spans="1:11" ht="16.5">
      <c r="A13" s="395" t="s">
        <v>286</v>
      </c>
      <c r="B13" s="299">
        <v>5550084</v>
      </c>
      <c r="C13" s="655"/>
      <c r="D13" s="655"/>
      <c r="E13" s="655"/>
      <c r="F13" s="655"/>
      <c r="G13" s="655"/>
      <c r="H13" s="306"/>
      <c r="I13" s="291">
        <f t="shared" si="0"/>
        <v>0</v>
      </c>
      <c r="J13" s="218" t="s">
        <v>869</v>
      </c>
      <c r="K13" s="267">
        <f t="shared" si="1"/>
      </c>
    </row>
    <row r="14" spans="1:11" ht="16.5">
      <c r="A14" s="290" t="s">
        <v>1848</v>
      </c>
      <c r="B14" s="299">
        <v>4470141</v>
      </c>
      <c r="C14" s="655"/>
      <c r="D14" s="655"/>
      <c r="E14" s="655"/>
      <c r="F14" s="655"/>
      <c r="G14" s="655"/>
      <c r="H14" s="306"/>
      <c r="I14" s="291">
        <f t="shared" si="0"/>
        <v>0</v>
      </c>
      <c r="J14" s="218" t="s">
        <v>869</v>
      </c>
      <c r="K14" s="267">
        <f t="shared" si="1"/>
      </c>
    </row>
    <row r="15" spans="1:13" ht="16.5">
      <c r="A15" s="290" t="s">
        <v>1066</v>
      </c>
      <c r="B15" s="299">
        <v>4470206</v>
      </c>
      <c r="C15" s="655"/>
      <c r="D15" s="655"/>
      <c r="E15" s="655"/>
      <c r="F15" s="655"/>
      <c r="G15" s="655"/>
      <c r="H15" s="306"/>
      <c r="I15" s="291">
        <f t="shared" si="0"/>
        <v>0</v>
      </c>
      <c r="J15" s="218" t="s">
        <v>738</v>
      </c>
      <c r="K15" s="267">
        <f>IF(J15="East Zone SIA",I15,"")</f>
        <v>0</v>
      </c>
      <c r="L15" s="621" t="s">
        <v>319</v>
      </c>
      <c r="M15" s="622">
        <f>SUM(K9:K15)</f>
        <v>0</v>
      </c>
    </row>
    <row r="16" spans="1:13" ht="16.5">
      <c r="A16" s="290"/>
      <c r="B16" s="299"/>
      <c r="C16" s="291"/>
      <c r="D16" s="291"/>
      <c r="E16" s="291"/>
      <c r="F16" s="291"/>
      <c r="G16" s="291"/>
      <c r="H16" s="306"/>
      <c r="I16" s="291"/>
      <c r="K16" s="267">
        <f t="shared" si="1"/>
      </c>
      <c r="L16" s="623" t="s">
        <v>1279</v>
      </c>
      <c r="M16" s="624">
        <f>SUM(I9:I15)</f>
        <v>0</v>
      </c>
    </row>
    <row r="17" spans="1:11" ht="16.5">
      <c r="A17" s="23" t="s">
        <v>1448</v>
      </c>
      <c r="B17" s="284"/>
      <c r="C17" s="262"/>
      <c r="D17" s="262"/>
      <c r="E17" s="262"/>
      <c r="F17" s="262"/>
      <c r="G17" s="262"/>
      <c r="H17" s="244"/>
      <c r="I17" s="291"/>
      <c r="K17" s="267">
        <f t="shared" si="1"/>
      </c>
    </row>
    <row r="18" spans="1:11" ht="15" hidden="1">
      <c r="A18" s="612" t="s">
        <v>980</v>
      </c>
      <c r="B18" s="141">
        <v>4470141</v>
      </c>
      <c r="C18" s="655"/>
      <c r="D18" s="655"/>
      <c r="E18" s="655"/>
      <c r="F18" s="655"/>
      <c r="G18" s="655"/>
      <c r="H18" s="244">
        <v>-632294.83</v>
      </c>
      <c r="I18" s="291">
        <f aca="true" t="shared" si="2" ref="I18:I39">SUM(C18:G18)</f>
        <v>0</v>
      </c>
      <c r="J18" s="218" t="s">
        <v>1067</v>
      </c>
      <c r="K18" s="267">
        <f t="shared" si="1"/>
      </c>
    </row>
    <row r="19" spans="1:11" ht="15">
      <c r="A19" s="612" t="s">
        <v>981</v>
      </c>
      <c r="B19" s="141">
        <v>4470141</v>
      </c>
      <c r="C19" s="655"/>
      <c r="D19" s="655"/>
      <c r="E19" s="655"/>
      <c r="F19" s="655"/>
      <c r="G19" s="655"/>
      <c r="H19" s="244">
        <v>341754.48</v>
      </c>
      <c r="I19" s="291">
        <f t="shared" si="2"/>
        <v>0</v>
      </c>
      <c r="J19" s="218" t="s">
        <v>1067</v>
      </c>
      <c r="K19" s="267">
        <f t="shared" si="1"/>
      </c>
    </row>
    <row r="20" spans="1:11" ht="15" hidden="1">
      <c r="A20" s="610" t="s">
        <v>982</v>
      </c>
      <c r="B20" s="625">
        <v>4470141</v>
      </c>
      <c r="C20" s="655"/>
      <c r="D20" s="655"/>
      <c r="E20" s="655"/>
      <c r="F20" s="655"/>
      <c r="G20" s="655"/>
      <c r="H20" s="244"/>
      <c r="I20" s="291">
        <f t="shared" si="2"/>
        <v>0</v>
      </c>
      <c r="J20" s="218" t="s">
        <v>1067</v>
      </c>
      <c r="K20" s="267">
        <f t="shared" si="1"/>
      </c>
    </row>
    <row r="21" spans="1:11" ht="15">
      <c r="A21" s="610" t="s">
        <v>983</v>
      </c>
      <c r="B21" s="144">
        <v>4470141</v>
      </c>
      <c r="C21" s="655"/>
      <c r="D21" s="655"/>
      <c r="E21" s="655"/>
      <c r="F21" s="655"/>
      <c r="G21" s="655"/>
      <c r="H21" s="244"/>
      <c r="I21" s="291">
        <f t="shared" si="2"/>
        <v>0</v>
      </c>
      <c r="J21" s="218" t="s">
        <v>1067</v>
      </c>
      <c r="K21" s="267">
        <f t="shared" si="1"/>
      </c>
    </row>
    <row r="22" spans="1:11" ht="15" hidden="1">
      <c r="A22" s="2" t="s">
        <v>1517</v>
      </c>
      <c r="B22" s="392">
        <v>4470126</v>
      </c>
      <c r="C22" s="655"/>
      <c r="D22" s="655"/>
      <c r="E22" s="655"/>
      <c r="F22" s="655"/>
      <c r="G22" s="655"/>
      <c r="H22" s="244">
        <v>-0.04</v>
      </c>
      <c r="I22" s="291">
        <f t="shared" si="2"/>
        <v>0</v>
      </c>
      <c r="J22" s="218" t="s">
        <v>738</v>
      </c>
      <c r="K22" s="267">
        <f t="shared" si="1"/>
        <v>0</v>
      </c>
    </row>
    <row r="23" spans="1:11" ht="15" hidden="1">
      <c r="A23" s="2" t="s">
        <v>1259</v>
      </c>
      <c r="B23" s="144">
        <v>4470174</v>
      </c>
      <c r="C23" s="655"/>
      <c r="D23" s="655"/>
      <c r="E23" s="655"/>
      <c r="F23" s="655"/>
      <c r="G23" s="655"/>
      <c r="H23" s="244">
        <v>1100.78</v>
      </c>
      <c r="I23" s="291">
        <f t="shared" si="2"/>
        <v>0</v>
      </c>
      <c r="J23" s="218" t="s">
        <v>738</v>
      </c>
      <c r="K23" s="267">
        <f t="shared" si="1"/>
        <v>0</v>
      </c>
    </row>
    <row r="24" spans="1:11" ht="15" hidden="1">
      <c r="A24" s="2" t="s">
        <v>870</v>
      </c>
      <c r="B24" s="144">
        <v>4470206</v>
      </c>
      <c r="C24" s="655"/>
      <c r="D24" s="655"/>
      <c r="E24" s="655"/>
      <c r="F24" s="655"/>
      <c r="G24" s="655"/>
      <c r="H24" s="244">
        <v>-2966.74</v>
      </c>
      <c r="I24" s="291">
        <f t="shared" si="2"/>
        <v>0</v>
      </c>
      <c r="J24" s="218" t="s">
        <v>738</v>
      </c>
      <c r="K24" s="267">
        <f t="shared" si="1"/>
        <v>0</v>
      </c>
    </row>
    <row r="25" spans="1:11" ht="15" hidden="1">
      <c r="A25" s="2" t="s">
        <v>1078</v>
      </c>
      <c r="B25" s="144">
        <v>4470174</v>
      </c>
      <c r="C25" s="655"/>
      <c r="D25" s="655"/>
      <c r="E25" s="655"/>
      <c r="F25" s="655"/>
      <c r="G25" s="655"/>
      <c r="H25" s="244">
        <v>-141.23</v>
      </c>
      <c r="I25" s="291">
        <f t="shared" si="2"/>
        <v>0</v>
      </c>
      <c r="J25" s="218" t="s">
        <v>738</v>
      </c>
      <c r="K25" s="267">
        <f t="shared" si="1"/>
        <v>0</v>
      </c>
    </row>
    <row r="26" spans="1:11" ht="15" hidden="1">
      <c r="A26" s="2" t="s">
        <v>1080</v>
      </c>
      <c r="B26" s="144">
        <v>4470126</v>
      </c>
      <c r="C26" s="655"/>
      <c r="D26" s="655"/>
      <c r="E26" s="655"/>
      <c r="F26" s="655"/>
      <c r="G26" s="655"/>
      <c r="H26" s="244">
        <v>31.65</v>
      </c>
      <c r="I26" s="291">
        <f t="shared" si="2"/>
        <v>0</v>
      </c>
      <c r="J26" s="218" t="s">
        <v>738</v>
      </c>
      <c r="K26" s="267">
        <f t="shared" si="1"/>
        <v>0</v>
      </c>
    </row>
    <row r="27" spans="1:11" ht="15" hidden="1">
      <c r="A27" s="2" t="s">
        <v>1081</v>
      </c>
      <c r="B27" s="144">
        <v>4470209</v>
      </c>
      <c r="C27" s="655"/>
      <c r="D27" s="655"/>
      <c r="E27" s="655"/>
      <c r="F27" s="655"/>
      <c r="G27" s="655"/>
      <c r="H27" s="244">
        <v>197.76</v>
      </c>
      <c r="I27" s="291">
        <f t="shared" si="2"/>
        <v>0</v>
      </c>
      <c r="J27" s="218" t="s">
        <v>738</v>
      </c>
      <c r="K27" s="267">
        <f t="shared" si="1"/>
        <v>0</v>
      </c>
    </row>
    <row r="28" spans="1:11" ht="15" hidden="1">
      <c r="A28" s="2" t="s">
        <v>1085</v>
      </c>
      <c r="B28" s="144">
        <v>4470126</v>
      </c>
      <c r="C28" s="655"/>
      <c r="D28" s="655"/>
      <c r="E28" s="655"/>
      <c r="F28" s="655"/>
      <c r="G28" s="655"/>
      <c r="H28" s="244">
        <v>-111403.5</v>
      </c>
      <c r="I28" s="291">
        <f t="shared" si="2"/>
        <v>0</v>
      </c>
      <c r="J28" s="218" t="s">
        <v>738</v>
      </c>
      <c r="K28" s="267">
        <f t="shared" si="1"/>
        <v>0</v>
      </c>
    </row>
    <row r="29" spans="1:11" ht="15" hidden="1">
      <c r="A29" s="2" t="s">
        <v>688</v>
      </c>
      <c r="B29" s="144">
        <v>4470209</v>
      </c>
      <c r="C29" s="655"/>
      <c r="D29" s="655"/>
      <c r="E29" s="655"/>
      <c r="F29" s="655"/>
      <c r="G29" s="655"/>
      <c r="H29" s="244">
        <v>1697.46</v>
      </c>
      <c r="I29" s="291">
        <f t="shared" si="2"/>
        <v>0</v>
      </c>
      <c r="J29" s="218" t="s">
        <v>738</v>
      </c>
      <c r="K29" s="267">
        <f t="shared" si="1"/>
        <v>0</v>
      </c>
    </row>
    <row r="30" spans="1:11" ht="15" hidden="1">
      <c r="A30" s="2" t="s">
        <v>930</v>
      </c>
      <c r="B30" s="144">
        <v>4470174</v>
      </c>
      <c r="C30" s="655"/>
      <c r="D30" s="655"/>
      <c r="E30" s="655"/>
      <c r="F30" s="655"/>
      <c r="G30" s="655"/>
      <c r="H30" s="244">
        <v>57563.7</v>
      </c>
      <c r="I30" s="291">
        <f t="shared" si="2"/>
        <v>0</v>
      </c>
      <c r="J30" s="218" t="s">
        <v>738</v>
      </c>
      <c r="K30" s="267">
        <f t="shared" si="1"/>
        <v>0</v>
      </c>
    </row>
    <row r="31" spans="1:11" ht="15" hidden="1">
      <c r="A31" s="2" t="s">
        <v>232</v>
      </c>
      <c r="B31" s="144">
        <v>4470174</v>
      </c>
      <c r="C31" s="655"/>
      <c r="D31" s="655"/>
      <c r="E31" s="655"/>
      <c r="F31" s="655"/>
      <c r="G31" s="655"/>
      <c r="H31" s="244">
        <v>6036.2</v>
      </c>
      <c r="I31" s="291">
        <f t="shared" si="2"/>
        <v>0</v>
      </c>
      <c r="J31" s="218" t="s">
        <v>738</v>
      </c>
      <c r="K31" s="267">
        <f t="shared" si="1"/>
        <v>0</v>
      </c>
    </row>
    <row r="32" spans="1:11" ht="15" hidden="1">
      <c r="A32" s="2" t="s">
        <v>691</v>
      </c>
      <c r="B32" s="144">
        <v>4470174</v>
      </c>
      <c r="C32" s="655"/>
      <c r="D32" s="655"/>
      <c r="E32" s="655"/>
      <c r="F32" s="655"/>
      <c r="G32" s="655"/>
      <c r="H32" s="244">
        <v>273395.25</v>
      </c>
      <c r="I32" s="291">
        <f t="shared" si="2"/>
        <v>0</v>
      </c>
      <c r="J32" s="218" t="s">
        <v>738</v>
      </c>
      <c r="K32" s="267">
        <f t="shared" si="1"/>
        <v>0</v>
      </c>
    </row>
    <row r="33" spans="1:11" ht="15" hidden="1">
      <c r="A33" s="2" t="s">
        <v>692</v>
      </c>
      <c r="B33" s="144">
        <v>4470099</v>
      </c>
      <c r="C33" s="655"/>
      <c r="D33" s="655"/>
      <c r="E33" s="655"/>
      <c r="F33" s="655"/>
      <c r="G33" s="655"/>
      <c r="H33" s="244">
        <v>-51.35</v>
      </c>
      <c r="I33" s="291">
        <f t="shared" si="2"/>
        <v>0</v>
      </c>
      <c r="J33" s="218" t="s">
        <v>738</v>
      </c>
      <c r="K33" s="267">
        <f t="shared" si="1"/>
        <v>0</v>
      </c>
    </row>
    <row r="34" spans="1:11" ht="15" hidden="1">
      <c r="A34" s="2" t="s">
        <v>1976</v>
      </c>
      <c r="B34" s="144">
        <v>4470099</v>
      </c>
      <c r="C34" s="655"/>
      <c r="D34" s="655"/>
      <c r="E34" s="655"/>
      <c r="F34" s="655"/>
      <c r="G34" s="655"/>
      <c r="H34" s="244">
        <v>-14.06</v>
      </c>
      <c r="I34" s="291">
        <f t="shared" si="2"/>
        <v>0</v>
      </c>
      <c r="J34" s="218" t="s">
        <v>738</v>
      </c>
      <c r="K34" s="267">
        <f t="shared" si="1"/>
        <v>0</v>
      </c>
    </row>
    <row r="35" spans="1:11" ht="15" hidden="1">
      <c r="A35" s="2" t="s">
        <v>1921</v>
      </c>
      <c r="B35" s="144">
        <v>4470126</v>
      </c>
      <c r="C35" s="655"/>
      <c r="D35" s="655"/>
      <c r="E35" s="655"/>
      <c r="F35" s="655"/>
      <c r="G35" s="655"/>
      <c r="H35" s="244"/>
      <c r="I35" s="291"/>
      <c r="J35" s="218" t="s">
        <v>738</v>
      </c>
      <c r="K35" s="267">
        <f t="shared" si="1"/>
        <v>0</v>
      </c>
    </row>
    <row r="36" spans="1:11" ht="15" hidden="1">
      <c r="A36" s="2" t="s">
        <v>1922</v>
      </c>
      <c r="B36" s="144">
        <v>4470209</v>
      </c>
      <c r="C36" s="655"/>
      <c r="D36" s="655"/>
      <c r="E36" s="655"/>
      <c r="F36" s="655"/>
      <c r="G36" s="655"/>
      <c r="H36" s="244"/>
      <c r="I36" s="291"/>
      <c r="J36" s="218" t="s">
        <v>738</v>
      </c>
      <c r="K36" s="267">
        <f t="shared" si="1"/>
        <v>0</v>
      </c>
    </row>
    <row r="37" spans="1:11" ht="15" hidden="1">
      <c r="A37" s="2" t="s">
        <v>21</v>
      </c>
      <c r="B37" s="144">
        <v>4470206</v>
      </c>
      <c r="C37" s="655"/>
      <c r="D37" s="655"/>
      <c r="E37" s="655"/>
      <c r="F37" s="655"/>
      <c r="G37" s="655"/>
      <c r="H37" s="244">
        <v>-8.7</v>
      </c>
      <c r="I37" s="291">
        <f t="shared" si="2"/>
        <v>0</v>
      </c>
      <c r="J37" s="218" t="s">
        <v>738</v>
      </c>
      <c r="K37" s="267">
        <f t="shared" si="1"/>
        <v>0</v>
      </c>
    </row>
    <row r="38" spans="1:11" ht="15" hidden="1">
      <c r="A38" s="2" t="s">
        <v>1919</v>
      </c>
      <c r="B38" s="144">
        <v>4470124</v>
      </c>
      <c r="C38" s="655"/>
      <c r="D38" s="655"/>
      <c r="E38" s="655"/>
      <c r="F38" s="655"/>
      <c r="G38" s="655"/>
      <c r="H38" s="244">
        <v>380.44</v>
      </c>
      <c r="I38" s="291">
        <f t="shared" si="2"/>
        <v>0</v>
      </c>
      <c r="J38" s="218" t="s">
        <v>738</v>
      </c>
      <c r="K38" s="267">
        <f t="shared" si="1"/>
        <v>0</v>
      </c>
    </row>
    <row r="39" spans="1:13" ht="15" hidden="1">
      <c r="A39" s="2" t="s">
        <v>1066</v>
      </c>
      <c r="B39" s="144">
        <v>4470206</v>
      </c>
      <c r="C39" s="655"/>
      <c r="D39" s="655"/>
      <c r="E39" s="655"/>
      <c r="F39" s="655"/>
      <c r="G39" s="655"/>
      <c r="H39" s="244">
        <v>0</v>
      </c>
      <c r="I39" s="291">
        <f t="shared" si="2"/>
        <v>0</v>
      </c>
      <c r="J39" s="218" t="s">
        <v>738</v>
      </c>
      <c r="K39" s="267">
        <f t="shared" si="1"/>
        <v>0</v>
      </c>
      <c r="L39" s="621" t="s">
        <v>319</v>
      </c>
      <c r="M39" s="624">
        <f>SUM(K18:K39)</f>
        <v>0</v>
      </c>
    </row>
    <row r="40" spans="1:13" ht="15">
      <c r="A40" s="3"/>
      <c r="B40" s="144"/>
      <c r="C40" s="291"/>
      <c r="D40" s="291"/>
      <c r="E40" s="291"/>
      <c r="F40" s="291"/>
      <c r="G40" s="291"/>
      <c r="H40" s="245"/>
      <c r="I40" s="291"/>
      <c r="K40" s="267">
        <f t="shared" si="1"/>
      </c>
      <c r="L40" s="623" t="s">
        <v>1279</v>
      </c>
      <c r="M40" s="624">
        <f>SUM(I18:I39)</f>
        <v>0</v>
      </c>
    </row>
    <row r="41" spans="1:11" ht="16.5" hidden="1">
      <c r="A41" s="23" t="s">
        <v>1447</v>
      </c>
      <c r="B41" s="392"/>
      <c r="C41" s="291"/>
      <c r="D41" s="291"/>
      <c r="E41" s="291"/>
      <c r="F41" s="291"/>
      <c r="G41" s="291"/>
      <c r="H41" s="245"/>
      <c r="I41" s="291"/>
      <c r="K41" s="267">
        <f t="shared" si="1"/>
      </c>
    </row>
    <row r="42" spans="1:11" ht="15" hidden="1">
      <c r="A42" s="612" t="s">
        <v>1057</v>
      </c>
      <c r="B42" s="144">
        <v>4470141</v>
      </c>
      <c r="C42" s="656"/>
      <c r="D42" s="656"/>
      <c r="E42" s="656"/>
      <c r="F42" s="656"/>
      <c r="G42" s="656"/>
      <c r="H42" s="244">
        <v>582121.98</v>
      </c>
      <c r="I42" s="291">
        <f>SUM(C42:G42)</f>
        <v>0</v>
      </c>
      <c r="J42" s="218" t="s">
        <v>1067</v>
      </c>
      <c r="K42" s="267">
        <f t="shared" si="1"/>
      </c>
    </row>
    <row r="43" spans="1:11" ht="15" hidden="1">
      <c r="A43" s="612" t="s">
        <v>1057</v>
      </c>
      <c r="B43" s="144">
        <v>4470124</v>
      </c>
      <c r="C43" s="656"/>
      <c r="D43" s="656"/>
      <c r="E43" s="656"/>
      <c r="F43" s="656"/>
      <c r="G43" s="656"/>
      <c r="H43" s="244">
        <v>0</v>
      </c>
      <c r="I43" s="291">
        <f aca="true" t="shared" si="3" ref="I43:I142">SUM(C43:G43)</f>
        <v>0</v>
      </c>
      <c r="J43" s="218" t="s">
        <v>738</v>
      </c>
      <c r="K43" s="267"/>
    </row>
    <row r="44" spans="1:11" ht="15" hidden="1">
      <c r="A44" s="610" t="s">
        <v>1058</v>
      </c>
      <c r="B44" s="144">
        <v>4470141</v>
      </c>
      <c r="C44" s="656"/>
      <c r="D44" s="656"/>
      <c r="E44" s="656"/>
      <c r="F44" s="656"/>
      <c r="G44" s="656"/>
      <c r="H44" s="244">
        <v>-606076.54</v>
      </c>
      <c r="I44" s="291">
        <f t="shared" si="3"/>
        <v>0</v>
      </c>
      <c r="J44" s="218" t="s">
        <v>1067</v>
      </c>
      <c r="K44" s="267">
        <f t="shared" si="1"/>
      </c>
    </row>
    <row r="45" spans="1:11" ht="15" hidden="1">
      <c r="A45" s="610" t="s">
        <v>1058</v>
      </c>
      <c r="B45" s="625">
        <v>4470124</v>
      </c>
      <c r="C45" s="656"/>
      <c r="D45" s="656"/>
      <c r="E45" s="656"/>
      <c r="F45" s="656"/>
      <c r="G45" s="656"/>
      <c r="H45" s="244"/>
      <c r="I45" s="291">
        <f t="shared" si="3"/>
        <v>0</v>
      </c>
      <c r="J45" s="218" t="s">
        <v>738</v>
      </c>
      <c r="K45" s="267">
        <f t="shared" si="1"/>
        <v>0</v>
      </c>
    </row>
    <row r="46" spans="1:11" ht="15" hidden="1">
      <c r="A46" s="2" t="s">
        <v>689</v>
      </c>
      <c r="B46" s="144">
        <v>4561003</v>
      </c>
      <c r="C46" s="656"/>
      <c r="D46" s="656"/>
      <c r="E46" s="656"/>
      <c r="F46" s="656"/>
      <c r="G46" s="656"/>
      <c r="H46" s="244"/>
      <c r="I46" s="291">
        <f t="shared" si="3"/>
        <v>0</v>
      </c>
      <c r="J46" t="s">
        <v>1067</v>
      </c>
      <c r="K46" s="267">
        <f t="shared" si="1"/>
      </c>
    </row>
    <row r="47" spans="1:11" ht="15" hidden="1">
      <c r="A47" s="2" t="s">
        <v>1499</v>
      </c>
      <c r="B47" s="144">
        <v>4561002</v>
      </c>
      <c r="C47" s="656"/>
      <c r="D47" s="656"/>
      <c r="E47" s="656"/>
      <c r="F47" s="656"/>
      <c r="G47" s="656"/>
      <c r="H47" s="244"/>
      <c r="I47" s="291">
        <f t="shared" si="3"/>
        <v>0</v>
      </c>
      <c r="J47" t="s">
        <v>1067</v>
      </c>
      <c r="K47" s="267">
        <f t="shared" si="1"/>
      </c>
    </row>
    <row r="48" spans="1:11" ht="15" hidden="1">
      <c r="A48" s="2" t="s">
        <v>320</v>
      </c>
      <c r="B48" s="144">
        <v>4470203</v>
      </c>
      <c r="C48" s="656"/>
      <c r="D48" s="656"/>
      <c r="E48" s="656"/>
      <c r="F48" s="656"/>
      <c r="G48" s="656"/>
      <c r="H48" s="244"/>
      <c r="I48" s="291">
        <f t="shared" si="3"/>
        <v>0</v>
      </c>
      <c r="J48" t="s">
        <v>1067</v>
      </c>
      <c r="K48" s="267">
        <f t="shared" si="1"/>
      </c>
    </row>
    <row r="49" spans="1:11" ht="15" hidden="1">
      <c r="A49" s="2" t="s">
        <v>320</v>
      </c>
      <c r="B49" s="144">
        <v>4470098</v>
      </c>
      <c r="C49" s="656"/>
      <c r="D49" s="656"/>
      <c r="E49" s="656"/>
      <c r="F49" s="656"/>
      <c r="G49" s="656"/>
      <c r="H49" s="244"/>
      <c r="I49" s="291">
        <f t="shared" si="3"/>
        <v>0</v>
      </c>
      <c r="J49" t="s">
        <v>738</v>
      </c>
      <c r="K49" s="267">
        <f t="shared" si="1"/>
        <v>0</v>
      </c>
    </row>
    <row r="50" spans="1:11" ht="15" hidden="1">
      <c r="A50" s="2" t="s">
        <v>755</v>
      </c>
      <c r="B50" s="144">
        <v>5550090</v>
      </c>
      <c r="C50" s="656"/>
      <c r="D50" s="656"/>
      <c r="E50" s="656"/>
      <c r="F50" s="656"/>
      <c r="G50" s="656"/>
      <c r="H50" s="244"/>
      <c r="I50" s="291">
        <f t="shared" si="3"/>
        <v>0</v>
      </c>
      <c r="J50" t="s">
        <v>1067</v>
      </c>
      <c r="K50" s="267">
        <f t="shared" si="1"/>
      </c>
    </row>
    <row r="51" spans="1:11" ht="15" hidden="1">
      <c r="A51" s="2" t="s">
        <v>1977</v>
      </c>
      <c r="B51" s="144">
        <v>5550041</v>
      </c>
      <c r="C51" s="656"/>
      <c r="D51" s="656"/>
      <c r="E51" s="656"/>
      <c r="F51" s="656"/>
      <c r="G51" s="656"/>
      <c r="H51" s="244"/>
      <c r="I51" s="291">
        <f t="shared" si="3"/>
        <v>0</v>
      </c>
      <c r="J51" t="s">
        <v>1067</v>
      </c>
      <c r="K51" s="267">
        <f t="shared" si="1"/>
      </c>
    </row>
    <row r="52" spans="1:11" ht="15" hidden="1">
      <c r="A52" s="2" t="s">
        <v>1920</v>
      </c>
      <c r="B52" s="144">
        <v>4470203</v>
      </c>
      <c r="C52" s="656"/>
      <c r="D52" s="656"/>
      <c r="E52" s="656"/>
      <c r="F52" s="656"/>
      <c r="G52" s="656"/>
      <c r="H52" s="244"/>
      <c r="I52" s="291">
        <f t="shared" si="3"/>
        <v>0</v>
      </c>
      <c r="J52" t="s">
        <v>1067</v>
      </c>
      <c r="K52" s="267">
        <f t="shared" si="1"/>
      </c>
    </row>
    <row r="53" spans="1:11" ht="15" hidden="1">
      <c r="A53" s="2" t="s">
        <v>1920</v>
      </c>
      <c r="B53" s="144">
        <v>4470098</v>
      </c>
      <c r="C53" s="656"/>
      <c r="D53" s="656"/>
      <c r="E53" s="656"/>
      <c r="F53" s="656"/>
      <c r="G53" s="656"/>
      <c r="H53" s="244"/>
      <c r="I53" s="291">
        <f t="shared" si="3"/>
        <v>0</v>
      </c>
      <c r="J53" t="s">
        <v>738</v>
      </c>
      <c r="K53" s="267">
        <f t="shared" si="1"/>
        <v>0</v>
      </c>
    </row>
    <row r="54" spans="1:11" ht="15" hidden="1">
      <c r="A54" s="2" t="s">
        <v>1032</v>
      </c>
      <c r="B54" s="144">
        <v>4561005</v>
      </c>
      <c r="C54" s="656"/>
      <c r="D54" s="656"/>
      <c r="E54" s="656"/>
      <c r="F54" s="656"/>
      <c r="G54" s="656"/>
      <c r="H54" s="244"/>
      <c r="I54" s="291">
        <f t="shared" si="3"/>
        <v>0</v>
      </c>
      <c r="J54" t="s">
        <v>1067</v>
      </c>
      <c r="K54" s="267">
        <f t="shared" si="1"/>
      </c>
    </row>
    <row r="55" spans="1:11" ht="15" hidden="1">
      <c r="A55" s="2" t="s">
        <v>1193</v>
      </c>
      <c r="B55" s="392">
        <v>5614001</v>
      </c>
      <c r="C55" s="656"/>
      <c r="D55" s="656"/>
      <c r="E55" s="656"/>
      <c r="F55" s="656"/>
      <c r="G55" s="656"/>
      <c r="H55" s="244"/>
      <c r="I55" s="291">
        <f t="shared" si="3"/>
        <v>0</v>
      </c>
      <c r="J55" t="s">
        <v>1067</v>
      </c>
      <c r="K55" s="267">
        <f t="shared" si="1"/>
      </c>
    </row>
    <row r="56" spans="1:11" ht="15" hidden="1">
      <c r="A56" s="2" t="s">
        <v>1193</v>
      </c>
      <c r="B56" s="392">
        <v>5614000</v>
      </c>
      <c r="C56" s="656"/>
      <c r="D56" s="656"/>
      <c r="E56" s="656"/>
      <c r="F56" s="656"/>
      <c r="G56" s="656"/>
      <c r="H56" s="244"/>
      <c r="I56" s="291">
        <f t="shared" si="3"/>
        <v>0</v>
      </c>
      <c r="J56" t="s">
        <v>738</v>
      </c>
      <c r="K56" s="267"/>
    </row>
    <row r="57" spans="1:11" ht="15" hidden="1">
      <c r="A57" s="2" t="s">
        <v>1962</v>
      </c>
      <c r="B57" s="392">
        <v>5550078</v>
      </c>
      <c r="C57" s="656"/>
      <c r="D57" s="656"/>
      <c r="E57" s="656"/>
      <c r="F57" s="656"/>
      <c r="G57" s="656"/>
      <c r="H57" s="244"/>
      <c r="I57" s="291">
        <f t="shared" si="3"/>
        <v>0</v>
      </c>
      <c r="J57" t="s">
        <v>1067</v>
      </c>
      <c r="K57" s="267"/>
    </row>
    <row r="58" spans="1:11" ht="15" hidden="1">
      <c r="A58" s="2" t="s">
        <v>1259</v>
      </c>
      <c r="B58" s="392">
        <v>4470101</v>
      </c>
      <c r="C58" s="656"/>
      <c r="D58" s="656"/>
      <c r="E58" s="656"/>
      <c r="F58" s="656"/>
      <c r="G58" s="656"/>
      <c r="H58" s="244"/>
      <c r="I58" s="291">
        <f t="shared" si="3"/>
        <v>0</v>
      </c>
      <c r="J58" t="s">
        <v>1067</v>
      </c>
      <c r="K58" s="267"/>
    </row>
    <row r="59" spans="1:11" ht="15" hidden="1">
      <c r="A59" s="2" t="s">
        <v>870</v>
      </c>
      <c r="B59" s="392">
        <v>4470208</v>
      </c>
      <c r="C59" s="656"/>
      <c r="D59" s="656"/>
      <c r="E59" s="656"/>
      <c r="F59" s="656"/>
      <c r="G59" s="656"/>
      <c r="H59" s="244"/>
      <c r="I59" s="291">
        <f t="shared" si="3"/>
        <v>0</v>
      </c>
      <c r="J59" t="s">
        <v>1067</v>
      </c>
      <c r="K59" s="267"/>
    </row>
    <row r="60" spans="1:11" ht="15" hidden="1">
      <c r="A60" s="2" t="s">
        <v>1976</v>
      </c>
      <c r="B60" s="392">
        <v>4470099</v>
      </c>
      <c r="C60" s="656"/>
      <c r="D60" s="656"/>
      <c r="E60" s="656"/>
      <c r="F60" s="656"/>
      <c r="G60" s="656"/>
      <c r="H60" s="244"/>
      <c r="I60" s="291">
        <f t="shared" si="3"/>
        <v>0</v>
      </c>
      <c r="J60" t="s">
        <v>738</v>
      </c>
      <c r="K60" s="267"/>
    </row>
    <row r="61" spans="1:11" ht="15" hidden="1">
      <c r="A61" s="2" t="s">
        <v>1978</v>
      </c>
      <c r="B61" s="392">
        <v>5618001</v>
      </c>
      <c r="C61" s="656"/>
      <c r="D61" s="656"/>
      <c r="E61" s="656"/>
      <c r="F61" s="656"/>
      <c r="G61" s="656"/>
      <c r="H61" s="244"/>
      <c r="I61" s="291">
        <f t="shared" si="3"/>
        <v>0</v>
      </c>
      <c r="J61" t="s">
        <v>1067</v>
      </c>
      <c r="K61" s="267"/>
    </row>
    <row r="62" spans="1:11" ht="15" hidden="1">
      <c r="A62" s="2" t="s">
        <v>1978</v>
      </c>
      <c r="B62" s="392">
        <v>5618000</v>
      </c>
      <c r="C62" s="656"/>
      <c r="D62" s="656"/>
      <c r="E62" s="656"/>
      <c r="F62" s="656"/>
      <c r="G62" s="656"/>
      <c r="H62" s="244"/>
      <c r="I62" s="291">
        <f t="shared" si="3"/>
        <v>0</v>
      </c>
      <c r="J62" t="s">
        <v>738</v>
      </c>
      <c r="K62" s="267"/>
    </row>
    <row r="63" spans="1:11" ht="15" hidden="1">
      <c r="A63" s="2" t="s">
        <v>1979</v>
      </c>
      <c r="B63" s="392">
        <v>5618001</v>
      </c>
      <c r="C63" s="656"/>
      <c r="D63" s="656"/>
      <c r="E63" s="656"/>
      <c r="F63" s="656"/>
      <c r="G63" s="656"/>
      <c r="H63" s="244"/>
      <c r="I63" s="291">
        <f t="shared" si="3"/>
        <v>0</v>
      </c>
      <c r="J63" t="s">
        <v>1067</v>
      </c>
      <c r="K63" s="267"/>
    </row>
    <row r="64" spans="1:11" ht="15" hidden="1">
      <c r="A64" s="2" t="s">
        <v>1979</v>
      </c>
      <c r="B64" s="392">
        <v>5618000</v>
      </c>
      <c r="C64" s="656"/>
      <c r="D64" s="656"/>
      <c r="E64" s="656"/>
      <c r="F64" s="656"/>
      <c r="G64" s="656"/>
      <c r="H64" s="244"/>
      <c r="I64" s="291">
        <f t="shared" si="3"/>
        <v>0</v>
      </c>
      <c r="J64" t="s">
        <v>738</v>
      </c>
      <c r="K64" s="267"/>
    </row>
    <row r="65" spans="1:11" ht="15" hidden="1">
      <c r="A65" s="2" t="s">
        <v>1980</v>
      </c>
      <c r="B65" s="392">
        <v>5550083</v>
      </c>
      <c r="C65" s="656"/>
      <c r="D65" s="656"/>
      <c r="E65" s="656"/>
      <c r="F65" s="656"/>
      <c r="G65" s="656"/>
      <c r="H65" s="244"/>
      <c r="I65" s="291">
        <f t="shared" si="3"/>
        <v>0</v>
      </c>
      <c r="J65" t="s">
        <v>1067</v>
      </c>
      <c r="K65" s="267"/>
    </row>
    <row r="66" spans="1:11" ht="15" hidden="1">
      <c r="A66" s="2" t="s">
        <v>1078</v>
      </c>
      <c r="B66" s="392">
        <v>4470101</v>
      </c>
      <c r="C66" s="656"/>
      <c r="D66" s="656"/>
      <c r="E66" s="656"/>
      <c r="F66" s="656"/>
      <c r="G66" s="656"/>
      <c r="H66" s="244"/>
      <c r="I66" s="291">
        <f t="shared" si="3"/>
        <v>0</v>
      </c>
      <c r="J66" t="s">
        <v>1067</v>
      </c>
      <c r="K66" s="267"/>
    </row>
    <row r="67" spans="1:11" ht="15" hidden="1">
      <c r="A67" s="2" t="s">
        <v>1079</v>
      </c>
      <c r="B67" s="392">
        <v>4470203</v>
      </c>
      <c r="C67" s="656"/>
      <c r="D67" s="656"/>
      <c r="E67" s="656"/>
      <c r="F67" s="656"/>
      <c r="G67" s="656"/>
      <c r="H67" s="244"/>
      <c r="I67" s="291">
        <f t="shared" si="3"/>
        <v>0</v>
      </c>
      <c r="J67" t="s">
        <v>1067</v>
      </c>
      <c r="K67" s="267"/>
    </row>
    <row r="68" spans="1:11" ht="15" hidden="1">
      <c r="A68" s="2" t="s">
        <v>1079</v>
      </c>
      <c r="B68" s="392">
        <v>4470098</v>
      </c>
      <c r="C68" s="656"/>
      <c r="D68" s="656"/>
      <c r="E68" s="656"/>
      <c r="F68" s="656"/>
      <c r="G68" s="656"/>
      <c r="H68" s="244"/>
      <c r="I68" s="291">
        <f t="shared" si="3"/>
        <v>0</v>
      </c>
      <c r="J68" t="s">
        <v>738</v>
      </c>
      <c r="K68" s="267"/>
    </row>
    <row r="69" spans="1:11" ht="15" hidden="1">
      <c r="A69" s="2" t="s">
        <v>1262</v>
      </c>
      <c r="B69" s="392">
        <v>4470203</v>
      </c>
      <c r="C69" s="656"/>
      <c r="D69" s="656"/>
      <c r="E69" s="656"/>
      <c r="F69" s="656"/>
      <c r="G69" s="656"/>
      <c r="H69" s="244"/>
      <c r="I69" s="291">
        <f t="shared" si="3"/>
        <v>0</v>
      </c>
      <c r="J69" t="s">
        <v>1067</v>
      </c>
      <c r="K69" s="267"/>
    </row>
    <row r="70" spans="1:11" ht="15" hidden="1">
      <c r="A70" s="2" t="s">
        <v>1262</v>
      </c>
      <c r="B70" s="392">
        <v>4470098</v>
      </c>
      <c r="C70" s="656"/>
      <c r="D70" s="656"/>
      <c r="E70" s="656"/>
      <c r="F70" s="656"/>
      <c r="G70" s="656"/>
      <c r="H70" s="244"/>
      <c r="I70" s="291">
        <f t="shared" si="3"/>
        <v>0</v>
      </c>
      <c r="J70" t="s">
        <v>738</v>
      </c>
      <c r="K70" s="267"/>
    </row>
    <row r="71" spans="1:11" ht="15" hidden="1">
      <c r="A71" s="2" t="s">
        <v>1080</v>
      </c>
      <c r="B71" s="392">
        <v>4470093</v>
      </c>
      <c r="C71" s="656"/>
      <c r="D71" s="656"/>
      <c r="E71" s="656"/>
      <c r="F71" s="656"/>
      <c r="G71" s="656"/>
      <c r="H71" s="244"/>
      <c r="I71" s="291">
        <f t="shared" si="3"/>
        <v>0</v>
      </c>
      <c r="J71" t="s">
        <v>1067</v>
      </c>
      <c r="K71" s="267"/>
    </row>
    <row r="72" spans="1:11" ht="15" hidden="1">
      <c r="A72" s="2" t="s">
        <v>1081</v>
      </c>
      <c r="B72" s="392">
        <v>4470207</v>
      </c>
      <c r="C72" s="656"/>
      <c r="D72" s="656"/>
      <c r="E72" s="656"/>
      <c r="F72" s="656"/>
      <c r="G72" s="656"/>
      <c r="H72" s="244"/>
      <c r="I72" s="291">
        <f t="shared" si="3"/>
        <v>0</v>
      </c>
      <c r="J72" t="s">
        <v>1067</v>
      </c>
      <c r="K72" s="267"/>
    </row>
    <row r="73" spans="1:11" ht="15" hidden="1">
      <c r="A73" s="2" t="s">
        <v>1082</v>
      </c>
      <c r="B73" s="392">
        <v>5550076</v>
      </c>
      <c r="C73" s="656"/>
      <c r="D73" s="656"/>
      <c r="E73" s="656"/>
      <c r="F73" s="656"/>
      <c r="G73" s="656"/>
      <c r="H73" s="244"/>
      <c r="I73" s="291">
        <f t="shared" si="3"/>
        <v>0</v>
      </c>
      <c r="J73" t="s">
        <v>1067</v>
      </c>
      <c r="K73" s="267"/>
    </row>
    <row r="74" spans="1:11" ht="15" hidden="1">
      <c r="A74" s="2" t="s">
        <v>1083</v>
      </c>
      <c r="B74" s="392">
        <v>5550077</v>
      </c>
      <c r="C74" s="656"/>
      <c r="D74" s="656"/>
      <c r="E74" s="656"/>
      <c r="F74" s="656"/>
      <c r="G74" s="656"/>
      <c r="H74" s="244"/>
      <c r="I74" s="291">
        <f t="shared" si="3"/>
        <v>0</v>
      </c>
      <c r="J74" t="s">
        <v>1067</v>
      </c>
      <c r="K74" s="267"/>
    </row>
    <row r="75" spans="1:11" ht="15" hidden="1">
      <c r="A75" s="2" t="s">
        <v>1914</v>
      </c>
      <c r="B75" s="392">
        <v>4470099</v>
      </c>
      <c r="C75" s="656"/>
      <c r="D75" s="656"/>
      <c r="E75" s="656"/>
      <c r="F75" s="656"/>
      <c r="G75" s="656"/>
      <c r="H75" s="244"/>
      <c r="I75" s="291">
        <f t="shared" si="3"/>
        <v>0</v>
      </c>
      <c r="J75" t="s">
        <v>738</v>
      </c>
      <c r="K75" s="267"/>
    </row>
    <row r="76" spans="1:11" ht="15" hidden="1">
      <c r="A76" s="2" t="s">
        <v>1260</v>
      </c>
      <c r="B76" s="392">
        <v>4470203</v>
      </c>
      <c r="C76" s="656"/>
      <c r="D76" s="656"/>
      <c r="E76" s="656"/>
      <c r="F76" s="656"/>
      <c r="G76" s="656"/>
      <c r="H76" s="244"/>
      <c r="I76" s="291">
        <f t="shared" si="3"/>
        <v>0</v>
      </c>
      <c r="J76" t="s">
        <v>1067</v>
      </c>
      <c r="K76" s="267"/>
    </row>
    <row r="77" spans="1:11" ht="15" hidden="1">
      <c r="A77" s="2" t="s">
        <v>1260</v>
      </c>
      <c r="B77" s="392">
        <v>4470098</v>
      </c>
      <c r="C77" s="656"/>
      <c r="D77" s="656"/>
      <c r="E77" s="656"/>
      <c r="F77" s="656"/>
      <c r="G77" s="656"/>
      <c r="H77" s="244"/>
      <c r="I77" s="291">
        <f t="shared" si="3"/>
        <v>0</v>
      </c>
      <c r="J77" t="s">
        <v>738</v>
      </c>
      <c r="K77" s="267"/>
    </row>
    <row r="78" spans="1:11" ht="15" hidden="1">
      <c r="A78" s="2" t="s">
        <v>1194</v>
      </c>
      <c r="B78" s="392">
        <v>5550090</v>
      </c>
      <c r="C78" s="656"/>
      <c r="D78" s="656"/>
      <c r="E78" s="656"/>
      <c r="F78" s="656"/>
      <c r="G78" s="656"/>
      <c r="H78" s="244"/>
      <c r="I78" s="291">
        <f t="shared" si="3"/>
        <v>0</v>
      </c>
      <c r="J78" t="s">
        <v>1067</v>
      </c>
      <c r="K78" s="267"/>
    </row>
    <row r="79" spans="1:11" ht="15" hidden="1">
      <c r="A79" s="2" t="s">
        <v>1963</v>
      </c>
      <c r="B79" s="392">
        <v>4470214</v>
      </c>
      <c r="C79" s="656"/>
      <c r="D79" s="656"/>
      <c r="E79" s="656"/>
      <c r="F79" s="656"/>
      <c r="G79" s="656"/>
      <c r="H79" s="244"/>
      <c r="I79" s="291">
        <f t="shared" si="3"/>
        <v>0</v>
      </c>
      <c r="J79" t="s">
        <v>738</v>
      </c>
      <c r="K79" s="267"/>
    </row>
    <row r="80" spans="1:11" ht="15" hidden="1">
      <c r="A80" s="2" t="s">
        <v>1085</v>
      </c>
      <c r="B80" s="392">
        <v>4470093</v>
      </c>
      <c r="C80" s="656"/>
      <c r="D80" s="656"/>
      <c r="E80" s="656"/>
      <c r="F80" s="656"/>
      <c r="G80" s="656"/>
      <c r="H80" s="244"/>
      <c r="I80" s="291">
        <f t="shared" si="3"/>
        <v>0</v>
      </c>
      <c r="J80" t="s">
        <v>1067</v>
      </c>
      <c r="K80" s="267"/>
    </row>
    <row r="81" spans="1:11" ht="15" hidden="1">
      <c r="A81" s="2" t="s">
        <v>688</v>
      </c>
      <c r="B81" s="392">
        <v>4470207</v>
      </c>
      <c r="C81" s="656"/>
      <c r="D81" s="656"/>
      <c r="E81" s="656"/>
      <c r="F81" s="656"/>
      <c r="G81" s="656"/>
      <c r="H81" s="244"/>
      <c r="I81" s="291">
        <f t="shared" si="3"/>
        <v>0</v>
      </c>
      <c r="J81" t="s">
        <v>1067</v>
      </c>
      <c r="K81" s="267"/>
    </row>
    <row r="82" spans="1:11" ht="15" hidden="1">
      <c r="A82" s="2" t="s">
        <v>1200</v>
      </c>
      <c r="B82" s="392">
        <v>5757001</v>
      </c>
      <c r="C82" s="656"/>
      <c r="D82" s="656"/>
      <c r="E82" s="656"/>
      <c r="F82" s="656"/>
      <c r="G82" s="656"/>
      <c r="H82" s="244"/>
      <c r="I82" s="291">
        <f t="shared" si="3"/>
        <v>0</v>
      </c>
      <c r="J82" t="s">
        <v>1067</v>
      </c>
      <c r="K82" s="267"/>
    </row>
    <row r="83" spans="1:11" ht="15" hidden="1">
      <c r="A83" s="2" t="s">
        <v>1200</v>
      </c>
      <c r="B83" s="392">
        <v>5757000</v>
      </c>
      <c r="C83" s="656"/>
      <c r="D83" s="656"/>
      <c r="E83" s="656"/>
      <c r="F83" s="656"/>
      <c r="G83" s="656"/>
      <c r="H83" s="244"/>
      <c r="I83" s="291">
        <f t="shared" si="3"/>
        <v>0</v>
      </c>
      <c r="J83" t="s">
        <v>738</v>
      </c>
      <c r="K83" s="267"/>
    </row>
    <row r="84" spans="1:11" ht="15" hidden="1">
      <c r="A84" s="2" t="s">
        <v>1271</v>
      </c>
      <c r="B84" s="392">
        <v>4470106</v>
      </c>
      <c r="C84" s="656"/>
      <c r="D84" s="656"/>
      <c r="E84" s="656"/>
      <c r="F84" s="656"/>
      <c r="G84" s="656"/>
      <c r="H84" s="244"/>
      <c r="I84" s="291">
        <f t="shared" si="3"/>
        <v>0</v>
      </c>
      <c r="J84" t="s">
        <v>738</v>
      </c>
      <c r="K84" s="267"/>
    </row>
    <row r="85" spans="1:11" ht="15" hidden="1">
      <c r="A85" s="2" t="s">
        <v>690</v>
      </c>
      <c r="B85" s="392">
        <v>4561005</v>
      </c>
      <c r="C85" s="656"/>
      <c r="D85" s="656"/>
      <c r="E85" s="656"/>
      <c r="F85" s="656"/>
      <c r="G85" s="656"/>
      <c r="H85" s="244"/>
      <c r="I85" s="291">
        <f t="shared" si="3"/>
        <v>0</v>
      </c>
      <c r="J85" t="s">
        <v>1067</v>
      </c>
      <c r="K85" s="267"/>
    </row>
    <row r="86" spans="1:11" ht="15" hidden="1">
      <c r="A86" s="2" t="s">
        <v>232</v>
      </c>
      <c r="B86" s="392">
        <v>4470101</v>
      </c>
      <c r="C86" s="656"/>
      <c r="D86" s="656"/>
      <c r="E86" s="656"/>
      <c r="F86" s="656"/>
      <c r="G86" s="656"/>
      <c r="H86" s="244"/>
      <c r="I86" s="291">
        <f t="shared" si="3"/>
        <v>0</v>
      </c>
      <c r="J86" t="s">
        <v>1067</v>
      </c>
      <c r="K86" s="267"/>
    </row>
    <row r="87" spans="1:11" ht="15" hidden="1">
      <c r="A87" s="2" t="s">
        <v>930</v>
      </c>
      <c r="B87" s="392">
        <v>4470101</v>
      </c>
      <c r="C87" s="656"/>
      <c r="D87" s="656"/>
      <c r="E87" s="656"/>
      <c r="F87" s="656"/>
      <c r="G87" s="656"/>
      <c r="H87" s="244"/>
      <c r="I87" s="291">
        <f t="shared" si="3"/>
        <v>0</v>
      </c>
      <c r="J87" t="s">
        <v>1067</v>
      </c>
      <c r="K87" s="267"/>
    </row>
    <row r="88" spans="1:11" ht="15" hidden="1">
      <c r="A88" s="2" t="s">
        <v>691</v>
      </c>
      <c r="B88" s="392">
        <v>4470101</v>
      </c>
      <c r="C88" s="656"/>
      <c r="D88" s="656"/>
      <c r="E88" s="656"/>
      <c r="F88" s="656"/>
      <c r="G88" s="656"/>
      <c r="H88" s="244"/>
      <c r="I88" s="291">
        <f t="shared" si="3"/>
        <v>0</v>
      </c>
      <c r="J88" t="s">
        <v>1067</v>
      </c>
      <c r="K88" s="267"/>
    </row>
    <row r="89" spans="1:11" ht="15" hidden="1">
      <c r="A89" s="2" t="s">
        <v>931</v>
      </c>
      <c r="B89" s="392">
        <v>5550040</v>
      </c>
      <c r="C89" s="656"/>
      <c r="D89" s="656"/>
      <c r="E89" s="656"/>
      <c r="F89" s="656"/>
      <c r="G89" s="656"/>
      <c r="H89" s="244"/>
      <c r="I89" s="291">
        <f t="shared" si="3"/>
        <v>0</v>
      </c>
      <c r="J89" t="s">
        <v>1067</v>
      </c>
      <c r="K89" s="267"/>
    </row>
    <row r="90" spans="1:11" ht="15" hidden="1">
      <c r="A90" s="2" t="s">
        <v>931</v>
      </c>
      <c r="B90" s="392">
        <v>5550039</v>
      </c>
      <c r="C90" s="656"/>
      <c r="D90" s="656"/>
      <c r="E90" s="656"/>
      <c r="F90" s="656"/>
      <c r="G90" s="656"/>
      <c r="H90" s="244"/>
      <c r="I90" s="291">
        <f t="shared" si="3"/>
        <v>0</v>
      </c>
      <c r="J90" t="s">
        <v>738</v>
      </c>
      <c r="K90" s="267"/>
    </row>
    <row r="91" spans="1:11" ht="15" hidden="1">
      <c r="A91" s="2" t="s">
        <v>321</v>
      </c>
      <c r="B91" s="392">
        <v>4470203</v>
      </c>
      <c r="C91" s="656"/>
      <c r="D91" s="656"/>
      <c r="E91" s="656"/>
      <c r="F91" s="656"/>
      <c r="G91" s="656"/>
      <c r="H91" s="244"/>
      <c r="I91" s="291">
        <f t="shared" si="3"/>
        <v>0</v>
      </c>
      <c r="J91" t="s">
        <v>1067</v>
      </c>
      <c r="K91" s="267"/>
    </row>
    <row r="92" spans="1:11" ht="15" hidden="1">
      <c r="A92" s="2" t="s">
        <v>321</v>
      </c>
      <c r="B92" s="392">
        <v>4470098</v>
      </c>
      <c r="C92" s="656"/>
      <c r="D92" s="656"/>
      <c r="E92" s="656"/>
      <c r="F92" s="656"/>
      <c r="G92" s="656"/>
      <c r="H92" s="244"/>
      <c r="I92" s="291">
        <f t="shared" si="3"/>
        <v>0</v>
      </c>
      <c r="J92" t="s">
        <v>738</v>
      </c>
      <c r="K92" s="267"/>
    </row>
    <row r="93" spans="1:11" ht="15" hidden="1">
      <c r="A93" s="2" t="s">
        <v>871</v>
      </c>
      <c r="B93" s="392">
        <v>5550090</v>
      </c>
      <c r="C93" s="656"/>
      <c r="D93" s="656"/>
      <c r="E93" s="656"/>
      <c r="F93" s="656"/>
      <c r="G93" s="656"/>
      <c r="H93" s="244"/>
      <c r="I93" s="291">
        <f t="shared" si="3"/>
        <v>0</v>
      </c>
      <c r="J93" t="s">
        <v>1067</v>
      </c>
      <c r="K93" s="267"/>
    </row>
    <row r="94" spans="1:11" ht="15" hidden="1">
      <c r="A94" s="2" t="s">
        <v>1150</v>
      </c>
      <c r="B94" s="392">
        <v>5614001</v>
      </c>
      <c r="C94" s="656"/>
      <c r="D94" s="656"/>
      <c r="E94" s="656"/>
      <c r="F94" s="656"/>
      <c r="G94" s="656"/>
      <c r="H94" s="244"/>
      <c r="I94" s="291">
        <f t="shared" si="3"/>
        <v>0</v>
      </c>
      <c r="J94" t="s">
        <v>1067</v>
      </c>
      <c r="K94" s="267"/>
    </row>
    <row r="95" spans="1:11" ht="15" hidden="1">
      <c r="A95" s="2" t="s">
        <v>1150</v>
      </c>
      <c r="B95" s="392">
        <v>5614000</v>
      </c>
      <c r="C95" s="656"/>
      <c r="D95" s="656"/>
      <c r="E95" s="656"/>
      <c r="F95" s="656"/>
      <c r="G95" s="656"/>
      <c r="H95" s="244"/>
      <c r="I95" s="291">
        <f t="shared" si="3"/>
        <v>0</v>
      </c>
      <c r="J95" t="s">
        <v>738</v>
      </c>
      <c r="K95" s="267"/>
    </row>
    <row r="96" spans="1:11" ht="15" hidden="1">
      <c r="A96" s="2" t="s">
        <v>1148</v>
      </c>
      <c r="B96" s="392">
        <v>5550040</v>
      </c>
      <c r="C96" s="656"/>
      <c r="D96" s="656"/>
      <c r="E96" s="656"/>
      <c r="F96" s="656"/>
      <c r="G96" s="656"/>
      <c r="H96" s="244"/>
      <c r="I96" s="291">
        <f t="shared" si="3"/>
        <v>0</v>
      </c>
      <c r="J96" t="s">
        <v>1067</v>
      </c>
      <c r="K96" s="267"/>
    </row>
    <row r="97" spans="1:11" ht="15" hidden="1">
      <c r="A97" s="2" t="s">
        <v>1148</v>
      </c>
      <c r="B97" s="392">
        <v>5550039</v>
      </c>
      <c r="C97" s="656"/>
      <c r="D97" s="656"/>
      <c r="E97" s="656"/>
      <c r="F97" s="656"/>
      <c r="G97" s="656"/>
      <c r="H97" s="244"/>
      <c r="I97" s="291">
        <f t="shared" si="3"/>
        <v>0</v>
      </c>
      <c r="J97" t="s">
        <v>738</v>
      </c>
      <c r="K97" s="267"/>
    </row>
    <row r="98" spans="1:11" ht="15" hidden="1">
      <c r="A98" s="2" t="s">
        <v>1152</v>
      </c>
      <c r="B98" s="392">
        <v>5618001</v>
      </c>
      <c r="C98" s="656"/>
      <c r="D98" s="656"/>
      <c r="E98" s="656"/>
      <c r="F98" s="656"/>
      <c r="G98" s="656"/>
      <c r="H98" s="244"/>
      <c r="I98" s="291">
        <f t="shared" si="3"/>
        <v>0</v>
      </c>
      <c r="J98" t="s">
        <v>1067</v>
      </c>
      <c r="K98" s="267"/>
    </row>
    <row r="99" spans="1:11" ht="15" hidden="1">
      <c r="A99" s="2" t="s">
        <v>1151</v>
      </c>
      <c r="B99" s="392">
        <v>5614001</v>
      </c>
      <c r="C99" s="656"/>
      <c r="D99" s="656"/>
      <c r="E99" s="656"/>
      <c r="F99" s="656"/>
      <c r="G99" s="656"/>
      <c r="H99" s="244"/>
      <c r="I99" s="291">
        <f t="shared" si="3"/>
        <v>0</v>
      </c>
      <c r="J99" t="s">
        <v>1067</v>
      </c>
      <c r="K99" s="267"/>
    </row>
    <row r="100" spans="1:11" ht="15" hidden="1">
      <c r="A100" s="2" t="s">
        <v>1149</v>
      </c>
      <c r="B100" s="392">
        <v>5614001</v>
      </c>
      <c r="C100" s="656"/>
      <c r="D100" s="656"/>
      <c r="E100" s="656"/>
      <c r="F100" s="656"/>
      <c r="G100" s="656"/>
      <c r="H100" s="244"/>
      <c r="I100" s="291">
        <f t="shared" si="3"/>
        <v>0</v>
      </c>
      <c r="J100" t="s">
        <v>1067</v>
      </c>
      <c r="K100" s="267">
        <f t="shared" si="1"/>
      </c>
    </row>
    <row r="101" spans="1:11" ht="15" hidden="1">
      <c r="A101" s="2" t="s">
        <v>1149</v>
      </c>
      <c r="B101" s="144">
        <v>5614000</v>
      </c>
      <c r="C101" s="656"/>
      <c r="D101" s="656"/>
      <c r="E101" s="656"/>
      <c r="F101" s="656"/>
      <c r="G101" s="656"/>
      <c r="H101" s="244"/>
      <c r="I101" s="291">
        <f t="shared" si="3"/>
        <v>0</v>
      </c>
      <c r="J101" t="s">
        <v>738</v>
      </c>
      <c r="K101" s="267">
        <f t="shared" si="1"/>
        <v>0</v>
      </c>
    </row>
    <row r="102" spans="1:11" ht="15" hidden="1">
      <c r="A102" s="2" t="s">
        <v>1153</v>
      </c>
      <c r="B102" s="144">
        <v>5618001</v>
      </c>
      <c r="C102" s="656"/>
      <c r="D102" s="656"/>
      <c r="E102" s="656"/>
      <c r="F102" s="656"/>
      <c r="G102" s="656"/>
      <c r="H102" s="244"/>
      <c r="I102" s="291">
        <f t="shared" si="3"/>
        <v>0</v>
      </c>
      <c r="J102" t="s">
        <v>1067</v>
      </c>
      <c r="K102" s="267">
        <f t="shared" si="1"/>
      </c>
    </row>
    <row r="103" spans="1:11" ht="15" hidden="1">
      <c r="A103" s="2" t="s">
        <v>692</v>
      </c>
      <c r="B103" s="144">
        <v>4470099</v>
      </c>
      <c r="C103" s="656"/>
      <c r="D103" s="656"/>
      <c r="E103" s="656"/>
      <c r="F103" s="656"/>
      <c r="G103" s="656"/>
      <c r="H103" s="244"/>
      <c r="I103" s="291">
        <f t="shared" si="3"/>
        <v>0</v>
      </c>
      <c r="J103" t="s">
        <v>738</v>
      </c>
      <c r="K103" s="267">
        <f t="shared" si="1"/>
        <v>0</v>
      </c>
    </row>
    <row r="104" spans="1:11" ht="15" hidden="1">
      <c r="A104" s="2" t="s">
        <v>1199</v>
      </c>
      <c r="B104" s="144">
        <v>5614001</v>
      </c>
      <c r="C104" s="656"/>
      <c r="D104" s="656"/>
      <c r="E104" s="656"/>
      <c r="F104" s="656"/>
      <c r="G104" s="656"/>
      <c r="H104" s="244"/>
      <c r="I104" s="291">
        <f t="shared" si="3"/>
        <v>0</v>
      </c>
      <c r="J104" t="s">
        <v>1067</v>
      </c>
      <c r="K104" s="267">
        <f t="shared" si="1"/>
      </c>
    </row>
    <row r="105" spans="1:11" ht="15" hidden="1">
      <c r="A105" s="2" t="s">
        <v>1199</v>
      </c>
      <c r="B105" s="144">
        <v>5614000</v>
      </c>
      <c r="C105" s="656"/>
      <c r="D105" s="656"/>
      <c r="E105" s="656"/>
      <c r="F105" s="656"/>
      <c r="G105" s="656"/>
      <c r="H105" s="244"/>
      <c r="I105" s="291">
        <f t="shared" si="3"/>
        <v>0</v>
      </c>
      <c r="J105" t="s">
        <v>738</v>
      </c>
      <c r="K105" s="267">
        <f t="shared" si="1"/>
        <v>0</v>
      </c>
    </row>
    <row r="106" spans="1:11" ht="15" hidden="1">
      <c r="A106" s="2" t="s">
        <v>1199</v>
      </c>
      <c r="B106" s="144">
        <v>5614001</v>
      </c>
      <c r="C106" s="656"/>
      <c r="D106" s="656"/>
      <c r="E106" s="656"/>
      <c r="F106" s="656"/>
      <c r="G106" s="656"/>
      <c r="H106" s="244"/>
      <c r="I106" s="291">
        <f t="shared" si="3"/>
        <v>0</v>
      </c>
      <c r="J106" t="s">
        <v>1067</v>
      </c>
      <c r="K106" s="267">
        <f t="shared" si="1"/>
      </c>
    </row>
    <row r="107" spans="1:11" ht="15" hidden="1">
      <c r="A107" s="2" t="s">
        <v>1199</v>
      </c>
      <c r="B107" s="144">
        <v>5614000</v>
      </c>
      <c r="C107" s="656"/>
      <c r="D107" s="656"/>
      <c r="E107" s="656"/>
      <c r="F107" s="656"/>
      <c r="G107" s="656"/>
      <c r="H107" s="244"/>
      <c r="I107" s="291">
        <f t="shared" si="3"/>
        <v>0</v>
      </c>
      <c r="J107" t="s">
        <v>738</v>
      </c>
      <c r="K107" s="267">
        <f t="shared" si="1"/>
        <v>0</v>
      </c>
    </row>
    <row r="108" spans="1:11" ht="15" hidden="1">
      <c r="A108" s="2" t="s">
        <v>317</v>
      </c>
      <c r="B108" s="144">
        <v>4470116</v>
      </c>
      <c r="C108" s="656"/>
      <c r="D108" s="656"/>
      <c r="E108" s="656"/>
      <c r="F108" s="656"/>
      <c r="G108" s="656"/>
      <c r="H108" s="244"/>
      <c r="I108" s="291">
        <f t="shared" si="3"/>
        <v>0</v>
      </c>
      <c r="J108" t="s">
        <v>1067</v>
      </c>
      <c r="K108" s="267">
        <f t="shared" si="1"/>
      </c>
    </row>
    <row r="109" spans="1:11" ht="15" hidden="1">
      <c r="A109" s="2" t="s">
        <v>317</v>
      </c>
      <c r="B109" s="144">
        <v>4470115</v>
      </c>
      <c r="C109" s="656"/>
      <c r="D109" s="656"/>
      <c r="E109" s="656"/>
      <c r="F109" s="656"/>
      <c r="G109" s="656"/>
      <c r="H109" s="244"/>
      <c r="I109" s="291">
        <f t="shared" si="3"/>
        <v>0</v>
      </c>
      <c r="J109" t="s">
        <v>738</v>
      </c>
      <c r="K109" s="267">
        <f t="shared" si="1"/>
        <v>0</v>
      </c>
    </row>
    <row r="110" spans="1:11" ht="15" hidden="1">
      <c r="A110" s="2" t="s">
        <v>758</v>
      </c>
      <c r="B110" s="144">
        <v>4561007</v>
      </c>
      <c r="C110" s="656"/>
      <c r="D110" s="656"/>
      <c r="E110" s="656"/>
      <c r="F110" s="656"/>
      <c r="G110" s="656"/>
      <c r="H110" s="244"/>
      <c r="I110" s="291">
        <f t="shared" si="3"/>
        <v>0</v>
      </c>
      <c r="J110" t="s">
        <v>1067</v>
      </c>
      <c r="K110" s="267">
        <f t="shared" si="1"/>
      </c>
    </row>
    <row r="111" spans="1:11" ht="15" hidden="1">
      <c r="A111" s="2" t="s">
        <v>693</v>
      </c>
      <c r="B111" s="144">
        <v>4561005</v>
      </c>
      <c r="C111" s="656"/>
      <c r="D111" s="656"/>
      <c r="E111" s="656"/>
      <c r="F111" s="656"/>
      <c r="G111" s="656"/>
      <c r="H111" s="244"/>
      <c r="I111" s="291">
        <f t="shared" si="3"/>
        <v>0</v>
      </c>
      <c r="J111" t="s">
        <v>1067</v>
      </c>
      <c r="K111" s="267">
        <f t="shared" si="1"/>
      </c>
    </row>
    <row r="112" spans="1:11" ht="15" hidden="1">
      <c r="A112" s="2" t="s">
        <v>694</v>
      </c>
      <c r="B112" s="144">
        <v>4561005</v>
      </c>
      <c r="C112" s="656"/>
      <c r="D112" s="656"/>
      <c r="E112" s="656"/>
      <c r="F112" s="656"/>
      <c r="G112" s="656"/>
      <c r="H112" s="244"/>
      <c r="I112" s="291">
        <f t="shared" si="3"/>
        <v>0</v>
      </c>
      <c r="J112" t="s">
        <v>1067</v>
      </c>
      <c r="K112" s="267">
        <f t="shared" si="1"/>
      </c>
    </row>
    <row r="113" spans="1:11" ht="15" hidden="1">
      <c r="A113" s="2" t="s">
        <v>695</v>
      </c>
      <c r="B113" s="144">
        <v>5618001</v>
      </c>
      <c r="C113" s="656"/>
      <c r="D113" s="656"/>
      <c r="E113" s="656"/>
      <c r="F113" s="656"/>
      <c r="G113" s="656"/>
      <c r="H113" s="244"/>
      <c r="I113" s="291">
        <f t="shared" si="3"/>
        <v>0</v>
      </c>
      <c r="J113" t="s">
        <v>1067</v>
      </c>
      <c r="K113" s="267">
        <f t="shared" si="1"/>
      </c>
    </row>
    <row r="114" spans="1:11" ht="15" hidden="1">
      <c r="A114" s="2" t="s">
        <v>695</v>
      </c>
      <c r="B114" s="144">
        <v>5618000</v>
      </c>
      <c r="C114" s="656"/>
      <c r="D114" s="656"/>
      <c r="E114" s="656"/>
      <c r="F114" s="656"/>
      <c r="G114" s="656"/>
      <c r="H114" s="244"/>
      <c r="I114" s="291">
        <f t="shared" si="3"/>
        <v>0</v>
      </c>
      <c r="J114" t="s">
        <v>738</v>
      </c>
      <c r="K114" s="267">
        <f t="shared" si="1"/>
        <v>0</v>
      </c>
    </row>
    <row r="115" spans="1:11" ht="15" hidden="1">
      <c r="A115" s="2" t="s">
        <v>1201</v>
      </c>
      <c r="B115" s="144">
        <v>5614001</v>
      </c>
      <c r="C115" s="656"/>
      <c r="D115" s="656"/>
      <c r="E115" s="656"/>
      <c r="F115" s="656"/>
      <c r="G115" s="656"/>
      <c r="H115" s="244"/>
      <c r="I115" s="291">
        <f t="shared" si="3"/>
        <v>0</v>
      </c>
      <c r="J115" t="s">
        <v>1067</v>
      </c>
      <c r="K115" s="267">
        <f t="shared" si="1"/>
      </c>
    </row>
    <row r="116" spans="1:11" ht="15" hidden="1">
      <c r="A116" s="2" t="s">
        <v>1201</v>
      </c>
      <c r="B116" s="144">
        <v>5614000</v>
      </c>
      <c r="C116" s="656"/>
      <c r="D116" s="656"/>
      <c r="E116" s="656"/>
      <c r="F116" s="656"/>
      <c r="G116" s="656"/>
      <c r="H116" s="244"/>
      <c r="I116" s="291">
        <f t="shared" si="3"/>
        <v>0</v>
      </c>
      <c r="J116" t="s">
        <v>738</v>
      </c>
      <c r="K116" s="267">
        <f t="shared" si="1"/>
        <v>0</v>
      </c>
    </row>
    <row r="117" spans="1:11" ht="15" hidden="1">
      <c r="A117" s="2" t="s">
        <v>932</v>
      </c>
      <c r="B117" s="144">
        <v>5614001</v>
      </c>
      <c r="C117" s="656"/>
      <c r="D117" s="656"/>
      <c r="E117" s="656"/>
      <c r="F117" s="656"/>
      <c r="G117" s="656"/>
      <c r="H117" s="244"/>
      <c r="I117" s="291">
        <f t="shared" si="3"/>
        <v>0</v>
      </c>
      <c r="J117" t="s">
        <v>1067</v>
      </c>
      <c r="K117" s="267">
        <f t="shared" si="1"/>
      </c>
    </row>
    <row r="118" spans="1:11" ht="15" hidden="1">
      <c r="A118" s="2" t="s">
        <v>932</v>
      </c>
      <c r="B118" s="144">
        <v>5614000</v>
      </c>
      <c r="C118" s="656"/>
      <c r="D118" s="656"/>
      <c r="E118" s="656"/>
      <c r="F118" s="656"/>
      <c r="G118" s="656"/>
      <c r="H118" s="244"/>
      <c r="I118" s="291">
        <f t="shared" si="3"/>
        <v>0</v>
      </c>
      <c r="J118" t="s">
        <v>738</v>
      </c>
      <c r="K118" s="267">
        <f t="shared" si="1"/>
        <v>0</v>
      </c>
    </row>
    <row r="119" spans="1:11" ht="15" hidden="1">
      <c r="A119" s="2" t="s">
        <v>697</v>
      </c>
      <c r="B119" s="144">
        <v>5550074</v>
      </c>
      <c r="C119" s="656"/>
      <c r="D119" s="656"/>
      <c r="E119" s="656"/>
      <c r="F119" s="656"/>
      <c r="G119" s="656"/>
      <c r="H119" s="244"/>
      <c r="I119" s="291">
        <f t="shared" si="3"/>
        <v>0</v>
      </c>
      <c r="J119" t="s">
        <v>1067</v>
      </c>
      <c r="K119" s="267">
        <f aca="true" t="shared" si="4" ref="K119:K164">IF(J119="East Zone SIA",I119,"")</f>
      </c>
    </row>
    <row r="120" spans="1:11" ht="15" hidden="1">
      <c r="A120" s="2" t="s">
        <v>1063</v>
      </c>
      <c r="B120" s="144">
        <v>5550075</v>
      </c>
      <c r="C120" s="656"/>
      <c r="D120" s="656"/>
      <c r="E120" s="656"/>
      <c r="F120" s="656"/>
      <c r="G120" s="656"/>
      <c r="H120" s="244"/>
      <c r="I120" s="291">
        <f t="shared" si="3"/>
        <v>0</v>
      </c>
      <c r="J120" t="s">
        <v>1067</v>
      </c>
      <c r="K120" s="267">
        <f t="shared" si="4"/>
      </c>
    </row>
    <row r="121" spans="1:11" ht="15" hidden="1">
      <c r="A121" s="2" t="s">
        <v>1915</v>
      </c>
      <c r="B121" s="144">
        <v>5614001</v>
      </c>
      <c r="C121" s="656"/>
      <c r="D121" s="656"/>
      <c r="E121" s="656"/>
      <c r="F121" s="656"/>
      <c r="G121" s="656"/>
      <c r="H121" s="244"/>
      <c r="I121" s="291">
        <f t="shared" si="3"/>
        <v>0</v>
      </c>
      <c r="J121" t="s">
        <v>1067</v>
      </c>
      <c r="K121" s="267">
        <f t="shared" si="4"/>
      </c>
    </row>
    <row r="122" spans="1:11" ht="15" hidden="1">
      <c r="A122" s="2" t="s">
        <v>1915</v>
      </c>
      <c r="B122" s="144">
        <v>5614000</v>
      </c>
      <c r="C122" s="656"/>
      <c r="D122" s="656"/>
      <c r="E122" s="656"/>
      <c r="F122" s="656"/>
      <c r="G122" s="656"/>
      <c r="H122" s="244"/>
      <c r="I122" s="291">
        <f t="shared" si="3"/>
        <v>0</v>
      </c>
      <c r="J122" t="s">
        <v>738</v>
      </c>
      <c r="K122" s="267">
        <f t="shared" si="4"/>
        <v>0</v>
      </c>
    </row>
    <row r="123" spans="1:11" ht="15" hidden="1">
      <c r="A123" s="2" t="s">
        <v>1916</v>
      </c>
      <c r="B123" s="144">
        <v>5550083</v>
      </c>
      <c r="C123" s="656"/>
      <c r="D123" s="656"/>
      <c r="E123" s="656"/>
      <c r="F123" s="656"/>
      <c r="G123" s="656"/>
      <c r="H123" s="244"/>
      <c r="I123" s="291">
        <f t="shared" si="3"/>
        <v>0</v>
      </c>
      <c r="J123" t="s">
        <v>1067</v>
      </c>
      <c r="K123" s="267">
        <f t="shared" si="4"/>
      </c>
    </row>
    <row r="124" spans="1:11" ht="15" hidden="1">
      <c r="A124" s="2" t="s">
        <v>1921</v>
      </c>
      <c r="B124" s="144">
        <v>4470093</v>
      </c>
      <c r="C124" s="656"/>
      <c r="D124" s="656"/>
      <c r="E124" s="656"/>
      <c r="F124" s="656"/>
      <c r="G124" s="656"/>
      <c r="H124" s="244"/>
      <c r="I124" s="291">
        <f t="shared" si="3"/>
        <v>0</v>
      </c>
      <c r="J124" t="s">
        <v>1067</v>
      </c>
      <c r="K124" s="267">
        <f t="shared" si="4"/>
      </c>
    </row>
    <row r="125" spans="1:11" ht="15" hidden="1">
      <c r="A125" s="2" t="s">
        <v>1922</v>
      </c>
      <c r="B125" s="144">
        <v>4470207</v>
      </c>
      <c r="C125" s="656"/>
      <c r="D125" s="656"/>
      <c r="E125" s="656"/>
      <c r="F125" s="656"/>
      <c r="G125" s="656"/>
      <c r="H125" s="244"/>
      <c r="I125" s="291">
        <f t="shared" si="3"/>
        <v>0</v>
      </c>
      <c r="J125" t="s">
        <v>1067</v>
      </c>
      <c r="K125" s="267">
        <f t="shared" si="4"/>
      </c>
    </row>
    <row r="126" spans="1:11" ht="15" hidden="1">
      <c r="A126" s="2" t="s">
        <v>21</v>
      </c>
      <c r="B126" s="144">
        <v>4470208</v>
      </c>
      <c r="C126" s="656"/>
      <c r="D126" s="656"/>
      <c r="E126" s="656"/>
      <c r="F126" s="656"/>
      <c r="G126" s="656"/>
      <c r="H126" s="244"/>
      <c r="I126" s="291">
        <f t="shared" si="3"/>
        <v>0</v>
      </c>
      <c r="J126" t="s">
        <v>1067</v>
      </c>
      <c r="K126" s="267">
        <f t="shared" si="4"/>
      </c>
    </row>
    <row r="127" spans="1:11" ht="15" hidden="1">
      <c r="A127" s="2" t="s">
        <v>21</v>
      </c>
      <c r="B127" s="144">
        <v>4470206</v>
      </c>
      <c r="C127" s="656"/>
      <c r="D127" s="656"/>
      <c r="E127" s="656"/>
      <c r="F127" s="656"/>
      <c r="G127" s="656"/>
      <c r="H127" s="244"/>
      <c r="I127" s="291">
        <f t="shared" si="3"/>
        <v>0</v>
      </c>
      <c r="J127" t="s">
        <v>738</v>
      </c>
      <c r="K127" s="267">
        <f t="shared" si="4"/>
        <v>0</v>
      </c>
    </row>
    <row r="128" spans="1:11" ht="15" hidden="1">
      <c r="A128" s="2" t="s">
        <v>1917</v>
      </c>
      <c r="B128" s="144">
        <v>4470110</v>
      </c>
      <c r="C128" s="656"/>
      <c r="D128" s="656"/>
      <c r="E128" s="656"/>
      <c r="F128" s="656"/>
      <c r="G128" s="656"/>
      <c r="H128" s="244"/>
      <c r="I128" s="291">
        <f t="shared" si="3"/>
        <v>0</v>
      </c>
      <c r="J128" t="s">
        <v>738</v>
      </c>
      <c r="K128" s="267">
        <f t="shared" si="4"/>
        <v>0</v>
      </c>
    </row>
    <row r="129" spans="1:11" ht="15" hidden="1">
      <c r="A129" s="2" t="s">
        <v>1918</v>
      </c>
      <c r="B129" s="144">
        <v>5550078</v>
      </c>
      <c r="C129" s="656"/>
      <c r="D129" s="656"/>
      <c r="E129" s="656"/>
      <c r="F129" s="656"/>
      <c r="G129" s="656"/>
      <c r="H129" s="244"/>
      <c r="I129" s="291">
        <f t="shared" si="3"/>
        <v>0</v>
      </c>
      <c r="J129" t="s">
        <v>1067</v>
      </c>
      <c r="K129" s="267">
        <f t="shared" si="4"/>
      </c>
    </row>
    <row r="130" spans="1:11" ht="15" hidden="1">
      <c r="A130" s="2" t="s">
        <v>1919</v>
      </c>
      <c r="B130" s="144">
        <v>4470115</v>
      </c>
      <c r="C130" s="656"/>
      <c r="D130" s="656"/>
      <c r="E130" s="656"/>
      <c r="F130" s="656"/>
      <c r="G130" s="656"/>
      <c r="H130" s="244"/>
      <c r="I130" s="291">
        <f t="shared" si="3"/>
        <v>0</v>
      </c>
      <c r="J130" t="s">
        <v>738</v>
      </c>
      <c r="K130" s="267">
        <f t="shared" si="4"/>
        <v>0</v>
      </c>
    </row>
    <row r="131" spans="1:11" ht="15" hidden="1">
      <c r="A131" s="2" t="s">
        <v>1064</v>
      </c>
      <c r="B131" s="144">
        <v>5550078</v>
      </c>
      <c r="C131" s="656"/>
      <c r="D131" s="656"/>
      <c r="E131" s="656"/>
      <c r="F131" s="656"/>
      <c r="G131" s="656"/>
      <c r="H131" s="244"/>
      <c r="I131" s="291">
        <f t="shared" si="3"/>
        <v>0</v>
      </c>
      <c r="J131" t="s">
        <v>1067</v>
      </c>
      <c r="K131" s="267">
        <f t="shared" si="4"/>
      </c>
    </row>
    <row r="132" spans="1:11" ht="15" hidden="1">
      <c r="A132" s="2" t="s">
        <v>1065</v>
      </c>
      <c r="B132" s="144">
        <v>5550079</v>
      </c>
      <c r="C132" s="656"/>
      <c r="D132" s="656"/>
      <c r="E132" s="656"/>
      <c r="F132" s="656"/>
      <c r="G132" s="656"/>
      <c r="H132" s="244"/>
      <c r="I132" s="291">
        <f t="shared" si="3"/>
        <v>0</v>
      </c>
      <c r="J132" t="s">
        <v>1067</v>
      </c>
      <c r="K132" s="267">
        <f t="shared" si="4"/>
      </c>
    </row>
    <row r="133" spans="1:11" ht="15" hidden="1">
      <c r="A133" s="2" t="s">
        <v>933</v>
      </c>
      <c r="B133" s="144">
        <v>5618001</v>
      </c>
      <c r="C133" s="656"/>
      <c r="D133" s="656"/>
      <c r="E133" s="656"/>
      <c r="F133" s="656"/>
      <c r="G133" s="656"/>
      <c r="H133" s="244"/>
      <c r="I133" s="291">
        <f t="shared" si="3"/>
        <v>0</v>
      </c>
      <c r="J133" t="s">
        <v>1067</v>
      </c>
      <c r="K133" s="267">
        <f t="shared" si="4"/>
      </c>
    </row>
    <row r="134" spans="1:11" ht="15" hidden="1">
      <c r="A134" s="2" t="s">
        <v>933</v>
      </c>
      <c r="B134" s="144">
        <v>5618000</v>
      </c>
      <c r="C134" s="656"/>
      <c r="D134" s="656"/>
      <c r="E134" s="656"/>
      <c r="F134" s="656"/>
      <c r="G134" s="656"/>
      <c r="H134" s="244"/>
      <c r="I134" s="291">
        <f t="shared" si="3"/>
        <v>0</v>
      </c>
      <c r="J134" t="s">
        <v>738</v>
      </c>
      <c r="K134" s="267">
        <f t="shared" si="4"/>
        <v>0</v>
      </c>
    </row>
    <row r="135" spans="1:11" ht="15" hidden="1">
      <c r="A135" s="2" t="s">
        <v>1261</v>
      </c>
      <c r="B135" s="144">
        <v>5550083</v>
      </c>
      <c r="C135" s="656"/>
      <c r="D135" s="656"/>
      <c r="E135" s="656"/>
      <c r="F135" s="656"/>
      <c r="G135" s="656"/>
      <c r="H135" s="244"/>
      <c r="I135" s="291">
        <f t="shared" si="3"/>
        <v>0</v>
      </c>
      <c r="J135" t="s">
        <v>1067</v>
      </c>
      <c r="K135" s="267">
        <f t="shared" si="4"/>
      </c>
    </row>
    <row r="136" spans="1:11" ht="15" hidden="1">
      <c r="A136" s="2" t="s">
        <v>1269</v>
      </c>
      <c r="B136" s="144">
        <v>5550041</v>
      </c>
      <c r="C136" s="656"/>
      <c r="D136" s="656"/>
      <c r="E136" s="656"/>
      <c r="F136" s="656"/>
      <c r="G136" s="656"/>
      <c r="H136" s="244"/>
      <c r="I136" s="291">
        <f t="shared" si="3"/>
        <v>0</v>
      </c>
      <c r="J136" t="s">
        <v>1067</v>
      </c>
      <c r="K136" s="267">
        <f t="shared" si="4"/>
      </c>
    </row>
    <row r="137" spans="1:11" ht="15" hidden="1">
      <c r="A137" s="2" t="s">
        <v>18</v>
      </c>
      <c r="B137" s="144">
        <v>5650012</v>
      </c>
      <c r="C137" s="656"/>
      <c r="D137" s="656"/>
      <c r="E137" s="656"/>
      <c r="F137" s="656"/>
      <c r="G137" s="656"/>
      <c r="H137" s="244"/>
      <c r="I137" s="291">
        <f t="shared" si="3"/>
        <v>0</v>
      </c>
      <c r="J137" t="s">
        <v>1067</v>
      </c>
      <c r="K137" s="267">
        <f t="shared" si="4"/>
      </c>
    </row>
    <row r="138" spans="1:11" ht="15" hidden="1">
      <c r="A138" s="2" t="s">
        <v>1066</v>
      </c>
      <c r="B138" s="144">
        <v>4470208</v>
      </c>
      <c r="C138" s="656"/>
      <c r="D138" s="656"/>
      <c r="E138" s="656"/>
      <c r="F138" s="656"/>
      <c r="G138" s="656"/>
      <c r="H138" s="244"/>
      <c r="I138" s="291">
        <f t="shared" si="3"/>
        <v>0</v>
      </c>
      <c r="J138" t="s">
        <v>1067</v>
      </c>
      <c r="K138" s="267">
        <f t="shared" si="4"/>
      </c>
    </row>
    <row r="139" spans="1:11" ht="15" hidden="1">
      <c r="A139" s="2" t="s">
        <v>1066</v>
      </c>
      <c r="B139" s="144">
        <v>4470206</v>
      </c>
      <c r="C139" s="656"/>
      <c r="D139" s="656"/>
      <c r="E139" s="656"/>
      <c r="F139" s="656"/>
      <c r="G139" s="656"/>
      <c r="H139" s="244"/>
      <c r="I139" s="291">
        <f t="shared" si="3"/>
        <v>0</v>
      </c>
      <c r="J139" t="s">
        <v>738</v>
      </c>
      <c r="K139" s="267">
        <f t="shared" si="4"/>
        <v>0</v>
      </c>
    </row>
    <row r="140" spans="1:11" ht="15" hidden="1">
      <c r="A140" s="2" t="s">
        <v>1066</v>
      </c>
      <c r="B140" s="144">
        <v>4470006</v>
      </c>
      <c r="C140" s="656"/>
      <c r="D140" s="656"/>
      <c r="E140" s="656"/>
      <c r="F140" s="656"/>
      <c r="G140" s="656"/>
      <c r="H140" s="244"/>
      <c r="I140" s="291">
        <f t="shared" si="3"/>
        <v>0</v>
      </c>
      <c r="J140" t="s">
        <v>738</v>
      </c>
      <c r="K140" s="267">
        <f t="shared" si="4"/>
        <v>0</v>
      </c>
    </row>
    <row r="141" spans="1:11" ht="15" hidden="1">
      <c r="A141" s="2"/>
      <c r="B141" s="144"/>
      <c r="C141" s="656"/>
      <c r="D141" s="656"/>
      <c r="E141" s="656"/>
      <c r="F141" s="656"/>
      <c r="G141" s="656"/>
      <c r="H141" s="244"/>
      <c r="I141" s="291">
        <f t="shared" si="3"/>
        <v>0</v>
      </c>
      <c r="J141" t="s">
        <v>738</v>
      </c>
      <c r="K141" s="267">
        <f t="shared" si="4"/>
        <v>0</v>
      </c>
    </row>
    <row r="142" spans="1:13" ht="15" hidden="1">
      <c r="A142" s="2"/>
      <c r="B142" s="144"/>
      <c r="C142" s="656"/>
      <c r="D142" s="656"/>
      <c r="E142" s="656"/>
      <c r="F142" s="656"/>
      <c r="G142" s="656"/>
      <c r="H142" s="244"/>
      <c r="I142" s="291">
        <f t="shared" si="3"/>
        <v>0</v>
      </c>
      <c r="J142" t="s">
        <v>1067</v>
      </c>
      <c r="K142" s="267">
        <f t="shared" si="4"/>
      </c>
      <c r="L142" s="621" t="s">
        <v>319</v>
      </c>
      <c r="M142" s="382">
        <f>SUM(K42:K142)</f>
        <v>0</v>
      </c>
    </row>
    <row r="143" spans="1:13" ht="15">
      <c r="A143" s="143"/>
      <c r="B143" s="144"/>
      <c r="C143" s="262"/>
      <c r="D143" s="262"/>
      <c r="E143" s="262"/>
      <c r="F143" s="262"/>
      <c r="G143" s="262"/>
      <c r="H143" s="244"/>
      <c r="I143" s="291"/>
      <c r="K143" s="267">
        <f t="shared" si="4"/>
      </c>
      <c r="L143" s="623" t="s">
        <v>1279</v>
      </c>
      <c r="M143" s="382">
        <f>SUM(I46:I142)</f>
        <v>0</v>
      </c>
    </row>
    <row r="144" spans="1:11" ht="15">
      <c r="A144" s="664" t="s">
        <v>984</v>
      </c>
      <c r="B144" s="392"/>
      <c r="C144" s="267"/>
      <c r="D144" s="267"/>
      <c r="E144" s="267"/>
      <c r="F144" s="267"/>
      <c r="G144" s="267"/>
      <c r="H144" s="245"/>
      <c r="I144" s="291"/>
      <c r="K144" s="267">
        <f t="shared" si="4"/>
      </c>
    </row>
    <row r="145" spans="1:11" ht="15">
      <c r="A145" s="670" t="s">
        <v>840</v>
      </c>
      <c r="B145" s="144">
        <v>5550083</v>
      </c>
      <c r="C145" s="656"/>
      <c r="D145" s="656"/>
      <c r="E145" s="656"/>
      <c r="F145" s="656"/>
      <c r="G145" s="656"/>
      <c r="H145" s="244">
        <v>0</v>
      </c>
      <c r="I145" s="291">
        <f>SUM(C145:G145)</f>
        <v>0</v>
      </c>
      <c r="J145" t="s">
        <v>1067</v>
      </c>
      <c r="K145" s="267">
        <f t="shared" si="4"/>
      </c>
    </row>
    <row r="146" spans="1:11" ht="15">
      <c r="A146" s="290" t="s">
        <v>1920</v>
      </c>
      <c r="B146" s="299">
        <v>4470203</v>
      </c>
      <c r="C146" s="656"/>
      <c r="D146" s="656"/>
      <c r="E146" s="656"/>
      <c r="F146" s="656"/>
      <c r="G146" s="656"/>
      <c r="H146" s="244">
        <v>0</v>
      </c>
      <c r="I146" s="291">
        <f aca="true" t="shared" si="5" ref="I146:I245">SUM(C146:G146)</f>
        <v>0</v>
      </c>
      <c r="J146" t="s">
        <v>1067</v>
      </c>
      <c r="K146" s="267">
        <f t="shared" si="4"/>
      </c>
    </row>
    <row r="147" spans="1:11" ht="15">
      <c r="A147" s="290" t="s">
        <v>1920</v>
      </c>
      <c r="B147" s="299">
        <v>4470098</v>
      </c>
      <c r="C147" s="656"/>
      <c r="D147" s="656"/>
      <c r="E147" s="656"/>
      <c r="F147" s="656"/>
      <c r="G147" s="656"/>
      <c r="H147" s="244">
        <v>0</v>
      </c>
      <c r="I147" s="291">
        <f t="shared" si="5"/>
        <v>0</v>
      </c>
      <c r="J147" t="s">
        <v>738</v>
      </c>
      <c r="K147" s="267">
        <f t="shared" si="4"/>
        <v>0</v>
      </c>
    </row>
    <row r="148" spans="1:11" ht="15">
      <c r="A148" s="290" t="s">
        <v>1259</v>
      </c>
      <c r="B148" s="144">
        <v>4470101</v>
      </c>
      <c r="C148" s="656"/>
      <c r="D148" s="656"/>
      <c r="E148" s="656"/>
      <c r="F148" s="656"/>
      <c r="G148" s="656"/>
      <c r="H148" s="244">
        <v>0</v>
      </c>
      <c r="I148" s="291">
        <f t="shared" si="5"/>
        <v>0</v>
      </c>
      <c r="J148" t="s">
        <v>1067</v>
      </c>
      <c r="K148" s="267">
        <f t="shared" si="4"/>
      </c>
    </row>
    <row r="149" spans="1:11" ht="15">
      <c r="A149" s="290" t="s">
        <v>870</v>
      </c>
      <c r="B149" s="144">
        <v>4470208</v>
      </c>
      <c r="C149" s="656"/>
      <c r="D149" s="656"/>
      <c r="E149" s="656"/>
      <c r="F149" s="656"/>
      <c r="G149" s="656"/>
      <c r="H149" s="244">
        <v>0</v>
      </c>
      <c r="I149" s="291">
        <f t="shared" si="5"/>
        <v>0</v>
      </c>
      <c r="J149" t="s">
        <v>1067</v>
      </c>
      <c r="K149" s="267">
        <f t="shared" si="4"/>
      </c>
    </row>
    <row r="150" spans="1:11" ht="15">
      <c r="A150" s="290" t="s">
        <v>1082</v>
      </c>
      <c r="B150" s="144">
        <v>5550076</v>
      </c>
      <c r="C150" s="656"/>
      <c r="D150" s="656"/>
      <c r="E150" s="656"/>
      <c r="F150" s="656"/>
      <c r="G150" s="656"/>
      <c r="H150" s="244">
        <v>245138.7</v>
      </c>
      <c r="I150" s="291">
        <f t="shared" si="5"/>
        <v>0</v>
      </c>
      <c r="J150" t="s">
        <v>1067</v>
      </c>
      <c r="K150" s="267">
        <f t="shared" si="4"/>
      </c>
    </row>
    <row r="151" spans="1:11" ht="15">
      <c r="A151" s="290" t="s">
        <v>1083</v>
      </c>
      <c r="B151" s="144">
        <v>5550077</v>
      </c>
      <c r="C151" s="656"/>
      <c r="D151" s="656"/>
      <c r="E151" s="656"/>
      <c r="F151" s="656"/>
      <c r="G151" s="656"/>
      <c r="H151" s="244"/>
      <c r="I151" s="291">
        <f t="shared" si="5"/>
        <v>0</v>
      </c>
      <c r="J151" t="s">
        <v>1067</v>
      </c>
      <c r="K151" s="267">
        <f t="shared" si="4"/>
      </c>
    </row>
    <row r="152" spans="1:11" ht="15">
      <c r="A152" s="290" t="s">
        <v>1194</v>
      </c>
      <c r="B152" s="144">
        <v>5550090</v>
      </c>
      <c r="C152" s="656"/>
      <c r="D152" s="656"/>
      <c r="E152" s="656"/>
      <c r="F152" s="656"/>
      <c r="G152" s="656"/>
      <c r="H152" s="244"/>
      <c r="I152" s="291">
        <f t="shared" si="5"/>
        <v>0</v>
      </c>
      <c r="J152" t="s">
        <v>1067</v>
      </c>
      <c r="K152" s="267">
        <f t="shared" si="4"/>
      </c>
    </row>
    <row r="153" spans="1:11" ht="15">
      <c r="A153" s="290" t="s">
        <v>1963</v>
      </c>
      <c r="B153" s="144">
        <v>4470214</v>
      </c>
      <c r="C153" s="656"/>
      <c r="D153" s="656"/>
      <c r="E153" s="656"/>
      <c r="F153" s="656"/>
      <c r="G153" s="656"/>
      <c r="H153" s="244"/>
      <c r="I153" s="291">
        <f t="shared" si="5"/>
        <v>0</v>
      </c>
      <c r="J153" t="s">
        <v>738</v>
      </c>
      <c r="K153" s="267">
        <f t="shared" si="4"/>
        <v>0</v>
      </c>
    </row>
    <row r="154" spans="1:11" ht="15">
      <c r="A154" s="290" t="s">
        <v>1271</v>
      </c>
      <c r="B154" s="144">
        <v>4470107</v>
      </c>
      <c r="C154" s="656"/>
      <c r="D154" s="656"/>
      <c r="E154" s="656"/>
      <c r="F154" s="656"/>
      <c r="G154" s="656"/>
      <c r="H154" s="244"/>
      <c r="I154" s="291">
        <f t="shared" si="5"/>
        <v>0</v>
      </c>
      <c r="J154" t="s">
        <v>738</v>
      </c>
      <c r="K154" s="267">
        <f t="shared" si="4"/>
        <v>0</v>
      </c>
    </row>
    <row r="155" spans="1:11" ht="15">
      <c r="A155" s="290" t="s">
        <v>690</v>
      </c>
      <c r="B155" s="144">
        <v>4561005</v>
      </c>
      <c r="C155" s="656"/>
      <c r="D155" s="656"/>
      <c r="E155" s="656"/>
      <c r="F155" s="656"/>
      <c r="G155" s="656"/>
      <c r="H155" s="244"/>
      <c r="I155" s="291">
        <f t="shared" si="5"/>
        <v>0</v>
      </c>
      <c r="J155" t="s">
        <v>1067</v>
      </c>
      <c r="K155" s="267">
        <f t="shared" si="4"/>
      </c>
    </row>
    <row r="156" spans="1:11" ht="15">
      <c r="A156" s="290" t="s">
        <v>930</v>
      </c>
      <c r="B156" s="144">
        <v>4470101</v>
      </c>
      <c r="C156" s="656"/>
      <c r="D156" s="656"/>
      <c r="E156" s="656"/>
      <c r="F156" s="656"/>
      <c r="G156" s="656"/>
      <c r="H156" s="244">
        <v>-272187.4</v>
      </c>
      <c r="I156" s="291">
        <f t="shared" si="5"/>
        <v>0</v>
      </c>
      <c r="J156" t="s">
        <v>1067</v>
      </c>
      <c r="K156" s="267">
        <f t="shared" si="4"/>
      </c>
    </row>
    <row r="157" spans="1:11" ht="15">
      <c r="A157" s="290" t="s">
        <v>691</v>
      </c>
      <c r="B157" s="144">
        <v>4470101</v>
      </c>
      <c r="C157" s="656"/>
      <c r="D157" s="656"/>
      <c r="E157" s="656"/>
      <c r="F157" s="656"/>
      <c r="G157" s="656"/>
      <c r="H157" s="244"/>
      <c r="I157" s="291">
        <f t="shared" si="5"/>
        <v>0</v>
      </c>
      <c r="J157" t="s">
        <v>1067</v>
      </c>
      <c r="K157" s="267"/>
    </row>
    <row r="158" spans="1:11" ht="15">
      <c r="A158" s="290" t="s">
        <v>758</v>
      </c>
      <c r="B158" s="144">
        <v>4561007</v>
      </c>
      <c r="C158" s="656"/>
      <c r="D158" s="656"/>
      <c r="E158" s="656"/>
      <c r="F158" s="656"/>
      <c r="G158" s="656"/>
      <c r="H158" s="244"/>
      <c r="I158" s="291">
        <f t="shared" si="5"/>
        <v>0</v>
      </c>
      <c r="J158" t="s">
        <v>1067</v>
      </c>
      <c r="K158" s="267"/>
    </row>
    <row r="159" spans="1:11" ht="15">
      <c r="A159" s="290" t="s">
        <v>693</v>
      </c>
      <c r="B159" s="144">
        <v>4561005</v>
      </c>
      <c r="C159" s="656"/>
      <c r="D159" s="656"/>
      <c r="E159" s="656"/>
      <c r="F159" s="656"/>
      <c r="G159" s="656"/>
      <c r="H159" s="244"/>
      <c r="I159" s="291">
        <f t="shared" si="5"/>
        <v>0</v>
      </c>
      <c r="J159" t="s">
        <v>1067</v>
      </c>
      <c r="K159" s="267"/>
    </row>
    <row r="160" spans="1:11" ht="15">
      <c r="A160" s="290" t="s">
        <v>694</v>
      </c>
      <c r="B160" s="144">
        <v>4561005</v>
      </c>
      <c r="C160" s="656"/>
      <c r="D160" s="656"/>
      <c r="E160" s="656"/>
      <c r="F160" s="656"/>
      <c r="G160" s="656"/>
      <c r="H160" s="244"/>
      <c r="I160" s="291">
        <f t="shared" si="5"/>
        <v>0</v>
      </c>
      <c r="J160" t="s">
        <v>1067</v>
      </c>
      <c r="K160" s="267">
        <f t="shared" si="4"/>
      </c>
    </row>
    <row r="161" spans="1:11" ht="15">
      <c r="A161" s="290" t="s">
        <v>932</v>
      </c>
      <c r="B161" s="144">
        <v>5614001</v>
      </c>
      <c r="C161" s="656"/>
      <c r="D161" s="656"/>
      <c r="E161" s="656"/>
      <c r="F161" s="656"/>
      <c r="G161" s="656"/>
      <c r="H161" s="244"/>
      <c r="I161" s="291">
        <f t="shared" si="5"/>
        <v>0</v>
      </c>
      <c r="J161" t="s">
        <v>1067</v>
      </c>
      <c r="K161" s="267">
        <f t="shared" si="4"/>
      </c>
    </row>
    <row r="162" spans="1:11" ht="15">
      <c r="A162" s="290" t="s">
        <v>932</v>
      </c>
      <c r="B162" s="144">
        <v>5614000</v>
      </c>
      <c r="C162" s="656"/>
      <c r="D162" s="656"/>
      <c r="E162" s="656"/>
      <c r="F162" s="656"/>
      <c r="G162" s="656"/>
      <c r="H162" s="244"/>
      <c r="I162" s="291">
        <f t="shared" si="5"/>
        <v>0</v>
      </c>
      <c r="J162" t="s">
        <v>738</v>
      </c>
      <c r="K162" s="267">
        <f t="shared" si="4"/>
        <v>0</v>
      </c>
    </row>
    <row r="163" spans="1:11" ht="15">
      <c r="A163" s="290" t="s">
        <v>697</v>
      </c>
      <c r="B163" s="144">
        <v>5550074</v>
      </c>
      <c r="C163" s="656"/>
      <c r="D163" s="656"/>
      <c r="E163" s="656"/>
      <c r="F163" s="656"/>
      <c r="G163" s="656"/>
      <c r="H163" s="244"/>
      <c r="I163" s="291">
        <f t="shared" si="5"/>
        <v>0</v>
      </c>
      <c r="J163" t="s">
        <v>1067</v>
      </c>
      <c r="K163" s="267">
        <f t="shared" si="4"/>
      </c>
    </row>
    <row r="164" spans="1:12" ht="15">
      <c r="A164" s="290" t="s">
        <v>1063</v>
      </c>
      <c r="B164" s="144">
        <v>5550075</v>
      </c>
      <c r="C164" s="656"/>
      <c r="D164" s="656"/>
      <c r="E164" s="656"/>
      <c r="F164" s="656"/>
      <c r="G164" s="656"/>
      <c r="H164" s="244"/>
      <c r="I164" s="291">
        <f t="shared" si="5"/>
        <v>0</v>
      </c>
      <c r="J164" t="s">
        <v>1067</v>
      </c>
      <c r="K164" s="267">
        <f t="shared" si="4"/>
      </c>
      <c r="L164" s="218"/>
    </row>
    <row r="165" spans="1:11" ht="15">
      <c r="A165" s="663"/>
      <c r="B165" s="144"/>
      <c r="C165" s="267"/>
      <c r="D165" s="267"/>
      <c r="E165" s="267"/>
      <c r="F165" s="267"/>
      <c r="G165" s="267"/>
      <c r="H165" s="244"/>
      <c r="I165" s="291"/>
      <c r="K165" s="267"/>
    </row>
    <row r="166" spans="1:11" ht="15">
      <c r="A166" s="673" t="s">
        <v>706</v>
      </c>
      <c r="B166" s="144"/>
      <c r="C166" s="267"/>
      <c r="D166" s="267"/>
      <c r="E166" s="267"/>
      <c r="F166" s="267"/>
      <c r="G166" s="267"/>
      <c r="H166" s="244"/>
      <c r="I166" s="291"/>
      <c r="J166" s="218"/>
      <c r="K166" s="267"/>
    </row>
    <row r="167" spans="1:11" ht="15">
      <c r="A167" s="663" t="s">
        <v>689</v>
      </c>
      <c r="B167" s="144">
        <v>4561003</v>
      </c>
      <c r="C167" s="656"/>
      <c r="D167" s="656"/>
      <c r="E167" s="656"/>
      <c r="F167" s="656"/>
      <c r="G167" s="656"/>
      <c r="H167" s="244">
        <v>226.3</v>
      </c>
      <c r="I167" s="291">
        <f t="shared" si="5"/>
        <v>0</v>
      </c>
      <c r="J167" t="s">
        <v>1067</v>
      </c>
      <c r="K167" s="267"/>
    </row>
    <row r="168" spans="1:11" ht="15">
      <c r="A168" s="663" t="s">
        <v>1499</v>
      </c>
      <c r="B168" s="144">
        <v>4561002</v>
      </c>
      <c r="C168" s="656"/>
      <c r="D168" s="656"/>
      <c r="E168" s="656"/>
      <c r="F168" s="656"/>
      <c r="G168" s="656"/>
      <c r="H168" s="244">
        <v>354.02</v>
      </c>
      <c r="I168" s="291">
        <f t="shared" si="5"/>
        <v>0</v>
      </c>
      <c r="J168" t="s">
        <v>1067</v>
      </c>
      <c r="K168" s="267"/>
    </row>
    <row r="169" spans="1:11" ht="15">
      <c r="A169" s="663" t="s">
        <v>86</v>
      </c>
      <c r="B169" s="144">
        <v>4470101</v>
      </c>
      <c r="C169" s="656"/>
      <c r="D169" s="656"/>
      <c r="E169" s="656"/>
      <c r="F169" s="656"/>
      <c r="G169" s="656"/>
      <c r="H169" s="244">
        <v>0</v>
      </c>
      <c r="I169" s="291">
        <f t="shared" si="5"/>
        <v>0</v>
      </c>
      <c r="J169" t="s">
        <v>1067</v>
      </c>
      <c r="K169" s="267"/>
    </row>
    <row r="170" spans="1:11" ht="15.75" customHeight="1">
      <c r="A170" s="663" t="s">
        <v>87</v>
      </c>
      <c r="B170" s="144">
        <v>4470203</v>
      </c>
      <c r="C170" s="656"/>
      <c r="D170" s="656"/>
      <c r="E170" s="656"/>
      <c r="F170" s="656"/>
      <c r="G170" s="656"/>
      <c r="H170" s="244">
        <v>36.9174751</v>
      </c>
      <c r="I170" s="291">
        <f t="shared" si="5"/>
        <v>0</v>
      </c>
      <c r="J170" t="s">
        <v>1067</v>
      </c>
      <c r="K170" s="267"/>
    </row>
    <row r="171" spans="1:11" ht="15">
      <c r="A171" s="663" t="s">
        <v>88</v>
      </c>
      <c r="B171" s="144">
        <v>4470098</v>
      </c>
      <c r="C171" s="656"/>
      <c r="D171" s="656"/>
      <c r="E171" s="656"/>
      <c r="F171" s="656"/>
      <c r="G171" s="656"/>
      <c r="H171" s="244">
        <v>2.5525249000000003</v>
      </c>
      <c r="I171" s="291">
        <f t="shared" si="5"/>
        <v>0</v>
      </c>
      <c r="J171" s="218" t="s">
        <v>738</v>
      </c>
      <c r="K171" s="267"/>
    </row>
    <row r="172" spans="1:11" ht="15">
      <c r="A172" s="663" t="s">
        <v>755</v>
      </c>
      <c r="B172" s="144">
        <v>5550090</v>
      </c>
      <c r="C172" s="656"/>
      <c r="D172" s="656"/>
      <c r="E172" s="656"/>
      <c r="F172" s="656"/>
      <c r="G172" s="656"/>
      <c r="H172" s="244">
        <v>0</v>
      </c>
      <c r="I172" s="291">
        <f t="shared" si="5"/>
        <v>0</v>
      </c>
      <c r="J172" s="218" t="s">
        <v>1067</v>
      </c>
      <c r="K172" s="267"/>
    </row>
    <row r="173" spans="1:11" ht="15">
      <c r="A173" s="663" t="s">
        <v>89</v>
      </c>
      <c r="B173" s="144">
        <v>4561003</v>
      </c>
      <c r="C173" s="656"/>
      <c r="D173" s="656"/>
      <c r="E173" s="656"/>
      <c r="F173" s="656"/>
      <c r="G173" s="656"/>
      <c r="H173" s="244">
        <v>0</v>
      </c>
      <c r="I173" s="291">
        <f t="shared" si="5"/>
        <v>0</v>
      </c>
      <c r="J173" s="218" t="s">
        <v>1067</v>
      </c>
      <c r="K173" s="267"/>
    </row>
    <row r="174" spans="1:11" ht="15">
      <c r="A174" s="663" t="s">
        <v>90</v>
      </c>
      <c r="B174" s="144">
        <v>5757001</v>
      </c>
      <c r="C174" s="656"/>
      <c r="D174" s="656"/>
      <c r="E174" s="656"/>
      <c r="F174" s="656"/>
      <c r="G174" s="656"/>
      <c r="H174" s="244">
        <v>0</v>
      </c>
      <c r="I174" s="291">
        <f t="shared" si="5"/>
        <v>0</v>
      </c>
      <c r="J174" s="218" t="s">
        <v>1067</v>
      </c>
      <c r="K174" s="267"/>
    </row>
    <row r="175" spans="1:11" ht="15">
      <c r="A175" s="663" t="s">
        <v>90</v>
      </c>
      <c r="B175" s="144">
        <v>5757000</v>
      </c>
      <c r="C175" s="656"/>
      <c r="D175" s="656"/>
      <c r="E175" s="656"/>
      <c r="F175" s="656"/>
      <c r="G175" s="656"/>
      <c r="H175" s="244">
        <v>0</v>
      </c>
      <c r="I175" s="291">
        <f t="shared" si="5"/>
        <v>0</v>
      </c>
      <c r="J175" s="218" t="s">
        <v>738</v>
      </c>
      <c r="K175" s="267"/>
    </row>
    <row r="176" spans="1:11" ht="15">
      <c r="A176" s="663" t="s">
        <v>91</v>
      </c>
      <c r="B176" s="144">
        <v>5550040</v>
      </c>
      <c r="C176" s="656"/>
      <c r="D176" s="656"/>
      <c r="E176" s="656"/>
      <c r="F176" s="656"/>
      <c r="G176" s="656"/>
      <c r="H176" s="244">
        <v>1.01</v>
      </c>
      <c r="I176" s="291">
        <f t="shared" si="5"/>
        <v>0</v>
      </c>
      <c r="J176" s="218" t="s">
        <v>1067</v>
      </c>
      <c r="K176" s="267"/>
    </row>
    <row r="177" spans="1:11" ht="15">
      <c r="A177" s="663" t="s">
        <v>91</v>
      </c>
      <c r="B177" s="144">
        <v>5550039</v>
      </c>
      <c r="C177" s="656"/>
      <c r="D177" s="656"/>
      <c r="E177" s="656"/>
      <c r="F177" s="656"/>
      <c r="G177" s="656"/>
      <c r="H177" s="244">
        <v>0.06</v>
      </c>
      <c r="I177" s="291">
        <f t="shared" si="5"/>
        <v>0</v>
      </c>
      <c r="J177" s="218" t="s">
        <v>738</v>
      </c>
      <c r="K177" s="267"/>
    </row>
    <row r="178" spans="1:11" ht="15">
      <c r="A178" s="663" t="s">
        <v>92</v>
      </c>
      <c r="B178" s="144">
        <v>5614001</v>
      </c>
      <c r="C178" s="656"/>
      <c r="D178" s="656"/>
      <c r="E178" s="656"/>
      <c r="F178" s="656"/>
      <c r="G178" s="656"/>
      <c r="H178" s="244">
        <v>0</v>
      </c>
      <c r="I178" s="291">
        <f t="shared" si="5"/>
        <v>0</v>
      </c>
      <c r="J178" s="218" t="s">
        <v>1067</v>
      </c>
      <c r="K178" s="267"/>
    </row>
    <row r="179" spans="1:11" ht="15">
      <c r="A179" s="663" t="s">
        <v>92</v>
      </c>
      <c r="B179" s="144">
        <v>5614000</v>
      </c>
      <c r="C179" s="656"/>
      <c r="D179" s="656"/>
      <c r="E179" s="656"/>
      <c r="F179" s="656"/>
      <c r="G179" s="656"/>
      <c r="H179" s="244">
        <v>0</v>
      </c>
      <c r="I179" s="291">
        <f t="shared" si="5"/>
        <v>0</v>
      </c>
      <c r="J179" s="218" t="s">
        <v>738</v>
      </c>
      <c r="K179" s="267"/>
    </row>
    <row r="180" spans="1:11" ht="15">
      <c r="A180" s="663" t="s">
        <v>1018</v>
      </c>
      <c r="B180" s="144">
        <v>5618001</v>
      </c>
      <c r="C180" s="656"/>
      <c r="D180" s="656"/>
      <c r="E180" s="656"/>
      <c r="F180" s="656"/>
      <c r="G180" s="656"/>
      <c r="H180" s="244">
        <v>0</v>
      </c>
      <c r="I180" s="291">
        <f t="shared" si="5"/>
        <v>0</v>
      </c>
      <c r="J180" s="218" t="s">
        <v>1067</v>
      </c>
      <c r="K180" s="267"/>
    </row>
    <row r="181" spans="1:11" ht="15">
      <c r="A181" s="663" t="s">
        <v>1018</v>
      </c>
      <c r="B181" s="144">
        <v>5618000</v>
      </c>
      <c r="C181" s="656"/>
      <c r="D181" s="656"/>
      <c r="E181" s="656"/>
      <c r="F181" s="656"/>
      <c r="G181" s="656"/>
      <c r="H181" s="244">
        <v>0</v>
      </c>
      <c r="I181" s="291">
        <f t="shared" si="5"/>
        <v>0</v>
      </c>
      <c r="J181" s="218" t="s">
        <v>738</v>
      </c>
      <c r="K181" s="267"/>
    </row>
    <row r="182" spans="1:11" ht="15">
      <c r="A182" s="663" t="s">
        <v>93</v>
      </c>
      <c r="B182" s="144">
        <v>5614001</v>
      </c>
      <c r="C182" s="656"/>
      <c r="D182" s="656"/>
      <c r="E182" s="656"/>
      <c r="F182" s="656"/>
      <c r="G182" s="656"/>
      <c r="H182" s="244">
        <v>0</v>
      </c>
      <c r="I182" s="291">
        <f t="shared" si="5"/>
        <v>0</v>
      </c>
      <c r="J182" s="218" t="s">
        <v>1067</v>
      </c>
      <c r="K182" s="267"/>
    </row>
    <row r="183" spans="1:11" ht="15">
      <c r="A183" s="663" t="s">
        <v>93</v>
      </c>
      <c r="B183" s="144">
        <v>5614000</v>
      </c>
      <c r="C183" s="656"/>
      <c r="D183" s="656"/>
      <c r="E183" s="656"/>
      <c r="F183" s="656"/>
      <c r="G183" s="656"/>
      <c r="H183" s="244">
        <v>0</v>
      </c>
      <c r="I183" s="291">
        <f t="shared" si="5"/>
        <v>0</v>
      </c>
      <c r="J183" s="218" t="s">
        <v>738</v>
      </c>
      <c r="K183" s="267"/>
    </row>
    <row r="184" spans="1:11" ht="15">
      <c r="A184" s="663" t="s">
        <v>1019</v>
      </c>
      <c r="B184" s="144">
        <v>5618001</v>
      </c>
      <c r="C184" s="656"/>
      <c r="D184" s="656"/>
      <c r="E184" s="656"/>
      <c r="F184" s="656"/>
      <c r="G184" s="656"/>
      <c r="H184" s="244">
        <v>0</v>
      </c>
      <c r="I184" s="291">
        <f t="shared" si="5"/>
        <v>0</v>
      </c>
      <c r="J184" s="218" t="s">
        <v>1067</v>
      </c>
      <c r="K184" s="267"/>
    </row>
    <row r="185" spans="1:11" ht="15">
      <c r="A185" s="663" t="s">
        <v>1019</v>
      </c>
      <c r="B185" s="144">
        <v>5618000</v>
      </c>
      <c r="C185" s="656"/>
      <c r="D185" s="656"/>
      <c r="E185" s="656"/>
      <c r="F185" s="656"/>
      <c r="G185" s="656"/>
      <c r="H185" s="244">
        <v>0</v>
      </c>
      <c r="I185" s="291">
        <f t="shared" si="5"/>
        <v>0</v>
      </c>
      <c r="J185" s="218" t="s">
        <v>738</v>
      </c>
      <c r="K185" s="267"/>
    </row>
    <row r="186" spans="1:11" ht="15">
      <c r="A186" s="663" t="s">
        <v>94</v>
      </c>
      <c r="B186" s="144">
        <v>4561002</v>
      </c>
      <c r="C186" s="656"/>
      <c r="D186" s="656"/>
      <c r="E186" s="656"/>
      <c r="F186" s="656"/>
      <c r="G186" s="656"/>
      <c r="H186" s="244">
        <v>0</v>
      </c>
      <c r="I186" s="291">
        <f t="shared" si="5"/>
        <v>0</v>
      </c>
      <c r="J186" s="218" t="s">
        <v>1067</v>
      </c>
      <c r="K186" s="267"/>
    </row>
    <row r="187" spans="1:11" ht="15">
      <c r="A187" s="663" t="s">
        <v>840</v>
      </c>
      <c r="B187" s="144">
        <v>5550083</v>
      </c>
      <c r="C187" s="656"/>
      <c r="D187" s="656"/>
      <c r="E187" s="656"/>
      <c r="F187" s="656"/>
      <c r="G187" s="656"/>
      <c r="H187" s="244">
        <v>-0.18</v>
      </c>
      <c r="I187" s="291">
        <f t="shared" si="5"/>
        <v>0</v>
      </c>
      <c r="J187" s="218" t="s">
        <v>1067</v>
      </c>
      <c r="K187" s="267"/>
    </row>
    <row r="188" spans="1:11" ht="15">
      <c r="A188" s="663" t="s">
        <v>164</v>
      </c>
      <c r="B188" s="144">
        <v>5550083</v>
      </c>
      <c r="C188" s="656"/>
      <c r="D188" s="656"/>
      <c r="E188" s="656"/>
      <c r="F188" s="656"/>
      <c r="G188" s="656"/>
      <c r="H188" s="244">
        <v>0</v>
      </c>
      <c r="I188" s="291">
        <f t="shared" si="5"/>
        <v>0</v>
      </c>
      <c r="J188" s="218" t="s">
        <v>1067</v>
      </c>
      <c r="K188" s="267"/>
    </row>
    <row r="189" spans="1:11" ht="15">
      <c r="A189" s="663" t="s">
        <v>1977</v>
      </c>
      <c r="B189" s="144">
        <v>5550041</v>
      </c>
      <c r="C189" s="656"/>
      <c r="D189" s="656"/>
      <c r="E189" s="656"/>
      <c r="F189" s="656"/>
      <c r="G189" s="656"/>
      <c r="H189" s="244">
        <v>0</v>
      </c>
      <c r="I189" s="291">
        <f t="shared" si="5"/>
        <v>0</v>
      </c>
      <c r="J189" s="218" t="s">
        <v>1067</v>
      </c>
      <c r="K189" s="267"/>
    </row>
    <row r="190" spans="1:11" ht="15">
      <c r="A190" s="663" t="s">
        <v>1775</v>
      </c>
      <c r="B190" s="144">
        <v>5650012</v>
      </c>
      <c r="C190" s="656"/>
      <c r="D190" s="656"/>
      <c r="E190" s="656"/>
      <c r="F190" s="656"/>
      <c r="G190" s="656"/>
      <c r="H190" s="244">
        <v>0</v>
      </c>
      <c r="I190" s="291">
        <f t="shared" si="5"/>
        <v>0</v>
      </c>
      <c r="J190" s="218" t="s">
        <v>1067</v>
      </c>
      <c r="K190" s="267"/>
    </row>
    <row r="191" spans="1:11" ht="15">
      <c r="A191" s="663" t="s">
        <v>1776</v>
      </c>
      <c r="B191" s="144">
        <v>5550076</v>
      </c>
      <c r="C191" s="656"/>
      <c r="D191" s="656"/>
      <c r="E191" s="656"/>
      <c r="F191" s="656"/>
      <c r="G191" s="656"/>
      <c r="H191" s="244">
        <v>0</v>
      </c>
      <c r="I191" s="291">
        <f t="shared" si="5"/>
        <v>0</v>
      </c>
      <c r="J191" s="218" t="s">
        <v>1067</v>
      </c>
      <c r="K191" s="267"/>
    </row>
    <row r="192" spans="1:11" ht="15">
      <c r="A192" s="663" t="s">
        <v>1366</v>
      </c>
      <c r="B192" s="144">
        <v>4561005</v>
      </c>
      <c r="C192" s="656"/>
      <c r="D192" s="656"/>
      <c r="E192" s="656"/>
      <c r="F192" s="656"/>
      <c r="G192" s="656"/>
      <c r="H192" s="244">
        <v>0</v>
      </c>
      <c r="I192" s="291">
        <f t="shared" si="5"/>
        <v>0</v>
      </c>
      <c r="J192" s="218" t="s">
        <v>1067</v>
      </c>
      <c r="K192" s="267"/>
    </row>
    <row r="193" spans="1:11" ht="15">
      <c r="A193" s="663" t="s">
        <v>1367</v>
      </c>
      <c r="B193" s="144">
        <v>4470116</v>
      </c>
      <c r="C193" s="656"/>
      <c r="D193" s="656"/>
      <c r="E193" s="656"/>
      <c r="F193" s="656"/>
      <c r="G193" s="656"/>
      <c r="H193" s="244">
        <v>0</v>
      </c>
      <c r="I193" s="291">
        <f t="shared" si="5"/>
        <v>0</v>
      </c>
      <c r="J193" s="218" t="s">
        <v>1067</v>
      </c>
      <c r="K193" s="267"/>
    </row>
    <row r="194" spans="1:11" ht="15">
      <c r="A194" s="663" t="s">
        <v>1367</v>
      </c>
      <c r="B194" s="144">
        <v>4470115</v>
      </c>
      <c r="C194" s="656"/>
      <c r="D194" s="656"/>
      <c r="E194" s="656"/>
      <c r="F194" s="656"/>
      <c r="G194" s="656"/>
      <c r="H194" s="244">
        <v>0</v>
      </c>
      <c r="I194" s="291">
        <f t="shared" si="5"/>
        <v>0</v>
      </c>
      <c r="J194" s="218" t="s">
        <v>738</v>
      </c>
      <c r="K194" s="267"/>
    </row>
    <row r="195" spans="1:11" ht="15">
      <c r="A195" s="663" t="s">
        <v>1032</v>
      </c>
      <c r="B195" s="144">
        <v>4561005</v>
      </c>
      <c r="C195" s="656"/>
      <c r="D195" s="656"/>
      <c r="E195" s="656"/>
      <c r="F195" s="656"/>
      <c r="G195" s="656"/>
      <c r="H195" s="244">
        <v>-17.49</v>
      </c>
      <c r="I195" s="291">
        <f t="shared" si="5"/>
        <v>0</v>
      </c>
      <c r="J195" s="218" t="s">
        <v>1067</v>
      </c>
      <c r="K195" s="267"/>
    </row>
    <row r="196" spans="1:11" ht="15">
      <c r="A196" s="663" t="s">
        <v>1193</v>
      </c>
      <c r="B196" s="144">
        <v>5614001</v>
      </c>
      <c r="C196" s="656"/>
      <c r="D196" s="656"/>
      <c r="E196" s="656"/>
      <c r="F196" s="656"/>
      <c r="G196" s="656"/>
      <c r="H196" s="244">
        <v>0</v>
      </c>
      <c r="I196" s="291">
        <f t="shared" si="5"/>
        <v>0</v>
      </c>
      <c r="J196" s="218" t="s">
        <v>1067</v>
      </c>
      <c r="K196" s="267"/>
    </row>
    <row r="197" spans="1:11" ht="15">
      <c r="A197" s="663" t="s">
        <v>1193</v>
      </c>
      <c r="B197" s="144">
        <v>5614000</v>
      </c>
      <c r="C197" s="656"/>
      <c r="D197" s="656"/>
      <c r="E197" s="656"/>
      <c r="F197" s="656"/>
      <c r="G197" s="656"/>
      <c r="H197" s="244">
        <v>0</v>
      </c>
      <c r="I197" s="291">
        <f t="shared" si="5"/>
        <v>0</v>
      </c>
      <c r="J197" s="218" t="s">
        <v>738</v>
      </c>
      <c r="K197" s="267"/>
    </row>
    <row r="198" spans="1:11" ht="15">
      <c r="A198" s="663" t="s">
        <v>1358</v>
      </c>
      <c r="B198" s="144">
        <v>5550074</v>
      </c>
      <c r="C198" s="656"/>
      <c r="D198" s="656"/>
      <c r="E198" s="656"/>
      <c r="F198" s="656"/>
      <c r="G198" s="656"/>
      <c r="H198" s="244">
        <v>0</v>
      </c>
      <c r="I198" s="291">
        <f t="shared" si="5"/>
        <v>0</v>
      </c>
      <c r="J198" s="218" t="s">
        <v>1067</v>
      </c>
      <c r="K198" s="267"/>
    </row>
    <row r="199" spans="1:11" ht="15">
      <c r="A199" s="663" t="s">
        <v>1517</v>
      </c>
      <c r="B199" s="144">
        <v>4470107</v>
      </c>
      <c r="C199" s="656"/>
      <c r="D199" s="656"/>
      <c r="E199" s="656"/>
      <c r="F199" s="656"/>
      <c r="G199" s="656"/>
      <c r="H199" s="244">
        <v>-979.16</v>
      </c>
      <c r="I199" s="291">
        <f t="shared" si="5"/>
        <v>0</v>
      </c>
      <c r="J199" s="218" t="s">
        <v>738</v>
      </c>
      <c r="K199" s="267"/>
    </row>
    <row r="200" spans="1:11" ht="15">
      <c r="A200" s="663" t="s">
        <v>1359</v>
      </c>
      <c r="B200" s="144">
        <v>4470207</v>
      </c>
      <c r="C200" s="656"/>
      <c r="D200" s="656"/>
      <c r="E200" s="656"/>
      <c r="F200" s="656"/>
      <c r="G200" s="656"/>
      <c r="H200" s="244">
        <v>-0.07</v>
      </c>
      <c r="I200" s="291">
        <f t="shared" si="5"/>
        <v>0</v>
      </c>
      <c r="J200" s="218" t="s">
        <v>1067</v>
      </c>
      <c r="K200" s="267"/>
    </row>
    <row r="201" spans="1:11" ht="15">
      <c r="A201" s="663" t="s">
        <v>1078</v>
      </c>
      <c r="B201" s="144">
        <v>4470101</v>
      </c>
      <c r="C201" s="656"/>
      <c r="D201" s="656"/>
      <c r="E201" s="656"/>
      <c r="F201" s="656"/>
      <c r="G201" s="656"/>
      <c r="H201" s="244">
        <v>-51651.89</v>
      </c>
      <c r="I201" s="291">
        <f t="shared" si="5"/>
        <v>0</v>
      </c>
      <c r="J201" s="218" t="s">
        <v>1067</v>
      </c>
      <c r="K201" s="267"/>
    </row>
    <row r="202" spans="1:11" ht="15">
      <c r="A202" s="663" t="s">
        <v>1079</v>
      </c>
      <c r="B202" s="144">
        <v>4470203</v>
      </c>
      <c r="C202" s="656"/>
      <c r="D202" s="656"/>
      <c r="E202" s="656"/>
      <c r="F202" s="656"/>
      <c r="G202" s="656"/>
      <c r="H202" s="244">
        <v>11380.2162298</v>
      </c>
      <c r="I202" s="291">
        <f t="shared" si="5"/>
        <v>0</v>
      </c>
      <c r="J202" s="218" t="s">
        <v>1067</v>
      </c>
      <c r="K202" s="267"/>
    </row>
    <row r="203" spans="1:11" ht="15">
      <c r="A203" s="663" t="s">
        <v>1079</v>
      </c>
      <c r="B203" s="144">
        <v>4470098</v>
      </c>
      <c r="C203" s="656"/>
      <c r="D203" s="656"/>
      <c r="E203" s="656"/>
      <c r="F203" s="656"/>
      <c r="G203" s="656"/>
      <c r="H203" s="244">
        <v>786.8437702</v>
      </c>
      <c r="I203" s="291">
        <f t="shared" si="5"/>
        <v>0</v>
      </c>
      <c r="J203" s="218" t="s">
        <v>738</v>
      </c>
      <c r="K203" s="267"/>
    </row>
    <row r="204" spans="1:11" ht="15">
      <c r="A204" s="663" t="s">
        <v>1262</v>
      </c>
      <c r="B204" s="144">
        <v>4470203</v>
      </c>
      <c r="C204" s="656"/>
      <c r="D204" s="656"/>
      <c r="E204" s="656"/>
      <c r="F204" s="656"/>
      <c r="G204" s="656"/>
      <c r="H204" s="244">
        <v>4.35</v>
      </c>
      <c r="I204" s="291">
        <f t="shared" si="5"/>
        <v>0</v>
      </c>
      <c r="J204" s="218" t="s">
        <v>1067</v>
      </c>
      <c r="K204" s="267"/>
    </row>
    <row r="205" spans="1:11" ht="15">
      <c r="A205" s="663" t="s">
        <v>1262</v>
      </c>
      <c r="B205" s="144">
        <v>4470098</v>
      </c>
      <c r="C205" s="656"/>
      <c r="D205" s="656"/>
      <c r="E205" s="656"/>
      <c r="F205" s="656"/>
      <c r="G205" s="656"/>
      <c r="H205" s="244">
        <v>0.3</v>
      </c>
      <c r="I205" s="291">
        <f t="shared" si="5"/>
        <v>0</v>
      </c>
      <c r="J205" s="218" t="s">
        <v>738</v>
      </c>
      <c r="K205" s="267"/>
    </row>
    <row r="206" spans="1:11" ht="15">
      <c r="A206" s="663" t="s">
        <v>1080</v>
      </c>
      <c r="B206" s="144">
        <v>4470093</v>
      </c>
      <c r="C206" s="656"/>
      <c r="D206" s="656"/>
      <c r="E206" s="656"/>
      <c r="F206" s="656"/>
      <c r="G206" s="656"/>
      <c r="H206" s="244">
        <v>13789.63</v>
      </c>
      <c r="I206" s="291">
        <f t="shared" si="5"/>
        <v>0</v>
      </c>
      <c r="J206" s="218" t="s">
        <v>1067</v>
      </c>
      <c r="K206" s="267"/>
    </row>
    <row r="207" spans="1:11" ht="15">
      <c r="A207" s="663" t="s">
        <v>1081</v>
      </c>
      <c r="B207" s="144">
        <v>4470207</v>
      </c>
      <c r="C207" s="656"/>
      <c r="D207" s="656"/>
      <c r="E207" s="656"/>
      <c r="F207" s="656"/>
      <c r="G207" s="656"/>
      <c r="H207" s="244">
        <v>7398.59</v>
      </c>
      <c r="I207" s="291">
        <f t="shared" si="5"/>
        <v>0</v>
      </c>
      <c r="J207" s="218" t="s">
        <v>1067</v>
      </c>
      <c r="K207" s="267"/>
    </row>
    <row r="208" spans="1:11" ht="15">
      <c r="A208" s="663" t="s">
        <v>1082</v>
      </c>
      <c r="B208" s="144">
        <v>5550076</v>
      </c>
      <c r="C208" s="656"/>
      <c r="D208" s="656"/>
      <c r="E208" s="656"/>
      <c r="F208" s="656"/>
      <c r="G208" s="656"/>
      <c r="H208" s="244">
        <v>108.61</v>
      </c>
      <c r="I208" s="291">
        <f t="shared" si="5"/>
        <v>0</v>
      </c>
      <c r="J208" s="218" t="s">
        <v>1067</v>
      </c>
      <c r="K208" s="267"/>
    </row>
    <row r="209" spans="1:11" ht="15">
      <c r="A209" s="663" t="s">
        <v>1260</v>
      </c>
      <c r="B209" s="144">
        <v>4470203</v>
      </c>
      <c r="C209" s="656"/>
      <c r="D209" s="656"/>
      <c r="E209" s="656"/>
      <c r="F209" s="656"/>
      <c r="G209" s="656"/>
      <c r="H209" s="244">
        <v>4776.5058308</v>
      </c>
      <c r="I209" s="291">
        <f t="shared" si="5"/>
        <v>0</v>
      </c>
      <c r="J209" s="218" t="s">
        <v>1067</v>
      </c>
      <c r="K209" s="267"/>
    </row>
    <row r="210" spans="1:11" ht="15">
      <c r="A210" s="663" t="s">
        <v>1260</v>
      </c>
      <c r="B210" s="144">
        <v>4470098</v>
      </c>
      <c r="C210" s="656"/>
      <c r="D210" s="656"/>
      <c r="E210" s="656"/>
      <c r="F210" s="656"/>
      <c r="G210" s="656"/>
      <c r="H210" s="244">
        <v>330.25416920000004</v>
      </c>
      <c r="I210" s="291">
        <f t="shared" si="5"/>
        <v>0</v>
      </c>
      <c r="J210" s="218" t="s">
        <v>738</v>
      </c>
      <c r="K210" s="267"/>
    </row>
    <row r="211" spans="1:11" ht="15">
      <c r="A211" s="663" t="s">
        <v>1194</v>
      </c>
      <c r="B211" s="144">
        <v>5550090</v>
      </c>
      <c r="C211" s="656"/>
      <c r="D211" s="656"/>
      <c r="E211" s="656"/>
      <c r="F211" s="656"/>
      <c r="G211" s="656"/>
      <c r="H211" s="244">
        <v>131.68</v>
      </c>
      <c r="I211" s="291">
        <f t="shared" si="5"/>
        <v>0</v>
      </c>
      <c r="J211" s="218" t="s">
        <v>1067</v>
      </c>
      <c r="K211" s="267"/>
    </row>
    <row r="212" spans="1:11" ht="15">
      <c r="A212" s="663" t="s">
        <v>1085</v>
      </c>
      <c r="B212" s="144">
        <v>4470093</v>
      </c>
      <c r="C212" s="656"/>
      <c r="D212" s="656"/>
      <c r="E212" s="656"/>
      <c r="F212" s="656"/>
      <c r="G212" s="656"/>
      <c r="H212" s="244">
        <v>-227699.63</v>
      </c>
      <c r="I212" s="291">
        <f t="shared" si="5"/>
        <v>0</v>
      </c>
      <c r="J212" s="218" t="s">
        <v>1067</v>
      </c>
      <c r="K212" s="267"/>
    </row>
    <row r="213" spans="1:11" ht="15">
      <c r="A213" s="663" t="s">
        <v>688</v>
      </c>
      <c r="B213" s="144">
        <v>4470207</v>
      </c>
      <c r="C213" s="656"/>
      <c r="D213" s="656"/>
      <c r="E213" s="656"/>
      <c r="F213" s="656"/>
      <c r="G213" s="656"/>
      <c r="H213" s="244">
        <v>-108811.32</v>
      </c>
      <c r="I213" s="291">
        <f t="shared" si="5"/>
        <v>0</v>
      </c>
      <c r="J213" s="218" t="s">
        <v>1067</v>
      </c>
      <c r="K213" s="267"/>
    </row>
    <row r="214" spans="1:11" ht="15">
      <c r="A214" s="663" t="s">
        <v>1200</v>
      </c>
      <c r="B214" s="144">
        <v>5757001</v>
      </c>
      <c r="C214" s="656"/>
      <c r="D214" s="656"/>
      <c r="E214" s="656"/>
      <c r="F214" s="656"/>
      <c r="G214" s="656"/>
      <c r="H214" s="244">
        <v>2120.44</v>
      </c>
      <c r="I214" s="291">
        <f t="shared" si="5"/>
        <v>0</v>
      </c>
      <c r="J214" s="218" t="s">
        <v>1067</v>
      </c>
      <c r="K214" s="267"/>
    </row>
    <row r="215" spans="1:11" ht="15">
      <c r="A215" s="663" t="s">
        <v>1200</v>
      </c>
      <c r="B215" s="144">
        <v>5757000</v>
      </c>
      <c r="C215" s="656"/>
      <c r="D215" s="656"/>
      <c r="E215" s="656"/>
      <c r="F215" s="656"/>
      <c r="G215" s="656"/>
      <c r="H215" s="244">
        <v>146.6</v>
      </c>
      <c r="I215" s="291">
        <f t="shared" si="5"/>
        <v>0</v>
      </c>
      <c r="J215" s="218" t="s">
        <v>738</v>
      </c>
      <c r="K215" s="267"/>
    </row>
    <row r="216" spans="1:11" ht="15">
      <c r="A216" s="663" t="s">
        <v>690</v>
      </c>
      <c r="B216" s="144">
        <v>4561005</v>
      </c>
      <c r="C216" s="656"/>
      <c r="D216" s="656"/>
      <c r="E216" s="656"/>
      <c r="F216" s="656"/>
      <c r="G216" s="656"/>
      <c r="H216" s="244">
        <v>-1495.14</v>
      </c>
      <c r="I216" s="291">
        <f t="shared" si="5"/>
        <v>0</v>
      </c>
      <c r="J216" s="218" t="s">
        <v>1067</v>
      </c>
      <c r="K216" s="267"/>
    </row>
    <row r="217" spans="1:11" ht="15">
      <c r="A217" s="663" t="s">
        <v>931</v>
      </c>
      <c r="B217" s="144">
        <v>5550040</v>
      </c>
      <c r="C217" s="656"/>
      <c r="D217" s="656"/>
      <c r="E217" s="656"/>
      <c r="F217" s="656"/>
      <c r="G217" s="656"/>
      <c r="H217" s="244">
        <v>-684.43</v>
      </c>
      <c r="I217" s="291">
        <f t="shared" si="5"/>
        <v>0</v>
      </c>
      <c r="J217" s="218" t="s">
        <v>1067</v>
      </c>
      <c r="K217" s="267"/>
    </row>
    <row r="218" spans="1:11" ht="15">
      <c r="A218" s="663" t="s">
        <v>931</v>
      </c>
      <c r="B218" s="144">
        <v>5550039</v>
      </c>
      <c r="C218" s="656"/>
      <c r="D218" s="656"/>
      <c r="E218" s="656"/>
      <c r="F218" s="656"/>
      <c r="G218" s="656"/>
      <c r="H218" s="244">
        <v>-47.33</v>
      </c>
      <c r="I218" s="291">
        <f t="shared" si="5"/>
        <v>0</v>
      </c>
      <c r="J218" s="218" t="s">
        <v>738</v>
      </c>
      <c r="K218" s="267"/>
    </row>
    <row r="219" spans="1:11" ht="15">
      <c r="A219" s="663" t="s">
        <v>1199</v>
      </c>
      <c r="B219" s="144">
        <v>5614001</v>
      </c>
      <c r="C219" s="656"/>
      <c r="D219" s="656"/>
      <c r="E219" s="656"/>
      <c r="F219" s="656"/>
      <c r="G219" s="656"/>
      <c r="H219" s="244">
        <v>179.64</v>
      </c>
      <c r="I219" s="291">
        <f t="shared" si="5"/>
        <v>0</v>
      </c>
      <c r="J219" s="218" t="s">
        <v>1067</v>
      </c>
      <c r="K219" s="267"/>
    </row>
    <row r="220" spans="1:11" ht="15">
      <c r="A220" s="663" t="s">
        <v>1199</v>
      </c>
      <c r="B220" s="144">
        <v>5614000</v>
      </c>
      <c r="C220" s="656"/>
      <c r="D220" s="656"/>
      <c r="E220" s="656"/>
      <c r="F220" s="656"/>
      <c r="G220" s="656"/>
      <c r="H220" s="244">
        <v>12.42</v>
      </c>
      <c r="I220" s="291">
        <f t="shared" si="5"/>
        <v>0</v>
      </c>
      <c r="J220" s="218" t="s">
        <v>738</v>
      </c>
      <c r="K220" s="267"/>
    </row>
    <row r="221" spans="1:11" ht="15">
      <c r="A221" s="663" t="s">
        <v>317</v>
      </c>
      <c r="B221" s="144">
        <v>4470116</v>
      </c>
      <c r="C221" s="656"/>
      <c r="D221" s="656"/>
      <c r="E221" s="656"/>
      <c r="F221" s="656"/>
      <c r="G221" s="656"/>
      <c r="H221" s="244">
        <v>0.77</v>
      </c>
      <c r="I221" s="291">
        <f t="shared" si="5"/>
        <v>0</v>
      </c>
      <c r="J221" s="218" t="s">
        <v>1067</v>
      </c>
      <c r="K221" s="267"/>
    </row>
    <row r="222" spans="1:11" ht="15">
      <c r="A222" s="663" t="s">
        <v>317</v>
      </c>
      <c r="B222" s="144">
        <v>4470115</v>
      </c>
      <c r="C222" s="656"/>
      <c r="D222" s="656"/>
      <c r="E222" s="656"/>
      <c r="F222" s="656"/>
      <c r="G222" s="656"/>
      <c r="H222" s="244">
        <v>0.05</v>
      </c>
      <c r="I222" s="291">
        <f t="shared" si="5"/>
        <v>0</v>
      </c>
      <c r="J222" s="218" t="s">
        <v>738</v>
      </c>
      <c r="K222" s="267"/>
    </row>
    <row r="223" spans="1:11" ht="15">
      <c r="A223" s="663" t="s">
        <v>694</v>
      </c>
      <c r="B223" s="144">
        <v>4561005</v>
      </c>
      <c r="C223" s="656"/>
      <c r="D223" s="656"/>
      <c r="E223" s="656"/>
      <c r="F223" s="656"/>
      <c r="G223" s="656"/>
      <c r="H223" s="244">
        <v>-844.35</v>
      </c>
      <c r="I223" s="291">
        <f t="shared" si="5"/>
        <v>0</v>
      </c>
      <c r="J223" s="218" t="s">
        <v>1067</v>
      </c>
      <c r="K223" s="267"/>
    </row>
    <row r="224" spans="1:11" ht="15">
      <c r="A224" s="663" t="s">
        <v>695</v>
      </c>
      <c r="B224" s="144">
        <v>5618001</v>
      </c>
      <c r="C224" s="656"/>
      <c r="D224" s="656"/>
      <c r="E224" s="656"/>
      <c r="F224" s="656"/>
      <c r="G224" s="656"/>
      <c r="H224" s="244">
        <v>275.25</v>
      </c>
      <c r="I224" s="291">
        <f t="shared" si="5"/>
        <v>0</v>
      </c>
      <c r="J224" s="218" t="s">
        <v>1067</v>
      </c>
      <c r="K224" s="267"/>
    </row>
    <row r="225" spans="1:11" ht="15">
      <c r="A225" s="663" t="s">
        <v>695</v>
      </c>
      <c r="B225" s="144">
        <v>5618000</v>
      </c>
      <c r="C225" s="656"/>
      <c r="D225" s="656"/>
      <c r="E225" s="656"/>
      <c r="F225" s="656"/>
      <c r="G225" s="656"/>
      <c r="H225" s="244">
        <v>19.03</v>
      </c>
      <c r="I225" s="291">
        <f t="shared" si="5"/>
        <v>0</v>
      </c>
      <c r="J225" s="218" t="s">
        <v>738</v>
      </c>
      <c r="K225" s="267"/>
    </row>
    <row r="226" spans="1:11" ht="15">
      <c r="A226" s="663" t="s">
        <v>1201</v>
      </c>
      <c r="B226" s="144">
        <v>5614001</v>
      </c>
      <c r="C226" s="656"/>
      <c r="D226" s="656"/>
      <c r="E226" s="656"/>
      <c r="F226" s="656"/>
      <c r="G226" s="656"/>
      <c r="H226" s="244">
        <v>18.68</v>
      </c>
      <c r="I226" s="291">
        <f t="shared" si="5"/>
        <v>0</v>
      </c>
      <c r="J226" s="218" t="s">
        <v>1067</v>
      </c>
      <c r="K226" s="267"/>
    </row>
    <row r="227" spans="1:11" ht="15">
      <c r="A227" s="663" t="s">
        <v>1201</v>
      </c>
      <c r="B227" s="144">
        <v>5614000</v>
      </c>
      <c r="C227" s="656"/>
      <c r="D227" s="656"/>
      <c r="E227" s="656"/>
      <c r="F227" s="656"/>
      <c r="G227" s="656"/>
      <c r="H227" s="244">
        <v>1.29</v>
      </c>
      <c r="I227" s="291">
        <f t="shared" si="5"/>
        <v>0</v>
      </c>
      <c r="J227" s="218" t="s">
        <v>738</v>
      </c>
      <c r="K227" s="267"/>
    </row>
    <row r="228" spans="1:11" ht="15">
      <c r="A228" s="663" t="s">
        <v>932</v>
      </c>
      <c r="B228" s="144">
        <v>5614001</v>
      </c>
      <c r="C228" s="656"/>
      <c r="D228" s="656"/>
      <c r="E228" s="656"/>
      <c r="F228" s="656"/>
      <c r="G228" s="656"/>
      <c r="H228" s="244">
        <v>6703.46</v>
      </c>
      <c r="I228" s="291">
        <f t="shared" si="5"/>
        <v>0</v>
      </c>
      <c r="J228" s="218" t="s">
        <v>1067</v>
      </c>
      <c r="K228" s="267"/>
    </row>
    <row r="229" spans="1:11" ht="15">
      <c r="A229" s="663" t="s">
        <v>932</v>
      </c>
      <c r="B229" s="144">
        <v>5614000</v>
      </c>
      <c r="C229" s="656"/>
      <c r="D229" s="656"/>
      <c r="E229" s="656"/>
      <c r="F229" s="656"/>
      <c r="G229" s="656"/>
      <c r="H229" s="244">
        <v>463.48</v>
      </c>
      <c r="I229" s="291">
        <f t="shared" si="5"/>
        <v>0</v>
      </c>
      <c r="J229" s="218" t="s">
        <v>738</v>
      </c>
      <c r="K229" s="267"/>
    </row>
    <row r="230" spans="1:11" ht="15">
      <c r="A230" s="663" t="s">
        <v>697</v>
      </c>
      <c r="B230" s="144">
        <v>5550074</v>
      </c>
      <c r="C230" s="656"/>
      <c r="D230" s="656"/>
      <c r="E230" s="656"/>
      <c r="F230" s="656"/>
      <c r="G230" s="656"/>
      <c r="H230" s="244">
        <v>5411.9</v>
      </c>
      <c r="I230" s="291">
        <f t="shared" si="5"/>
        <v>0</v>
      </c>
      <c r="J230" s="218" t="s">
        <v>1067</v>
      </c>
      <c r="K230" s="267"/>
    </row>
    <row r="231" spans="1:11" ht="15">
      <c r="A231" s="663" t="s">
        <v>1360</v>
      </c>
      <c r="B231" s="144">
        <v>4470203</v>
      </c>
      <c r="C231" s="656"/>
      <c r="D231" s="656"/>
      <c r="E231" s="656"/>
      <c r="F231" s="656"/>
      <c r="G231" s="656"/>
      <c r="H231" s="244">
        <v>380.3800044</v>
      </c>
      <c r="I231" s="291">
        <f t="shared" si="5"/>
        <v>0</v>
      </c>
      <c r="J231" s="218" t="s">
        <v>1067</v>
      </c>
      <c r="K231" s="267"/>
    </row>
    <row r="232" spans="1:11" ht="15">
      <c r="A232" s="663" t="s">
        <v>1360</v>
      </c>
      <c r="B232" s="144">
        <v>4470098</v>
      </c>
      <c r="C232" s="656"/>
      <c r="D232" s="656"/>
      <c r="E232" s="656"/>
      <c r="F232" s="656"/>
      <c r="G232" s="656"/>
      <c r="H232" s="244">
        <v>26.299995600000003</v>
      </c>
      <c r="I232" s="291">
        <f t="shared" si="5"/>
        <v>0</v>
      </c>
      <c r="J232" s="218" t="s">
        <v>738</v>
      </c>
      <c r="K232" s="267"/>
    </row>
    <row r="233" spans="1:11" ht="15">
      <c r="A233" s="663" t="s">
        <v>1064</v>
      </c>
      <c r="B233" s="144">
        <v>5550078</v>
      </c>
      <c r="C233" s="656"/>
      <c r="D233" s="656"/>
      <c r="E233" s="656"/>
      <c r="F233" s="656"/>
      <c r="G233" s="656"/>
      <c r="H233" s="244">
        <v>15555.12</v>
      </c>
      <c r="I233" s="291">
        <f t="shared" si="5"/>
        <v>0</v>
      </c>
      <c r="J233" s="218" t="s">
        <v>1067</v>
      </c>
      <c r="K233" s="267"/>
    </row>
    <row r="234" spans="1:11" ht="15">
      <c r="A234" s="663" t="s">
        <v>933</v>
      </c>
      <c r="B234" s="144">
        <v>5618001</v>
      </c>
      <c r="C234" s="656"/>
      <c r="D234" s="656"/>
      <c r="E234" s="656"/>
      <c r="F234" s="656"/>
      <c r="G234" s="656"/>
      <c r="H234" s="244">
        <v>502.92</v>
      </c>
      <c r="I234" s="291">
        <f t="shared" si="5"/>
        <v>0</v>
      </c>
      <c r="J234" s="218" t="s">
        <v>1067</v>
      </c>
      <c r="K234" s="267"/>
    </row>
    <row r="235" spans="1:11" ht="15">
      <c r="A235" s="663" t="s">
        <v>933</v>
      </c>
      <c r="B235" s="144">
        <v>5618000</v>
      </c>
      <c r="C235" s="656"/>
      <c r="D235" s="656"/>
      <c r="E235" s="656"/>
      <c r="F235" s="656"/>
      <c r="G235" s="656"/>
      <c r="H235" s="244">
        <v>34.77</v>
      </c>
      <c r="I235" s="291">
        <f t="shared" si="5"/>
        <v>0</v>
      </c>
      <c r="J235" s="218" t="s">
        <v>738</v>
      </c>
      <c r="K235" s="267"/>
    </row>
    <row r="236" spans="1:11" ht="15">
      <c r="A236" s="663" t="s">
        <v>1261</v>
      </c>
      <c r="B236" s="144">
        <v>5550083</v>
      </c>
      <c r="C236" s="656"/>
      <c r="D236" s="656"/>
      <c r="E236" s="656"/>
      <c r="F236" s="656"/>
      <c r="G236" s="656"/>
      <c r="H236" s="244">
        <v>650.56</v>
      </c>
      <c r="I236" s="291">
        <f t="shared" si="5"/>
        <v>0</v>
      </c>
      <c r="J236" s="218" t="s">
        <v>1067</v>
      </c>
      <c r="K236" s="267"/>
    </row>
    <row r="237" spans="1:11" ht="15">
      <c r="A237" s="663" t="s">
        <v>1263</v>
      </c>
      <c r="B237" s="144">
        <v>5550083</v>
      </c>
      <c r="C237" s="656"/>
      <c r="D237" s="656"/>
      <c r="E237" s="656"/>
      <c r="F237" s="656"/>
      <c r="G237" s="656"/>
      <c r="H237" s="244">
        <v>0</v>
      </c>
      <c r="I237" s="291">
        <f t="shared" si="5"/>
        <v>0</v>
      </c>
      <c r="J237" s="218" t="s">
        <v>1067</v>
      </c>
      <c r="K237" s="267"/>
    </row>
    <row r="238" spans="1:11" ht="15">
      <c r="A238" s="663" t="s">
        <v>1269</v>
      </c>
      <c r="B238" s="144">
        <v>5550041</v>
      </c>
      <c r="C238" s="656"/>
      <c r="D238" s="656"/>
      <c r="E238" s="656"/>
      <c r="F238" s="656"/>
      <c r="G238" s="656"/>
      <c r="H238" s="244">
        <v>19.8</v>
      </c>
      <c r="I238" s="291">
        <f t="shared" si="5"/>
        <v>0</v>
      </c>
      <c r="J238" s="218" t="s">
        <v>1067</v>
      </c>
      <c r="K238" s="267"/>
    </row>
    <row r="239" spans="1:11" ht="15">
      <c r="A239" s="663" t="s">
        <v>18</v>
      </c>
      <c r="B239" s="144">
        <v>5650012</v>
      </c>
      <c r="C239" s="656"/>
      <c r="D239" s="656"/>
      <c r="E239" s="656"/>
      <c r="F239" s="656"/>
      <c r="G239" s="656"/>
      <c r="H239" s="244">
        <v>3599.06</v>
      </c>
      <c r="I239" s="291">
        <f t="shared" si="5"/>
        <v>0</v>
      </c>
      <c r="J239" s="218" t="s">
        <v>1067</v>
      </c>
      <c r="K239" s="267"/>
    </row>
    <row r="240" spans="1:11" ht="15">
      <c r="A240" s="663" t="s">
        <v>1066</v>
      </c>
      <c r="B240" s="144">
        <v>4470208</v>
      </c>
      <c r="C240" s="656"/>
      <c r="D240" s="656"/>
      <c r="E240" s="656"/>
      <c r="F240" s="656"/>
      <c r="G240" s="656"/>
      <c r="H240" s="244"/>
      <c r="I240" s="291">
        <f t="shared" si="5"/>
        <v>0</v>
      </c>
      <c r="J240" s="218" t="s">
        <v>1067</v>
      </c>
      <c r="K240" s="267"/>
    </row>
    <row r="241" spans="1:11" ht="15">
      <c r="A241" s="663"/>
      <c r="B241" s="144"/>
      <c r="C241" s="267"/>
      <c r="D241" s="267"/>
      <c r="E241" s="267"/>
      <c r="F241" s="267"/>
      <c r="G241" s="267"/>
      <c r="H241" s="244"/>
      <c r="I241" s="291">
        <f t="shared" si="5"/>
        <v>0</v>
      </c>
      <c r="K241" s="267"/>
    </row>
    <row r="242" spans="1:11" ht="15">
      <c r="A242" s="663"/>
      <c r="B242" s="144"/>
      <c r="C242" s="267"/>
      <c r="D242" s="267"/>
      <c r="E242" s="267"/>
      <c r="F242" s="267"/>
      <c r="G242" s="267"/>
      <c r="H242" s="244"/>
      <c r="I242" s="291">
        <f t="shared" si="5"/>
        <v>0</v>
      </c>
      <c r="K242" s="267"/>
    </row>
    <row r="243" spans="1:11" ht="15">
      <c r="A243" s="441" t="s">
        <v>1871</v>
      </c>
      <c r="B243" s="144"/>
      <c r="C243" s="267"/>
      <c r="D243" s="267"/>
      <c r="E243" s="267"/>
      <c r="F243" s="267"/>
      <c r="G243" s="267"/>
      <c r="H243" s="244"/>
      <c r="I243" s="291">
        <f t="shared" si="5"/>
        <v>0</v>
      </c>
      <c r="K243" s="267">
        <f>IF(J243="East Zone SIA",I243,"")</f>
      </c>
    </row>
    <row r="244" spans="1:11" ht="15">
      <c r="A244" s="290" t="s">
        <v>1361</v>
      </c>
      <c r="B244" s="144">
        <v>4470093</v>
      </c>
      <c r="C244" s="656"/>
      <c r="D244" s="656"/>
      <c r="E244" s="656"/>
      <c r="F244" s="656"/>
      <c r="G244" s="656"/>
      <c r="H244" s="244"/>
      <c r="I244" s="291">
        <f t="shared" si="5"/>
        <v>0</v>
      </c>
      <c r="J244" t="s">
        <v>1067</v>
      </c>
      <c r="K244" s="267">
        <f>IF(J244="East Zone SIA",I244,"")</f>
      </c>
    </row>
    <row r="245" spans="1:11" ht="15">
      <c r="A245" s="290" t="s">
        <v>1920</v>
      </c>
      <c r="B245" s="144">
        <v>4470203</v>
      </c>
      <c r="C245" s="656"/>
      <c r="D245" s="656"/>
      <c r="E245" s="656"/>
      <c r="F245" s="656"/>
      <c r="G245" s="656"/>
      <c r="H245" s="244"/>
      <c r="I245" s="291">
        <f t="shared" si="5"/>
        <v>0</v>
      </c>
      <c r="J245" t="s">
        <v>1067</v>
      </c>
      <c r="K245" s="267">
        <f>IF(J245="East Zone SIA",I245,"")</f>
      </c>
    </row>
    <row r="246" spans="1:11" ht="15">
      <c r="A246" s="290" t="s">
        <v>1079</v>
      </c>
      <c r="B246" s="144">
        <v>4470203</v>
      </c>
      <c r="C246" s="656"/>
      <c r="D246" s="656"/>
      <c r="E246" s="656"/>
      <c r="F246" s="656"/>
      <c r="G246" s="656"/>
      <c r="H246" s="244"/>
      <c r="I246" s="291">
        <f aca="true" t="shared" si="6" ref="I246:I278">SUM(C246:G246)</f>
        <v>0</v>
      </c>
      <c r="J246" t="s">
        <v>1067</v>
      </c>
      <c r="K246" s="267">
        <f>IF(J246="East Zone SIA",I246,"")</f>
      </c>
    </row>
    <row r="247" spans="1:11" ht="15">
      <c r="A247" s="290" t="s">
        <v>1262</v>
      </c>
      <c r="B247" s="144">
        <v>4470203</v>
      </c>
      <c r="C247" s="656"/>
      <c r="D247" s="656"/>
      <c r="E247" s="656"/>
      <c r="F247" s="656"/>
      <c r="G247" s="656"/>
      <c r="H247" s="244"/>
      <c r="I247" s="291">
        <f t="shared" si="6"/>
        <v>0</v>
      </c>
      <c r="J247" t="s">
        <v>1067</v>
      </c>
      <c r="K247" s="267">
        <f>IF(J247="East Zone SIA",I247,"")</f>
      </c>
    </row>
    <row r="248" spans="1:12" ht="15">
      <c r="A248" s="290" t="s">
        <v>1080</v>
      </c>
      <c r="B248" s="144">
        <v>4470093</v>
      </c>
      <c r="C248" s="656"/>
      <c r="D248" s="656"/>
      <c r="E248" s="656"/>
      <c r="F248" s="656"/>
      <c r="G248" s="656"/>
      <c r="H248" s="244"/>
      <c r="I248" s="291">
        <f t="shared" si="6"/>
        <v>0</v>
      </c>
      <c r="J248" t="s">
        <v>1067</v>
      </c>
      <c r="K248" s="267"/>
      <c r="L248" s="676"/>
    </row>
    <row r="249" spans="1:12" ht="15">
      <c r="A249" s="290" t="s">
        <v>1081</v>
      </c>
      <c r="B249" s="144">
        <v>4470207</v>
      </c>
      <c r="C249" s="656"/>
      <c r="D249" s="656"/>
      <c r="E249" s="656"/>
      <c r="F249" s="656"/>
      <c r="G249" s="656"/>
      <c r="H249" s="244"/>
      <c r="I249" s="291">
        <f t="shared" si="6"/>
        <v>0</v>
      </c>
      <c r="J249" t="s">
        <v>1067</v>
      </c>
      <c r="K249" s="267">
        <f aca="true" t="shared" si="7" ref="K249:K254">IF(J249="East Zone SIA",I249,"")</f>
      </c>
      <c r="L249" s="676"/>
    </row>
    <row r="250" spans="1:11" ht="15">
      <c r="A250" s="290" t="s">
        <v>1085</v>
      </c>
      <c r="B250" s="144">
        <v>4470093</v>
      </c>
      <c r="C250" s="656"/>
      <c r="D250" s="656"/>
      <c r="E250" s="656"/>
      <c r="F250" s="656"/>
      <c r="G250" s="656"/>
      <c r="H250" s="244"/>
      <c r="I250" s="291">
        <f t="shared" si="6"/>
        <v>0</v>
      </c>
      <c r="J250" t="s">
        <v>1067</v>
      </c>
      <c r="K250" s="267">
        <f t="shared" si="7"/>
      </c>
    </row>
    <row r="251" spans="1:11" ht="15">
      <c r="A251" s="290" t="s">
        <v>688</v>
      </c>
      <c r="B251" s="144">
        <v>4470207</v>
      </c>
      <c r="C251" s="656"/>
      <c r="D251" s="656"/>
      <c r="E251" s="656"/>
      <c r="F251" s="656"/>
      <c r="G251" s="656"/>
      <c r="H251" s="244"/>
      <c r="I251" s="291">
        <f t="shared" si="6"/>
        <v>0</v>
      </c>
      <c r="J251" t="s">
        <v>1067</v>
      </c>
      <c r="K251" s="267">
        <f t="shared" si="7"/>
      </c>
    </row>
    <row r="252" spans="1:11" ht="15">
      <c r="A252" s="290" t="s">
        <v>1199</v>
      </c>
      <c r="B252" s="144">
        <v>5614001</v>
      </c>
      <c r="C252" s="656"/>
      <c r="D252" s="656"/>
      <c r="E252" s="656"/>
      <c r="F252" s="656"/>
      <c r="G252" s="656"/>
      <c r="H252" s="244"/>
      <c r="I252" s="291">
        <f t="shared" si="6"/>
        <v>0</v>
      </c>
      <c r="J252" t="s">
        <v>1067</v>
      </c>
      <c r="K252" s="267">
        <f t="shared" si="7"/>
      </c>
    </row>
    <row r="253" spans="1:11" ht="15">
      <c r="A253" s="290" t="s">
        <v>932</v>
      </c>
      <c r="B253" s="144">
        <v>5614001</v>
      </c>
      <c r="C253" s="656"/>
      <c r="D253" s="656"/>
      <c r="E253" s="656"/>
      <c r="F253" s="656"/>
      <c r="G253" s="656"/>
      <c r="H253" s="244"/>
      <c r="I253" s="291">
        <f t="shared" si="6"/>
        <v>0</v>
      </c>
      <c r="J253" t="s">
        <v>1067</v>
      </c>
      <c r="K253" s="267">
        <f t="shared" si="7"/>
      </c>
    </row>
    <row r="254" spans="1:13" ht="15" hidden="1">
      <c r="A254" s="290" t="s">
        <v>932</v>
      </c>
      <c r="B254" s="144"/>
      <c r="C254" s="656"/>
      <c r="D254" s="656"/>
      <c r="E254" s="656"/>
      <c r="F254" s="656"/>
      <c r="G254" s="656"/>
      <c r="H254" s="244"/>
      <c r="I254" s="291">
        <f t="shared" si="6"/>
        <v>0</v>
      </c>
      <c r="J254" t="s">
        <v>1067</v>
      </c>
      <c r="K254" s="267">
        <f t="shared" si="7"/>
      </c>
      <c r="M254" s="672">
        <f>SUM(I244:I254)</f>
        <v>0</v>
      </c>
    </row>
    <row r="255" spans="1:13" ht="15">
      <c r="A255" s="290"/>
      <c r="B255" s="144"/>
      <c r="C255" s="267"/>
      <c r="D255" s="267"/>
      <c r="E255" s="267"/>
      <c r="F255" s="267"/>
      <c r="G255" s="267"/>
      <c r="H255" s="244"/>
      <c r="I255" s="291"/>
      <c r="K255" s="267"/>
      <c r="M255" s="672"/>
    </row>
    <row r="256" spans="1:11" ht="15">
      <c r="A256" s="441" t="s">
        <v>234</v>
      </c>
      <c r="B256" s="144"/>
      <c r="C256" s="267"/>
      <c r="D256" s="267"/>
      <c r="E256" s="267"/>
      <c r="F256" s="267"/>
      <c r="G256" s="267"/>
      <c r="H256" s="244"/>
      <c r="I256" s="291"/>
      <c r="K256" s="267">
        <f>IF(J256="East Zone SIA",I256,"")</f>
      </c>
    </row>
    <row r="257" spans="1:11" ht="15">
      <c r="A257" s="290" t="s">
        <v>1920</v>
      </c>
      <c r="B257" s="144">
        <v>4470203</v>
      </c>
      <c r="C257" s="656"/>
      <c r="D257" s="656"/>
      <c r="E257" s="656"/>
      <c r="F257" s="656"/>
      <c r="G257" s="656"/>
      <c r="H257" s="244"/>
      <c r="I257" s="291">
        <f>SUM(C257:G257)</f>
        <v>0</v>
      </c>
      <c r="J257" t="s">
        <v>1067</v>
      </c>
      <c r="K257" s="267">
        <f>IF(J257="East Zone SIA",I257,"")</f>
      </c>
    </row>
    <row r="258" spans="1:11" ht="15">
      <c r="A258" s="290" t="s">
        <v>1079</v>
      </c>
      <c r="B258" s="144">
        <v>4470203</v>
      </c>
      <c r="C258" s="656"/>
      <c r="D258" s="656"/>
      <c r="E258" s="656"/>
      <c r="F258" s="656"/>
      <c r="G258" s="656"/>
      <c r="H258" s="244"/>
      <c r="I258" s="291">
        <f t="shared" si="6"/>
        <v>0</v>
      </c>
      <c r="J258" t="s">
        <v>1067</v>
      </c>
      <c r="K258" s="267">
        <f>IF(J258="East Zone SIA",I258,"")</f>
      </c>
    </row>
    <row r="259" spans="1:11" ht="15">
      <c r="A259" s="290" t="s">
        <v>1262</v>
      </c>
      <c r="B259" s="144">
        <v>4470203</v>
      </c>
      <c r="C259" s="656"/>
      <c r="D259" s="656"/>
      <c r="E259" s="656"/>
      <c r="F259" s="656"/>
      <c r="G259" s="656"/>
      <c r="H259" s="244"/>
      <c r="I259" s="291">
        <f t="shared" si="6"/>
        <v>0</v>
      </c>
      <c r="J259" t="s">
        <v>1067</v>
      </c>
      <c r="K259" s="267">
        <f>IF(J259="East Zone SIA",I259,"")</f>
      </c>
    </row>
    <row r="260" spans="1:11" ht="15">
      <c r="A260" s="290" t="s">
        <v>1080</v>
      </c>
      <c r="B260" s="144">
        <v>4470093</v>
      </c>
      <c r="C260" s="656"/>
      <c r="D260" s="656"/>
      <c r="E260" s="656"/>
      <c r="F260" s="656"/>
      <c r="G260" s="656"/>
      <c r="H260" s="244"/>
      <c r="I260" s="291">
        <f t="shared" si="6"/>
        <v>0</v>
      </c>
      <c r="J260" t="s">
        <v>1067</v>
      </c>
      <c r="K260" s="267"/>
    </row>
    <row r="261" spans="1:12" ht="15">
      <c r="A261" s="290" t="s">
        <v>1081</v>
      </c>
      <c r="B261" s="144">
        <v>4470207</v>
      </c>
      <c r="C261" s="656"/>
      <c r="D261" s="656"/>
      <c r="E261" s="656"/>
      <c r="F261" s="656"/>
      <c r="G261" s="656"/>
      <c r="H261" s="244"/>
      <c r="I261" s="291">
        <f t="shared" si="6"/>
        <v>0</v>
      </c>
      <c r="J261" t="s">
        <v>1067</v>
      </c>
      <c r="K261" s="267"/>
      <c r="L261" s="676"/>
    </row>
    <row r="262" spans="1:12" ht="15">
      <c r="A262" s="290" t="s">
        <v>1085</v>
      </c>
      <c r="B262" s="144">
        <v>4470093</v>
      </c>
      <c r="C262" s="656"/>
      <c r="D262" s="656"/>
      <c r="E262" s="656"/>
      <c r="F262" s="656"/>
      <c r="G262" s="656"/>
      <c r="H262" s="244"/>
      <c r="I262" s="291">
        <f t="shared" si="6"/>
        <v>0</v>
      </c>
      <c r="J262" t="s">
        <v>1067</v>
      </c>
      <c r="K262" s="267"/>
      <c r="L262" s="676"/>
    </row>
    <row r="263" spans="1:11" ht="15">
      <c r="A263" s="290" t="s">
        <v>688</v>
      </c>
      <c r="B263" s="144">
        <v>4470207</v>
      </c>
      <c r="C263" s="656"/>
      <c r="D263" s="656"/>
      <c r="E263" s="656"/>
      <c r="F263" s="656"/>
      <c r="G263" s="656"/>
      <c r="H263" s="244"/>
      <c r="I263" s="291">
        <f t="shared" si="6"/>
        <v>0</v>
      </c>
      <c r="J263" t="s">
        <v>1067</v>
      </c>
      <c r="K263" s="267">
        <f>IF(J263="East Zone SIA",I263,"")</f>
      </c>
    </row>
    <row r="264" spans="1:11" ht="15">
      <c r="A264" s="290" t="s">
        <v>317</v>
      </c>
      <c r="B264" s="144">
        <v>4470116</v>
      </c>
      <c r="C264" s="656"/>
      <c r="D264" s="656"/>
      <c r="E264" s="656"/>
      <c r="F264" s="656"/>
      <c r="G264" s="656"/>
      <c r="H264" s="244"/>
      <c r="I264" s="291">
        <f t="shared" si="6"/>
        <v>0</v>
      </c>
      <c r="J264" t="s">
        <v>1067</v>
      </c>
      <c r="K264" s="267">
        <f>IF(J264="East Zone SIA",I264,"")</f>
      </c>
    </row>
    <row r="265" spans="1:11" ht="15">
      <c r="A265" s="290" t="s">
        <v>1199</v>
      </c>
      <c r="B265" s="144">
        <v>5757001</v>
      </c>
      <c r="C265" s="656"/>
      <c r="D265" s="656"/>
      <c r="E265" s="656"/>
      <c r="F265" s="656"/>
      <c r="G265" s="656"/>
      <c r="H265" s="244"/>
      <c r="I265" s="291">
        <f t="shared" si="6"/>
        <v>0</v>
      </c>
      <c r="J265" t="s">
        <v>1067</v>
      </c>
      <c r="K265" s="267">
        <f>IF(J265="East Zone SIA",I265,"")</f>
      </c>
    </row>
    <row r="266" spans="1:13" ht="15">
      <c r="A266" s="290" t="s">
        <v>932</v>
      </c>
      <c r="B266" s="144">
        <v>5614001</v>
      </c>
      <c r="C266" s="656"/>
      <c r="D266" s="656"/>
      <c r="E266" s="656"/>
      <c r="F266" s="656"/>
      <c r="G266" s="656"/>
      <c r="H266" s="244"/>
      <c r="I266" s="291">
        <f t="shared" si="6"/>
        <v>0</v>
      </c>
      <c r="J266" t="s">
        <v>1067</v>
      </c>
      <c r="K266" s="267">
        <f>IF(J266="East Zone SIA",I266,"")</f>
      </c>
      <c r="L266" s="621" t="s">
        <v>319</v>
      </c>
      <c r="M266" s="672">
        <f>SUM(K257:K266)</f>
        <v>0</v>
      </c>
    </row>
    <row r="267" spans="1:13" ht="15">
      <c r="A267" s="290"/>
      <c r="B267" s="144"/>
      <c r="C267" s="267"/>
      <c r="D267" s="267"/>
      <c r="E267" s="267"/>
      <c r="F267" s="267"/>
      <c r="G267" s="267"/>
      <c r="H267" s="244"/>
      <c r="I267" s="291"/>
      <c r="K267" s="267"/>
      <c r="L267" s="621" t="s">
        <v>1279</v>
      </c>
      <c r="M267" s="672">
        <f>-SUM(I257:I266)</f>
        <v>0</v>
      </c>
    </row>
    <row r="268" spans="1:12" s="218" customFormat="1" ht="15">
      <c r="A268" s="441" t="s">
        <v>233</v>
      </c>
      <c r="B268" s="392"/>
      <c r="C268" s="267"/>
      <c r="D268" s="267"/>
      <c r="E268" s="267"/>
      <c r="F268" s="267"/>
      <c r="G268" s="267"/>
      <c r="H268" s="245"/>
      <c r="I268" s="291">
        <f t="shared" si="6"/>
        <v>0</v>
      </c>
      <c r="K268" s="267"/>
      <c r="L268" s="669"/>
    </row>
    <row r="269" spans="1:12" ht="15">
      <c r="A269" s="290" t="s">
        <v>1920</v>
      </c>
      <c r="B269" s="144">
        <v>4470203</v>
      </c>
      <c r="C269" s="656"/>
      <c r="D269" s="656"/>
      <c r="E269" s="656"/>
      <c r="F269" s="656"/>
      <c r="G269" s="656"/>
      <c r="H269" s="244"/>
      <c r="I269" s="291">
        <f t="shared" si="6"/>
        <v>0</v>
      </c>
      <c r="J269" t="s">
        <v>1067</v>
      </c>
      <c r="K269" s="267">
        <f>IF(J269="East Zone SIA",I269,"")</f>
      </c>
      <c r="L269" s="621"/>
    </row>
    <row r="270" spans="1:12" ht="15">
      <c r="A270" s="290" t="s">
        <v>1079</v>
      </c>
      <c r="B270" s="144">
        <v>4470203</v>
      </c>
      <c r="C270" s="656"/>
      <c r="D270" s="656"/>
      <c r="E270" s="656"/>
      <c r="F270" s="656"/>
      <c r="G270" s="656"/>
      <c r="H270" s="244"/>
      <c r="I270" s="291">
        <f t="shared" si="6"/>
        <v>0</v>
      </c>
      <c r="J270" t="s">
        <v>1067</v>
      </c>
      <c r="K270" s="267">
        <f>IF(J270="East Zone SIA",I270,"")</f>
      </c>
      <c r="L270" s="621"/>
    </row>
    <row r="271" spans="1:12" ht="15">
      <c r="A271" s="290" t="s">
        <v>1262</v>
      </c>
      <c r="B271" s="144">
        <v>4470203</v>
      </c>
      <c r="C271" s="656"/>
      <c r="D271" s="656"/>
      <c r="E271" s="656"/>
      <c r="F271" s="656"/>
      <c r="G271" s="656"/>
      <c r="H271" s="244"/>
      <c r="I271" s="291">
        <f t="shared" si="6"/>
        <v>0</v>
      </c>
      <c r="J271" t="s">
        <v>1067</v>
      </c>
      <c r="K271" s="267">
        <f>IF(J271="East Zone SIA",I271,"")</f>
      </c>
      <c r="L271" s="621"/>
    </row>
    <row r="272" spans="1:12" ht="15">
      <c r="A272" s="290" t="s">
        <v>1080</v>
      </c>
      <c r="B272" s="144">
        <v>4470093</v>
      </c>
      <c r="C272" s="656"/>
      <c r="D272" s="656"/>
      <c r="E272" s="656"/>
      <c r="F272" s="656"/>
      <c r="G272" s="656"/>
      <c r="H272" s="244"/>
      <c r="I272" s="291">
        <f t="shared" si="6"/>
        <v>0</v>
      </c>
      <c r="J272" t="s">
        <v>1067</v>
      </c>
      <c r="K272" s="267"/>
      <c r="L272" s="679"/>
    </row>
    <row r="273" spans="1:12" ht="15">
      <c r="A273" s="290" t="s">
        <v>1081</v>
      </c>
      <c r="B273" s="144">
        <v>4470207</v>
      </c>
      <c r="C273" s="656"/>
      <c r="D273" s="656"/>
      <c r="E273" s="656"/>
      <c r="F273" s="656"/>
      <c r="G273" s="656"/>
      <c r="H273" s="244"/>
      <c r="I273" s="291">
        <f t="shared" si="6"/>
        <v>0</v>
      </c>
      <c r="J273" t="s">
        <v>1067</v>
      </c>
      <c r="K273" s="267"/>
      <c r="L273" s="679"/>
    </row>
    <row r="274" spans="1:12" ht="15">
      <c r="A274" s="290" t="s">
        <v>1085</v>
      </c>
      <c r="B274" s="144">
        <v>4470093</v>
      </c>
      <c r="C274" s="656"/>
      <c r="D274" s="656"/>
      <c r="E274" s="656"/>
      <c r="F274" s="656"/>
      <c r="G274" s="656"/>
      <c r="H274" s="244"/>
      <c r="I274" s="291">
        <f t="shared" si="6"/>
        <v>0</v>
      </c>
      <c r="J274" t="s">
        <v>1067</v>
      </c>
      <c r="K274" s="267">
        <f aca="true" t="shared" si="8" ref="K274:K287">IF(J274="East Zone SIA",I274,"")</f>
      </c>
      <c r="L274" s="621"/>
    </row>
    <row r="275" spans="1:12" ht="15">
      <c r="A275" s="290" t="s">
        <v>688</v>
      </c>
      <c r="B275" s="144">
        <v>4470207</v>
      </c>
      <c r="C275" s="656"/>
      <c r="D275" s="656"/>
      <c r="E275" s="656"/>
      <c r="F275" s="656"/>
      <c r="G275" s="656"/>
      <c r="H275" s="244"/>
      <c r="I275" s="291">
        <f t="shared" si="6"/>
        <v>0</v>
      </c>
      <c r="J275" t="s">
        <v>1067</v>
      </c>
      <c r="K275" s="267">
        <f t="shared" si="8"/>
      </c>
      <c r="L275" s="621"/>
    </row>
    <row r="276" spans="1:12" ht="15">
      <c r="A276" s="290" t="s">
        <v>1199</v>
      </c>
      <c r="B276" s="144">
        <v>5757001</v>
      </c>
      <c r="C276" s="656"/>
      <c r="D276" s="656"/>
      <c r="E276" s="656"/>
      <c r="F276" s="656"/>
      <c r="G276" s="656"/>
      <c r="H276" s="244"/>
      <c r="I276" s="291">
        <f t="shared" si="6"/>
        <v>0</v>
      </c>
      <c r="J276" t="s">
        <v>1067</v>
      </c>
      <c r="K276" s="267">
        <f t="shared" si="8"/>
      </c>
      <c r="L276" s="621"/>
    </row>
    <row r="277" spans="1:12" ht="15">
      <c r="A277" s="290" t="s">
        <v>317</v>
      </c>
      <c r="B277" s="144">
        <v>4470116</v>
      </c>
      <c r="C277" s="656"/>
      <c r="D277" s="656"/>
      <c r="E277" s="656"/>
      <c r="F277" s="656"/>
      <c r="G277" s="656"/>
      <c r="H277" s="244"/>
      <c r="I277" s="291">
        <f t="shared" si="6"/>
        <v>0</v>
      </c>
      <c r="J277" t="s">
        <v>1067</v>
      </c>
      <c r="K277" s="267"/>
      <c r="L277" s="621"/>
    </row>
    <row r="278" spans="1:13" ht="15">
      <c r="A278" s="290" t="s">
        <v>932</v>
      </c>
      <c r="B278" s="144">
        <v>5614001</v>
      </c>
      <c r="C278" s="656"/>
      <c r="D278" s="656"/>
      <c r="E278" s="656"/>
      <c r="F278" s="656"/>
      <c r="G278" s="656"/>
      <c r="H278" s="244"/>
      <c r="I278" s="291">
        <f t="shared" si="6"/>
        <v>0</v>
      </c>
      <c r="J278" t="s">
        <v>1067</v>
      </c>
      <c r="K278" s="267">
        <f t="shared" si="8"/>
      </c>
      <c r="L278" s="621" t="s">
        <v>319</v>
      </c>
      <c r="M278" s="382">
        <f>SUM(K269:K278)</f>
        <v>0</v>
      </c>
    </row>
    <row r="279" spans="1:13" ht="15">
      <c r="A279" s="663"/>
      <c r="B279" s="144"/>
      <c r="C279" s="267"/>
      <c r="D279" s="267"/>
      <c r="E279" s="267"/>
      <c r="F279" s="267"/>
      <c r="G279" s="267"/>
      <c r="H279" s="244"/>
      <c r="I279" s="291"/>
      <c r="K279" s="267">
        <f t="shared" si="8"/>
      </c>
      <c r="L279" s="621" t="s">
        <v>1279</v>
      </c>
      <c r="M279" s="672">
        <f>-SUM(I269:I278)</f>
        <v>0</v>
      </c>
    </row>
    <row r="280" spans="1:11" ht="15">
      <c r="A280" s="441" t="s">
        <v>1870</v>
      </c>
      <c r="B280" s="144"/>
      <c r="C280" s="267"/>
      <c r="D280" s="267"/>
      <c r="E280" s="267"/>
      <c r="F280" s="267"/>
      <c r="G280" s="267"/>
      <c r="H280" s="244"/>
      <c r="I280" s="291"/>
      <c r="K280" s="267">
        <f t="shared" si="8"/>
      </c>
    </row>
    <row r="281" spans="1:11" s="666" customFormat="1" ht="16.5">
      <c r="A281" s="290" t="s">
        <v>1361</v>
      </c>
      <c r="B281" s="144">
        <v>5550084</v>
      </c>
      <c r="C281" s="656"/>
      <c r="D281" s="656"/>
      <c r="E281" s="656"/>
      <c r="F281" s="656"/>
      <c r="G281" s="656"/>
      <c r="H281" s="665"/>
      <c r="I281" s="291">
        <f aca="true" t="shared" si="9" ref="I281:I303">SUM(C281:G281)</f>
        <v>0</v>
      </c>
      <c r="J281" s="668" t="s">
        <v>1067</v>
      </c>
      <c r="K281" s="667">
        <f t="shared" si="8"/>
      </c>
    </row>
    <row r="282" spans="1:11" s="666" customFormat="1" ht="16.5">
      <c r="A282" s="290" t="s">
        <v>1920</v>
      </c>
      <c r="B282" s="144">
        <v>4470203</v>
      </c>
      <c r="C282" s="656"/>
      <c r="D282" s="656"/>
      <c r="E282" s="656"/>
      <c r="F282" s="656"/>
      <c r="G282" s="656"/>
      <c r="H282" s="665"/>
      <c r="I282" s="291">
        <f t="shared" si="9"/>
        <v>0</v>
      </c>
      <c r="J282" s="668" t="s">
        <v>1067</v>
      </c>
      <c r="K282" s="667">
        <f t="shared" si="8"/>
      </c>
    </row>
    <row r="283" spans="1:11" s="666" customFormat="1" ht="16.5">
      <c r="A283" s="290" t="s">
        <v>1079</v>
      </c>
      <c r="B283" s="144">
        <v>4470203</v>
      </c>
      <c r="C283" s="656"/>
      <c r="D283" s="656"/>
      <c r="E283" s="656"/>
      <c r="F283" s="656"/>
      <c r="G283" s="656"/>
      <c r="H283" s="665"/>
      <c r="I283" s="291">
        <f t="shared" si="9"/>
        <v>0</v>
      </c>
      <c r="J283" s="668" t="s">
        <v>1067</v>
      </c>
      <c r="K283" s="667">
        <f t="shared" si="8"/>
      </c>
    </row>
    <row r="284" spans="1:11" s="666" customFormat="1" ht="16.5">
      <c r="A284" s="290" t="s">
        <v>1262</v>
      </c>
      <c r="B284" s="144">
        <v>4470203</v>
      </c>
      <c r="C284" s="656"/>
      <c r="D284" s="656"/>
      <c r="E284" s="656"/>
      <c r="F284" s="656"/>
      <c r="G284" s="656"/>
      <c r="H284" s="665"/>
      <c r="I284" s="291">
        <f t="shared" si="9"/>
        <v>0</v>
      </c>
      <c r="J284" s="668" t="s">
        <v>1067</v>
      </c>
      <c r="K284" s="667">
        <f t="shared" si="8"/>
      </c>
    </row>
    <row r="285" spans="1:11" s="666" customFormat="1" ht="16.5">
      <c r="A285" s="290" t="s">
        <v>1080</v>
      </c>
      <c r="B285" s="144">
        <v>4470093</v>
      </c>
      <c r="C285" s="656"/>
      <c r="D285" s="656"/>
      <c r="E285" s="656"/>
      <c r="F285" s="656"/>
      <c r="G285" s="656"/>
      <c r="H285" s="665"/>
      <c r="I285" s="291">
        <f t="shared" si="9"/>
        <v>0</v>
      </c>
      <c r="J285" s="668" t="s">
        <v>1067</v>
      </c>
      <c r="K285" s="667">
        <f t="shared" si="8"/>
      </c>
    </row>
    <row r="286" spans="1:11" s="666" customFormat="1" ht="16.5">
      <c r="A286" s="290" t="s">
        <v>1081</v>
      </c>
      <c r="B286" s="144">
        <v>4470207</v>
      </c>
      <c r="C286" s="656"/>
      <c r="D286" s="656"/>
      <c r="E286" s="656"/>
      <c r="F286" s="656"/>
      <c r="G286" s="656"/>
      <c r="H286" s="665"/>
      <c r="I286" s="291">
        <f t="shared" si="9"/>
        <v>0</v>
      </c>
      <c r="J286" s="668" t="s">
        <v>1067</v>
      </c>
      <c r="K286" s="667">
        <f t="shared" si="8"/>
      </c>
    </row>
    <row r="287" spans="1:11" s="666" customFormat="1" ht="16.5">
      <c r="A287" s="290" t="s">
        <v>1085</v>
      </c>
      <c r="B287" s="144">
        <v>4470093</v>
      </c>
      <c r="C287" s="656"/>
      <c r="D287" s="656"/>
      <c r="E287" s="656"/>
      <c r="F287" s="656"/>
      <c r="G287" s="656"/>
      <c r="H287" s="665"/>
      <c r="I287" s="291">
        <f t="shared" si="9"/>
        <v>0</v>
      </c>
      <c r="J287" s="668" t="s">
        <v>1067</v>
      </c>
      <c r="K287" s="667">
        <f t="shared" si="8"/>
      </c>
    </row>
    <row r="288" spans="1:11" s="666" customFormat="1" ht="16.5">
      <c r="A288" s="290" t="s">
        <v>688</v>
      </c>
      <c r="B288" s="144">
        <v>4470207</v>
      </c>
      <c r="C288" s="656"/>
      <c r="D288" s="656"/>
      <c r="E288" s="656"/>
      <c r="F288" s="656"/>
      <c r="G288" s="656"/>
      <c r="H288" s="665"/>
      <c r="I288" s="291">
        <f t="shared" si="9"/>
        <v>0</v>
      </c>
      <c r="J288" s="668" t="s">
        <v>1067</v>
      </c>
      <c r="K288" s="667"/>
    </row>
    <row r="289" spans="1:11" s="666" customFormat="1" ht="16.5">
      <c r="A289" s="290" t="s">
        <v>1199</v>
      </c>
      <c r="B289" s="144">
        <v>5757001</v>
      </c>
      <c r="C289" s="656"/>
      <c r="D289" s="656"/>
      <c r="E289" s="656"/>
      <c r="F289" s="656"/>
      <c r="G289" s="656"/>
      <c r="H289" s="665"/>
      <c r="I289" s="291">
        <f t="shared" si="9"/>
        <v>0</v>
      </c>
      <c r="J289" s="668" t="s">
        <v>1067</v>
      </c>
      <c r="K289" s="667"/>
    </row>
    <row r="290" spans="1:11" s="666" customFormat="1" ht="16.5">
      <c r="A290" s="290" t="s">
        <v>317</v>
      </c>
      <c r="B290" s="144">
        <v>4470116</v>
      </c>
      <c r="C290" s="656"/>
      <c r="D290" s="656"/>
      <c r="E290" s="656"/>
      <c r="F290" s="656"/>
      <c r="G290" s="656"/>
      <c r="H290" s="665"/>
      <c r="I290" s="291">
        <f t="shared" si="9"/>
        <v>0</v>
      </c>
      <c r="J290" s="668" t="s">
        <v>1067</v>
      </c>
      <c r="K290" s="667"/>
    </row>
    <row r="291" spans="1:11" s="666" customFormat="1" ht="16.5">
      <c r="A291" s="671" t="s">
        <v>932</v>
      </c>
      <c r="B291" s="144">
        <v>5614001</v>
      </c>
      <c r="C291" s="656"/>
      <c r="D291" s="656"/>
      <c r="E291" s="656"/>
      <c r="F291" s="656"/>
      <c r="G291" s="656"/>
      <c r="H291" s="665"/>
      <c r="I291" s="291">
        <f t="shared" si="9"/>
        <v>0</v>
      </c>
      <c r="J291" s="668" t="s">
        <v>1067</v>
      </c>
      <c r="K291" s="667"/>
    </row>
    <row r="292" spans="1:11" ht="15">
      <c r="A292" s="290" t="s">
        <v>1920</v>
      </c>
      <c r="B292" s="144">
        <v>4470203</v>
      </c>
      <c r="C292" s="656"/>
      <c r="D292" s="656"/>
      <c r="E292" s="656"/>
      <c r="F292" s="656"/>
      <c r="G292" s="656"/>
      <c r="H292" s="244">
        <v>47.62</v>
      </c>
      <c r="I292" s="291">
        <f t="shared" si="9"/>
        <v>0</v>
      </c>
      <c r="J292" t="s">
        <v>1067</v>
      </c>
      <c r="K292" s="267"/>
    </row>
    <row r="293" spans="1:11" ht="15">
      <c r="A293" s="290" t="s">
        <v>1367</v>
      </c>
      <c r="B293" s="144">
        <v>4470116</v>
      </c>
      <c r="C293" s="656"/>
      <c r="D293" s="656"/>
      <c r="E293" s="656"/>
      <c r="F293" s="656"/>
      <c r="G293" s="656"/>
      <c r="H293" s="244">
        <v>19087.29</v>
      </c>
      <c r="I293" s="291">
        <f t="shared" si="9"/>
        <v>0</v>
      </c>
      <c r="J293" t="s">
        <v>1067</v>
      </c>
      <c r="K293" s="267"/>
    </row>
    <row r="294" spans="1:11" ht="15">
      <c r="A294" s="290" t="s">
        <v>1079</v>
      </c>
      <c r="B294" s="144">
        <v>4470203</v>
      </c>
      <c r="C294" s="656"/>
      <c r="D294" s="656"/>
      <c r="E294" s="656"/>
      <c r="F294" s="656"/>
      <c r="G294" s="656"/>
      <c r="H294" s="244">
        <v>6.07</v>
      </c>
      <c r="I294" s="291">
        <f t="shared" si="9"/>
        <v>0</v>
      </c>
      <c r="J294" t="s">
        <v>1067</v>
      </c>
      <c r="K294" s="267"/>
    </row>
    <row r="295" spans="1:11" ht="15">
      <c r="A295" s="290" t="s">
        <v>1262</v>
      </c>
      <c r="B295" s="144">
        <v>4470203</v>
      </c>
      <c r="C295" s="656"/>
      <c r="D295" s="656"/>
      <c r="E295" s="656"/>
      <c r="F295" s="656"/>
      <c r="G295" s="656"/>
      <c r="H295" s="244">
        <v>89990.21</v>
      </c>
      <c r="I295" s="291">
        <f t="shared" si="9"/>
        <v>0</v>
      </c>
      <c r="J295" t="s">
        <v>1067</v>
      </c>
      <c r="K295" s="267"/>
    </row>
    <row r="296" spans="1:11" ht="15">
      <c r="A296" s="290" t="s">
        <v>1080</v>
      </c>
      <c r="B296" s="144">
        <v>4470093</v>
      </c>
      <c r="C296" s="656"/>
      <c r="D296" s="656"/>
      <c r="E296" s="656"/>
      <c r="F296" s="656"/>
      <c r="G296" s="656"/>
      <c r="H296" s="244">
        <v>61496.35</v>
      </c>
      <c r="I296" s="291">
        <f t="shared" si="9"/>
        <v>0</v>
      </c>
      <c r="J296" t="s">
        <v>1067</v>
      </c>
      <c r="K296" s="267"/>
    </row>
    <row r="297" spans="1:11" ht="15">
      <c r="A297" s="290" t="s">
        <v>1081</v>
      </c>
      <c r="B297" s="144">
        <v>4470207</v>
      </c>
      <c r="C297" s="656"/>
      <c r="D297" s="656"/>
      <c r="E297" s="656"/>
      <c r="F297" s="656"/>
      <c r="G297" s="656"/>
      <c r="H297" s="244"/>
      <c r="I297" s="291">
        <f t="shared" si="9"/>
        <v>0</v>
      </c>
      <c r="J297" t="s">
        <v>1067</v>
      </c>
      <c r="K297" s="267"/>
    </row>
    <row r="298" spans="1:11" ht="15">
      <c r="A298" s="290" t="s">
        <v>1085</v>
      </c>
      <c r="B298" s="144">
        <v>4470093</v>
      </c>
      <c r="C298" s="656"/>
      <c r="D298" s="656"/>
      <c r="E298" s="656"/>
      <c r="F298" s="656"/>
      <c r="G298" s="656"/>
      <c r="H298" s="244"/>
      <c r="I298" s="291">
        <f t="shared" si="9"/>
        <v>0</v>
      </c>
      <c r="J298" t="s">
        <v>1067</v>
      </c>
      <c r="K298" s="267"/>
    </row>
    <row r="299" spans="1:11" ht="15">
      <c r="A299" s="290" t="s">
        <v>688</v>
      </c>
      <c r="B299" s="144">
        <v>4470207</v>
      </c>
      <c r="C299" s="656"/>
      <c r="D299" s="656"/>
      <c r="E299" s="656"/>
      <c r="F299" s="656"/>
      <c r="G299" s="656"/>
      <c r="H299" s="244">
        <v>0</v>
      </c>
      <c r="I299" s="291">
        <f t="shared" si="9"/>
        <v>0</v>
      </c>
      <c r="J299" t="s">
        <v>1067</v>
      </c>
      <c r="K299" s="267"/>
    </row>
    <row r="300" spans="1:11" ht="15">
      <c r="A300" s="290" t="s">
        <v>1199</v>
      </c>
      <c r="B300" s="144">
        <v>5757001</v>
      </c>
      <c r="C300" s="656"/>
      <c r="D300" s="656"/>
      <c r="E300" s="656"/>
      <c r="F300" s="656"/>
      <c r="G300" s="656"/>
      <c r="H300" s="244">
        <v>0</v>
      </c>
      <c r="I300" s="291">
        <f t="shared" si="9"/>
        <v>0</v>
      </c>
      <c r="J300" t="s">
        <v>1067</v>
      </c>
      <c r="K300" s="267"/>
    </row>
    <row r="301" spans="1:11" ht="15">
      <c r="A301" s="290" t="s">
        <v>317</v>
      </c>
      <c r="B301" s="144">
        <v>4470116</v>
      </c>
      <c r="C301" s="656"/>
      <c r="D301" s="656"/>
      <c r="E301" s="656"/>
      <c r="F301" s="656"/>
      <c r="G301" s="656"/>
      <c r="H301" s="244">
        <v>65.3</v>
      </c>
      <c r="I301" s="291">
        <f t="shared" si="9"/>
        <v>0</v>
      </c>
      <c r="J301" t="s">
        <v>1067</v>
      </c>
      <c r="K301" s="267"/>
    </row>
    <row r="302" spans="1:11" ht="15">
      <c r="A302" s="290" t="s">
        <v>1993</v>
      </c>
      <c r="B302" s="144">
        <v>5550084</v>
      </c>
      <c r="C302" s="656"/>
      <c r="D302" s="656"/>
      <c r="E302" s="656"/>
      <c r="F302" s="656"/>
      <c r="G302" s="656"/>
      <c r="H302" s="244">
        <v>623.02</v>
      </c>
      <c r="I302" s="291">
        <f t="shared" si="9"/>
        <v>0</v>
      </c>
      <c r="J302" t="s">
        <v>1067</v>
      </c>
      <c r="K302" s="267"/>
    </row>
    <row r="303" spans="1:11" ht="15">
      <c r="A303" s="290" t="s">
        <v>932</v>
      </c>
      <c r="B303" s="144">
        <v>5614001</v>
      </c>
      <c r="C303" s="656"/>
      <c r="D303" s="656"/>
      <c r="E303" s="656"/>
      <c r="F303" s="656"/>
      <c r="G303" s="656"/>
      <c r="H303" s="244">
        <v>435.64</v>
      </c>
      <c r="I303" s="291">
        <f t="shared" si="9"/>
        <v>0</v>
      </c>
      <c r="J303" t="s">
        <v>1067</v>
      </c>
      <c r="K303" s="267"/>
    </row>
    <row r="304" spans="1:13" ht="15" hidden="1">
      <c r="A304" s="441" t="s">
        <v>1869</v>
      </c>
      <c r="B304" s="144"/>
      <c r="C304" s="267"/>
      <c r="D304" s="267"/>
      <c r="E304" s="267"/>
      <c r="F304" s="267"/>
      <c r="G304" s="267"/>
      <c r="H304" s="244"/>
      <c r="I304" s="291"/>
      <c r="K304" s="267">
        <f>IF(J304="East Zone SIA",I304,"")</f>
      </c>
      <c r="L304" s="623" t="s">
        <v>1279</v>
      </c>
      <c r="M304" s="382">
        <f>SUM(I281:I303)</f>
        <v>0</v>
      </c>
    </row>
    <row r="305" spans="1:11" ht="15" hidden="1">
      <c r="A305" s="431" t="s">
        <v>1029</v>
      </c>
      <c r="B305" s="144">
        <v>4470099</v>
      </c>
      <c r="C305" s="656"/>
      <c r="D305" s="656"/>
      <c r="E305" s="656"/>
      <c r="F305" s="656"/>
      <c r="G305" s="656"/>
      <c r="H305" s="244"/>
      <c r="I305" s="291">
        <f>SUM(C305:G305)</f>
        <v>0</v>
      </c>
      <c r="J305" t="s">
        <v>738</v>
      </c>
      <c r="K305" s="267">
        <f>IF(J305="East Zone SIA",I305,"")</f>
        <v>0</v>
      </c>
    </row>
    <row r="306" spans="1:9" ht="15">
      <c r="A306" s="3"/>
      <c r="B306" s="284"/>
      <c r="C306" s="262"/>
      <c r="D306" s="262"/>
      <c r="E306" s="262"/>
      <c r="F306" s="262"/>
      <c r="G306" s="262"/>
      <c r="H306" s="244"/>
      <c r="I306" s="262"/>
    </row>
    <row r="307" spans="1:11" ht="15">
      <c r="A307" s="3" t="s">
        <v>270</v>
      </c>
      <c r="B307" s="284"/>
      <c r="C307" s="244">
        <f>SUM(C9:C306)</f>
        <v>0</v>
      </c>
      <c r="D307" s="244">
        <f>SUM(D9:D306)</f>
        <v>0</v>
      </c>
      <c r="E307" s="244">
        <f>SUM(E9:E306)</f>
        <v>0</v>
      </c>
      <c r="F307" s="244">
        <f>SUM(F9:F306)</f>
        <v>0</v>
      </c>
      <c r="G307" s="244">
        <f>SUM(G9:G306)</f>
        <v>0</v>
      </c>
      <c r="H307" s="244"/>
      <c r="I307" s="244">
        <f>SUM(I9:I306)</f>
        <v>0</v>
      </c>
      <c r="K307" s="382">
        <f>SUM(K9:K305)</f>
        <v>0</v>
      </c>
    </row>
    <row r="308" spans="1:13" ht="15">
      <c r="A308" s="3"/>
      <c r="B308" s="2"/>
      <c r="C308" s="256"/>
      <c r="D308" s="256"/>
      <c r="E308" s="256"/>
      <c r="F308" s="256"/>
      <c r="G308" s="256"/>
      <c r="H308" s="256"/>
      <c r="I308" s="256"/>
      <c r="J308" s="3"/>
      <c r="K308" s="265"/>
      <c r="L308" s="3"/>
      <c r="M308" s="262"/>
    </row>
    <row r="309" spans="1:13" ht="15">
      <c r="A309" s="3" t="s">
        <v>985</v>
      </c>
      <c r="B309" s="2"/>
      <c r="C309" s="263"/>
      <c r="D309" s="263"/>
      <c r="E309" s="263"/>
      <c r="F309" s="263"/>
      <c r="G309" s="263"/>
      <c r="H309" s="244"/>
      <c r="I309" s="263">
        <f>SUM(C309:H309)</f>
        <v>0</v>
      </c>
      <c r="J309" s="3"/>
      <c r="K309" s="265"/>
      <c r="L309" s="3"/>
      <c r="M309" s="244"/>
    </row>
    <row r="310" spans="1:13" ht="15">
      <c r="A310" s="3"/>
      <c r="B310" s="2"/>
      <c r="C310" s="244"/>
      <c r="D310" s="244"/>
      <c r="E310" s="244"/>
      <c r="F310" s="244"/>
      <c r="G310" s="244"/>
      <c r="H310" s="244"/>
      <c r="I310" s="244"/>
      <c r="J310" s="3"/>
      <c r="K310" s="265"/>
      <c r="L310" s="3"/>
      <c r="M310" s="244"/>
    </row>
    <row r="311" spans="1:13" ht="15.75" thickBot="1">
      <c r="A311" s="3" t="s">
        <v>986</v>
      </c>
      <c r="B311" s="65" t="s">
        <v>119</v>
      </c>
      <c r="C311" s="264"/>
      <c r="D311" s="264"/>
      <c r="E311" s="264"/>
      <c r="F311" s="264"/>
      <c r="G311" s="264"/>
      <c r="H311" s="244"/>
      <c r="I311" s="264">
        <f>SUM(C311:G311)</f>
        <v>0</v>
      </c>
      <c r="J311" s="3"/>
      <c r="K311" s="265"/>
      <c r="L311" s="3"/>
      <c r="M311" s="244"/>
    </row>
    <row r="312" spans="1:10" ht="15.75" thickTop="1">
      <c r="A312" s="3"/>
      <c r="B312" s="284"/>
      <c r="C312" s="262"/>
      <c r="D312" s="262"/>
      <c r="E312" s="262"/>
      <c r="F312" s="262"/>
      <c r="G312" s="262"/>
      <c r="H312" s="244"/>
      <c r="I312" s="262"/>
      <c r="J312" s="382"/>
    </row>
    <row r="313" spans="1:9" ht="17.25" customHeight="1">
      <c r="A313" s="3"/>
      <c r="B313" s="3"/>
      <c r="C313" s="255"/>
      <c r="D313" s="255"/>
      <c r="E313" s="255"/>
      <c r="F313" s="255"/>
      <c r="G313" s="255"/>
      <c r="H313" s="256"/>
      <c r="I313" s="255"/>
    </row>
    <row r="314" spans="1:9" ht="15">
      <c r="A314" s="3"/>
      <c r="B314" s="284"/>
      <c r="C314" s="262"/>
      <c r="D314" s="262"/>
      <c r="E314" s="262"/>
      <c r="F314" s="262"/>
      <c r="G314" s="262"/>
      <c r="H314" s="244"/>
      <c r="I314" s="262"/>
    </row>
    <row r="315" spans="1:9" ht="15">
      <c r="A315" s="3"/>
      <c r="B315" s="3"/>
      <c r="C315" s="255"/>
      <c r="D315" s="255"/>
      <c r="E315" s="255"/>
      <c r="F315" s="255"/>
      <c r="G315" s="255"/>
      <c r="H315" s="256"/>
      <c r="I315" s="255"/>
    </row>
    <row r="316" spans="1:9" ht="15">
      <c r="A316" s="3"/>
      <c r="B316" s="3"/>
      <c r="C316" s="255"/>
      <c r="D316" s="255"/>
      <c r="E316" s="255"/>
      <c r="F316" s="255"/>
      <c r="G316" s="255"/>
      <c r="H316" s="256"/>
      <c r="I316" s="255"/>
    </row>
    <row r="317" spans="1:9" ht="15">
      <c r="A317" s="3"/>
      <c r="B317" s="3"/>
      <c r="C317" s="255"/>
      <c r="D317" s="255"/>
      <c r="E317" s="255"/>
      <c r="F317" s="255"/>
      <c r="G317" s="255"/>
      <c r="H317" s="256"/>
      <c r="I317" s="255"/>
    </row>
    <row r="318" spans="1:9" ht="15">
      <c r="A318" s="3"/>
      <c r="B318" s="3"/>
      <c r="C318" s="255"/>
      <c r="D318" s="255"/>
      <c r="E318" s="255"/>
      <c r="F318" s="255"/>
      <c r="G318" s="255"/>
      <c r="H318" s="256"/>
      <c r="I318" s="255"/>
    </row>
    <row r="319" spans="1:9" ht="15">
      <c r="A319" s="3"/>
      <c r="B319" s="3"/>
      <c r="C319" s="255"/>
      <c r="D319" s="255"/>
      <c r="E319" s="255"/>
      <c r="F319" s="255"/>
      <c r="G319" s="255"/>
      <c r="H319" s="256"/>
      <c r="I319" s="255"/>
    </row>
    <row r="320" spans="1:9" ht="15">
      <c r="A320" s="3"/>
      <c r="B320" s="3"/>
      <c r="C320" s="255"/>
      <c r="D320" s="255"/>
      <c r="E320" s="255"/>
      <c r="F320" s="255"/>
      <c r="G320" s="255"/>
      <c r="H320" s="256"/>
      <c r="I320" s="255"/>
    </row>
    <row r="321" spans="1:9" ht="15">
      <c r="A321" s="3"/>
      <c r="B321" s="3"/>
      <c r="C321" s="255"/>
      <c r="D321" s="255"/>
      <c r="E321" s="255"/>
      <c r="F321" s="255"/>
      <c r="G321" s="255"/>
      <c r="H321" s="256"/>
      <c r="I321" s="255"/>
    </row>
    <row r="322" spans="1:9" ht="15">
      <c r="A322" s="3"/>
      <c r="B322" s="3"/>
      <c r="C322" s="255"/>
      <c r="D322" s="255"/>
      <c r="E322" s="255"/>
      <c r="F322" s="255"/>
      <c r="G322" s="255"/>
      <c r="H322" s="256"/>
      <c r="I322" s="255"/>
    </row>
    <row r="323" spans="1:9" ht="15">
      <c r="A323" s="3"/>
      <c r="B323" s="3"/>
      <c r="C323" s="255"/>
      <c r="D323" s="255"/>
      <c r="E323" s="255"/>
      <c r="F323" s="255"/>
      <c r="G323" s="255"/>
      <c r="H323" s="256"/>
      <c r="I323" s="255"/>
    </row>
    <row r="324" spans="1:9" ht="15">
      <c r="A324" s="3"/>
      <c r="B324" s="3"/>
      <c r="C324" s="255"/>
      <c r="D324" s="255"/>
      <c r="E324" s="255"/>
      <c r="F324" s="255"/>
      <c r="G324" s="255"/>
      <c r="H324" s="256"/>
      <c r="I324" s="255"/>
    </row>
    <row r="325" spans="1:9" ht="15">
      <c r="A325" s="3"/>
      <c r="B325" s="3"/>
      <c r="C325" s="255"/>
      <c r="D325" s="255"/>
      <c r="E325" s="255"/>
      <c r="F325" s="255"/>
      <c r="G325" s="255"/>
      <c r="H325" s="256"/>
      <c r="I325" s="255"/>
    </row>
    <row r="326" spans="1:9" ht="15">
      <c r="A326" s="3"/>
      <c r="B326" s="3"/>
      <c r="C326" s="255"/>
      <c r="D326" s="255"/>
      <c r="E326" s="255"/>
      <c r="F326" s="255"/>
      <c r="G326" s="255"/>
      <c r="H326" s="256"/>
      <c r="I326" s="255"/>
    </row>
    <row r="327" spans="1:9" ht="15">
      <c r="A327" s="3"/>
      <c r="B327" s="3"/>
      <c r="C327" s="255"/>
      <c r="D327" s="255"/>
      <c r="E327" s="255"/>
      <c r="F327" s="255"/>
      <c r="G327" s="255"/>
      <c r="H327" s="256"/>
      <c r="I327" s="255"/>
    </row>
    <row r="328" spans="1:9" ht="15">
      <c r="A328" s="3"/>
      <c r="B328" s="3"/>
      <c r="C328" s="255"/>
      <c r="D328" s="255"/>
      <c r="E328" s="255"/>
      <c r="F328" s="255"/>
      <c r="G328" s="255"/>
      <c r="H328" s="256"/>
      <c r="I328" s="255"/>
    </row>
    <row r="329" spans="1:9" ht="15">
      <c r="A329" s="3"/>
      <c r="B329" s="3"/>
      <c r="C329" s="255"/>
      <c r="D329" s="255"/>
      <c r="E329" s="255"/>
      <c r="F329" s="255"/>
      <c r="G329" s="255"/>
      <c r="H329" s="256"/>
      <c r="I329" s="255"/>
    </row>
    <row r="330" spans="1:9" ht="15">
      <c r="A330" s="3"/>
      <c r="B330" s="3"/>
      <c r="C330" s="255"/>
      <c r="D330" s="255"/>
      <c r="E330" s="255"/>
      <c r="F330" s="255"/>
      <c r="G330" s="255"/>
      <c r="H330" s="256"/>
      <c r="I330" s="255"/>
    </row>
    <row r="331" spans="1:9" ht="15">
      <c r="A331" s="3"/>
      <c r="B331" s="3"/>
      <c r="C331" s="255"/>
      <c r="D331" s="255"/>
      <c r="E331" s="255"/>
      <c r="F331" s="255"/>
      <c r="G331" s="255"/>
      <c r="H331" s="256"/>
      <c r="I331" s="255"/>
    </row>
    <row r="332" spans="1:9" ht="15">
      <c r="A332" s="3"/>
      <c r="B332" s="3"/>
      <c r="C332" s="255"/>
      <c r="D332" s="255"/>
      <c r="E332" s="255"/>
      <c r="F332" s="255"/>
      <c r="G332" s="255"/>
      <c r="H332" s="256"/>
      <c r="I332" s="255"/>
    </row>
    <row r="333" spans="1:9" ht="15">
      <c r="A333" s="3"/>
      <c r="B333" s="3"/>
      <c r="C333" s="255"/>
      <c r="D333" s="255"/>
      <c r="E333" s="255"/>
      <c r="F333" s="255"/>
      <c r="G333" s="255"/>
      <c r="H333" s="256"/>
      <c r="I333" s="255"/>
    </row>
    <row r="334" spans="1:9" ht="15">
      <c r="A334" s="3"/>
      <c r="B334" s="3"/>
      <c r="C334" s="255"/>
      <c r="D334" s="255"/>
      <c r="E334" s="255"/>
      <c r="F334" s="255"/>
      <c r="G334" s="255"/>
      <c r="H334" s="256"/>
      <c r="I334" s="255"/>
    </row>
    <row r="335" spans="1:9" ht="15">
      <c r="A335" s="3"/>
      <c r="B335" s="3"/>
      <c r="C335" s="255"/>
      <c r="D335" s="255"/>
      <c r="E335" s="255"/>
      <c r="F335" s="255"/>
      <c r="G335" s="255"/>
      <c r="H335" s="256"/>
      <c r="I335" s="255"/>
    </row>
    <row r="336" spans="1:9" ht="15">
      <c r="A336" s="3"/>
      <c r="B336" s="3"/>
      <c r="C336" s="255"/>
      <c r="D336" s="255"/>
      <c r="E336" s="255"/>
      <c r="F336" s="255"/>
      <c r="G336" s="255"/>
      <c r="H336" s="256"/>
      <c r="I336" s="255"/>
    </row>
    <row r="337" spans="1:9" ht="15">
      <c r="A337" s="3"/>
      <c r="B337" s="3"/>
      <c r="C337" s="255"/>
      <c r="D337" s="255"/>
      <c r="E337" s="255"/>
      <c r="F337" s="255"/>
      <c r="G337" s="255"/>
      <c r="H337" s="256"/>
      <c r="I337" s="255"/>
    </row>
    <row r="338" spans="1:9" ht="15">
      <c r="A338" s="3"/>
      <c r="B338" s="3"/>
      <c r="C338" s="255"/>
      <c r="D338" s="255"/>
      <c r="E338" s="255"/>
      <c r="F338" s="255"/>
      <c r="G338" s="255"/>
      <c r="H338" s="256"/>
      <c r="I338" s="255"/>
    </row>
    <row r="339" spans="1:9" ht="15">
      <c r="A339" s="3"/>
      <c r="B339" s="3"/>
      <c r="C339" s="255"/>
      <c r="D339" s="255"/>
      <c r="E339" s="255"/>
      <c r="F339" s="255"/>
      <c r="G339" s="255"/>
      <c r="H339" s="256"/>
      <c r="I339" s="255"/>
    </row>
    <row r="340" spans="1:9" ht="15">
      <c r="A340" s="3"/>
      <c r="B340" s="3"/>
      <c r="C340" s="255"/>
      <c r="D340" s="255"/>
      <c r="E340" s="255"/>
      <c r="F340" s="255"/>
      <c r="G340" s="255"/>
      <c r="H340" s="256"/>
      <c r="I340" s="255"/>
    </row>
    <row r="341" spans="1:9" ht="15">
      <c r="A341" s="3"/>
      <c r="B341" s="3"/>
      <c r="C341" s="255"/>
      <c r="D341" s="255"/>
      <c r="E341" s="255"/>
      <c r="F341" s="255"/>
      <c r="G341" s="255"/>
      <c r="H341" s="256"/>
      <c r="I341" s="255"/>
    </row>
    <row r="342" spans="1:9" ht="15">
      <c r="A342" s="3"/>
      <c r="B342" s="3"/>
      <c r="C342" s="255"/>
      <c r="D342" s="255"/>
      <c r="E342" s="255"/>
      <c r="F342" s="255"/>
      <c r="G342" s="255"/>
      <c r="H342" s="256"/>
      <c r="I342" s="255"/>
    </row>
    <row r="343" spans="1:9" ht="15">
      <c r="A343" s="3"/>
      <c r="B343" s="3"/>
      <c r="C343" s="255"/>
      <c r="D343" s="255"/>
      <c r="E343" s="255"/>
      <c r="F343" s="255"/>
      <c r="G343" s="255"/>
      <c r="H343" s="256"/>
      <c r="I343" s="255"/>
    </row>
    <row r="344" spans="1:9" ht="15">
      <c r="A344" s="3"/>
      <c r="B344" s="3"/>
      <c r="C344" s="255"/>
      <c r="D344" s="255"/>
      <c r="E344" s="255"/>
      <c r="F344" s="255"/>
      <c r="G344" s="255"/>
      <c r="H344" s="256"/>
      <c r="I344" s="255"/>
    </row>
    <row r="345" spans="1:9" ht="15">
      <c r="A345" s="3"/>
      <c r="B345" s="3"/>
      <c r="C345" s="255"/>
      <c r="D345" s="255"/>
      <c r="E345" s="255"/>
      <c r="F345" s="255"/>
      <c r="G345" s="255"/>
      <c r="H345" s="256"/>
      <c r="I345" s="255"/>
    </row>
    <row r="346" spans="1:9" ht="15">
      <c r="A346" s="3"/>
      <c r="B346" s="3"/>
      <c r="C346" s="255"/>
      <c r="D346" s="255"/>
      <c r="E346" s="255"/>
      <c r="F346" s="255"/>
      <c r="G346" s="255"/>
      <c r="H346" s="256"/>
      <c r="I346" s="255"/>
    </row>
    <row r="347" spans="1:9" ht="15">
      <c r="A347" s="3"/>
      <c r="B347" s="3"/>
      <c r="C347" s="255"/>
      <c r="D347" s="255"/>
      <c r="E347" s="255"/>
      <c r="F347" s="255"/>
      <c r="G347" s="255"/>
      <c r="H347" s="256"/>
      <c r="I347" s="255"/>
    </row>
    <row r="348" spans="1:9" ht="15">
      <c r="A348" s="3"/>
      <c r="B348" s="3"/>
      <c r="C348" s="255"/>
      <c r="D348" s="255"/>
      <c r="E348" s="255"/>
      <c r="F348" s="255"/>
      <c r="G348" s="255"/>
      <c r="H348" s="256"/>
      <c r="I348" s="255"/>
    </row>
    <row r="349" spans="1:9" ht="15">
      <c r="A349" s="3"/>
      <c r="B349" s="3"/>
      <c r="C349" s="255"/>
      <c r="D349" s="255"/>
      <c r="E349" s="255"/>
      <c r="F349" s="255"/>
      <c r="G349" s="255"/>
      <c r="H349" s="256"/>
      <c r="I349" s="255"/>
    </row>
    <row r="350" spans="1:9" ht="15">
      <c r="A350" s="3"/>
      <c r="B350" s="3"/>
      <c r="C350" s="255"/>
      <c r="D350" s="255"/>
      <c r="E350" s="255"/>
      <c r="F350" s="255"/>
      <c r="G350" s="255"/>
      <c r="H350" s="256"/>
      <c r="I350" s="255"/>
    </row>
    <row r="351" spans="1:9" ht="15">
      <c r="A351" s="3"/>
      <c r="B351" s="3"/>
      <c r="C351" s="255"/>
      <c r="D351" s="255"/>
      <c r="E351" s="255"/>
      <c r="F351" s="255"/>
      <c r="G351" s="255"/>
      <c r="H351" s="256"/>
      <c r="I351" s="255"/>
    </row>
    <row r="352" spans="1:9" ht="15">
      <c r="A352" s="3"/>
      <c r="B352" s="3"/>
      <c r="C352" s="255"/>
      <c r="D352" s="255"/>
      <c r="E352" s="255"/>
      <c r="F352" s="255"/>
      <c r="G352" s="255"/>
      <c r="H352" s="256"/>
      <c r="I352" s="255"/>
    </row>
    <row r="353" spans="1:9" ht="15">
      <c r="A353" s="3"/>
      <c r="B353" s="3"/>
      <c r="C353" s="255"/>
      <c r="D353" s="255"/>
      <c r="E353" s="255"/>
      <c r="F353" s="255"/>
      <c r="G353" s="255"/>
      <c r="H353" s="256"/>
      <c r="I353" s="255"/>
    </row>
    <row r="354" spans="1:9" ht="15">
      <c r="A354" s="3"/>
      <c r="B354" s="3"/>
      <c r="C354" s="255"/>
      <c r="D354" s="255"/>
      <c r="E354" s="255"/>
      <c r="F354" s="255"/>
      <c r="G354" s="255"/>
      <c r="H354" s="256"/>
      <c r="I354" s="255"/>
    </row>
    <row r="355" spans="1:9" ht="15">
      <c r="A355" s="3"/>
      <c r="B355" s="3"/>
      <c r="C355" s="255"/>
      <c r="D355" s="255"/>
      <c r="E355" s="255"/>
      <c r="F355" s="255"/>
      <c r="G355" s="255"/>
      <c r="H355" s="256"/>
      <c r="I355" s="255"/>
    </row>
    <row r="356" spans="1:9" ht="15">
      <c r="A356" s="3"/>
      <c r="B356" s="3"/>
      <c r="C356" s="255"/>
      <c r="D356" s="255"/>
      <c r="E356" s="255"/>
      <c r="F356" s="255"/>
      <c r="G356" s="255"/>
      <c r="H356" s="256"/>
      <c r="I356" s="255"/>
    </row>
    <row r="357" spans="1:9" ht="15">
      <c r="A357" s="3"/>
      <c r="B357" s="3"/>
      <c r="C357" s="255"/>
      <c r="D357" s="255"/>
      <c r="E357" s="255"/>
      <c r="F357" s="255"/>
      <c r="G357" s="255"/>
      <c r="H357" s="256"/>
      <c r="I357" s="255"/>
    </row>
    <row r="358" spans="1:9" ht="15">
      <c r="A358" s="3"/>
      <c r="B358" s="3"/>
      <c r="C358" s="255"/>
      <c r="D358" s="255"/>
      <c r="E358" s="255"/>
      <c r="F358" s="255"/>
      <c r="G358" s="255"/>
      <c r="H358" s="256"/>
      <c r="I358" s="255"/>
    </row>
    <row r="359" spans="1:9" ht="15">
      <c r="A359" s="3"/>
      <c r="B359" s="3"/>
      <c r="C359" s="255"/>
      <c r="D359" s="255"/>
      <c r="E359" s="255"/>
      <c r="F359" s="255"/>
      <c r="G359" s="255"/>
      <c r="H359" s="256"/>
      <c r="I359" s="255"/>
    </row>
    <row r="360" spans="1:9" ht="15">
      <c r="A360" s="3"/>
      <c r="B360" s="3"/>
      <c r="C360" s="255"/>
      <c r="D360" s="255"/>
      <c r="E360" s="255"/>
      <c r="F360" s="255"/>
      <c r="G360" s="255"/>
      <c r="H360" s="256"/>
      <c r="I360" s="255"/>
    </row>
    <row r="361" spans="1:9" ht="15">
      <c r="A361" s="3"/>
      <c r="B361" s="3"/>
      <c r="C361" s="255"/>
      <c r="D361" s="255"/>
      <c r="E361" s="255"/>
      <c r="F361" s="255"/>
      <c r="G361" s="255"/>
      <c r="H361" s="256"/>
      <c r="I361" s="255"/>
    </row>
    <row r="362" spans="1:9" ht="15">
      <c r="A362" s="3"/>
      <c r="B362" s="3"/>
      <c r="C362" s="255"/>
      <c r="D362" s="255"/>
      <c r="E362" s="255"/>
      <c r="F362" s="255"/>
      <c r="G362" s="255"/>
      <c r="H362" s="256"/>
      <c r="I362" s="255"/>
    </row>
    <row r="363" spans="1:9" ht="15">
      <c r="A363" s="3"/>
      <c r="B363" s="3"/>
      <c r="C363" s="255"/>
      <c r="D363" s="255"/>
      <c r="E363" s="255"/>
      <c r="F363" s="255"/>
      <c r="G363" s="255"/>
      <c r="H363" s="256"/>
      <c r="I363" s="255"/>
    </row>
    <row r="364" spans="1:9" ht="15">
      <c r="A364" s="3"/>
      <c r="B364" s="3"/>
      <c r="C364" s="255"/>
      <c r="D364" s="255"/>
      <c r="E364" s="255"/>
      <c r="F364" s="255"/>
      <c r="G364" s="255"/>
      <c r="H364" s="256"/>
      <c r="I364" s="255"/>
    </row>
    <row r="365" spans="1:9" ht="15">
      <c r="A365" s="3"/>
      <c r="B365" s="3"/>
      <c r="C365" s="255"/>
      <c r="D365" s="255"/>
      <c r="E365" s="255"/>
      <c r="F365" s="255"/>
      <c r="G365" s="255"/>
      <c r="H365" s="256"/>
      <c r="I365" s="255"/>
    </row>
    <row r="366" spans="1:9" ht="15">
      <c r="A366" s="3"/>
      <c r="B366" s="3"/>
      <c r="C366" s="255"/>
      <c r="D366" s="255"/>
      <c r="E366" s="255"/>
      <c r="F366" s="255"/>
      <c r="G366" s="255"/>
      <c r="H366" s="256"/>
      <c r="I366" s="255"/>
    </row>
    <row r="367" spans="1:9" ht="15">
      <c r="A367" s="3"/>
      <c r="B367" s="3"/>
      <c r="C367" s="255"/>
      <c r="D367" s="255"/>
      <c r="E367" s="255"/>
      <c r="F367" s="255"/>
      <c r="G367" s="255"/>
      <c r="H367" s="256"/>
      <c r="I367" s="255"/>
    </row>
    <row r="368" spans="1:9" ht="15">
      <c r="A368" s="3"/>
      <c r="B368" s="3"/>
      <c r="C368" s="255"/>
      <c r="D368" s="255"/>
      <c r="E368" s="255"/>
      <c r="F368" s="255"/>
      <c r="G368" s="255"/>
      <c r="H368" s="256"/>
      <c r="I368" s="255"/>
    </row>
    <row r="369" spans="1:9" ht="15">
      <c r="A369" s="3"/>
      <c r="B369" s="3"/>
      <c r="C369" s="255"/>
      <c r="D369" s="255"/>
      <c r="E369" s="255"/>
      <c r="F369" s="255"/>
      <c r="G369" s="255"/>
      <c r="H369" s="256"/>
      <c r="I369" s="255"/>
    </row>
    <row r="370" spans="1:9" ht="15">
      <c r="A370" s="3"/>
      <c r="B370" s="3"/>
      <c r="C370" s="255"/>
      <c r="D370" s="255"/>
      <c r="E370" s="255"/>
      <c r="F370" s="255"/>
      <c r="G370" s="255"/>
      <c r="H370" s="256"/>
      <c r="I370" s="255"/>
    </row>
    <row r="371" spans="1:9" ht="15">
      <c r="A371" s="3"/>
      <c r="B371" s="3"/>
      <c r="C371" s="255"/>
      <c r="D371" s="255"/>
      <c r="E371" s="255"/>
      <c r="F371" s="255"/>
      <c r="G371" s="255"/>
      <c r="H371" s="256"/>
      <c r="I371" s="255"/>
    </row>
    <row r="372" spans="1:9" ht="15">
      <c r="A372" s="3"/>
      <c r="B372" s="3"/>
      <c r="C372" s="255"/>
      <c r="D372" s="255"/>
      <c r="E372" s="255"/>
      <c r="F372" s="255"/>
      <c r="G372" s="255"/>
      <c r="H372" s="256"/>
      <c r="I372" s="255"/>
    </row>
    <row r="373" spans="1:9" ht="15">
      <c r="A373" s="3"/>
      <c r="B373" s="3"/>
      <c r="C373" s="255"/>
      <c r="D373" s="255"/>
      <c r="E373" s="255"/>
      <c r="F373" s="255"/>
      <c r="G373" s="255"/>
      <c r="H373" s="256"/>
      <c r="I373" s="255"/>
    </row>
    <row r="374" spans="1:9" ht="15">
      <c r="A374" s="3"/>
      <c r="B374" s="3"/>
      <c r="C374" s="255"/>
      <c r="D374" s="255"/>
      <c r="E374" s="255"/>
      <c r="F374" s="255"/>
      <c r="G374" s="255"/>
      <c r="H374" s="256"/>
      <c r="I374" s="255"/>
    </row>
    <row r="375" spans="1:9" ht="15">
      <c r="A375" s="3"/>
      <c r="B375" s="3"/>
      <c r="C375" s="255"/>
      <c r="D375" s="255"/>
      <c r="E375" s="255"/>
      <c r="F375" s="255"/>
      <c r="G375" s="255"/>
      <c r="H375" s="256"/>
      <c r="I375" s="255"/>
    </row>
    <row r="376" spans="1:9" ht="15">
      <c r="A376" s="3"/>
      <c r="B376" s="3"/>
      <c r="C376" s="255"/>
      <c r="D376" s="255"/>
      <c r="E376" s="255"/>
      <c r="F376" s="255"/>
      <c r="G376" s="255"/>
      <c r="H376" s="256"/>
      <c r="I376" s="255"/>
    </row>
    <row r="377" spans="1:9" ht="15">
      <c r="A377" s="3"/>
      <c r="B377" s="3"/>
      <c r="C377" s="255"/>
      <c r="D377" s="255"/>
      <c r="E377" s="255"/>
      <c r="F377" s="255"/>
      <c r="G377" s="255"/>
      <c r="H377" s="256"/>
      <c r="I377" s="255"/>
    </row>
    <row r="378" spans="1:9" ht="15">
      <c r="A378" s="3"/>
      <c r="B378" s="3"/>
      <c r="C378" s="255"/>
      <c r="D378" s="255"/>
      <c r="E378" s="255"/>
      <c r="F378" s="255"/>
      <c r="G378" s="255"/>
      <c r="H378" s="256"/>
      <c r="I378" s="255"/>
    </row>
    <row r="379" spans="1:9" ht="15">
      <c r="A379" s="3"/>
      <c r="B379" s="3"/>
      <c r="C379" s="255"/>
      <c r="D379" s="255"/>
      <c r="E379" s="255"/>
      <c r="F379" s="255"/>
      <c r="G379" s="255"/>
      <c r="H379" s="256"/>
      <c r="I379" s="255"/>
    </row>
    <row r="380" spans="1:9" ht="15">
      <c r="A380" s="3"/>
      <c r="B380" s="3"/>
      <c r="C380" s="255"/>
      <c r="D380" s="255"/>
      <c r="E380" s="255"/>
      <c r="F380" s="255"/>
      <c r="G380" s="255"/>
      <c r="H380" s="256"/>
      <c r="I380" s="255"/>
    </row>
    <row r="381" spans="1:9" ht="15">
      <c r="A381" s="3"/>
      <c r="B381" s="3"/>
      <c r="C381" s="255"/>
      <c r="D381" s="255"/>
      <c r="E381" s="255"/>
      <c r="F381" s="255"/>
      <c r="G381" s="255"/>
      <c r="H381" s="256"/>
      <c r="I381" s="255"/>
    </row>
    <row r="382" spans="1:9" ht="15">
      <c r="A382" s="3"/>
      <c r="B382" s="3"/>
      <c r="C382" s="255"/>
      <c r="D382" s="255"/>
      <c r="E382" s="255"/>
      <c r="F382" s="255"/>
      <c r="G382" s="255"/>
      <c r="H382" s="256"/>
      <c r="I382" s="255"/>
    </row>
    <row r="383" spans="1:9" ht="15">
      <c r="A383" s="3"/>
      <c r="B383" s="3"/>
      <c r="C383" s="255"/>
      <c r="D383" s="255"/>
      <c r="E383" s="255"/>
      <c r="F383" s="255"/>
      <c r="G383" s="255"/>
      <c r="H383" s="256"/>
      <c r="I383" s="255"/>
    </row>
    <row r="384" spans="1:9" ht="15">
      <c r="A384" s="3"/>
      <c r="B384" s="3"/>
      <c r="C384" s="255"/>
      <c r="D384" s="255"/>
      <c r="E384" s="255"/>
      <c r="F384" s="255"/>
      <c r="G384" s="255"/>
      <c r="H384" s="256"/>
      <c r="I384" s="255"/>
    </row>
    <row r="385" spans="1:9" ht="15">
      <c r="A385" s="3"/>
      <c r="B385" s="3"/>
      <c r="C385" s="255"/>
      <c r="D385" s="255"/>
      <c r="E385" s="255"/>
      <c r="F385" s="255"/>
      <c r="G385" s="255"/>
      <c r="H385" s="256"/>
      <c r="I385" s="255"/>
    </row>
    <row r="386" spans="1:9" ht="15">
      <c r="A386" s="3"/>
      <c r="B386" s="3"/>
      <c r="C386" s="255"/>
      <c r="D386" s="255"/>
      <c r="E386" s="255"/>
      <c r="F386" s="255"/>
      <c r="G386" s="255"/>
      <c r="H386" s="256"/>
      <c r="I386" s="255"/>
    </row>
    <row r="387" spans="1:9" ht="15">
      <c r="A387" s="3"/>
      <c r="B387" s="3"/>
      <c r="C387" s="255"/>
      <c r="D387" s="255"/>
      <c r="E387" s="255"/>
      <c r="F387" s="255"/>
      <c r="G387" s="255"/>
      <c r="H387" s="256"/>
      <c r="I387" s="255"/>
    </row>
    <row r="388" spans="1:9" ht="15">
      <c r="A388" s="3"/>
      <c r="B388" s="3"/>
      <c r="C388" s="255"/>
      <c r="D388" s="255"/>
      <c r="E388" s="255"/>
      <c r="F388" s="255"/>
      <c r="G388" s="255"/>
      <c r="H388" s="256"/>
      <c r="I388" s="255"/>
    </row>
    <row r="389" spans="1:9" ht="15">
      <c r="A389" s="3"/>
      <c r="B389" s="3"/>
      <c r="C389" s="255"/>
      <c r="D389" s="255"/>
      <c r="E389" s="255"/>
      <c r="F389" s="255"/>
      <c r="G389" s="255"/>
      <c r="H389" s="256"/>
      <c r="I389" s="255"/>
    </row>
    <row r="390" spans="1:9" ht="15">
      <c r="A390" s="3"/>
      <c r="B390" s="3"/>
      <c r="C390" s="255"/>
      <c r="D390" s="255"/>
      <c r="E390" s="255"/>
      <c r="F390" s="255"/>
      <c r="G390" s="255"/>
      <c r="H390" s="256"/>
      <c r="I390" s="255"/>
    </row>
    <row r="391" spans="1:9" ht="15">
      <c r="A391" s="3"/>
      <c r="B391" s="3"/>
      <c r="C391" s="255"/>
      <c r="D391" s="255"/>
      <c r="E391" s="255"/>
      <c r="F391" s="255"/>
      <c r="G391" s="255"/>
      <c r="H391" s="256"/>
      <c r="I391" s="255"/>
    </row>
    <row r="392" spans="1:9" ht="15">
      <c r="A392" s="3"/>
      <c r="B392" s="3"/>
      <c r="C392" s="255"/>
      <c r="D392" s="255"/>
      <c r="E392" s="255"/>
      <c r="F392" s="255"/>
      <c r="G392" s="255"/>
      <c r="H392" s="256"/>
      <c r="I392" s="255"/>
    </row>
    <row r="393" spans="1:9" ht="15">
      <c r="A393" s="3"/>
      <c r="B393" s="3"/>
      <c r="C393" s="255"/>
      <c r="D393" s="255"/>
      <c r="E393" s="255"/>
      <c r="F393" s="255"/>
      <c r="G393" s="255"/>
      <c r="H393" s="256"/>
      <c r="I393" s="255"/>
    </row>
    <row r="394" spans="1:9" ht="15">
      <c r="A394" s="3"/>
      <c r="B394" s="3"/>
      <c r="C394" s="255"/>
      <c r="D394" s="255"/>
      <c r="E394" s="255"/>
      <c r="F394" s="255"/>
      <c r="G394" s="255"/>
      <c r="H394" s="256"/>
      <c r="I394" s="255"/>
    </row>
    <row r="395" spans="1:9" ht="15">
      <c r="A395" s="3"/>
      <c r="B395" s="3"/>
      <c r="C395" s="255"/>
      <c r="D395" s="255"/>
      <c r="E395" s="255"/>
      <c r="F395" s="255"/>
      <c r="G395" s="255"/>
      <c r="H395" s="256"/>
      <c r="I395" s="255"/>
    </row>
    <row r="396" spans="1:9" ht="15">
      <c r="A396" s="3"/>
      <c r="B396" s="3"/>
      <c r="C396" s="255"/>
      <c r="D396" s="255"/>
      <c r="E396" s="255"/>
      <c r="F396" s="255"/>
      <c r="G396" s="255"/>
      <c r="H396" s="256"/>
      <c r="I396" s="255"/>
    </row>
    <row r="397" spans="1:9" ht="15">
      <c r="A397" s="3"/>
      <c r="B397" s="3"/>
      <c r="C397" s="255"/>
      <c r="D397" s="255"/>
      <c r="E397" s="255"/>
      <c r="F397" s="255"/>
      <c r="G397" s="255"/>
      <c r="H397" s="256"/>
      <c r="I397" s="255"/>
    </row>
    <row r="398" spans="1:9" ht="15">
      <c r="A398" s="3"/>
      <c r="B398" s="3"/>
      <c r="C398" s="255"/>
      <c r="D398" s="255"/>
      <c r="E398" s="255"/>
      <c r="F398" s="255"/>
      <c r="G398" s="255"/>
      <c r="H398" s="256"/>
      <c r="I398" s="255"/>
    </row>
    <row r="399" spans="1:9" ht="15">
      <c r="A399" s="3"/>
      <c r="B399" s="3"/>
      <c r="C399" s="255"/>
      <c r="D399" s="255"/>
      <c r="E399" s="255"/>
      <c r="F399" s="255"/>
      <c r="G399" s="255"/>
      <c r="H399" s="256"/>
      <c r="I399" s="255"/>
    </row>
    <row r="400" spans="1:9" ht="15">
      <c r="A400" s="3"/>
      <c r="B400" s="3"/>
      <c r="C400" s="255"/>
      <c r="D400" s="255"/>
      <c r="E400" s="255"/>
      <c r="F400" s="255"/>
      <c r="G400" s="255"/>
      <c r="H400" s="256"/>
      <c r="I400" s="255"/>
    </row>
    <row r="401" spans="1:9" ht="15">
      <c r="A401" s="3"/>
      <c r="B401" s="3"/>
      <c r="C401" s="255"/>
      <c r="D401" s="255"/>
      <c r="E401" s="255"/>
      <c r="F401" s="255"/>
      <c r="G401" s="255"/>
      <c r="H401" s="256"/>
      <c r="I401" s="255"/>
    </row>
    <row r="402" spans="1:9" ht="15">
      <c r="A402" s="3"/>
      <c r="B402" s="3"/>
      <c r="C402" s="255"/>
      <c r="D402" s="255"/>
      <c r="E402" s="255"/>
      <c r="F402" s="255"/>
      <c r="G402" s="255"/>
      <c r="H402" s="256"/>
      <c r="I402" s="255"/>
    </row>
    <row r="403" spans="1:9" ht="15">
      <c r="A403" s="3"/>
      <c r="B403" s="3"/>
      <c r="C403" s="255"/>
      <c r="D403" s="255"/>
      <c r="E403" s="255"/>
      <c r="F403" s="255"/>
      <c r="G403" s="255"/>
      <c r="H403" s="256"/>
      <c r="I403" s="255"/>
    </row>
    <row r="404" spans="1:9" ht="15">
      <c r="A404" s="3"/>
      <c r="B404" s="3"/>
      <c r="C404" s="255"/>
      <c r="D404" s="255"/>
      <c r="E404" s="255"/>
      <c r="F404" s="255"/>
      <c r="G404" s="255"/>
      <c r="H404" s="256"/>
      <c r="I404" s="255"/>
    </row>
    <row r="405" spans="1:9" ht="15">
      <c r="A405" s="3"/>
      <c r="B405" s="3"/>
      <c r="C405" s="255"/>
      <c r="D405" s="255"/>
      <c r="E405" s="255"/>
      <c r="F405" s="255"/>
      <c r="G405" s="255"/>
      <c r="H405" s="256"/>
      <c r="I405" s="255"/>
    </row>
    <row r="406" spans="1:9" ht="15">
      <c r="A406" s="3"/>
      <c r="B406" s="3"/>
      <c r="C406" s="255"/>
      <c r="D406" s="255"/>
      <c r="E406" s="255"/>
      <c r="F406" s="255"/>
      <c r="G406" s="255"/>
      <c r="H406" s="256"/>
      <c r="I406" s="255"/>
    </row>
    <row r="407" spans="1:9" ht="15">
      <c r="A407" s="3"/>
      <c r="B407" s="3"/>
      <c r="C407" s="255"/>
      <c r="D407" s="255"/>
      <c r="E407" s="255"/>
      <c r="F407" s="255"/>
      <c r="G407" s="255"/>
      <c r="H407" s="256"/>
      <c r="I407" s="255"/>
    </row>
    <row r="408" spans="1:9" ht="15">
      <c r="A408" s="3"/>
      <c r="B408" s="3"/>
      <c r="C408" s="255"/>
      <c r="D408" s="255"/>
      <c r="E408" s="255"/>
      <c r="F408" s="255"/>
      <c r="G408" s="255"/>
      <c r="H408" s="256"/>
      <c r="I408" s="255"/>
    </row>
    <row r="409" spans="1:9" ht="15">
      <c r="A409" s="3"/>
      <c r="B409" s="3"/>
      <c r="C409" s="255"/>
      <c r="D409" s="255"/>
      <c r="E409" s="255"/>
      <c r="F409" s="255"/>
      <c r="G409" s="255"/>
      <c r="H409" s="256"/>
      <c r="I409" s="255"/>
    </row>
    <row r="410" spans="1:9" ht="15">
      <c r="A410" s="3"/>
      <c r="B410" s="3"/>
      <c r="C410" s="255"/>
      <c r="D410" s="255"/>
      <c r="E410" s="255"/>
      <c r="F410" s="255"/>
      <c r="G410" s="255"/>
      <c r="H410" s="256"/>
      <c r="I410" s="255"/>
    </row>
    <row r="411" spans="1:9" ht="15">
      <c r="A411" s="3"/>
      <c r="B411" s="3"/>
      <c r="C411" s="255"/>
      <c r="D411" s="255"/>
      <c r="E411" s="255"/>
      <c r="F411" s="255"/>
      <c r="G411" s="255"/>
      <c r="H411" s="256"/>
      <c r="I411" s="255"/>
    </row>
    <row r="412" spans="1:9" ht="15">
      <c r="A412" s="3"/>
      <c r="B412" s="3"/>
      <c r="C412" s="255"/>
      <c r="D412" s="255"/>
      <c r="E412" s="255"/>
      <c r="F412" s="255"/>
      <c r="G412" s="255"/>
      <c r="H412" s="256"/>
      <c r="I412" s="255"/>
    </row>
    <row r="413" spans="1:9" ht="15">
      <c r="A413" s="3"/>
      <c r="B413" s="3"/>
      <c r="C413" s="255"/>
      <c r="D413" s="255"/>
      <c r="E413" s="255"/>
      <c r="F413" s="255"/>
      <c r="G413" s="255"/>
      <c r="H413" s="256"/>
      <c r="I413" s="255"/>
    </row>
    <row r="414" spans="1:9" ht="15">
      <c r="A414" s="3"/>
      <c r="B414" s="3"/>
      <c r="C414" s="255"/>
      <c r="D414" s="255"/>
      <c r="E414" s="255"/>
      <c r="F414" s="255"/>
      <c r="G414" s="255"/>
      <c r="H414" s="256"/>
      <c r="I414" s="255"/>
    </row>
    <row r="415" spans="1:9" ht="15">
      <c r="A415" s="3"/>
      <c r="B415" s="3"/>
      <c r="C415" s="255"/>
      <c r="D415" s="255"/>
      <c r="E415" s="255"/>
      <c r="F415" s="255"/>
      <c r="G415" s="255"/>
      <c r="H415" s="256"/>
      <c r="I415" s="255"/>
    </row>
    <row r="416" spans="1:9" ht="15">
      <c r="A416" s="3"/>
      <c r="B416" s="3"/>
      <c r="C416" s="255"/>
      <c r="D416" s="255"/>
      <c r="E416" s="255"/>
      <c r="F416" s="255"/>
      <c r="G416" s="255"/>
      <c r="H416" s="256"/>
      <c r="I416" s="255"/>
    </row>
    <row r="417" spans="1:9" ht="15">
      <c r="A417" s="3"/>
      <c r="B417" s="3"/>
      <c r="C417" s="255"/>
      <c r="D417" s="255"/>
      <c r="E417" s="255"/>
      <c r="F417" s="255"/>
      <c r="G417" s="255"/>
      <c r="H417" s="256"/>
      <c r="I417" s="255"/>
    </row>
    <row r="418" spans="1:9" ht="15">
      <c r="A418" s="3"/>
      <c r="B418" s="3"/>
      <c r="C418" s="255"/>
      <c r="D418" s="255"/>
      <c r="E418" s="255"/>
      <c r="F418" s="255"/>
      <c r="G418" s="255"/>
      <c r="H418" s="256"/>
      <c r="I418" s="255"/>
    </row>
    <row r="419" spans="1:9" ht="15">
      <c r="A419" s="3"/>
      <c r="B419" s="3"/>
      <c r="C419" s="255"/>
      <c r="D419" s="255"/>
      <c r="E419" s="255"/>
      <c r="F419" s="255"/>
      <c r="G419" s="255"/>
      <c r="H419" s="256"/>
      <c r="I419" s="255"/>
    </row>
    <row r="420" spans="1:9" ht="15">
      <c r="A420" s="3"/>
      <c r="B420" s="3"/>
      <c r="C420" s="255"/>
      <c r="D420" s="255"/>
      <c r="E420" s="255"/>
      <c r="F420" s="255"/>
      <c r="G420" s="255"/>
      <c r="H420" s="256"/>
      <c r="I420" s="255"/>
    </row>
    <row r="421" spans="1:9" ht="15">
      <c r="A421" s="3"/>
      <c r="B421" s="3"/>
      <c r="C421" s="255"/>
      <c r="D421" s="255"/>
      <c r="E421" s="255"/>
      <c r="F421" s="255"/>
      <c r="G421" s="255"/>
      <c r="H421" s="256"/>
      <c r="I421" s="255"/>
    </row>
    <row r="422" spans="1:9" ht="15">
      <c r="A422" s="3"/>
      <c r="B422" s="3"/>
      <c r="C422" s="255"/>
      <c r="D422" s="255"/>
      <c r="E422" s="255"/>
      <c r="F422" s="255"/>
      <c r="G422" s="255"/>
      <c r="H422" s="256"/>
      <c r="I422" s="255"/>
    </row>
    <row r="423" spans="1:9" ht="15">
      <c r="A423" s="3"/>
      <c r="B423" s="3"/>
      <c r="C423" s="255"/>
      <c r="D423" s="255"/>
      <c r="E423" s="255"/>
      <c r="F423" s="255"/>
      <c r="G423" s="255"/>
      <c r="H423" s="256"/>
      <c r="I423" s="255"/>
    </row>
    <row r="424" spans="1:9" ht="15">
      <c r="A424" s="3"/>
      <c r="B424" s="3"/>
      <c r="C424" s="255"/>
      <c r="D424" s="255"/>
      <c r="E424" s="255"/>
      <c r="F424" s="255"/>
      <c r="G424" s="255"/>
      <c r="H424" s="256"/>
      <c r="I424" s="255"/>
    </row>
    <row r="425" spans="1:9" ht="15">
      <c r="A425" s="3"/>
      <c r="B425" s="3"/>
      <c r="C425" s="255"/>
      <c r="D425" s="255"/>
      <c r="E425" s="255"/>
      <c r="F425" s="255"/>
      <c r="G425" s="255"/>
      <c r="H425" s="256"/>
      <c r="I425" s="255"/>
    </row>
    <row r="426" spans="1:9" ht="15">
      <c r="A426" s="3"/>
      <c r="B426" s="3"/>
      <c r="C426" s="255"/>
      <c r="D426" s="255"/>
      <c r="E426" s="255"/>
      <c r="F426" s="255"/>
      <c r="G426" s="255"/>
      <c r="H426" s="256"/>
      <c r="I426" s="255"/>
    </row>
    <row r="427" spans="1:9" ht="15">
      <c r="A427" s="3"/>
      <c r="B427" s="3"/>
      <c r="C427" s="255"/>
      <c r="D427" s="255"/>
      <c r="E427" s="255"/>
      <c r="F427" s="255"/>
      <c r="G427" s="255"/>
      <c r="H427" s="256"/>
      <c r="I427" s="255"/>
    </row>
    <row r="428" spans="1:9" ht="15">
      <c r="A428" s="3"/>
      <c r="B428" s="3"/>
      <c r="C428" s="255"/>
      <c r="D428" s="255"/>
      <c r="E428" s="255"/>
      <c r="F428" s="255"/>
      <c r="G428" s="255"/>
      <c r="H428" s="256"/>
      <c r="I428" s="255"/>
    </row>
    <row r="429" spans="1:9" ht="15">
      <c r="A429" s="3"/>
      <c r="B429" s="3"/>
      <c r="C429" s="255"/>
      <c r="D429" s="255"/>
      <c r="E429" s="255"/>
      <c r="F429" s="255"/>
      <c r="G429" s="255"/>
      <c r="H429" s="256"/>
      <c r="I429" s="255"/>
    </row>
    <row r="430" spans="1:9" ht="15">
      <c r="A430" s="3"/>
      <c r="B430" s="3"/>
      <c r="C430" s="255"/>
      <c r="D430" s="255"/>
      <c r="E430" s="255"/>
      <c r="F430" s="255"/>
      <c r="G430" s="255"/>
      <c r="H430" s="256"/>
      <c r="I430" s="255"/>
    </row>
    <row r="431" spans="1:9" ht="15">
      <c r="A431" s="3"/>
      <c r="B431" s="3"/>
      <c r="C431" s="255"/>
      <c r="D431" s="255"/>
      <c r="E431" s="255"/>
      <c r="F431" s="255"/>
      <c r="G431" s="255"/>
      <c r="H431" s="256"/>
      <c r="I431" s="255"/>
    </row>
    <row r="432" spans="1:9" ht="15">
      <c r="A432" s="3"/>
      <c r="B432" s="3"/>
      <c r="C432" s="255"/>
      <c r="D432" s="255"/>
      <c r="E432" s="255"/>
      <c r="F432" s="255"/>
      <c r="G432" s="255"/>
      <c r="H432" s="256"/>
      <c r="I432" s="255"/>
    </row>
    <row r="433" spans="1:9" ht="15">
      <c r="A433" s="3"/>
      <c r="B433" s="3"/>
      <c r="C433" s="255"/>
      <c r="D433" s="255"/>
      <c r="E433" s="255"/>
      <c r="F433" s="255"/>
      <c r="G433" s="255"/>
      <c r="H433" s="256"/>
      <c r="I433" s="255"/>
    </row>
    <row r="434" spans="1:9" ht="15">
      <c r="A434" s="3"/>
      <c r="B434" s="3"/>
      <c r="C434" s="255"/>
      <c r="D434" s="255"/>
      <c r="E434" s="255"/>
      <c r="F434" s="255"/>
      <c r="G434" s="255"/>
      <c r="H434" s="256"/>
      <c r="I434" s="255"/>
    </row>
    <row r="435" spans="1:9" ht="15">
      <c r="A435" s="3"/>
      <c r="B435" s="3"/>
      <c r="C435" s="255"/>
      <c r="D435" s="255"/>
      <c r="E435" s="255"/>
      <c r="F435" s="255"/>
      <c r="G435" s="255"/>
      <c r="H435" s="256"/>
      <c r="I435" s="255"/>
    </row>
    <row r="436" spans="1:9" ht="15">
      <c r="A436" s="3"/>
      <c r="B436" s="3"/>
      <c r="C436" s="255"/>
      <c r="D436" s="255"/>
      <c r="E436" s="255"/>
      <c r="F436" s="255"/>
      <c r="G436" s="255"/>
      <c r="H436" s="256"/>
      <c r="I436" s="255"/>
    </row>
    <row r="437" spans="1:9" ht="15">
      <c r="A437" s="3"/>
      <c r="B437" s="3"/>
      <c r="C437" s="255"/>
      <c r="D437" s="255"/>
      <c r="E437" s="255"/>
      <c r="F437" s="255"/>
      <c r="G437" s="255"/>
      <c r="H437" s="256"/>
      <c r="I437" s="255"/>
    </row>
    <row r="438" spans="1:9" ht="15">
      <c r="A438" s="3"/>
      <c r="B438" s="3"/>
      <c r="C438" s="255"/>
      <c r="D438" s="255"/>
      <c r="E438" s="255"/>
      <c r="F438" s="255"/>
      <c r="G438" s="255"/>
      <c r="H438" s="256"/>
      <c r="I438" s="255"/>
    </row>
    <row r="439" spans="1:9" ht="15">
      <c r="A439" s="3"/>
      <c r="B439" s="3"/>
      <c r="C439" s="255"/>
      <c r="D439" s="255"/>
      <c r="E439" s="255"/>
      <c r="F439" s="255"/>
      <c r="G439" s="255"/>
      <c r="H439" s="256"/>
      <c r="I439" s="255"/>
    </row>
    <row r="440" spans="1:9" ht="15">
      <c r="A440" s="3"/>
      <c r="B440" s="3"/>
      <c r="C440" s="255"/>
      <c r="D440" s="255"/>
      <c r="E440" s="255"/>
      <c r="F440" s="255"/>
      <c r="G440" s="255"/>
      <c r="H440" s="256"/>
      <c r="I440" s="255"/>
    </row>
    <row r="441" spans="1:9" ht="15">
      <c r="A441" s="3"/>
      <c r="B441" s="3"/>
      <c r="C441" s="255"/>
      <c r="D441" s="255"/>
      <c r="E441" s="255"/>
      <c r="F441" s="255"/>
      <c r="G441" s="255"/>
      <c r="H441" s="256"/>
      <c r="I441" s="255"/>
    </row>
    <row r="442" spans="1:9" ht="15">
      <c r="A442" s="3"/>
      <c r="B442" s="3"/>
      <c r="C442" s="255"/>
      <c r="D442" s="255"/>
      <c r="E442" s="255"/>
      <c r="F442" s="255"/>
      <c r="G442" s="255"/>
      <c r="H442" s="256"/>
      <c r="I442" s="255"/>
    </row>
    <row r="443" spans="1:9" ht="15">
      <c r="A443" s="3"/>
      <c r="B443" s="3"/>
      <c r="C443" s="255"/>
      <c r="D443" s="255"/>
      <c r="E443" s="255"/>
      <c r="F443" s="255"/>
      <c r="G443" s="255"/>
      <c r="H443" s="256"/>
      <c r="I443" s="255"/>
    </row>
    <row r="444" spans="1:9" ht="15">
      <c r="A444" s="3"/>
      <c r="B444" s="3"/>
      <c r="C444" s="255"/>
      <c r="D444" s="255"/>
      <c r="E444" s="255"/>
      <c r="F444" s="255"/>
      <c r="G444" s="255"/>
      <c r="H444" s="256"/>
      <c r="I444" s="255"/>
    </row>
    <row r="445" spans="1:9" ht="15">
      <c r="A445" s="3"/>
      <c r="B445" s="3"/>
      <c r="C445" s="255"/>
      <c r="D445" s="255"/>
      <c r="E445" s="255"/>
      <c r="F445" s="255"/>
      <c r="G445" s="255"/>
      <c r="H445" s="256"/>
      <c r="I445" s="255"/>
    </row>
    <row r="446" spans="1:9" ht="15">
      <c r="A446" s="3"/>
      <c r="B446" s="3"/>
      <c r="C446" s="255"/>
      <c r="D446" s="255"/>
      <c r="E446" s="255"/>
      <c r="F446" s="255"/>
      <c r="G446" s="255"/>
      <c r="H446" s="256"/>
      <c r="I446" s="255"/>
    </row>
    <row r="447" spans="1:9" ht="15">
      <c r="A447" s="3"/>
      <c r="B447" s="3"/>
      <c r="C447" s="255"/>
      <c r="D447" s="255"/>
      <c r="E447" s="255"/>
      <c r="F447" s="255"/>
      <c r="G447" s="255"/>
      <c r="H447" s="256"/>
      <c r="I447" s="255"/>
    </row>
    <row r="448" spans="1:9" ht="15">
      <c r="A448" s="3"/>
      <c r="B448" s="3"/>
      <c r="C448" s="255"/>
      <c r="D448" s="255"/>
      <c r="E448" s="255"/>
      <c r="F448" s="255"/>
      <c r="G448" s="255"/>
      <c r="H448" s="256"/>
      <c r="I448" s="255"/>
    </row>
    <row r="449" spans="1:9" ht="15">
      <c r="A449" s="3"/>
      <c r="B449" s="3"/>
      <c r="C449" s="255"/>
      <c r="D449" s="255"/>
      <c r="E449" s="255"/>
      <c r="F449" s="255"/>
      <c r="G449" s="255"/>
      <c r="H449" s="256"/>
      <c r="I449" s="255"/>
    </row>
    <row r="450" spans="1:9" ht="15">
      <c r="A450" s="3"/>
      <c r="B450" s="3"/>
      <c r="C450" s="255"/>
      <c r="D450" s="255"/>
      <c r="E450" s="255"/>
      <c r="F450" s="255"/>
      <c r="G450" s="255"/>
      <c r="H450" s="256"/>
      <c r="I450" s="255"/>
    </row>
    <row r="451" spans="1:9" ht="15">
      <c r="A451" s="3"/>
      <c r="B451" s="3"/>
      <c r="C451" s="255"/>
      <c r="D451" s="255"/>
      <c r="E451" s="255"/>
      <c r="F451" s="255"/>
      <c r="G451" s="255"/>
      <c r="H451" s="256"/>
      <c r="I451" s="255"/>
    </row>
    <row r="452" spans="1:9" ht="15">
      <c r="A452" s="3"/>
      <c r="B452" s="3"/>
      <c r="C452" s="255"/>
      <c r="D452" s="255"/>
      <c r="E452" s="255"/>
      <c r="F452" s="255"/>
      <c r="G452" s="255"/>
      <c r="H452" s="256"/>
      <c r="I452" s="255"/>
    </row>
    <row r="453" spans="1:9" ht="15">
      <c r="A453" s="3"/>
      <c r="B453" s="3"/>
      <c r="C453" s="255"/>
      <c r="D453" s="255"/>
      <c r="E453" s="255"/>
      <c r="F453" s="255"/>
      <c r="G453" s="255"/>
      <c r="H453" s="256"/>
      <c r="I453" s="255"/>
    </row>
    <row r="454" spans="1:9" ht="15">
      <c r="A454" s="3"/>
      <c r="B454" s="3"/>
      <c r="C454" s="255"/>
      <c r="D454" s="255"/>
      <c r="E454" s="255"/>
      <c r="F454" s="255"/>
      <c r="G454" s="255"/>
      <c r="H454" s="256"/>
      <c r="I454" s="255"/>
    </row>
    <row r="455" spans="1:9" ht="15">
      <c r="A455" s="3"/>
      <c r="B455" s="3"/>
      <c r="C455" s="255"/>
      <c r="D455" s="255"/>
      <c r="E455" s="255"/>
      <c r="F455" s="255"/>
      <c r="G455" s="255"/>
      <c r="H455" s="256"/>
      <c r="I455" s="255"/>
    </row>
    <row r="456" spans="1:9" ht="15">
      <c r="A456" s="3"/>
      <c r="B456" s="3"/>
      <c r="C456" s="255"/>
      <c r="D456" s="255"/>
      <c r="E456" s="255"/>
      <c r="F456" s="255"/>
      <c r="G456" s="255"/>
      <c r="H456" s="256"/>
      <c r="I456" s="255"/>
    </row>
    <row r="457" spans="1:9" ht="15">
      <c r="A457" s="3"/>
      <c r="B457" s="3"/>
      <c r="C457" s="255"/>
      <c r="D457" s="255"/>
      <c r="E457" s="255"/>
      <c r="F457" s="255"/>
      <c r="G457" s="255"/>
      <c r="H457" s="256"/>
      <c r="I457" s="255"/>
    </row>
    <row r="458" spans="1:9" ht="15">
      <c r="A458" s="3"/>
      <c r="B458" s="3"/>
      <c r="C458" s="255"/>
      <c r="D458" s="255"/>
      <c r="E458" s="255"/>
      <c r="F458" s="255"/>
      <c r="G458" s="255"/>
      <c r="H458" s="256"/>
      <c r="I458" s="255"/>
    </row>
    <row r="459" spans="1:9" ht="15">
      <c r="A459" s="3"/>
      <c r="B459" s="3"/>
      <c r="C459" s="255"/>
      <c r="D459" s="255"/>
      <c r="E459" s="255"/>
      <c r="F459" s="255"/>
      <c r="G459" s="255"/>
      <c r="H459" s="256"/>
      <c r="I459" s="255"/>
    </row>
    <row r="460" spans="1:9" ht="15">
      <c r="A460" s="3"/>
      <c r="B460" s="3"/>
      <c r="C460" s="255"/>
      <c r="D460" s="255"/>
      <c r="E460" s="255"/>
      <c r="F460" s="255"/>
      <c r="G460" s="255"/>
      <c r="H460" s="256"/>
      <c r="I460" s="255"/>
    </row>
    <row r="461" spans="1:9" ht="15">
      <c r="A461" s="3"/>
      <c r="B461" s="3"/>
      <c r="C461" s="255"/>
      <c r="D461" s="255"/>
      <c r="E461" s="255"/>
      <c r="F461" s="255"/>
      <c r="G461" s="255"/>
      <c r="H461" s="256"/>
      <c r="I461" s="255"/>
    </row>
    <row r="462" spans="1:9" ht="15">
      <c r="A462" s="3"/>
      <c r="B462" s="3"/>
      <c r="C462" s="255"/>
      <c r="D462" s="255"/>
      <c r="E462" s="255"/>
      <c r="F462" s="255"/>
      <c r="G462" s="255"/>
      <c r="H462" s="256"/>
      <c r="I462" s="255"/>
    </row>
    <row r="463" spans="1:9" ht="15">
      <c r="A463" s="3"/>
      <c r="B463" s="3"/>
      <c r="C463" s="255"/>
      <c r="D463" s="255"/>
      <c r="E463" s="255"/>
      <c r="F463" s="255"/>
      <c r="G463" s="255"/>
      <c r="H463" s="256"/>
      <c r="I463" s="255"/>
    </row>
    <row r="464" spans="1:9" ht="15">
      <c r="A464" s="3"/>
      <c r="B464" s="3"/>
      <c r="C464" s="255"/>
      <c r="D464" s="255"/>
      <c r="E464" s="255"/>
      <c r="F464" s="255"/>
      <c r="G464" s="255"/>
      <c r="H464" s="256"/>
      <c r="I464" s="255"/>
    </row>
    <row r="465" spans="1:9" ht="15">
      <c r="A465" s="3"/>
      <c r="B465" s="3"/>
      <c r="C465" s="255"/>
      <c r="D465" s="255"/>
      <c r="E465" s="255"/>
      <c r="F465" s="255"/>
      <c r="G465" s="255"/>
      <c r="H465" s="256"/>
      <c r="I465" s="255"/>
    </row>
    <row r="466" spans="1:9" ht="15">
      <c r="A466" s="3"/>
      <c r="B466" s="3"/>
      <c r="C466" s="255"/>
      <c r="D466" s="255"/>
      <c r="E466" s="255"/>
      <c r="F466" s="255"/>
      <c r="G466" s="255"/>
      <c r="H466" s="256"/>
      <c r="I466" s="255"/>
    </row>
    <row r="467" spans="1:9" ht="15">
      <c r="A467" s="3"/>
      <c r="B467" s="3"/>
      <c r="C467" s="255"/>
      <c r="D467" s="255"/>
      <c r="E467" s="255"/>
      <c r="F467" s="255"/>
      <c r="G467" s="255"/>
      <c r="H467" s="256"/>
      <c r="I467" s="255"/>
    </row>
    <row r="468" spans="1:9" ht="15">
      <c r="A468" s="3"/>
      <c r="B468" s="3"/>
      <c r="C468" s="255"/>
      <c r="D468" s="255"/>
      <c r="E468" s="255"/>
      <c r="F468" s="255"/>
      <c r="G468" s="255"/>
      <c r="H468" s="256"/>
      <c r="I468" s="255"/>
    </row>
    <row r="469" spans="1:9" ht="15">
      <c r="A469" s="3"/>
      <c r="B469" s="3"/>
      <c r="C469" s="255"/>
      <c r="D469" s="255"/>
      <c r="E469" s="255"/>
      <c r="F469" s="255"/>
      <c r="G469" s="255"/>
      <c r="H469" s="256"/>
      <c r="I469" s="255"/>
    </row>
    <row r="470" spans="1:9" ht="15">
      <c r="A470" s="3"/>
      <c r="B470" s="3"/>
      <c r="C470" s="255"/>
      <c r="D470" s="255"/>
      <c r="E470" s="255"/>
      <c r="F470" s="255"/>
      <c r="G470" s="255"/>
      <c r="H470" s="256"/>
      <c r="I470" s="255"/>
    </row>
    <row r="471" spans="1:9" ht="15">
      <c r="A471" s="3"/>
      <c r="B471" s="3"/>
      <c r="C471" s="255"/>
      <c r="D471" s="255"/>
      <c r="E471" s="255"/>
      <c r="F471" s="255"/>
      <c r="G471" s="255"/>
      <c r="H471" s="256"/>
      <c r="I471" s="255"/>
    </row>
    <row r="472" spans="1:9" ht="15">
      <c r="A472" s="3"/>
      <c r="B472" s="3"/>
      <c r="C472" s="255"/>
      <c r="D472" s="255"/>
      <c r="E472" s="255"/>
      <c r="F472" s="255"/>
      <c r="G472" s="255"/>
      <c r="H472" s="256"/>
      <c r="I472" s="255"/>
    </row>
    <row r="473" spans="1:9" ht="15">
      <c r="A473" s="3"/>
      <c r="B473" s="3"/>
      <c r="C473" s="255"/>
      <c r="D473" s="255"/>
      <c r="E473" s="255"/>
      <c r="F473" s="255"/>
      <c r="G473" s="255"/>
      <c r="H473" s="256"/>
      <c r="I473" s="255"/>
    </row>
    <row r="474" spans="1:9" ht="15">
      <c r="A474" s="3"/>
      <c r="B474" s="3"/>
      <c r="C474" s="255"/>
      <c r="D474" s="255"/>
      <c r="E474" s="255"/>
      <c r="F474" s="255"/>
      <c r="G474" s="255"/>
      <c r="H474" s="256"/>
      <c r="I474" s="255"/>
    </row>
    <row r="475" spans="1:9" ht="15">
      <c r="A475" s="3"/>
      <c r="B475" s="3"/>
      <c r="C475" s="255"/>
      <c r="D475" s="255"/>
      <c r="E475" s="255"/>
      <c r="F475" s="255"/>
      <c r="G475" s="255"/>
      <c r="H475" s="256"/>
      <c r="I475" s="255"/>
    </row>
    <row r="476" spans="1:9" ht="15">
      <c r="A476" s="3"/>
      <c r="B476" s="3"/>
      <c r="C476" s="255"/>
      <c r="D476" s="255"/>
      <c r="E476" s="255"/>
      <c r="F476" s="255"/>
      <c r="G476" s="255"/>
      <c r="H476" s="256"/>
      <c r="I476" s="255"/>
    </row>
    <row r="477" spans="1:9" ht="15">
      <c r="A477" s="3"/>
      <c r="B477" s="3"/>
      <c r="C477" s="255"/>
      <c r="D477" s="255"/>
      <c r="E477" s="255"/>
      <c r="F477" s="255"/>
      <c r="G477" s="255"/>
      <c r="H477" s="256"/>
      <c r="I477" s="255"/>
    </row>
    <row r="478" spans="1:9" ht="15">
      <c r="A478" s="3"/>
      <c r="B478" s="3"/>
      <c r="C478" s="255"/>
      <c r="D478" s="255"/>
      <c r="E478" s="255"/>
      <c r="F478" s="255"/>
      <c r="G478" s="255"/>
      <c r="H478" s="256"/>
      <c r="I478" s="255"/>
    </row>
    <row r="479" spans="1:9" ht="15">
      <c r="A479" s="3"/>
      <c r="B479" s="3"/>
      <c r="C479" s="255"/>
      <c r="D479" s="255"/>
      <c r="E479" s="255"/>
      <c r="F479" s="255"/>
      <c r="G479" s="255"/>
      <c r="H479" s="256"/>
      <c r="I479" s="255"/>
    </row>
    <row r="480" spans="1:9" ht="15">
      <c r="A480" s="3"/>
      <c r="B480" s="3"/>
      <c r="C480" s="255"/>
      <c r="D480" s="255"/>
      <c r="E480" s="255"/>
      <c r="F480" s="255"/>
      <c r="G480" s="255"/>
      <c r="H480" s="256"/>
      <c r="I480" s="255"/>
    </row>
    <row r="481" spans="1:9" ht="15">
      <c r="A481" s="3"/>
      <c r="B481" s="3"/>
      <c r="C481" s="255"/>
      <c r="D481" s="255"/>
      <c r="E481" s="255"/>
      <c r="F481" s="255"/>
      <c r="G481" s="255"/>
      <c r="H481" s="256"/>
      <c r="I481" s="255"/>
    </row>
    <row r="482" spans="1:9" ht="15">
      <c r="A482" s="3"/>
      <c r="B482" s="3"/>
      <c r="C482" s="255"/>
      <c r="D482" s="255"/>
      <c r="E482" s="255"/>
      <c r="F482" s="255"/>
      <c r="G482" s="255"/>
      <c r="H482" s="256"/>
      <c r="I482" s="255"/>
    </row>
    <row r="483" spans="1:9" ht="15">
      <c r="A483" s="3"/>
      <c r="B483" s="3"/>
      <c r="C483" s="255"/>
      <c r="D483" s="255"/>
      <c r="E483" s="255"/>
      <c r="F483" s="255"/>
      <c r="G483" s="255"/>
      <c r="H483" s="256"/>
      <c r="I483" s="255"/>
    </row>
    <row r="484" spans="1:9" ht="15">
      <c r="A484" s="3"/>
      <c r="B484" s="3"/>
      <c r="C484" s="255"/>
      <c r="D484" s="255"/>
      <c r="E484" s="255"/>
      <c r="F484" s="255"/>
      <c r="G484" s="255"/>
      <c r="H484" s="256"/>
      <c r="I484" s="255"/>
    </row>
    <row r="485" spans="1:9" ht="15">
      <c r="A485" s="3"/>
      <c r="B485" s="3"/>
      <c r="C485" s="255"/>
      <c r="D485" s="255"/>
      <c r="E485" s="255"/>
      <c r="F485" s="255"/>
      <c r="G485" s="255"/>
      <c r="H485" s="256"/>
      <c r="I485" s="255"/>
    </row>
    <row r="486" spans="1:9" ht="15">
      <c r="A486" s="3"/>
      <c r="B486" s="3"/>
      <c r="C486" s="255"/>
      <c r="D486" s="255"/>
      <c r="E486" s="255"/>
      <c r="F486" s="255"/>
      <c r="G486" s="255"/>
      <c r="H486" s="256"/>
      <c r="I486" s="255"/>
    </row>
    <row r="487" spans="1:9" ht="15">
      <c r="A487" s="3"/>
      <c r="B487" s="3"/>
      <c r="C487" s="255"/>
      <c r="D487" s="255"/>
      <c r="E487" s="255"/>
      <c r="F487" s="255"/>
      <c r="G487" s="255"/>
      <c r="H487" s="256"/>
      <c r="I487" s="255"/>
    </row>
    <row r="488" spans="1:9" ht="15">
      <c r="A488" s="3"/>
      <c r="B488" s="3"/>
      <c r="C488" s="255"/>
      <c r="D488" s="255"/>
      <c r="E488" s="255"/>
      <c r="F488" s="255"/>
      <c r="G488" s="255"/>
      <c r="H488" s="256"/>
      <c r="I488" s="255"/>
    </row>
    <row r="489" spans="1:9" ht="15">
      <c r="A489" s="3"/>
      <c r="B489" s="3"/>
      <c r="C489" s="255"/>
      <c r="D489" s="255"/>
      <c r="E489" s="255"/>
      <c r="F489" s="255"/>
      <c r="G489" s="255"/>
      <c r="H489" s="256"/>
      <c r="I489" s="255"/>
    </row>
    <row r="490" spans="1:9" ht="15">
      <c r="A490" s="3"/>
      <c r="B490" s="3"/>
      <c r="C490" s="255"/>
      <c r="D490" s="255"/>
      <c r="E490" s="255"/>
      <c r="F490" s="255"/>
      <c r="G490" s="255"/>
      <c r="H490" s="256"/>
      <c r="I490" s="255"/>
    </row>
    <row r="491" spans="1:9" ht="15">
      <c r="A491" s="3"/>
      <c r="B491" s="3"/>
      <c r="C491" s="255"/>
      <c r="D491" s="255"/>
      <c r="E491" s="255"/>
      <c r="F491" s="255"/>
      <c r="G491" s="255"/>
      <c r="H491" s="256"/>
      <c r="I491" s="255"/>
    </row>
    <row r="492" spans="1:9" ht="15">
      <c r="A492" s="3"/>
      <c r="B492" s="3"/>
      <c r="C492" s="255"/>
      <c r="D492" s="255"/>
      <c r="E492" s="255"/>
      <c r="F492" s="255"/>
      <c r="G492" s="255"/>
      <c r="H492" s="256"/>
      <c r="I492" s="255"/>
    </row>
    <row r="493" spans="1:9" ht="15">
      <c r="A493" s="3"/>
      <c r="B493" s="3"/>
      <c r="C493" s="255"/>
      <c r="D493" s="255"/>
      <c r="E493" s="255"/>
      <c r="F493" s="255"/>
      <c r="G493" s="255"/>
      <c r="H493" s="256"/>
      <c r="I493" s="255"/>
    </row>
    <row r="494" spans="1:9" ht="15">
      <c r="A494" s="3"/>
      <c r="B494" s="3"/>
      <c r="C494" s="255"/>
      <c r="D494" s="255"/>
      <c r="E494" s="255"/>
      <c r="F494" s="255"/>
      <c r="G494" s="255"/>
      <c r="H494" s="256"/>
      <c r="I494" s="255"/>
    </row>
    <row r="495" spans="1:9" ht="15">
      <c r="A495" s="3"/>
      <c r="B495" s="3"/>
      <c r="C495" s="255"/>
      <c r="D495" s="255"/>
      <c r="E495" s="255"/>
      <c r="F495" s="255"/>
      <c r="G495" s="255"/>
      <c r="H495" s="256"/>
      <c r="I495" s="255"/>
    </row>
    <row r="496" spans="1:9" ht="15">
      <c r="A496" s="3"/>
      <c r="B496" s="3"/>
      <c r="C496" s="255"/>
      <c r="D496" s="255"/>
      <c r="E496" s="255"/>
      <c r="F496" s="255"/>
      <c r="G496" s="255"/>
      <c r="H496" s="256"/>
      <c r="I496" s="255"/>
    </row>
    <row r="497" spans="1:9" ht="15">
      <c r="A497" s="3"/>
      <c r="B497" s="3"/>
      <c r="C497" s="255"/>
      <c r="D497" s="255"/>
      <c r="E497" s="255"/>
      <c r="F497" s="255"/>
      <c r="G497" s="255"/>
      <c r="H497" s="256"/>
      <c r="I497" s="255"/>
    </row>
    <row r="498" spans="1:9" ht="15">
      <c r="A498" s="3"/>
      <c r="B498" s="3"/>
      <c r="C498" s="255"/>
      <c r="D498" s="255"/>
      <c r="E498" s="255"/>
      <c r="F498" s="255"/>
      <c r="G498" s="255"/>
      <c r="H498" s="256"/>
      <c r="I498" s="255"/>
    </row>
    <row r="499" spans="1:9" ht="15">
      <c r="A499" s="3"/>
      <c r="B499" s="3"/>
      <c r="C499" s="255"/>
      <c r="D499" s="255"/>
      <c r="E499" s="255"/>
      <c r="F499" s="255"/>
      <c r="G499" s="255"/>
      <c r="H499" s="256"/>
      <c r="I499" s="255"/>
    </row>
    <row r="500" spans="1:9" ht="15">
      <c r="A500" s="3"/>
      <c r="B500" s="3"/>
      <c r="C500" s="255"/>
      <c r="D500" s="255"/>
      <c r="E500" s="255"/>
      <c r="F500" s="255"/>
      <c r="G500" s="255"/>
      <c r="H500" s="256"/>
      <c r="I500" s="255"/>
    </row>
    <row r="501" spans="1:9" ht="15">
      <c r="A501" s="3"/>
      <c r="B501" s="3"/>
      <c r="C501" s="255"/>
      <c r="D501" s="255"/>
      <c r="E501" s="255"/>
      <c r="F501" s="255"/>
      <c r="G501" s="255"/>
      <c r="H501" s="256"/>
      <c r="I501" s="255"/>
    </row>
    <row r="502" spans="1:9" ht="15">
      <c r="A502" s="3"/>
      <c r="B502" s="3"/>
      <c r="C502" s="255"/>
      <c r="D502" s="255"/>
      <c r="E502" s="255"/>
      <c r="F502" s="255"/>
      <c r="G502" s="255"/>
      <c r="H502" s="256"/>
      <c r="I502" s="255"/>
    </row>
    <row r="503" spans="1:9" ht="15">
      <c r="A503" s="3"/>
      <c r="B503" s="3"/>
      <c r="C503" s="255"/>
      <c r="D503" s="255"/>
      <c r="E503" s="255"/>
      <c r="F503" s="255"/>
      <c r="G503" s="255"/>
      <c r="H503" s="256"/>
      <c r="I503" s="255"/>
    </row>
    <row r="504" spans="1:9" ht="15">
      <c r="A504" s="3"/>
      <c r="B504" s="3"/>
      <c r="C504" s="255"/>
      <c r="D504" s="255"/>
      <c r="E504" s="255"/>
      <c r="F504" s="255"/>
      <c r="G504" s="255"/>
      <c r="H504" s="256"/>
      <c r="I504" s="255"/>
    </row>
    <row r="505" spans="1:9" ht="15">
      <c r="A505" s="3"/>
      <c r="B505" s="3"/>
      <c r="C505" s="255"/>
      <c r="D505" s="255"/>
      <c r="E505" s="255"/>
      <c r="F505" s="255"/>
      <c r="G505" s="255"/>
      <c r="H505" s="256"/>
      <c r="I505" s="255"/>
    </row>
    <row r="506" spans="1:9" ht="15">
      <c r="A506" s="3"/>
      <c r="B506" s="3"/>
      <c r="C506" s="255"/>
      <c r="D506" s="255"/>
      <c r="E506" s="255"/>
      <c r="F506" s="255"/>
      <c r="G506" s="255"/>
      <c r="H506" s="256"/>
      <c r="I506" s="255"/>
    </row>
    <row r="507" spans="1:9" ht="15">
      <c r="A507" s="3"/>
      <c r="B507" s="3"/>
      <c r="C507" s="255"/>
      <c r="D507" s="255"/>
      <c r="E507" s="255"/>
      <c r="F507" s="255"/>
      <c r="G507" s="255"/>
      <c r="H507" s="256"/>
      <c r="I507" s="255"/>
    </row>
    <row r="508" spans="1:9" ht="15">
      <c r="A508" s="3"/>
      <c r="B508" s="3"/>
      <c r="C508" s="255"/>
      <c r="D508" s="255"/>
      <c r="E508" s="255"/>
      <c r="F508" s="255"/>
      <c r="G508" s="255"/>
      <c r="H508" s="256"/>
      <c r="I508" s="255"/>
    </row>
    <row r="509" spans="1:9" ht="15">
      <c r="A509" s="3"/>
      <c r="B509" s="3"/>
      <c r="C509" s="255"/>
      <c r="D509" s="255"/>
      <c r="E509" s="255"/>
      <c r="F509" s="255"/>
      <c r="G509" s="255"/>
      <c r="H509" s="256"/>
      <c r="I509" s="255"/>
    </row>
    <row r="510" spans="1:9" ht="15">
      <c r="A510" s="3"/>
      <c r="B510" s="3"/>
      <c r="C510" s="255"/>
      <c r="D510" s="255"/>
      <c r="E510" s="255"/>
      <c r="F510" s="255"/>
      <c r="G510" s="255"/>
      <c r="H510" s="256"/>
      <c r="I510" s="255"/>
    </row>
    <row r="511" spans="1:9" ht="15">
      <c r="A511" s="3"/>
      <c r="B511" s="3"/>
      <c r="C511" s="255"/>
      <c r="D511" s="255"/>
      <c r="E511" s="255"/>
      <c r="F511" s="255"/>
      <c r="G511" s="255"/>
      <c r="H511" s="256"/>
      <c r="I511" s="255"/>
    </row>
    <row r="512" spans="1:9" ht="15">
      <c r="A512" s="3"/>
      <c r="B512" s="3"/>
      <c r="C512" s="255"/>
      <c r="D512" s="255"/>
      <c r="E512" s="255"/>
      <c r="F512" s="255"/>
      <c r="G512" s="255"/>
      <c r="H512" s="256"/>
      <c r="I512" s="255"/>
    </row>
    <row r="513" spans="1:9" ht="15">
      <c r="A513" s="3"/>
      <c r="B513" s="3"/>
      <c r="C513" s="255"/>
      <c r="D513" s="255"/>
      <c r="E513" s="255"/>
      <c r="F513" s="255"/>
      <c r="G513" s="255"/>
      <c r="H513" s="256"/>
      <c r="I513" s="255"/>
    </row>
    <row r="514" spans="1:9" ht="15">
      <c r="A514" s="3"/>
      <c r="B514" s="3"/>
      <c r="C514" s="255"/>
      <c r="D514" s="255"/>
      <c r="E514" s="255"/>
      <c r="F514" s="255"/>
      <c r="G514" s="255"/>
      <c r="H514" s="256"/>
      <c r="I514" s="255"/>
    </row>
    <row r="515" spans="1:9" ht="15">
      <c r="A515" s="3"/>
      <c r="B515" s="3"/>
      <c r="C515" s="255"/>
      <c r="D515" s="255"/>
      <c r="E515" s="255"/>
      <c r="F515" s="255"/>
      <c r="G515" s="255"/>
      <c r="H515" s="256"/>
      <c r="I515" s="255"/>
    </row>
    <row r="516" spans="1:9" ht="15">
      <c r="A516" s="3"/>
      <c r="B516" s="3"/>
      <c r="C516" s="255"/>
      <c r="D516" s="255"/>
      <c r="E516" s="255"/>
      <c r="F516" s="255"/>
      <c r="G516" s="255"/>
      <c r="H516" s="256"/>
      <c r="I516" s="255"/>
    </row>
    <row r="517" spans="1:9" ht="15">
      <c r="A517" s="3"/>
      <c r="B517" s="3"/>
      <c r="C517" s="255"/>
      <c r="D517" s="255"/>
      <c r="E517" s="255"/>
      <c r="F517" s="255"/>
      <c r="G517" s="255"/>
      <c r="H517" s="256"/>
      <c r="I517" s="255"/>
    </row>
    <row r="518" spans="1:9" ht="15">
      <c r="A518" s="3"/>
      <c r="B518" s="3"/>
      <c r="C518" s="255"/>
      <c r="D518" s="255"/>
      <c r="E518" s="255"/>
      <c r="F518" s="255"/>
      <c r="G518" s="255"/>
      <c r="H518" s="256"/>
      <c r="I518" s="255"/>
    </row>
    <row r="519" spans="1:9" ht="15">
      <c r="A519" s="3"/>
      <c r="B519" s="3"/>
      <c r="C519" s="255"/>
      <c r="D519" s="255"/>
      <c r="E519" s="255"/>
      <c r="F519" s="255"/>
      <c r="G519" s="255"/>
      <c r="H519" s="256"/>
      <c r="I519" s="255"/>
    </row>
    <row r="520" spans="1:9" ht="15">
      <c r="A520" s="3"/>
      <c r="B520" s="3"/>
      <c r="C520" s="255"/>
      <c r="D520" s="255"/>
      <c r="E520" s="255"/>
      <c r="F520" s="255"/>
      <c r="G520" s="255"/>
      <c r="H520" s="256"/>
      <c r="I520" s="255"/>
    </row>
    <row r="521" spans="1:9" ht="15">
      <c r="A521" s="3"/>
      <c r="B521" s="3"/>
      <c r="C521" s="255"/>
      <c r="D521" s="255"/>
      <c r="E521" s="255"/>
      <c r="F521" s="255"/>
      <c r="G521" s="255"/>
      <c r="H521" s="256"/>
      <c r="I521" s="255"/>
    </row>
    <row r="522" spans="1:9" ht="15">
      <c r="A522" s="3"/>
      <c r="B522" s="3"/>
      <c r="C522" s="255"/>
      <c r="D522" s="255"/>
      <c r="E522" s="255"/>
      <c r="F522" s="255"/>
      <c r="G522" s="255"/>
      <c r="H522" s="256"/>
      <c r="I522" s="255"/>
    </row>
    <row r="523" spans="1:9" ht="15">
      <c r="A523" s="3"/>
      <c r="B523" s="3"/>
      <c r="C523" s="255"/>
      <c r="D523" s="255"/>
      <c r="E523" s="255"/>
      <c r="F523" s="255"/>
      <c r="G523" s="255"/>
      <c r="H523" s="256"/>
      <c r="I523" s="255"/>
    </row>
    <row r="524" spans="1:9" ht="15">
      <c r="A524" s="3"/>
      <c r="B524" s="3"/>
      <c r="C524" s="255"/>
      <c r="D524" s="255"/>
      <c r="E524" s="255"/>
      <c r="F524" s="255"/>
      <c r="G524" s="255"/>
      <c r="H524" s="256"/>
      <c r="I524" s="255"/>
    </row>
    <row r="525" spans="1:9" ht="15">
      <c r="A525" s="3"/>
      <c r="B525" s="3"/>
      <c r="C525" s="255"/>
      <c r="D525" s="255"/>
      <c r="E525" s="255"/>
      <c r="F525" s="255"/>
      <c r="G525" s="255"/>
      <c r="H525" s="256"/>
      <c r="I525" s="255"/>
    </row>
    <row r="526" spans="1:9" ht="15">
      <c r="A526" s="3"/>
      <c r="B526" s="3"/>
      <c r="C526" s="255"/>
      <c r="D526" s="255"/>
      <c r="E526" s="255"/>
      <c r="F526" s="255"/>
      <c r="G526" s="255"/>
      <c r="H526" s="256"/>
      <c r="I526" s="255"/>
    </row>
    <row r="527" spans="1:9" ht="15">
      <c r="A527" s="3"/>
      <c r="B527" s="3"/>
      <c r="C527" s="255"/>
      <c r="D527" s="255"/>
      <c r="E527" s="255"/>
      <c r="F527" s="255"/>
      <c r="G527" s="255"/>
      <c r="H527" s="256"/>
      <c r="I527" s="255"/>
    </row>
    <row r="528" spans="1:9" ht="15">
      <c r="A528" s="3"/>
      <c r="B528" s="3"/>
      <c r="C528" s="255"/>
      <c r="D528" s="255"/>
      <c r="E528" s="255"/>
      <c r="F528" s="255"/>
      <c r="G528" s="255"/>
      <c r="H528" s="256"/>
      <c r="I528" s="255"/>
    </row>
    <row r="529" spans="1:9" ht="15">
      <c r="A529" s="3"/>
      <c r="B529" s="3"/>
      <c r="C529" s="255"/>
      <c r="D529" s="255"/>
      <c r="E529" s="255"/>
      <c r="F529" s="255"/>
      <c r="G529" s="255"/>
      <c r="H529" s="256"/>
      <c r="I529" s="255"/>
    </row>
    <row r="530" spans="1:9" ht="15">
      <c r="A530" s="3"/>
      <c r="B530" s="3"/>
      <c r="C530" s="255"/>
      <c r="D530" s="255"/>
      <c r="E530" s="255"/>
      <c r="F530" s="255"/>
      <c r="G530" s="255"/>
      <c r="H530" s="256"/>
      <c r="I530" s="255"/>
    </row>
    <row r="531" spans="1:9" ht="15">
      <c r="A531" s="3"/>
      <c r="B531" s="3"/>
      <c r="C531" s="255"/>
      <c r="D531" s="255"/>
      <c r="E531" s="255"/>
      <c r="F531" s="255"/>
      <c r="G531" s="255"/>
      <c r="H531" s="256"/>
      <c r="I531" s="255"/>
    </row>
    <row r="532" spans="1:9" ht="15">
      <c r="A532" s="3"/>
      <c r="B532" s="3"/>
      <c r="C532" s="255"/>
      <c r="D532" s="255"/>
      <c r="E532" s="255"/>
      <c r="F532" s="255"/>
      <c r="G532" s="255"/>
      <c r="H532" s="256"/>
      <c r="I532" s="255"/>
    </row>
    <row r="533" spans="1:9" ht="15">
      <c r="A533" s="3"/>
      <c r="B533" s="3"/>
      <c r="C533" s="255"/>
      <c r="D533" s="255"/>
      <c r="E533" s="255"/>
      <c r="F533" s="255"/>
      <c r="G533" s="255"/>
      <c r="H533" s="256"/>
      <c r="I533" s="255"/>
    </row>
    <row r="534" spans="1:9" ht="15">
      <c r="A534" s="3"/>
      <c r="B534" s="3"/>
      <c r="C534" s="255"/>
      <c r="D534" s="255"/>
      <c r="E534" s="255"/>
      <c r="F534" s="255"/>
      <c r="G534" s="255"/>
      <c r="H534" s="256"/>
      <c r="I534" s="255"/>
    </row>
    <row r="535" spans="1:9" ht="15">
      <c r="A535" s="3"/>
      <c r="B535" s="3"/>
      <c r="C535" s="255"/>
      <c r="D535" s="255"/>
      <c r="E535" s="255"/>
      <c r="F535" s="255"/>
      <c r="G535" s="255"/>
      <c r="H535" s="256"/>
      <c r="I535" s="255"/>
    </row>
    <row r="536" spans="1:9" ht="15">
      <c r="A536" s="3"/>
      <c r="B536" s="3"/>
      <c r="C536" s="255"/>
      <c r="D536" s="255"/>
      <c r="E536" s="255"/>
      <c r="F536" s="255"/>
      <c r="G536" s="255"/>
      <c r="H536" s="256"/>
      <c r="I536" s="255"/>
    </row>
    <row r="537" spans="1:9" ht="15">
      <c r="A537" s="3"/>
      <c r="B537" s="3"/>
      <c r="C537" s="255"/>
      <c r="D537" s="255"/>
      <c r="E537" s="255"/>
      <c r="F537" s="255"/>
      <c r="G537" s="255"/>
      <c r="H537" s="256"/>
      <c r="I537" s="255"/>
    </row>
    <row r="538" spans="1:9" ht="15">
      <c r="A538" s="3"/>
      <c r="B538" s="3"/>
      <c r="C538" s="255"/>
      <c r="D538" s="255"/>
      <c r="E538" s="255"/>
      <c r="F538" s="255"/>
      <c r="G538" s="255"/>
      <c r="H538" s="256"/>
      <c r="I538" s="255"/>
    </row>
    <row r="539" spans="1:9" ht="15">
      <c r="A539" s="3"/>
      <c r="B539" s="3"/>
      <c r="C539" s="255"/>
      <c r="D539" s="255"/>
      <c r="E539" s="255"/>
      <c r="F539" s="255"/>
      <c r="G539" s="255"/>
      <c r="H539" s="256"/>
      <c r="I539" s="255"/>
    </row>
    <row r="540" spans="1:9" ht="15">
      <c r="A540" s="3"/>
      <c r="B540" s="3"/>
      <c r="C540" s="255"/>
      <c r="D540" s="255"/>
      <c r="E540" s="255"/>
      <c r="F540" s="255"/>
      <c r="G540" s="255"/>
      <c r="H540" s="256"/>
      <c r="I540" s="255"/>
    </row>
    <row r="541" spans="1:9" ht="15">
      <c r="A541" s="3"/>
      <c r="B541" s="3"/>
      <c r="C541" s="255"/>
      <c r="D541" s="255"/>
      <c r="E541" s="255"/>
      <c r="F541" s="255"/>
      <c r="G541" s="255"/>
      <c r="H541" s="256"/>
      <c r="I541" s="255"/>
    </row>
    <row r="542" spans="1:9" ht="15">
      <c r="A542" s="3"/>
      <c r="B542" s="3"/>
      <c r="C542" s="255"/>
      <c r="D542" s="255"/>
      <c r="E542" s="255"/>
      <c r="F542" s="255"/>
      <c r="G542" s="255"/>
      <c r="H542" s="256"/>
      <c r="I542" s="255"/>
    </row>
    <row r="543" spans="1:9" ht="15">
      <c r="A543" s="3"/>
      <c r="B543" s="3"/>
      <c r="C543" s="255"/>
      <c r="D543" s="255"/>
      <c r="E543" s="255"/>
      <c r="F543" s="255"/>
      <c r="G543" s="255"/>
      <c r="H543" s="256"/>
      <c r="I543" s="255"/>
    </row>
    <row r="544" spans="1:9" ht="15">
      <c r="A544" s="3"/>
      <c r="B544" s="3"/>
      <c r="C544" s="255"/>
      <c r="D544" s="255"/>
      <c r="E544" s="255"/>
      <c r="F544" s="255"/>
      <c r="G544" s="255"/>
      <c r="H544" s="256"/>
      <c r="I544" s="255"/>
    </row>
    <row r="545" spans="1:9" ht="15">
      <c r="A545" s="3"/>
      <c r="B545" s="3"/>
      <c r="C545" s="255"/>
      <c r="D545" s="255"/>
      <c r="E545" s="255"/>
      <c r="F545" s="255"/>
      <c r="G545" s="255"/>
      <c r="H545" s="256"/>
      <c r="I545" s="255"/>
    </row>
    <row r="546" spans="1:9" ht="15">
      <c r="A546" s="3"/>
      <c r="B546" s="3"/>
      <c r="C546" s="255"/>
      <c r="D546" s="255"/>
      <c r="E546" s="255"/>
      <c r="F546" s="255"/>
      <c r="G546" s="255"/>
      <c r="H546" s="256"/>
      <c r="I546" s="255"/>
    </row>
    <row r="547" spans="1:9" ht="15">
      <c r="A547" s="3"/>
      <c r="B547" s="3"/>
      <c r="C547" s="255"/>
      <c r="D547" s="255"/>
      <c r="E547" s="255"/>
      <c r="F547" s="255"/>
      <c r="G547" s="255"/>
      <c r="H547" s="256"/>
      <c r="I547" s="255"/>
    </row>
    <row r="548" spans="1:9" ht="15">
      <c r="A548" s="3"/>
      <c r="B548" s="3"/>
      <c r="C548" s="255"/>
      <c r="D548" s="255"/>
      <c r="E548" s="255"/>
      <c r="F548" s="255"/>
      <c r="G548" s="255"/>
      <c r="H548" s="256"/>
      <c r="I548" s="255"/>
    </row>
    <row r="549" spans="1:9" ht="15">
      <c r="A549" s="3"/>
      <c r="B549" s="3"/>
      <c r="C549" s="255"/>
      <c r="D549" s="255"/>
      <c r="E549" s="255"/>
      <c r="F549" s="255"/>
      <c r="G549" s="255"/>
      <c r="H549" s="256"/>
      <c r="I549" s="255"/>
    </row>
    <row r="550" spans="1:9" ht="15">
      <c r="A550" s="3"/>
      <c r="B550" s="3"/>
      <c r="C550" s="255"/>
      <c r="D550" s="255"/>
      <c r="E550" s="255"/>
      <c r="F550" s="255"/>
      <c r="G550" s="255"/>
      <c r="H550" s="256"/>
      <c r="I550" s="255"/>
    </row>
    <row r="551" spans="1:9" ht="15">
      <c r="A551" s="3"/>
      <c r="B551" s="3"/>
      <c r="C551" s="255"/>
      <c r="D551" s="255"/>
      <c r="E551" s="255"/>
      <c r="F551" s="255"/>
      <c r="G551" s="255"/>
      <c r="H551" s="256"/>
      <c r="I551" s="255"/>
    </row>
    <row r="552" spans="1:9" ht="15">
      <c r="A552" s="3"/>
      <c r="B552" s="3"/>
      <c r="C552" s="255"/>
      <c r="D552" s="255"/>
      <c r="E552" s="255"/>
      <c r="F552" s="255"/>
      <c r="G552" s="255"/>
      <c r="H552" s="256"/>
      <c r="I552" s="255"/>
    </row>
    <row r="553" spans="1:9" ht="15">
      <c r="A553" s="3"/>
      <c r="B553" s="3"/>
      <c r="C553" s="255"/>
      <c r="D553" s="255"/>
      <c r="E553" s="255"/>
      <c r="F553" s="255"/>
      <c r="G553" s="255"/>
      <c r="H553" s="256"/>
      <c r="I553" s="255"/>
    </row>
    <row r="554" spans="1:9" ht="15">
      <c r="A554" s="3"/>
      <c r="B554" s="3"/>
      <c r="C554" s="255"/>
      <c r="D554" s="255"/>
      <c r="E554" s="255"/>
      <c r="F554" s="255"/>
      <c r="G554" s="255"/>
      <c r="H554" s="256"/>
      <c r="I554" s="255"/>
    </row>
    <row r="555" spans="1:9" ht="15">
      <c r="A555" s="3"/>
      <c r="B555" s="3"/>
      <c r="C555" s="255"/>
      <c r="D555" s="255"/>
      <c r="E555" s="255"/>
      <c r="F555" s="255"/>
      <c r="G555" s="255"/>
      <c r="H555" s="256"/>
      <c r="I555" s="255"/>
    </row>
    <row r="556" spans="1:9" ht="15">
      <c r="A556" s="3"/>
      <c r="B556" s="3"/>
      <c r="C556" s="255"/>
      <c r="D556" s="255"/>
      <c r="E556" s="255"/>
      <c r="F556" s="255"/>
      <c r="G556" s="255"/>
      <c r="H556" s="256"/>
      <c r="I556" s="255"/>
    </row>
    <row r="557" spans="1:9" ht="15">
      <c r="A557" s="3"/>
      <c r="B557" s="3"/>
      <c r="C557" s="255"/>
      <c r="D557" s="255"/>
      <c r="E557" s="255"/>
      <c r="F557" s="255"/>
      <c r="G557" s="255"/>
      <c r="H557" s="256"/>
      <c r="I557" s="255"/>
    </row>
    <row r="558" spans="1:9" ht="15">
      <c r="A558" s="3"/>
      <c r="B558" s="3"/>
      <c r="C558" s="255"/>
      <c r="D558" s="255"/>
      <c r="E558" s="255"/>
      <c r="F558" s="255"/>
      <c r="G558" s="255"/>
      <c r="H558" s="256"/>
      <c r="I558" s="255"/>
    </row>
    <row r="559" spans="1:9" ht="15">
      <c r="A559" s="3"/>
      <c r="B559" s="3"/>
      <c r="C559" s="255"/>
      <c r="D559" s="255"/>
      <c r="E559" s="255"/>
      <c r="F559" s="255"/>
      <c r="G559" s="255"/>
      <c r="H559" s="256"/>
      <c r="I559" s="255"/>
    </row>
    <row r="560" spans="1:9" ht="15">
      <c r="A560" s="3"/>
      <c r="B560" s="3"/>
      <c r="C560" s="255"/>
      <c r="D560" s="255"/>
      <c r="E560" s="255"/>
      <c r="F560" s="255"/>
      <c r="G560" s="255"/>
      <c r="H560" s="256"/>
      <c r="I560" s="255"/>
    </row>
    <row r="561" spans="1:9" ht="15">
      <c r="A561" s="3"/>
      <c r="B561" s="3"/>
      <c r="C561" s="255"/>
      <c r="D561" s="255"/>
      <c r="E561" s="255"/>
      <c r="F561" s="255"/>
      <c r="G561" s="255"/>
      <c r="H561" s="256"/>
      <c r="I561" s="255"/>
    </row>
    <row r="562" spans="1:9" ht="15">
      <c r="A562" s="3"/>
      <c r="B562" s="3"/>
      <c r="C562" s="255"/>
      <c r="D562" s="255"/>
      <c r="E562" s="255"/>
      <c r="F562" s="255"/>
      <c r="G562" s="255"/>
      <c r="H562" s="256"/>
      <c r="I562" s="255"/>
    </row>
    <row r="563" spans="1:9" ht="15">
      <c r="A563" s="3"/>
      <c r="B563" s="3"/>
      <c r="C563" s="255"/>
      <c r="D563" s="255"/>
      <c r="E563" s="255"/>
      <c r="F563" s="255"/>
      <c r="G563" s="255"/>
      <c r="H563" s="256"/>
      <c r="I563" s="255"/>
    </row>
    <row r="564" spans="1:9" ht="15">
      <c r="A564" s="3"/>
      <c r="B564" s="3"/>
      <c r="C564" s="255"/>
      <c r="D564" s="255"/>
      <c r="E564" s="255"/>
      <c r="F564" s="255"/>
      <c r="G564" s="255"/>
      <c r="H564" s="256"/>
      <c r="I564" s="255"/>
    </row>
    <row r="565" spans="1:9" ht="15">
      <c r="A565" s="3"/>
      <c r="B565" s="3"/>
      <c r="C565" s="255"/>
      <c r="D565" s="255"/>
      <c r="E565" s="255"/>
      <c r="F565" s="255"/>
      <c r="G565" s="255"/>
      <c r="H565" s="256"/>
      <c r="I565" s="255"/>
    </row>
    <row r="566" spans="1:9" ht="15">
      <c r="A566" s="3"/>
      <c r="B566" s="3"/>
      <c r="C566" s="255"/>
      <c r="D566" s="255"/>
      <c r="E566" s="255"/>
      <c r="F566" s="255"/>
      <c r="G566" s="255"/>
      <c r="H566" s="256"/>
      <c r="I566" s="255"/>
    </row>
    <row r="567" spans="1:9" ht="15">
      <c r="A567" s="3"/>
      <c r="B567" s="3"/>
      <c r="C567" s="255"/>
      <c r="D567" s="255"/>
      <c r="E567" s="255"/>
      <c r="F567" s="255"/>
      <c r="G567" s="255"/>
      <c r="H567" s="256"/>
      <c r="I567" s="255"/>
    </row>
    <row r="568" spans="1:9" ht="15">
      <c r="A568" s="3"/>
      <c r="B568" s="3"/>
      <c r="C568" s="255"/>
      <c r="D568" s="255"/>
      <c r="E568" s="255"/>
      <c r="F568" s="255"/>
      <c r="G568" s="255"/>
      <c r="H568" s="256"/>
      <c r="I568" s="255"/>
    </row>
    <row r="569" spans="1:9" ht="15">
      <c r="A569" s="3"/>
      <c r="B569" s="3"/>
      <c r="C569" s="255"/>
      <c r="D569" s="255"/>
      <c r="E569" s="255"/>
      <c r="F569" s="255"/>
      <c r="G569" s="255"/>
      <c r="H569" s="256"/>
      <c r="I569" s="255"/>
    </row>
    <row r="570" spans="1:9" ht="15">
      <c r="A570" s="3"/>
      <c r="B570" s="3"/>
      <c r="C570" s="255"/>
      <c r="D570" s="255"/>
      <c r="E570" s="255"/>
      <c r="F570" s="255"/>
      <c r="G570" s="255"/>
      <c r="H570" s="256"/>
      <c r="I570" s="255"/>
    </row>
    <row r="571" spans="1:9" ht="15">
      <c r="A571" s="3"/>
      <c r="B571" s="3"/>
      <c r="C571" s="255"/>
      <c r="D571" s="255"/>
      <c r="E571" s="255"/>
      <c r="F571" s="255"/>
      <c r="G571" s="255"/>
      <c r="H571" s="256"/>
      <c r="I571" s="255"/>
    </row>
    <row r="572" spans="1:9" ht="15">
      <c r="A572" s="3"/>
      <c r="B572" s="3"/>
      <c r="C572" s="255"/>
      <c r="D572" s="255"/>
      <c r="E572" s="255"/>
      <c r="F572" s="255"/>
      <c r="G572" s="255"/>
      <c r="H572" s="256"/>
      <c r="I572" s="255"/>
    </row>
    <row r="573" spans="1:9" ht="15">
      <c r="A573" s="3"/>
      <c r="B573" s="3"/>
      <c r="C573" s="255"/>
      <c r="D573" s="255"/>
      <c r="E573" s="255"/>
      <c r="F573" s="255"/>
      <c r="G573" s="255"/>
      <c r="H573" s="256"/>
      <c r="I573" s="255"/>
    </row>
    <row r="574" spans="1:9" ht="15">
      <c r="A574" s="3"/>
      <c r="B574" s="3"/>
      <c r="C574" s="255"/>
      <c r="D574" s="255"/>
      <c r="E574" s="255"/>
      <c r="F574" s="255"/>
      <c r="G574" s="255"/>
      <c r="H574" s="256"/>
      <c r="I574" s="255"/>
    </row>
    <row r="575" spans="1:9" ht="15">
      <c r="A575" s="3"/>
      <c r="B575" s="3"/>
      <c r="C575" s="255"/>
      <c r="D575" s="255"/>
      <c r="E575" s="255"/>
      <c r="F575" s="255"/>
      <c r="G575" s="255"/>
      <c r="H575" s="256"/>
      <c r="I575" s="255"/>
    </row>
    <row r="576" spans="1:9" ht="15">
      <c r="A576" s="3"/>
      <c r="B576" s="3"/>
      <c r="C576" s="255"/>
      <c r="D576" s="255"/>
      <c r="E576" s="255"/>
      <c r="F576" s="255"/>
      <c r="G576" s="255"/>
      <c r="H576" s="256"/>
      <c r="I576" s="255"/>
    </row>
    <row r="577" spans="1:9" ht="15">
      <c r="A577" s="3"/>
      <c r="B577" s="3"/>
      <c r="C577" s="255"/>
      <c r="D577" s="255"/>
      <c r="E577" s="255"/>
      <c r="F577" s="255"/>
      <c r="G577" s="255"/>
      <c r="H577" s="256"/>
      <c r="I577" s="255"/>
    </row>
    <row r="578" spans="1:9" ht="15">
      <c r="A578" s="3"/>
      <c r="B578" s="3"/>
      <c r="C578" s="255"/>
      <c r="D578" s="255"/>
      <c r="E578" s="255"/>
      <c r="F578" s="255"/>
      <c r="G578" s="255"/>
      <c r="H578" s="256"/>
      <c r="I578" s="255"/>
    </row>
    <row r="579" spans="1:9" ht="15">
      <c r="A579" s="3"/>
      <c r="B579" s="3"/>
      <c r="C579" s="255"/>
      <c r="D579" s="255"/>
      <c r="E579" s="255"/>
      <c r="F579" s="255"/>
      <c r="G579" s="255"/>
      <c r="H579" s="256"/>
      <c r="I579" s="255"/>
    </row>
    <row r="580" spans="1:9" ht="15">
      <c r="A580" s="3"/>
      <c r="B580" s="3"/>
      <c r="C580" s="255"/>
      <c r="D580" s="255"/>
      <c r="E580" s="255"/>
      <c r="F580" s="255"/>
      <c r="G580" s="255"/>
      <c r="H580" s="256"/>
      <c r="I580" s="255"/>
    </row>
  </sheetData>
  <sheetProtection/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L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22.28125" style="3" customWidth="1"/>
    <col min="3" max="3" width="9.140625" style="3" customWidth="1"/>
    <col min="4" max="4" width="14.00390625" style="3" customWidth="1"/>
    <col min="5" max="5" width="3.7109375" style="3" customWidth="1"/>
    <col min="6" max="6" width="11.7109375" style="3" customWidth="1"/>
    <col min="7" max="7" width="5.421875" style="3" customWidth="1"/>
    <col min="8" max="8" width="18.7109375" style="3" customWidth="1"/>
    <col min="9" max="9" width="3.7109375" style="3" customWidth="1"/>
    <col min="10" max="10" width="19.421875" style="3" customWidth="1"/>
    <col min="11" max="16384" width="9.140625" style="3" customWidth="1"/>
  </cols>
  <sheetData>
    <row r="1" spans="2:10" ht="16.5">
      <c r="B1" s="14" t="s">
        <v>1294</v>
      </c>
      <c r="C1" s="15" t="str">
        <f>INPUT!C1</f>
        <v>February 2012</v>
      </c>
      <c r="J1" s="14" t="s">
        <v>1295</v>
      </c>
    </row>
    <row r="4" spans="4:10" ht="16.5">
      <c r="D4" s="16"/>
      <c r="E4" s="17" t="s">
        <v>189</v>
      </c>
      <c r="F4" s="16"/>
      <c r="H4" s="16"/>
      <c r="I4" s="18" t="s">
        <v>1296</v>
      </c>
      <c r="J4" s="16"/>
    </row>
    <row r="5" spans="4:10" ht="16.5">
      <c r="D5" s="14" t="s">
        <v>1298</v>
      </c>
      <c r="E5" s="14"/>
      <c r="F5" s="14" t="s">
        <v>1298</v>
      </c>
      <c r="G5" s="14"/>
      <c r="H5" s="14" t="s">
        <v>1299</v>
      </c>
      <c r="I5" s="14"/>
      <c r="J5" s="14" t="s">
        <v>1299</v>
      </c>
    </row>
    <row r="6" spans="4:10" ht="16.5">
      <c r="D6" s="14" t="s">
        <v>1704</v>
      </c>
      <c r="E6" s="14"/>
      <c r="F6" s="14" t="s">
        <v>1705</v>
      </c>
      <c r="G6" s="14"/>
      <c r="H6" s="14" t="s">
        <v>1300</v>
      </c>
      <c r="I6" s="14"/>
      <c r="J6" s="14" t="s">
        <v>1301</v>
      </c>
    </row>
    <row r="7" spans="2:10" ht="16.5">
      <c r="B7" s="19" t="s">
        <v>1302</v>
      </c>
      <c r="D7" s="17" t="s">
        <v>1757</v>
      </c>
      <c r="E7" s="14"/>
      <c r="F7" s="17" t="s">
        <v>1758</v>
      </c>
      <c r="G7" s="14"/>
      <c r="H7" s="18" t="s">
        <v>1303</v>
      </c>
      <c r="I7" s="20"/>
      <c r="J7" s="18" t="s">
        <v>1304</v>
      </c>
    </row>
    <row r="9" spans="1:10" ht="16.5">
      <c r="A9" s="3" t="s">
        <v>1305</v>
      </c>
      <c r="B9" s="14" t="s">
        <v>539</v>
      </c>
      <c r="C9" s="3" t="s">
        <v>926</v>
      </c>
      <c r="D9" s="13">
        <f>+PAGE2!H41</f>
        <v>1772770.474</v>
      </c>
      <c r="E9" s="13"/>
      <c r="F9" s="13">
        <f>+PAGE2!J41</f>
        <v>239960.036</v>
      </c>
      <c r="G9" s="13"/>
      <c r="H9" s="13">
        <f>+PAGE2!L41</f>
        <v>54784324.541</v>
      </c>
      <c r="I9" s="13"/>
      <c r="J9" s="13">
        <f>+PAGE2!N41</f>
        <v>10553825.848000001</v>
      </c>
    </row>
    <row r="10" spans="2:10" ht="16.5">
      <c r="B10" s="14" t="s">
        <v>546</v>
      </c>
      <c r="C10" s="3" t="s">
        <v>927</v>
      </c>
      <c r="D10" s="13">
        <f>+PAGE2!H42</f>
        <v>414214.42</v>
      </c>
      <c r="E10" s="13"/>
      <c r="F10" s="13">
        <f>+PAGE2!J42</f>
        <v>39521.80100000001</v>
      </c>
      <c r="G10" s="13"/>
      <c r="H10" s="13">
        <f>+PAGE2!L42</f>
        <v>12778632.16</v>
      </c>
      <c r="I10" s="13"/>
      <c r="J10" s="13">
        <f>+PAGE2!N42</f>
        <v>1048494.60464561</v>
      </c>
    </row>
    <row r="11" spans="2:10" ht="16.5">
      <c r="B11" s="14" t="s">
        <v>1691</v>
      </c>
      <c r="C11" s="3" t="s">
        <v>928</v>
      </c>
      <c r="D11" s="13">
        <f>+PAGE2!H43</f>
        <v>216111.64499999996</v>
      </c>
      <c r="E11" s="13"/>
      <c r="F11" s="13">
        <f>+PAGE2!J43</f>
        <v>1365802.7259999998</v>
      </c>
      <c r="G11" s="13"/>
      <c r="H11" s="13">
        <f>+PAGE2!L43</f>
        <v>7408799.902</v>
      </c>
      <c r="I11" s="13"/>
      <c r="J11" s="13">
        <f>+PAGE2!N43</f>
        <v>27331273.24561964</v>
      </c>
    </row>
    <row r="12" spans="3:10" ht="15">
      <c r="C12" s="3" t="s">
        <v>929</v>
      </c>
      <c r="D12" s="13">
        <f>+PAGE2!H44</f>
        <v>262818.93899999995</v>
      </c>
      <c r="E12" s="13"/>
      <c r="F12" s="13">
        <f>+PAGE2!J44</f>
        <v>1020630.894</v>
      </c>
      <c r="G12" s="13"/>
      <c r="H12" s="13">
        <f>+PAGE2!L44</f>
        <v>10471176.227</v>
      </c>
      <c r="I12" s="13"/>
      <c r="J12" s="13">
        <f>+PAGE2!N44</f>
        <v>46509340.11496325</v>
      </c>
    </row>
    <row r="13" spans="3:10" ht="15">
      <c r="C13" s="3" t="s">
        <v>1754</v>
      </c>
      <c r="D13" s="21">
        <f>+PAGE2!H45</f>
        <v>0</v>
      </c>
      <c r="E13" s="13"/>
      <c r="F13" s="21">
        <f>+PAGE2!J45</f>
        <v>0</v>
      </c>
      <c r="G13" s="13"/>
      <c r="H13" s="21">
        <f>+PAGE2!L45</f>
        <v>0</v>
      </c>
      <c r="I13" s="13"/>
      <c r="J13" s="21">
        <f>+PAGE2!N45</f>
        <v>0</v>
      </c>
    </row>
    <row r="14" spans="3:10" ht="15">
      <c r="C14" s="3" t="s">
        <v>543</v>
      </c>
      <c r="D14" s="13">
        <f>SUM(D9:D13)</f>
        <v>2665915.4779999997</v>
      </c>
      <c r="E14" s="13"/>
      <c r="F14" s="13">
        <f>SUM(F9:F13)</f>
        <v>2665915.457</v>
      </c>
      <c r="G14" s="13"/>
      <c r="H14" s="13">
        <f>SUM(H9:H13)</f>
        <v>85442932.83</v>
      </c>
      <c r="I14" s="13"/>
      <c r="J14" s="13">
        <f>SUM(J9:J13)</f>
        <v>85442933.8132285</v>
      </c>
    </row>
    <row r="15" spans="4:10" ht="15">
      <c r="D15" s="12"/>
      <c r="E15" s="12"/>
      <c r="F15" s="12"/>
      <c r="G15" s="12"/>
      <c r="H15" s="12"/>
      <c r="I15" s="12"/>
      <c r="J15" s="12"/>
    </row>
    <row r="16" spans="1:10" ht="16.5">
      <c r="A16" s="3" t="s">
        <v>1306</v>
      </c>
      <c r="B16" s="14" t="s">
        <v>1307</v>
      </c>
      <c r="C16" s="3" t="s">
        <v>926</v>
      </c>
      <c r="D16" s="13">
        <f>+PAGE2!H48</f>
        <v>1789812.973</v>
      </c>
      <c r="E16" s="13"/>
      <c r="F16" s="13">
        <f>+PAGE2!J48</f>
        <v>256923.91199999998</v>
      </c>
      <c r="G16" s="13"/>
      <c r="H16" s="13">
        <f>+PAGE2!L48</f>
        <v>56155700.42</v>
      </c>
      <c r="I16" s="13"/>
      <c r="J16" s="13">
        <f>+PAGE2!N48</f>
        <v>11205026.21</v>
      </c>
    </row>
    <row r="17" spans="2:10" ht="16.5">
      <c r="B17" s="14" t="s">
        <v>1308</v>
      </c>
      <c r="C17" s="3" t="s">
        <v>927</v>
      </c>
      <c r="D17" s="13">
        <f>+PAGE2!H49</f>
        <v>415879.08</v>
      </c>
      <c r="E17" s="13"/>
      <c r="F17" s="13">
        <f>+PAGE2!J49</f>
        <v>40996.566000000006</v>
      </c>
      <c r="G17" s="13"/>
      <c r="H17" s="13">
        <f>+PAGE2!L49</f>
        <v>13075002.91</v>
      </c>
      <c r="I17" s="13"/>
      <c r="J17" s="13">
        <f>+PAGE2!N49</f>
        <v>1060193.2</v>
      </c>
    </row>
    <row r="18" spans="2:10" ht="16.5">
      <c r="B18" s="14" t="s">
        <v>546</v>
      </c>
      <c r="C18" s="3" t="s">
        <v>928</v>
      </c>
      <c r="D18" s="13">
        <f>+PAGE2!H50</f>
        <v>214311.58</v>
      </c>
      <c r="E18" s="13"/>
      <c r="F18" s="13">
        <f>+PAGE2!J50</f>
        <v>1358179.321</v>
      </c>
      <c r="G18" s="13"/>
      <c r="H18" s="13">
        <f>+PAGE2!L50</f>
        <v>7330126</v>
      </c>
      <c r="I18" s="13"/>
      <c r="J18" s="13">
        <f>+PAGE2!N50</f>
        <v>27821025.66</v>
      </c>
    </row>
    <row r="19" spans="2:10" ht="16.5">
      <c r="B19" s="14" t="s">
        <v>1691</v>
      </c>
      <c r="C19" s="3" t="s">
        <v>929</v>
      </c>
      <c r="D19" s="13">
        <f>+PAGE2!H51</f>
        <v>279677.1479999999</v>
      </c>
      <c r="E19" s="13"/>
      <c r="F19" s="13">
        <f>+PAGE2!J51</f>
        <v>1043580.959</v>
      </c>
      <c r="G19" s="13"/>
      <c r="H19" s="13">
        <f>+PAGE2!L51</f>
        <v>11023548</v>
      </c>
      <c r="I19" s="13"/>
      <c r="J19" s="13">
        <f>+PAGE2!N51</f>
        <v>47498132.8</v>
      </c>
    </row>
    <row r="20" spans="3:10" ht="15">
      <c r="C20" s="3" t="s">
        <v>1754</v>
      </c>
      <c r="D20" s="21">
        <f>+PAGE2!H52</f>
        <v>0</v>
      </c>
      <c r="E20" s="13"/>
      <c r="F20" s="21">
        <f>+PAGE2!J52</f>
        <v>0</v>
      </c>
      <c r="G20" s="13"/>
      <c r="H20" s="21">
        <f>+PAGE2!L52</f>
        <v>0</v>
      </c>
      <c r="I20" s="13"/>
      <c r="J20" s="21">
        <f>+PAGE2!N52</f>
        <v>0</v>
      </c>
    </row>
    <row r="21" spans="3:10" ht="15">
      <c r="C21" s="3" t="s">
        <v>543</v>
      </c>
      <c r="D21" s="13">
        <f>SUM(D16:D20)</f>
        <v>2699680.781</v>
      </c>
      <c r="E21" s="13"/>
      <c r="F21" s="13">
        <f>SUM(F16:F20)</f>
        <v>2699680.7580000004</v>
      </c>
      <c r="G21" s="13"/>
      <c r="H21" s="13">
        <f>SUM(H16:H20)</f>
        <v>87584377.33</v>
      </c>
      <c r="I21" s="13"/>
      <c r="J21" s="13">
        <f>SUM(J16:J20)</f>
        <v>87584377.87</v>
      </c>
    </row>
    <row r="22" spans="4:10" ht="15.75" customHeight="1" hidden="1">
      <c r="D22" s="13"/>
      <c r="E22" s="13"/>
      <c r="F22" s="13"/>
      <c r="G22" s="13"/>
      <c r="H22" s="13"/>
      <c r="I22" s="13"/>
      <c r="J22" s="13"/>
    </row>
    <row r="23" spans="1:10" ht="15.75" customHeight="1" hidden="1">
      <c r="A23" s="3" t="s">
        <v>237</v>
      </c>
      <c r="B23" s="14" t="s">
        <v>920</v>
      </c>
      <c r="C23" s="3" t="s">
        <v>926</v>
      </c>
      <c r="D23" s="13">
        <v>0</v>
      </c>
      <c r="E23" s="13"/>
      <c r="F23" s="13">
        <v>0</v>
      </c>
      <c r="G23" s="13"/>
      <c r="H23" s="13">
        <f>PAGE2!L55</f>
        <v>0</v>
      </c>
      <c r="I23" s="13"/>
      <c r="J23" s="13">
        <f>PAGE2!N55</f>
        <v>0</v>
      </c>
    </row>
    <row r="24" spans="2:10" ht="15.75" customHeight="1" hidden="1">
      <c r="B24" s="14" t="s">
        <v>376</v>
      </c>
      <c r="C24" s="3" t="s">
        <v>927</v>
      </c>
      <c r="D24" s="13">
        <v>0</v>
      </c>
      <c r="E24" s="13"/>
      <c r="F24" s="13">
        <v>0</v>
      </c>
      <c r="G24" s="13"/>
      <c r="H24" s="13">
        <f>PAGE2!L56</f>
        <v>0</v>
      </c>
      <c r="I24" s="13"/>
      <c r="J24" s="13">
        <f>PAGE2!N56</f>
        <v>0</v>
      </c>
    </row>
    <row r="25" spans="2:10" ht="15.75" customHeight="1" hidden="1">
      <c r="B25" s="14" t="s">
        <v>1621</v>
      </c>
      <c r="C25" s="3" t="s">
        <v>928</v>
      </c>
      <c r="D25" s="13">
        <v>0</v>
      </c>
      <c r="E25" s="13"/>
      <c r="F25" s="13">
        <v>0</v>
      </c>
      <c r="G25" s="13"/>
      <c r="H25" s="13">
        <f>PAGE2!L57</f>
        <v>0</v>
      </c>
      <c r="I25" s="13"/>
      <c r="J25" s="13">
        <f>PAGE2!N57</f>
        <v>0</v>
      </c>
    </row>
    <row r="26" spans="2:10" ht="15.75" customHeight="1" hidden="1">
      <c r="B26" s="687" t="s">
        <v>1622</v>
      </c>
      <c r="C26" s="3" t="s">
        <v>929</v>
      </c>
      <c r="D26" s="13">
        <v>0</v>
      </c>
      <c r="E26" s="13"/>
      <c r="F26" s="13">
        <v>0</v>
      </c>
      <c r="G26" s="13"/>
      <c r="H26" s="13">
        <f>PAGE2!L58</f>
        <v>0</v>
      </c>
      <c r="I26" s="13"/>
      <c r="J26" s="13">
        <f>PAGE2!N58</f>
        <v>0</v>
      </c>
    </row>
    <row r="27" spans="2:10" ht="15.75" customHeight="1" hidden="1">
      <c r="B27" s="683"/>
      <c r="C27" s="3" t="s">
        <v>1754</v>
      </c>
      <c r="D27" s="21">
        <v>0</v>
      </c>
      <c r="E27" s="13"/>
      <c r="F27" s="21">
        <v>0</v>
      </c>
      <c r="G27" s="13"/>
      <c r="H27" s="21">
        <f>PAGE2!L59</f>
        <v>0</v>
      </c>
      <c r="I27" s="13"/>
      <c r="J27" s="21">
        <f>PAGE2!N59</f>
        <v>0</v>
      </c>
    </row>
    <row r="28" spans="3:10" s="2" customFormat="1" ht="15.75" customHeight="1" hidden="1">
      <c r="C28" s="2" t="s">
        <v>543</v>
      </c>
      <c r="D28" s="13">
        <v>0</v>
      </c>
      <c r="E28" s="13"/>
      <c r="F28" s="13">
        <v>0</v>
      </c>
      <c r="G28" s="13"/>
      <c r="H28" s="13">
        <f>SUM(H23:H27)</f>
        <v>0</v>
      </c>
      <c r="I28" s="13"/>
      <c r="J28" s="13">
        <f>SUM(J23:J27)</f>
        <v>0</v>
      </c>
    </row>
    <row r="29" spans="4:10" s="2" customFormat="1" ht="15">
      <c r="D29" s="13"/>
      <c r="E29" s="13"/>
      <c r="F29" s="13"/>
      <c r="G29" s="13"/>
      <c r="H29" s="13"/>
      <c r="I29" s="13"/>
      <c r="J29" s="13"/>
    </row>
    <row r="30" spans="1:10" ht="16.5">
      <c r="A30" s="3" t="s">
        <v>1309</v>
      </c>
      <c r="B30" s="14" t="s">
        <v>1310</v>
      </c>
      <c r="C30" s="3" t="s">
        <v>926</v>
      </c>
      <c r="D30" s="12">
        <f>+D9-D16</f>
        <v>-17042.49900000007</v>
      </c>
      <c r="E30" s="12"/>
      <c r="F30" s="12">
        <f>+F9-F16</f>
        <v>-16963.87599999999</v>
      </c>
      <c r="G30" s="12"/>
      <c r="H30" s="13">
        <f>+H9-H16+H23</f>
        <v>-1371375.8790000007</v>
      </c>
      <c r="I30" s="13"/>
      <c r="J30" s="13">
        <f>+J9-J16+J23</f>
        <v>-651200.3619999997</v>
      </c>
    </row>
    <row r="31" spans="2:10" ht="16.5">
      <c r="B31" s="14" t="s">
        <v>1313</v>
      </c>
      <c r="C31" s="3" t="s">
        <v>927</v>
      </c>
      <c r="D31" s="12">
        <f>+D10-D17</f>
        <v>-1664.6600000000326</v>
      </c>
      <c r="E31" s="12"/>
      <c r="F31" s="12">
        <f>+F10-F17</f>
        <v>-1474.7649999999994</v>
      </c>
      <c r="G31" s="12"/>
      <c r="H31" s="13">
        <f aca="true" t="shared" si="0" ref="H31:J34">+H10-H17+H24</f>
        <v>-296370.75</v>
      </c>
      <c r="I31" s="13"/>
      <c r="J31" s="13">
        <f t="shared" si="0"/>
        <v>-11698.595354389981</v>
      </c>
    </row>
    <row r="32" spans="2:10" ht="16.5">
      <c r="B32" s="14" t="s">
        <v>1314</v>
      </c>
      <c r="C32" s="3" t="s">
        <v>928</v>
      </c>
      <c r="D32" s="12">
        <f>+D11-D18</f>
        <v>1800.0649999999732</v>
      </c>
      <c r="E32" s="12"/>
      <c r="F32" s="12">
        <f>+F11-F18</f>
        <v>7623.404999999795</v>
      </c>
      <c r="G32" s="12"/>
      <c r="H32" s="13">
        <f t="shared" si="0"/>
        <v>78673.90199999977</v>
      </c>
      <c r="I32" s="13"/>
      <c r="J32" s="13">
        <f t="shared" si="0"/>
        <v>-489752.4143803604</v>
      </c>
    </row>
    <row r="33" spans="2:10" ht="16.5">
      <c r="B33" s="20" t="s">
        <v>681</v>
      </c>
      <c r="C33" s="3" t="s">
        <v>929</v>
      </c>
      <c r="D33" s="12">
        <f>+D12-D19</f>
        <v>-16858.208999999973</v>
      </c>
      <c r="E33" s="12"/>
      <c r="F33" s="12">
        <f>+F12-F19</f>
        <v>-22950.06500000006</v>
      </c>
      <c r="G33" s="12"/>
      <c r="H33" s="13">
        <f t="shared" si="0"/>
        <v>-552371.773</v>
      </c>
      <c r="I33" s="13"/>
      <c r="J33" s="13">
        <f t="shared" si="0"/>
        <v>-988792.6850367486</v>
      </c>
    </row>
    <row r="34" spans="2:10" ht="16.5">
      <c r="B34" s="20"/>
      <c r="C34" s="3" t="s">
        <v>1754</v>
      </c>
      <c r="D34" s="22">
        <f>+D13-D20</f>
        <v>0</v>
      </c>
      <c r="E34" s="12"/>
      <c r="F34" s="22">
        <f>+F13-F20</f>
        <v>0</v>
      </c>
      <c r="G34" s="12"/>
      <c r="H34" s="21">
        <f t="shared" si="0"/>
        <v>0</v>
      </c>
      <c r="I34" s="13"/>
      <c r="J34" s="21">
        <f t="shared" si="0"/>
        <v>0</v>
      </c>
    </row>
    <row r="35" spans="2:10" ht="16.5">
      <c r="B35" s="20"/>
      <c r="C35" s="3" t="s">
        <v>543</v>
      </c>
      <c r="D35" s="12">
        <f>SUM(D30:D34)</f>
        <v>-33765.3030000001</v>
      </c>
      <c r="E35" s="12"/>
      <c r="F35" s="12">
        <f>SUM(F30:F34)</f>
        <v>-33765.301000000254</v>
      </c>
      <c r="G35" s="12"/>
      <c r="H35" s="13">
        <f>SUM(H30:H34)</f>
        <v>-2141444.500000001</v>
      </c>
      <c r="I35" s="13"/>
      <c r="J35" s="13">
        <f>SUM(J30:J34)</f>
        <v>-2141444.0567714986</v>
      </c>
    </row>
    <row r="37" spans="1:10" ht="16.5">
      <c r="A37" s="3" t="s">
        <v>682</v>
      </c>
      <c r="B37" s="73" t="s">
        <v>223</v>
      </c>
      <c r="F37" s="3" t="s">
        <v>926</v>
      </c>
      <c r="H37" s="13">
        <f>'APPVI PG1'!M15</f>
        <v>0</v>
      </c>
      <c r="I37" s="2"/>
      <c r="J37" s="13">
        <f>'APPVI PG1'!O15</f>
        <v>6695</v>
      </c>
    </row>
    <row r="38" spans="2:10" ht="16.5">
      <c r="B38" s="23" t="s">
        <v>224</v>
      </c>
      <c r="F38" s="3" t="s">
        <v>927</v>
      </c>
      <c r="H38" s="13">
        <f>'APPVI PG1'!M16</f>
        <v>0</v>
      </c>
      <c r="I38" s="2"/>
      <c r="J38" s="13">
        <f>'APPVI PG1'!O16</f>
        <v>1406</v>
      </c>
    </row>
    <row r="39" spans="2:10" ht="16.5">
      <c r="B39" s="23" t="s">
        <v>225</v>
      </c>
      <c r="F39" s="3" t="s">
        <v>928</v>
      </c>
      <c r="H39" s="13">
        <f>'APPVI PG1'!M17</f>
        <v>0</v>
      </c>
      <c r="I39" s="2"/>
      <c r="J39" s="13">
        <f>'APPVI PG1'!O17</f>
        <v>4469</v>
      </c>
    </row>
    <row r="40" spans="2:10" ht="15">
      <c r="B40" s="3" t="s">
        <v>684</v>
      </c>
      <c r="F40" s="3" t="s">
        <v>929</v>
      </c>
      <c r="H40" s="13">
        <f>'APPVI PG1'!M18</f>
        <v>12570</v>
      </c>
      <c r="I40" s="2"/>
      <c r="J40" s="13">
        <f>'APPVI PG1'!O18</f>
        <v>0</v>
      </c>
    </row>
    <row r="41" spans="2:10" ht="15">
      <c r="B41" s="24"/>
      <c r="F41" s="3" t="s">
        <v>1754</v>
      </c>
      <c r="H41" s="21">
        <f>'APPVI PG1'!M19</f>
        <v>0</v>
      </c>
      <c r="I41" s="2"/>
      <c r="J41" s="21">
        <f>'APPVI PG1'!O19</f>
        <v>0</v>
      </c>
    </row>
    <row r="42" spans="6:10" ht="15">
      <c r="F42" s="3" t="s">
        <v>543</v>
      </c>
      <c r="H42" s="13">
        <f>SUM(H37:H41)</f>
        <v>12570</v>
      </c>
      <c r="I42" s="2"/>
      <c r="J42" s="13">
        <f>SUM(J37:J41)</f>
        <v>12570</v>
      </c>
    </row>
    <row r="43" spans="8:10" ht="15">
      <c r="H43" s="12"/>
      <c r="I43" s="12"/>
      <c r="J43" s="12"/>
    </row>
    <row r="44" spans="1:11" ht="16.5">
      <c r="A44" s="3" t="s">
        <v>101</v>
      </c>
      <c r="B44" s="115" t="s">
        <v>216</v>
      </c>
      <c r="C44" s="2"/>
      <c r="D44" s="2"/>
      <c r="E44" s="2"/>
      <c r="F44" s="2" t="s">
        <v>926</v>
      </c>
      <c r="G44" s="2"/>
      <c r="H44" s="13">
        <f>PAGE6B!P29</f>
        <v>0</v>
      </c>
      <c r="I44" s="13"/>
      <c r="J44" s="13">
        <v>0</v>
      </c>
      <c r="K44" s="2"/>
    </row>
    <row r="45" spans="2:11" ht="16.5">
      <c r="B45" s="115" t="s">
        <v>215</v>
      </c>
      <c r="C45" s="2"/>
      <c r="D45" s="2"/>
      <c r="E45" s="2"/>
      <c r="F45" s="2" t="s">
        <v>927</v>
      </c>
      <c r="G45" s="2"/>
      <c r="H45" s="13">
        <f>PAGE6B!P30</f>
        <v>0</v>
      </c>
      <c r="I45" s="13"/>
      <c r="J45" s="13">
        <v>0</v>
      </c>
      <c r="K45" s="2"/>
    </row>
    <row r="46" spans="2:11" ht="16.5">
      <c r="B46" s="115" t="s">
        <v>221</v>
      </c>
      <c r="C46" s="2"/>
      <c r="D46" s="2"/>
      <c r="E46" s="2"/>
      <c r="F46" s="2" t="s">
        <v>928</v>
      </c>
      <c r="G46" s="2"/>
      <c r="H46" s="13">
        <f>PAGE6B!P31</f>
        <v>0</v>
      </c>
      <c r="I46" s="13"/>
      <c r="J46" s="13">
        <v>0</v>
      </c>
      <c r="K46" s="2"/>
    </row>
    <row r="47" spans="2:11" ht="15">
      <c r="B47" s="2" t="s">
        <v>222</v>
      </c>
      <c r="C47" s="2"/>
      <c r="D47" s="2"/>
      <c r="E47" s="2"/>
      <c r="F47" s="2" t="s">
        <v>929</v>
      </c>
      <c r="G47" s="2"/>
      <c r="H47" s="13">
        <f>PAGE6B!P32</f>
        <v>0</v>
      </c>
      <c r="I47" s="13"/>
      <c r="J47" s="13">
        <v>0</v>
      </c>
      <c r="K47" s="2"/>
    </row>
    <row r="48" spans="2:11" ht="15">
      <c r="B48" s="2"/>
      <c r="C48" s="2"/>
      <c r="D48" s="2"/>
      <c r="E48" s="2"/>
      <c r="F48" s="2" t="s">
        <v>1754</v>
      </c>
      <c r="G48" s="2"/>
      <c r="H48" s="13">
        <f>PAGE6B!P33</f>
        <v>0</v>
      </c>
      <c r="I48" s="13"/>
      <c r="J48" s="13">
        <v>0</v>
      </c>
      <c r="K48" s="2"/>
    </row>
    <row r="49" spans="2:11" ht="15">
      <c r="B49" s="2"/>
      <c r="C49" s="2"/>
      <c r="D49" s="2"/>
      <c r="E49" s="2"/>
      <c r="F49" s="2" t="s">
        <v>753</v>
      </c>
      <c r="G49" s="2"/>
      <c r="H49" s="21">
        <f>SUM(J44:J48)</f>
        <v>0</v>
      </c>
      <c r="I49" s="13"/>
      <c r="J49" s="21">
        <f>SUM(H44:H48)</f>
        <v>0</v>
      </c>
      <c r="K49" s="2"/>
    </row>
    <row r="50" spans="2:11" ht="15">
      <c r="B50" s="2"/>
      <c r="C50" s="2"/>
      <c r="D50" s="2"/>
      <c r="E50" s="2"/>
      <c r="F50" s="2" t="s">
        <v>543</v>
      </c>
      <c r="G50" s="2"/>
      <c r="H50" s="13">
        <f>SUM(H44:H49)</f>
        <v>0</v>
      </c>
      <c r="I50" s="13"/>
      <c r="J50" s="13">
        <f>SUM(J44:J49)</f>
        <v>0</v>
      </c>
      <c r="K50" s="2"/>
    </row>
    <row r="51" spans="8:11" ht="15">
      <c r="H51" s="12"/>
      <c r="I51" s="12"/>
      <c r="J51" s="12"/>
      <c r="K51" s="2"/>
    </row>
    <row r="52" spans="1:11" ht="16.5">
      <c r="A52" s="3" t="s">
        <v>103</v>
      </c>
      <c r="B52" s="115" t="s">
        <v>1328</v>
      </c>
      <c r="C52" s="2"/>
      <c r="D52" s="2"/>
      <c r="E52" s="2"/>
      <c r="F52" s="2" t="s">
        <v>926</v>
      </c>
      <c r="G52" s="2"/>
      <c r="H52" s="13">
        <f>IF('APP IX (PJM) '!C$98&lt;0,0,'APP IX (PJM) '!C$98)</f>
        <v>227487.7922131247</v>
      </c>
      <c r="I52" s="13"/>
      <c r="J52" s="13">
        <f>IF('APP IX (PJM) '!C$98&gt;0,0,('APP IX (PJM) '!C$98)*-1)</f>
        <v>0</v>
      </c>
      <c r="K52" s="2"/>
    </row>
    <row r="53" spans="2:11" ht="16.5">
      <c r="B53" s="115" t="s">
        <v>1329</v>
      </c>
      <c r="C53" s="2"/>
      <c r="D53" s="2"/>
      <c r="E53" s="2"/>
      <c r="F53" s="2" t="s">
        <v>927</v>
      </c>
      <c r="G53" s="2"/>
      <c r="H53" s="13">
        <f>IF('APP IX (PJM) '!D$98&lt;0,0,'APP IX (PJM) '!D$98)</f>
        <v>47415.6269629295</v>
      </c>
      <c r="I53" s="13"/>
      <c r="J53" s="13">
        <f>IF('APP IX (PJM) '!D$98&gt;0,0,('APP IX (PJM) '!D$98)*-1)</f>
        <v>0</v>
      </c>
      <c r="K53" s="2"/>
    </row>
    <row r="54" spans="2:11" ht="16.5">
      <c r="B54" s="115" t="s">
        <v>1322</v>
      </c>
      <c r="C54" s="2"/>
      <c r="D54" s="2"/>
      <c r="E54" s="2"/>
      <c r="F54" s="2" t="s">
        <v>928</v>
      </c>
      <c r="G54" s="2"/>
      <c r="H54" s="13">
        <f>IF('APP IX (PJM) '!E$98&lt;0,0,'APP IX (PJM) '!E$98)</f>
        <v>158252.82724332856</v>
      </c>
      <c r="I54" s="13"/>
      <c r="J54" s="13">
        <f>IF('APP IX (PJM) '!E$98&gt;0,0,('APP IX (PJM) '!E$98)*-1)</f>
        <v>0</v>
      </c>
      <c r="K54" s="2"/>
    </row>
    <row r="55" spans="2:11" ht="16.5">
      <c r="B55" s="115" t="s">
        <v>221</v>
      </c>
      <c r="C55" s="2"/>
      <c r="D55" s="2"/>
      <c r="E55" s="2"/>
      <c r="F55" s="2" t="s">
        <v>929</v>
      </c>
      <c r="G55" s="2"/>
      <c r="H55" s="13">
        <f>IF('APP IX (PJM) '!F$98&lt;0,0,'APP IX (PJM) '!F$98)</f>
        <v>314323.1164399013</v>
      </c>
      <c r="I55" s="13"/>
      <c r="J55" s="13">
        <f>IF('APP IX (PJM) '!F$98&gt;0,0,('APP IX (PJM) '!F$98)*-1)</f>
        <v>0</v>
      </c>
      <c r="K55" s="2"/>
    </row>
    <row r="56" spans="2:11" ht="15">
      <c r="B56" s="152" t="s">
        <v>1323</v>
      </c>
      <c r="C56" s="2"/>
      <c r="D56" s="2"/>
      <c r="E56" s="2"/>
      <c r="F56" s="2" t="s">
        <v>1754</v>
      </c>
      <c r="G56" s="2"/>
      <c r="H56" s="13">
        <f>IF('APP IX (PJM) '!G$98&lt;0,0,'APP IX (PJM) '!G$98)</f>
        <v>0</v>
      </c>
      <c r="I56" s="13"/>
      <c r="J56" s="13">
        <f>IF('APP IX (PJM) '!G$98&gt;0,0,('APP IX (PJM) '!G$98)*-1)</f>
        <v>0</v>
      </c>
      <c r="K56" s="2"/>
    </row>
    <row r="57" spans="2:11" ht="15">
      <c r="B57" s="2"/>
      <c r="C57" s="2"/>
      <c r="D57" s="2"/>
      <c r="E57" s="2"/>
      <c r="F57" s="2" t="s">
        <v>1672</v>
      </c>
      <c r="G57" s="2"/>
      <c r="H57" s="21">
        <f>SUM(J52:J56)</f>
        <v>0</v>
      </c>
      <c r="I57" s="13"/>
      <c r="J57" s="21">
        <f>SUM(H52:H56)</f>
        <v>747479.362859284</v>
      </c>
      <c r="K57" s="13"/>
    </row>
    <row r="58" spans="2:11" ht="15">
      <c r="B58" s="2"/>
      <c r="C58" s="2"/>
      <c r="D58" s="2"/>
      <c r="E58" s="2"/>
      <c r="F58" s="2" t="s">
        <v>543</v>
      </c>
      <c r="G58" s="2"/>
      <c r="H58" s="13">
        <f>SUM(H52:H57)</f>
        <v>747479.362859284</v>
      </c>
      <c r="I58" s="13"/>
      <c r="J58" s="13">
        <f>SUM(J52:J57)</f>
        <v>747479.362859284</v>
      </c>
      <c r="K58" s="2"/>
    </row>
    <row r="59" spans="8:11" ht="15">
      <c r="H59" s="13"/>
      <c r="I59" s="13"/>
      <c r="J59" s="13"/>
      <c r="K59" s="2"/>
    </row>
    <row r="60" spans="1:11" ht="16.5">
      <c r="A60" s="3" t="s">
        <v>754</v>
      </c>
      <c r="B60" s="23" t="s">
        <v>1328</v>
      </c>
      <c r="F60" s="2" t="s">
        <v>926</v>
      </c>
      <c r="H60" s="13">
        <f>IF('APP IX (PJM) '!C$193&lt;0,0,'APP IX (PJM) '!C$193)</f>
        <v>52401.06999999983</v>
      </c>
      <c r="I60" s="13"/>
      <c r="J60" s="13">
        <f>IF('APP IX (PJM) '!C$193&gt;0,0,('APP IX (PJM) '!C$193)*-1)</f>
        <v>0</v>
      </c>
      <c r="K60" s="2"/>
    </row>
    <row r="61" spans="2:11" ht="16.5">
      <c r="B61" s="23" t="s">
        <v>1330</v>
      </c>
      <c r="F61" s="2" t="s">
        <v>927</v>
      </c>
      <c r="H61" s="13">
        <f>IF('APP IX (PJM) '!D$193&lt;0,0,'APP IX (PJM) '!D$193)</f>
        <v>11013.100000000675</v>
      </c>
      <c r="I61" s="13"/>
      <c r="J61" s="13">
        <f>IF('APP IX (PJM) '!D$193&gt;0,0,('APP IX (PJM) '!D$193)*-1)</f>
        <v>0</v>
      </c>
      <c r="K61" s="2"/>
    </row>
    <row r="62" spans="2:11" ht="16.5">
      <c r="B62" s="23" t="s">
        <v>221</v>
      </c>
      <c r="F62" s="2" t="s">
        <v>928</v>
      </c>
      <c r="H62" s="13">
        <f>IF('APP IX (PJM) '!E$193&lt;0,0,'APP IX (PJM) '!E$193)</f>
        <v>35007.20999999996</v>
      </c>
      <c r="I62" s="13"/>
      <c r="J62" s="13">
        <f>IF('APP IX (PJM) '!E$193&gt;0,0,('APP IX (PJM) '!E$193)*-1)</f>
        <v>0</v>
      </c>
      <c r="K62" s="2"/>
    </row>
    <row r="63" spans="2:11" ht="15">
      <c r="B63" s="152" t="s">
        <v>1323</v>
      </c>
      <c r="F63" s="2" t="s">
        <v>929</v>
      </c>
      <c r="H63" s="13">
        <f>IF('APP IX (PJM) '!F$193&lt;0,0,'APP IX (PJM) '!F$193)</f>
        <v>73358.77000000002</v>
      </c>
      <c r="I63" s="13"/>
      <c r="J63" s="13">
        <f>IF('APP IX (PJM) '!F$193&gt;0,0,('APP IX (PJM) '!F$193)*-1)</f>
        <v>0</v>
      </c>
      <c r="K63" s="2"/>
    </row>
    <row r="64" spans="6:11" ht="15">
      <c r="F64" s="2" t="s">
        <v>1754</v>
      </c>
      <c r="H64" s="13">
        <f>IF('APP IX (PJM) '!G$193&lt;0,0,'APP IX (PJM) '!G$193)</f>
        <v>0</v>
      </c>
      <c r="I64" s="13"/>
      <c r="J64" s="13">
        <f>IF('APP IX (PJM) '!G$193&gt;0,0,('APP IX (PJM) '!G$193)*-1)</f>
        <v>0</v>
      </c>
      <c r="K64" s="2"/>
    </row>
    <row r="65" spans="6:11" ht="15">
      <c r="F65" s="2" t="s">
        <v>1672</v>
      </c>
      <c r="H65" s="21">
        <f>SUM(J60:J64)</f>
        <v>0</v>
      </c>
      <c r="I65" s="13"/>
      <c r="J65" s="21">
        <f>SUM(H60:H64)</f>
        <v>171780.1500000005</v>
      </c>
      <c r="K65" s="2"/>
    </row>
    <row r="66" spans="6:11" ht="15">
      <c r="F66" s="2" t="s">
        <v>543</v>
      </c>
      <c r="H66" s="13">
        <f>SUM(H60:H65)</f>
        <v>171780.1500000005</v>
      </c>
      <c r="I66" s="13"/>
      <c r="J66" s="13">
        <f>SUM(J60:J65)</f>
        <v>171780.1500000005</v>
      </c>
      <c r="K66" s="2"/>
    </row>
    <row r="67" spans="8:11" ht="15">
      <c r="H67" s="13"/>
      <c r="I67" s="13"/>
      <c r="J67" s="13"/>
      <c r="K67" s="2"/>
    </row>
    <row r="68" spans="1:10" ht="15">
      <c r="A68" s="75"/>
      <c r="B68" s="75"/>
      <c r="C68" s="75"/>
      <c r="D68" s="75"/>
      <c r="E68" s="75"/>
      <c r="F68" s="75"/>
      <c r="G68" s="75"/>
      <c r="H68" s="6"/>
      <c r="I68" s="6"/>
      <c r="J68" s="6"/>
    </row>
    <row r="69" spans="2:10" ht="16.5">
      <c r="B69" s="14" t="s">
        <v>1294</v>
      </c>
      <c r="C69" s="15" t="str">
        <f>INPUT!C1</f>
        <v>February 2012</v>
      </c>
      <c r="H69" s="2"/>
      <c r="I69" s="2"/>
      <c r="J69" s="49" t="s">
        <v>1327</v>
      </c>
    </row>
    <row r="70" spans="8:10" ht="15">
      <c r="H70" s="2"/>
      <c r="I70" s="2"/>
      <c r="J70" s="2"/>
    </row>
    <row r="71" spans="8:10" ht="15">
      <c r="H71" s="2"/>
      <c r="I71" s="2"/>
      <c r="J71" s="2"/>
    </row>
    <row r="72" spans="8:10" ht="16.5">
      <c r="H72" s="286"/>
      <c r="I72" s="50" t="s">
        <v>1296</v>
      </c>
      <c r="J72" s="286"/>
    </row>
    <row r="73" spans="8:10" ht="16.5">
      <c r="H73" s="49" t="s">
        <v>1299</v>
      </c>
      <c r="I73" s="49"/>
      <c r="J73" s="49" t="s">
        <v>1299</v>
      </c>
    </row>
    <row r="74" spans="8:10" ht="16.5">
      <c r="H74" s="49" t="s">
        <v>1300</v>
      </c>
      <c r="I74" s="49"/>
      <c r="J74" s="49" t="s">
        <v>1301</v>
      </c>
    </row>
    <row r="75" spans="8:10" ht="16.5">
      <c r="H75" s="50" t="s">
        <v>1303</v>
      </c>
      <c r="I75" s="56"/>
      <c r="J75" s="50" t="s">
        <v>1304</v>
      </c>
    </row>
    <row r="76" spans="8:10" ht="16.5">
      <c r="H76" s="287"/>
      <c r="I76" s="56"/>
      <c r="J76" s="287"/>
    </row>
    <row r="77" spans="1:11" ht="16.5">
      <c r="A77" s="3" t="s">
        <v>1246</v>
      </c>
      <c r="B77" s="23" t="s">
        <v>1331</v>
      </c>
      <c r="F77" s="2" t="s">
        <v>926</v>
      </c>
      <c r="H77" s="13">
        <f>IF('APP IX (PJM) '!C$220&lt;0,0,'APP IX (PJM) '!C$220)</f>
        <v>59880</v>
      </c>
      <c r="I77" s="13"/>
      <c r="J77" s="13">
        <f>IF('APP IX (PJM) '!C$220&gt;0,0,'APP IX (PJM) '!C$220)*-1</f>
        <v>0</v>
      </c>
      <c r="K77" s="2"/>
    </row>
    <row r="78" spans="2:11" ht="16.5">
      <c r="B78" s="23" t="s">
        <v>1268</v>
      </c>
      <c r="F78" s="2" t="s">
        <v>927</v>
      </c>
      <c r="H78" s="13">
        <f>IF('APP IX (PJM) '!D$220&lt;0,0,'APP IX (PJM) '!D$220)</f>
        <v>12574</v>
      </c>
      <c r="I78" s="13"/>
      <c r="J78" s="13">
        <f>IF('APP IX (PJM) '!D$220&gt;0,0,'APP IX (PJM) '!D$220)*-1</f>
        <v>0</v>
      </c>
      <c r="K78" s="2"/>
    </row>
    <row r="79" spans="2:11" ht="16.5">
      <c r="B79" s="23" t="s">
        <v>532</v>
      </c>
      <c r="F79" s="2" t="s">
        <v>928</v>
      </c>
      <c r="H79" s="13">
        <f>IF('APP IX (PJM) '!E$220&lt;0,0,'APP IX (PJM) '!E$220)</f>
        <v>39960</v>
      </c>
      <c r="I79" s="13"/>
      <c r="J79" s="13">
        <f>IF('APP IX (PJM) '!E$220&gt;0,0,'APP IX (PJM) '!E$220)*-1</f>
        <v>0</v>
      </c>
      <c r="K79" s="2"/>
    </row>
    <row r="80" spans="2:11" ht="16.5">
      <c r="B80" s="23" t="s">
        <v>221</v>
      </c>
      <c r="F80" s="2" t="s">
        <v>929</v>
      </c>
      <c r="H80" s="13">
        <f>IF('APP IX (PJM) '!F$220&lt;0,0,'APP IX (PJM) '!F$220)</f>
        <v>83782</v>
      </c>
      <c r="I80" s="13"/>
      <c r="J80" s="13">
        <f>IF('APP IX (PJM) '!F$220&gt;0,0,'APP IX (PJM) '!F$220)*-1</f>
        <v>0</v>
      </c>
      <c r="K80" s="2"/>
    </row>
    <row r="81" spans="2:11" ht="15">
      <c r="B81" s="152" t="s">
        <v>1323</v>
      </c>
      <c r="F81" s="2" t="s">
        <v>1754</v>
      </c>
      <c r="H81" s="13">
        <f>IF('APP IX (PJM) '!G$220&lt;0,0,'APP IX (PJM) '!G$220)</f>
        <v>0</v>
      </c>
      <c r="I81" s="13"/>
      <c r="J81" s="13">
        <f>IF('APP IX (PJM) '!G$220&gt;0,0,'APP IX (PJM) '!G$220)*-1</f>
        <v>0</v>
      </c>
      <c r="K81" s="2"/>
    </row>
    <row r="82" spans="6:11" ht="15">
      <c r="F82" s="2" t="s">
        <v>1672</v>
      </c>
      <c r="H82" s="21">
        <f>SUM(J77:J81)</f>
        <v>0</v>
      </c>
      <c r="I82" s="13"/>
      <c r="J82" s="21">
        <f>SUM(H77:H81)</f>
        <v>196196</v>
      </c>
      <c r="K82" s="2"/>
    </row>
    <row r="83" spans="6:11" ht="15">
      <c r="F83" s="2" t="s">
        <v>543</v>
      </c>
      <c r="H83" s="13">
        <f>SUM(H77:H82)</f>
        <v>196196</v>
      </c>
      <c r="I83" s="13"/>
      <c r="J83" s="13">
        <f>SUM(J77:J82)</f>
        <v>196196</v>
      </c>
      <c r="K83" s="2"/>
    </row>
    <row r="84" spans="1:11" ht="15">
      <c r="A84" s="75"/>
      <c r="B84" s="75"/>
      <c r="C84" s="75"/>
      <c r="D84" s="75"/>
      <c r="E84" s="75"/>
      <c r="F84" s="75"/>
      <c r="G84" s="75"/>
      <c r="H84" s="6"/>
      <c r="I84" s="6"/>
      <c r="J84" s="6"/>
      <c r="K84" s="2"/>
    </row>
    <row r="85" spans="1:11" ht="16.5">
      <c r="A85" s="3" t="s">
        <v>1325</v>
      </c>
      <c r="B85" s="23" t="s">
        <v>533</v>
      </c>
      <c r="F85" s="2" t="s">
        <v>926</v>
      </c>
      <c r="H85" s="13">
        <v>0</v>
      </c>
      <c r="I85" s="13"/>
      <c r="J85" s="13">
        <v>0</v>
      </c>
      <c r="K85" s="2"/>
    </row>
    <row r="86" spans="2:11" ht="16.5">
      <c r="B86" s="23" t="s">
        <v>534</v>
      </c>
      <c r="F86" s="2" t="s">
        <v>927</v>
      </c>
      <c r="H86" s="13">
        <v>0</v>
      </c>
      <c r="I86" s="13"/>
      <c r="J86" s="13">
        <v>0</v>
      </c>
      <c r="K86" s="2"/>
    </row>
    <row r="87" spans="2:11" ht="16.5">
      <c r="B87" s="23" t="s">
        <v>221</v>
      </c>
      <c r="F87" s="2" t="s">
        <v>928</v>
      </c>
      <c r="H87" s="13">
        <v>0</v>
      </c>
      <c r="I87" s="13"/>
      <c r="J87" s="13">
        <v>0</v>
      </c>
      <c r="K87" s="2"/>
    </row>
    <row r="88" spans="2:11" ht="15">
      <c r="B88" s="152" t="s">
        <v>349</v>
      </c>
      <c r="F88" s="2" t="s">
        <v>929</v>
      </c>
      <c r="H88" s="13">
        <v>0</v>
      </c>
      <c r="I88" s="13"/>
      <c r="J88" s="13">
        <v>0</v>
      </c>
      <c r="K88" s="2"/>
    </row>
    <row r="89" spans="6:11" ht="15">
      <c r="F89" s="2" t="s">
        <v>1754</v>
      </c>
      <c r="H89" s="13">
        <v>0</v>
      </c>
      <c r="I89" s="13"/>
      <c r="J89" s="13">
        <v>0</v>
      </c>
      <c r="K89" s="2"/>
    </row>
    <row r="90" spans="6:11" ht="15">
      <c r="F90" s="2" t="s">
        <v>1672</v>
      </c>
      <c r="H90" s="21">
        <f>SUM(J85:J89)</f>
        <v>0</v>
      </c>
      <c r="I90" s="13"/>
      <c r="J90" s="21">
        <f>SUM(H85:H89)</f>
        <v>0</v>
      </c>
      <c r="K90" s="2"/>
    </row>
    <row r="91" spans="6:11" ht="15">
      <c r="F91" s="2" t="s">
        <v>543</v>
      </c>
      <c r="H91" s="13">
        <f>SUM(H85:H90)</f>
        <v>0</v>
      </c>
      <c r="I91" s="13"/>
      <c r="J91" s="13">
        <f>SUM(J85:J90)</f>
        <v>0</v>
      </c>
      <c r="K91" s="2"/>
    </row>
    <row r="92" spans="1:11" ht="15">
      <c r="A92" s="16"/>
      <c r="B92" s="16"/>
      <c r="C92" s="16"/>
      <c r="D92" s="16"/>
      <c r="E92" s="16"/>
      <c r="F92" s="286"/>
      <c r="G92" s="16"/>
      <c r="H92" s="21"/>
      <c r="I92" s="21"/>
      <c r="J92" s="21"/>
      <c r="K92" s="2"/>
    </row>
    <row r="93" spans="8:10" ht="15">
      <c r="H93" s="12"/>
      <c r="I93" s="12"/>
      <c r="J93" s="12"/>
    </row>
    <row r="94" spans="1:10" ht="16.5">
      <c r="A94" s="3" t="s">
        <v>1326</v>
      </c>
      <c r="B94" s="23" t="s">
        <v>683</v>
      </c>
      <c r="F94" s="3" t="s">
        <v>926</v>
      </c>
      <c r="H94" s="13">
        <f>+'APPVI PG1'!E48</f>
        <v>0</v>
      </c>
      <c r="I94" s="13"/>
      <c r="J94" s="13">
        <f>+'APPVI PG1'!G48</f>
        <v>16401020.348963998</v>
      </c>
    </row>
    <row r="95" spans="2:10" ht="15">
      <c r="B95" s="19" t="s">
        <v>684</v>
      </c>
      <c r="F95" s="3" t="s">
        <v>927</v>
      </c>
      <c r="H95" s="13">
        <f>+'APPVI PG1'!E49</f>
        <v>0</v>
      </c>
      <c r="I95" s="13"/>
      <c r="J95" s="13">
        <f>+'APPVI PG1'!G49</f>
        <v>3444101.7021562997</v>
      </c>
    </row>
    <row r="96" spans="2:10" ht="15">
      <c r="B96" s="19" t="s">
        <v>685</v>
      </c>
      <c r="F96" s="3" t="s">
        <v>928</v>
      </c>
      <c r="H96" s="13">
        <f>+'APPVI PG1'!E50</f>
        <v>0</v>
      </c>
      <c r="I96" s="13"/>
      <c r="J96" s="13">
        <f>+'APPVI PG1'!G50</f>
        <v>10945476.2560976</v>
      </c>
    </row>
    <row r="97" spans="2:10" ht="15">
      <c r="B97" s="19" t="s">
        <v>686</v>
      </c>
      <c r="F97" s="3" t="s">
        <v>929</v>
      </c>
      <c r="H97" s="13">
        <f>+'APPVI PG1'!E51</f>
        <v>0</v>
      </c>
      <c r="I97" s="13"/>
      <c r="J97" s="13">
        <f>+'APPVI PG1'!G51</f>
        <v>22947995.4447821</v>
      </c>
    </row>
    <row r="98" spans="2:10" ht="15">
      <c r="B98" s="19" t="s">
        <v>687</v>
      </c>
      <c r="F98" s="3" t="s">
        <v>1754</v>
      </c>
      <c r="H98" s="13">
        <f>+'APPVI PG1'!E52</f>
        <v>0</v>
      </c>
      <c r="I98" s="13"/>
      <c r="J98" s="13">
        <f>+'APPVI PG1'!G52</f>
        <v>0</v>
      </c>
    </row>
    <row r="99" spans="2:10" ht="15">
      <c r="B99" s="19" t="s">
        <v>100</v>
      </c>
      <c r="F99" s="2" t="s">
        <v>161</v>
      </c>
      <c r="H99" s="21">
        <f>+'APPVI PG1'!E53</f>
        <v>53738593.752</v>
      </c>
      <c r="I99" s="13"/>
      <c r="J99" s="21">
        <f>+'APPVI PG1'!G53</f>
        <v>0</v>
      </c>
    </row>
    <row r="100" spans="2:10" ht="15">
      <c r="B100" s="19"/>
      <c r="F100" s="3" t="s">
        <v>543</v>
      </c>
      <c r="H100" s="13">
        <f>SUM(H94:H99)</f>
        <v>53738593.752</v>
      </c>
      <c r="I100" s="13"/>
      <c r="J100" s="13">
        <f>SUM(J94:J99)</f>
        <v>53738593.752</v>
      </c>
    </row>
    <row r="101" spans="2:10" ht="15">
      <c r="B101" s="19"/>
      <c r="H101" s="13"/>
      <c r="I101" s="13"/>
      <c r="J101" s="13"/>
    </row>
    <row r="102" spans="1:10" ht="16.5">
      <c r="A102" s="3" t="s">
        <v>907</v>
      </c>
      <c r="B102" s="23" t="s">
        <v>102</v>
      </c>
      <c r="F102" s="3" t="s">
        <v>926</v>
      </c>
      <c r="H102" s="13">
        <f>+'APPVI PG1'!I48</f>
        <v>0</v>
      </c>
      <c r="I102" s="13"/>
      <c r="J102" s="13">
        <f>+'APPVI PG1'!K48</f>
        <v>16502493.372064</v>
      </c>
    </row>
    <row r="103" spans="2:10" ht="15">
      <c r="B103" s="19" t="s">
        <v>684</v>
      </c>
      <c r="F103" s="3" t="s">
        <v>927</v>
      </c>
      <c r="H103" s="13">
        <f>+'APPVI PG1'!I49</f>
        <v>0</v>
      </c>
      <c r="I103" s="13"/>
      <c r="J103" s="13">
        <f>+'APPVI PG1'!K49</f>
        <v>3465411.5627388</v>
      </c>
    </row>
    <row r="104" spans="6:10" ht="15">
      <c r="F104" s="3" t="s">
        <v>928</v>
      </c>
      <c r="H104" s="13">
        <f>+'APPVI PG1'!I50</f>
        <v>0</v>
      </c>
      <c r="I104" s="13"/>
      <c r="J104" s="13">
        <f>+'APPVI PG1'!K50</f>
        <v>11013193.878137602</v>
      </c>
    </row>
    <row r="105" spans="6:10" ht="15">
      <c r="F105" s="3" t="s">
        <v>929</v>
      </c>
      <c r="H105" s="13">
        <f>+'APPVI PG1'!I51</f>
        <v>0</v>
      </c>
      <c r="I105" s="13"/>
      <c r="J105" s="13">
        <f>+'APPVI PG1'!K51</f>
        <v>23090159.767059598</v>
      </c>
    </row>
    <row r="106" spans="6:10" ht="15">
      <c r="F106" s="3" t="s">
        <v>1754</v>
      </c>
      <c r="H106" s="13">
        <f>+'APPVI PG1'!I52</f>
        <v>0</v>
      </c>
      <c r="I106" s="13"/>
      <c r="J106" s="13">
        <f>+'APPVI PG1'!K52</f>
        <v>0</v>
      </c>
    </row>
    <row r="107" spans="6:10" ht="15">
      <c r="F107" s="2" t="s">
        <v>161</v>
      </c>
      <c r="H107" s="21">
        <f>+'APPVI PG1'!I53</f>
        <v>54071258.58</v>
      </c>
      <c r="I107" s="13"/>
      <c r="J107" s="21">
        <f>+'APPVI PG1'!K53</f>
        <v>0</v>
      </c>
    </row>
    <row r="108" spans="6:10" ht="15">
      <c r="F108" s="3" t="s">
        <v>543</v>
      </c>
      <c r="H108" s="13">
        <f>SUM(H102:H107)</f>
        <v>54071258.58</v>
      </c>
      <c r="I108" s="13"/>
      <c r="J108" s="13">
        <f>SUM(J102:J107)</f>
        <v>54071258.58</v>
      </c>
    </row>
    <row r="109" spans="2:12" ht="15">
      <c r="B109" s="2"/>
      <c r="C109" s="2"/>
      <c r="D109" s="2"/>
      <c r="E109" s="2"/>
      <c r="H109" s="12"/>
      <c r="I109" s="12"/>
      <c r="J109" s="12"/>
      <c r="K109" s="2"/>
      <c r="L109" s="2"/>
    </row>
    <row r="110" spans="1:12" s="2" customFormat="1" ht="16.5">
      <c r="A110" s="2" t="s">
        <v>1324</v>
      </c>
      <c r="B110" s="115" t="s">
        <v>522</v>
      </c>
      <c r="F110" s="2" t="s">
        <v>926</v>
      </c>
      <c r="H110" s="13">
        <v>0</v>
      </c>
      <c r="I110" s="13"/>
      <c r="J110" s="13">
        <f>+'APPVIII PG 2'!D50-'APPVIII PG 3'!D50-'APPVIII PG 4'!D44</f>
        <v>0</v>
      </c>
      <c r="L110" s="13"/>
    </row>
    <row r="111" spans="2:12" s="2" customFormat="1" ht="16.5">
      <c r="B111" s="115" t="s">
        <v>521</v>
      </c>
      <c r="F111" s="2" t="s">
        <v>927</v>
      </c>
      <c r="H111" s="13">
        <v>0</v>
      </c>
      <c r="I111" s="13"/>
      <c r="J111" s="13">
        <f>+'APPVIII PG 2'!E50-'APPVIII PG 3'!E50-'APPVIII PG 4'!D44</f>
        <v>0</v>
      </c>
      <c r="L111" s="13"/>
    </row>
    <row r="112" spans="2:12" s="2" customFormat="1" ht="15">
      <c r="B112" s="152" t="s">
        <v>373</v>
      </c>
      <c r="F112" s="2" t="s">
        <v>928</v>
      </c>
      <c r="H112" s="13">
        <v>0</v>
      </c>
      <c r="I112" s="13"/>
      <c r="J112" s="13">
        <f>+'APPVIII PG 2'!F50-'APPVIII PG 3'!F50-'APPVIII PG 4'!D44</f>
        <v>0</v>
      </c>
      <c r="L112" s="13"/>
    </row>
    <row r="113" spans="6:12" s="2" customFormat="1" ht="15">
      <c r="F113" s="2" t="s">
        <v>929</v>
      </c>
      <c r="H113" s="13">
        <v>0</v>
      </c>
      <c r="I113" s="13"/>
      <c r="J113" s="13">
        <f>+'APPVIII PG 2'!G503-'APPVIII PG 3'!G50-'APPVIII PG 4'!D44</f>
        <v>0</v>
      </c>
      <c r="L113" s="13"/>
    </row>
    <row r="114" spans="6:12" s="2" customFormat="1" ht="15">
      <c r="F114" s="2" t="s">
        <v>1754</v>
      </c>
      <c r="H114" s="13">
        <v>0</v>
      </c>
      <c r="I114" s="13"/>
      <c r="J114" s="13">
        <f>+'APPVIII PG 2'!D54-'APPVIII PG 3'!D54-'APPVIII PG 4'!D48</f>
        <v>0</v>
      </c>
      <c r="L114" s="13"/>
    </row>
    <row r="115" spans="6:10" s="2" customFormat="1" ht="15">
      <c r="F115" s="2" t="s">
        <v>906</v>
      </c>
      <c r="H115" s="21">
        <f>-'APPVIII PG 2'!IH50-'APPVIII PG 3'!H50-'APPVIII PG 4'!H44</f>
        <v>0</v>
      </c>
      <c r="I115" s="13"/>
      <c r="J115" s="21">
        <f>SUM(H110:H114)</f>
        <v>0</v>
      </c>
    </row>
    <row r="116" spans="6:10" s="2" customFormat="1" ht="15">
      <c r="F116" s="2" t="s">
        <v>543</v>
      </c>
      <c r="H116" s="13">
        <f>SUM(H110:H115)</f>
        <v>0</v>
      </c>
      <c r="I116" s="13"/>
      <c r="J116" s="13">
        <f>SUM(J110:J115)</f>
        <v>0</v>
      </c>
    </row>
    <row r="117" spans="2:10" ht="15">
      <c r="B117" s="19"/>
      <c r="H117" s="12"/>
      <c r="I117" s="13"/>
      <c r="J117" s="12"/>
    </row>
    <row r="118" spans="1:10" ht="16.5">
      <c r="A118" s="3" t="s">
        <v>908</v>
      </c>
      <c r="B118" s="23" t="s">
        <v>104</v>
      </c>
      <c r="F118" s="3" t="s">
        <v>926</v>
      </c>
      <c r="H118" s="13">
        <f aca="true" t="shared" si="1" ref="H118:H123">IF((H94-J94)-(H102-J102)+(H110-J110)&lt;=0,0,(H94-J94)-(H102-J102)+(H110-J110))</f>
        <v>101473.02310000174</v>
      </c>
      <c r="I118" s="13"/>
      <c r="J118" s="13">
        <f aca="true" t="shared" si="2" ref="J118:J123">IF((J94-H94)-(J102-H102)+(J110-H110)&lt;=0,0,(J94-H94)-(J102-H102)+(J110-H110))</f>
        <v>0</v>
      </c>
    </row>
    <row r="119" spans="2:10" ht="15">
      <c r="B119" s="19"/>
      <c r="F119" s="3" t="s">
        <v>927</v>
      </c>
      <c r="H119" s="13">
        <f t="shared" si="1"/>
        <v>21309.86058250023</v>
      </c>
      <c r="I119" s="13"/>
      <c r="J119" s="13">
        <f t="shared" si="2"/>
        <v>0</v>
      </c>
    </row>
    <row r="120" spans="6:10" ht="15">
      <c r="F120" s="3" t="s">
        <v>928</v>
      </c>
      <c r="H120" s="13">
        <f t="shared" si="1"/>
        <v>67717.62204000168</v>
      </c>
      <c r="I120" s="13"/>
      <c r="J120" s="13">
        <f t="shared" si="2"/>
        <v>0</v>
      </c>
    </row>
    <row r="121" spans="6:10" ht="15">
      <c r="F121" s="3" t="s">
        <v>929</v>
      </c>
      <c r="H121" s="13">
        <f t="shared" si="1"/>
        <v>142164.3222774975</v>
      </c>
      <c r="I121" s="13"/>
      <c r="J121" s="13">
        <f t="shared" si="2"/>
        <v>0</v>
      </c>
    </row>
    <row r="122" spans="6:10" ht="15">
      <c r="F122" s="3" t="s">
        <v>1754</v>
      </c>
      <c r="H122" s="13">
        <f t="shared" si="1"/>
        <v>0</v>
      </c>
      <c r="I122" s="13"/>
      <c r="J122" s="13">
        <f t="shared" si="2"/>
        <v>0</v>
      </c>
    </row>
    <row r="123" spans="6:10" ht="15">
      <c r="F123" s="2" t="s">
        <v>161</v>
      </c>
      <c r="H123" s="21">
        <f t="shared" si="1"/>
        <v>0</v>
      </c>
      <c r="I123" s="13"/>
      <c r="J123" s="21">
        <f t="shared" si="2"/>
        <v>332664.8280000016</v>
      </c>
    </row>
    <row r="124" spans="6:10" ht="15">
      <c r="F124" s="3" t="s">
        <v>543</v>
      </c>
      <c r="H124" s="13">
        <f>SUM(H118:H123)</f>
        <v>332664.82800000114</v>
      </c>
      <c r="I124" s="12"/>
      <c r="J124" s="13">
        <f>SUM(J118:J123)</f>
        <v>332664.8280000016</v>
      </c>
    </row>
    <row r="125" spans="1:10" ht="15">
      <c r="A125" s="2"/>
      <c r="B125" s="2"/>
      <c r="C125" s="2"/>
      <c r="D125" s="2"/>
      <c r="E125" s="2"/>
      <c r="F125" s="2"/>
      <c r="G125" s="2"/>
      <c r="H125" s="13"/>
      <c r="I125" s="13"/>
      <c r="J125" s="13"/>
    </row>
    <row r="126" spans="8:10" ht="15">
      <c r="H126" s="12"/>
      <c r="I126" s="12"/>
      <c r="J126" s="12"/>
    </row>
    <row r="127" ht="15">
      <c r="A127" s="3" t="s">
        <v>1592</v>
      </c>
    </row>
    <row r="128" ht="15">
      <c r="A128" s="3" t="s">
        <v>1591</v>
      </c>
    </row>
  </sheetData>
  <sheetProtection/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26.57421875" style="3" customWidth="1"/>
    <col min="3" max="3" width="6.57421875" style="3" customWidth="1"/>
    <col min="4" max="4" width="10.28125" style="3" customWidth="1"/>
    <col min="5" max="5" width="1.7109375" style="3" customWidth="1"/>
    <col min="6" max="6" width="12.140625" style="3" customWidth="1"/>
    <col min="7" max="7" width="1.7109375" style="3" customWidth="1"/>
    <col min="8" max="8" width="11.28125" style="3" bestFit="1" customWidth="1"/>
    <col min="9" max="9" width="1.7109375" style="3" customWidth="1"/>
    <col min="10" max="10" width="11.140625" style="3" customWidth="1"/>
    <col min="11" max="11" width="1.7109375" style="3" customWidth="1"/>
    <col min="12" max="12" width="12.7109375" style="3" bestFit="1" customWidth="1"/>
    <col min="13" max="13" width="1.7109375" style="3" customWidth="1"/>
    <col min="14" max="14" width="11.7109375" style="3" bestFit="1" customWidth="1"/>
    <col min="15" max="15" width="1.7109375" style="3" customWidth="1"/>
    <col min="16" max="16" width="10.7109375" style="3" customWidth="1"/>
    <col min="17" max="17" width="1.7109375" style="3" customWidth="1"/>
    <col min="18" max="18" width="10.7109375" style="3" customWidth="1"/>
    <col min="19" max="16384" width="9.140625" style="3" customWidth="1"/>
  </cols>
  <sheetData>
    <row r="1" spans="1:17" ht="15">
      <c r="A1" s="24"/>
      <c r="B1" s="25" t="s">
        <v>1294</v>
      </c>
      <c r="C1" s="26" t="str">
        <f>INPUT!C1</f>
        <v>February 2012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105</v>
      </c>
      <c r="O1" s="24"/>
      <c r="Q1" s="24"/>
    </row>
    <row r="2" spans="1:18" ht="15">
      <c r="A2" s="24"/>
      <c r="B2" s="24"/>
      <c r="C2" s="24"/>
      <c r="D2" s="24"/>
      <c r="E2" s="24"/>
      <c r="F2" s="24"/>
      <c r="G2" s="25" t="s">
        <v>106</v>
      </c>
      <c r="H2" s="27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>
      <c r="A3" s="24"/>
      <c r="B3" s="24"/>
      <c r="C3" s="24"/>
      <c r="D3" s="24"/>
      <c r="E3" s="24"/>
      <c r="F3" s="24"/>
      <c r="G3" s="25" t="s">
        <v>107</v>
      </c>
      <c r="H3" s="27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6"/>
      <c r="Q4" s="227"/>
      <c r="R4" s="46"/>
    </row>
    <row r="5" spans="1:19" ht="15">
      <c r="A5" s="24"/>
      <c r="B5" s="24"/>
      <c r="C5" s="24"/>
      <c r="D5" s="28"/>
      <c r="E5" s="29" t="s">
        <v>108</v>
      </c>
      <c r="F5" s="28"/>
      <c r="G5" s="30"/>
      <c r="H5" s="28"/>
      <c r="I5" s="31" t="s">
        <v>109</v>
      </c>
      <c r="J5" s="28"/>
      <c r="K5" s="30"/>
      <c r="L5" s="28"/>
      <c r="M5" s="31" t="s">
        <v>110</v>
      </c>
      <c r="N5" s="28"/>
      <c r="O5" s="24"/>
      <c r="P5" s="224"/>
      <c r="Q5" s="225"/>
      <c r="R5" s="224"/>
      <c r="S5" s="30"/>
    </row>
    <row r="6" spans="1:19" ht="15">
      <c r="A6" s="24"/>
      <c r="B6" s="24"/>
      <c r="C6" s="24"/>
      <c r="D6" s="25" t="s">
        <v>111</v>
      </c>
      <c r="E6" s="25"/>
      <c r="F6" s="25"/>
      <c r="G6" s="25"/>
      <c r="H6" s="25" t="s">
        <v>922</v>
      </c>
      <c r="I6" s="25"/>
      <c r="J6" s="25" t="s">
        <v>112</v>
      </c>
      <c r="K6" s="25"/>
      <c r="L6" s="25" t="s">
        <v>922</v>
      </c>
      <c r="M6" s="25"/>
      <c r="N6" s="25" t="s">
        <v>924</v>
      </c>
      <c r="O6" s="27"/>
      <c r="P6" s="226"/>
      <c r="Q6" s="226"/>
      <c r="R6" s="226"/>
      <c r="S6" s="25"/>
    </row>
    <row r="7" spans="1:19" ht="15">
      <c r="A7" s="24"/>
      <c r="B7" s="24"/>
      <c r="C7" s="24"/>
      <c r="D7" s="32" t="s">
        <v>113</v>
      </c>
      <c r="E7" s="32"/>
      <c r="F7" s="25" t="s">
        <v>114</v>
      </c>
      <c r="G7" s="25"/>
      <c r="H7" s="25" t="s">
        <v>115</v>
      </c>
      <c r="I7" s="25"/>
      <c r="J7" s="25" t="s">
        <v>116</v>
      </c>
      <c r="K7" s="25"/>
      <c r="L7" s="25" t="s">
        <v>115</v>
      </c>
      <c r="M7" s="25"/>
      <c r="N7" s="25" t="s">
        <v>116</v>
      </c>
      <c r="O7" s="27"/>
      <c r="P7" s="226"/>
      <c r="Q7" s="226"/>
      <c r="R7" s="226"/>
      <c r="S7" s="25"/>
    </row>
    <row r="8" spans="1:19" ht="15">
      <c r="A8" s="24"/>
      <c r="B8" s="24"/>
      <c r="C8" s="24"/>
      <c r="D8" s="29" t="s">
        <v>117</v>
      </c>
      <c r="E8" s="25"/>
      <c r="F8" s="31" t="s">
        <v>118</v>
      </c>
      <c r="G8" s="32"/>
      <c r="H8" s="31" t="s">
        <v>119</v>
      </c>
      <c r="I8" s="32"/>
      <c r="J8" s="31" t="s">
        <v>120</v>
      </c>
      <c r="K8" s="32"/>
      <c r="L8" s="31" t="s">
        <v>121</v>
      </c>
      <c r="M8" s="32"/>
      <c r="N8" s="31" t="s">
        <v>122</v>
      </c>
      <c r="O8" s="33"/>
      <c r="P8" s="225"/>
      <c r="Q8" s="225"/>
      <c r="R8" s="225"/>
      <c r="S8" s="32"/>
    </row>
    <row r="9" spans="1:19" ht="15">
      <c r="A9" s="24" t="s">
        <v>1305</v>
      </c>
      <c r="B9" s="25" t="s">
        <v>539</v>
      </c>
      <c r="C9" s="24" t="s">
        <v>926</v>
      </c>
      <c r="D9" s="34">
        <f>PAGE3!C26</f>
        <v>-1205200</v>
      </c>
      <c r="E9" s="24"/>
      <c r="F9" s="35">
        <f>IF(D9&lt;0,PAGE3!$E$33,PAGE3!E26+PAGE3!G26)</f>
        <v>12.66</v>
      </c>
      <c r="G9" s="24"/>
      <c r="H9" s="419">
        <f>IF(PAGE3!I26&lt;0,PAGE3!I26)*-1</f>
        <v>15257832</v>
      </c>
      <c r="I9" s="36"/>
      <c r="J9" s="419">
        <f>IF(PAGE3!I26&gt;0,PAGE3!I26,0)</f>
        <v>0</v>
      </c>
      <c r="K9" s="34"/>
      <c r="L9" s="36">
        <f>+PAGE4!H46</f>
        <v>39526492.541</v>
      </c>
      <c r="M9" s="36"/>
      <c r="N9" s="36">
        <f>+PAGE4!J46</f>
        <v>10553825.848000001</v>
      </c>
      <c r="O9" s="24"/>
      <c r="P9" s="38"/>
      <c r="Q9" s="38"/>
      <c r="R9" s="38"/>
      <c r="S9" s="34"/>
    </row>
    <row r="10" spans="1:19" ht="15">
      <c r="A10" s="24"/>
      <c r="B10" s="25" t="s">
        <v>546</v>
      </c>
      <c r="C10" s="24" t="s">
        <v>927</v>
      </c>
      <c r="D10" s="34">
        <f>PAGE3!C27</f>
        <v>-241800</v>
      </c>
      <c r="E10" s="24"/>
      <c r="F10" s="35">
        <f>IF(D10&lt;0,PAGE3!$E$33,PAGE3!E27+PAGE3!G27)</f>
        <v>12.66</v>
      </c>
      <c r="G10" s="24"/>
      <c r="H10" s="38">
        <f>IF(PAGE3!I27&lt;0,PAGE3!I27)*-1</f>
        <v>3061188</v>
      </c>
      <c r="I10" s="36"/>
      <c r="J10" s="38">
        <f>IF(PAGE3!I27&gt;0,PAGE3!I27,0)</f>
        <v>0</v>
      </c>
      <c r="K10" s="34"/>
      <c r="L10" s="36">
        <f>+PAGE4!H47</f>
        <v>9717444.16</v>
      </c>
      <c r="M10" s="36"/>
      <c r="N10" s="36">
        <f>+PAGE4!J47</f>
        <v>1048494.60464561</v>
      </c>
      <c r="O10" s="24"/>
      <c r="P10" s="38"/>
      <c r="Q10" s="38"/>
      <c r="R10" s="38"/>
      <c r="S10" s="34"/>
    </row>
    <row r="11" spans="1:19" ht="15">
      <c r="A11" s="24"/>
      <c r="B11" s="25" t="s">
        <v>1691</v>
      </c>
      <c r="C11" s="24" t="s">
        <v>928</v>
      </c>
      <c r="D11" s="34">
        <f>PAGE3!C28</f>
        <v>-17100</v>
      </c>
      <c r="E11" s="24"/>
      <c r="F11" s="35">
        <f>IF(D11&lt;0,PAGE3!$E$33,PAGE3!E28+PAGE3!G28)</f>
        <v>12.66</v>
      </c>
      <c r="G11" s="24"/>
      <c r="H11" s="38">
        <f>IF(PAGE3!I28&lt;0,PAGE3!I28)*-1</f>
        <v>216486</v>
      </c>
      <c r="I11" s="36"/>
      <c r="J11" s="38">
        <f>IF(PAGE3!I28&gt;0,PAGE3!I28,0)</f>
        <v>0</v>
      </c>
      <c r="K11" s="34"/>
      <c r="L11" s="36">
        <f>+PAGE4!H48</f>
        <v>7192313.902</v>
      </c>
      <c r="M11" s="36"/>
      <c r="N11" s="36">
        <f>+PAGE4!J48</f>
        <v>27331273.24561964</v>
      </c>
      <c r="O11" s="24"/>
      <c r="P11" s="38"/>
      <c r="Q11" s="38"/>
      <c r="R11" s="38"/>
      <c r="S11" s="34"/>
    </row>
    <row r="12" spans="1:19" ht="15">
      <c r="A12" s="24"/>
      <c r="B12" s="25"/>
      <c r="C12" s="24" t="s">
        <v>929</v>
      </c>
      <c r="D12" s="34">
        <f>PAGE3!C29</f>
        <v>1464100</v>
      </c>
      <c r="E12" s="24"/>
      <c r="F12" s="35">
        <f>IF(D12&lt;0,PAGE3!$E$33,PAGE3!E29+PAGE3!G29)</f>
        <v>12.66</v>
      </c>
      <c r="G12" s="24"/>
      <c r="H12" s="38">
        <f>IF(PAGE3!I29&lt;0,PAGE3!I29)*-1</f>
        <v>0</v>
      </c>
      <c r="I12" s="36"/>
      <c r="J12" s="38">
        <f>IF(PAGE3!I29&gt;0,PAGE3!I29,0)</f>
        <v>18535506</v>
      </c>
      <c r="K12" s="34"/>
      <c r="L12" s="36">
        <f>+PAGE4!H49</f>
        <v>10471176.227</v>
      </c>
      <c r="M12" s="36"/>
      <c r="N12" s="36">
        <f>+PAGE4!J49</f>
        <v>27973834.114963245</v>
      </c>
      <c r="O12" s="24"/>
      <c r="P12" s="38"/>
      <c r="Q12" s="38"/>
      <c r="R12" s="38"/>
      <c r="S12" s="34"/>
    </row>
    <row r="13" spans="1:19" ht="15">
      <c r="A13" s="24"/>
      <c r="B13" s="25"/>
      <c r="C13" s="24" t="s">
        <v>1754</v>
      </c>
      <c r="D13" s="34">
        <f>PAGE3!C30</f>
        <v>0</v>
      </c>
      <c r="E13" s="24"/>
      <c r="F13" s="35">
        <v>0</v>
      </c>
      <c r="G13" s="24"/>
      <c r="H13" s="37">
        <f>IF(PAGE3!I30&lt;0,PAGE3!I30)*-1</f>
        <v>0</v>
      </c>
      <c r="I13" s="36"/>
      <c r="J13" s="37">
        <f>IF(PAGE3!I30&gt;0,PAGE3!I30,0)</f>
        <v>0</v>
      </c>
      <c r="K13" s="34"/>
      <c r="L13" s="37">
        <f>+PAGE4!H50</f>
        <v>0</v>
      </c>
      <c r="M13" s="36"/>
      <c r="N13" s="37">
        <f>+PAGE4!J50</f>
        <v>0</v>
      </c>
      <c r="O13" s="24"/>
      <c r="P13" s="38"/>
      <c r="Q13" s="38"/>
      <c r="R13" s="38"/>
      <c r="S13" s="34"/>
    </row>
    <row r="14" spans="1:19" ht="15">
      <c r="A14" s="24"/>
      <c r="B14" s="25"/>
      <c r="C14" s="24" t="s">
        <v>543</v>
      </c>
      <c r="D14" s="24"/>
      <c r="E14" s="24"/>
      <c r="F14" s="24"/>
      <c r="G14" s="24"/>
      <c r="H14" s="36">
        <f>SUM(H9:H13)</f>
        <v>18535506</v>
      </c>
      <c r="I14" s="36"/>
      <c r="J14" s="36">
        <f>SUM(J9:J13)</f>
        <v>18535506</v>
      </c>
      <c r="K14" s="34"/>
      <c r="L14" s="36">
        <f>SUM(L9:L13)</f>
        <v>66907426.830000006</v>
      </c>
      <c r="M14" s="36"/>
      <c r="N14" s="38">
        <f>SUM(N9:N13)</f>
        <v>66907427.8132285</v>
      </c>
      <c r="O14" s="24"/>
      <c r="P14" s="38"/>
      <c r="Q14" s="38"/>
      <c r="R14" s="38"/>
      <c r="S14" s="34"/>
    </row>
    <row r="15" spans="1:19" ht="15">
      <c r="A15" s="24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05"/>
      <c r="Q15" s="205"/>
      <c r="R15" s="38"/>
      <c r="S15" s="24"/>
    </row>
    <row r="16" spans="1:19" ht="15">
      <c r="A16" s="24" t="s">
        <v>1306</v>
      </c>
      <c r="B16" s="25" t="s">
        <v>1307</v>
      </c>
      <c r="C16" s="24" t="s">
        <v>926</v>
      </c>
      <c r="D16" s="24"/>
      <c r="E16" s="24"/>
      <c r="F16" s="24"/>
      <c r="G16" s="24"/>
      <c r="H16" s="36">
        <f>INPUT!J4</f>
        <v>15913496</v>
      </c>
      <c r="I16" s="36"/>
      <c r="J16" s="36">
        <f>INPUT!L4</f>
        <v>0</v>
      </c>
      <c r="K16" s="36"/>
      <c r="L16" s="36">
        <f>INPUT!M4</f>
        <v>40242204.42</v>
      </c>
      <c r="M16" s="36"/>
      <c r="N16" s="36">
        <f>INPUT!O4</f>
        <v>11205026.21</v>
      </c>
      <c r="O16" s="24"/>
      <c r="P16" s="38"/>
      <c r="Q16" s="38"/>
      <c r="R16" s="38"/>
      <c r="S16" s="34"/>
    </row>
    <row r="17" spans="1:19" ht="15">
      <c r="A17" s="24" t="s">
        <v>923</v>
      </c>
      <c r="B17" s="25" t="s">
        <v>1308</v>
      </c>
      <c r="C17" s="24" t="s">
        <v>927</v>
      </c>
      <c r="D17" s="24"/>
      <c r="E17" s="24"/>
      <c r="F17" s="24"/>
      <c r="G17" s="24"/>
      <c r="H17" s="36">
        <f>INPUT!J5</f>
        <v>3192734</v>
      </c>
      <c r="I17" s="36"/>
      <c r="J17" s="36">
        <f>INPUT!L5</f>
        <v>0</v>
      </c>
      <c r="K17" s="36"/>
      <c r="L17" s="36">
        <f>INPUT!M5</f>
        <v>9882268.91</v>
      </c>
      <c r="M17" s="36"/>
      <c r="N17" s="36">
        <f>INPUT!O5</f>
        <v>1060193.2</v>
      </c>
      <c r="O17" s="24"/>
      <c r="P17" s="38"/>
      <c r="Q17" s="38"/>
      <c r="R17" s="38"/>
      <c r="S17" s="34"/>
    </row>
    <row r="18" spans="1:19" ht="15">
      <c r="A18" s="24"/>
      <c r="B18" s="25" t="s">
        <v>546</v>
      </c>
      <c r="C18" s="24" t="s">
        <v>928</v>
      </c>
      <c r="D18" s="24"/>
      <c r="E18" s="24"/>
      <c r="F18" s="24"/>
      <c r="G18" s="24"/>
      <c r="H18" s="36">
        <f>INPUT!J6</f>
        <v>225789</v>
      </c>
      <c r="I18" s="36"/>
      <c r="J18" s="36">
        <f>INPUT!L6</f>
        <v>0</v>
      </c>
      <c r="K18" s="36"/>
      <c r="L18" s="36">
        <f>INPUT!M6</f>
        <v>7104337</v>
      </c>
      <c r="M18" s="36"/>
      <c r="N18" s="36">
        <f>INPUT!O6</f>
        <v>27821025.66</v>
      </c>
      <c r="O18" s="24"/>
      <c r="P18" s="38"/>
      <c r="Q18" s="38"/>
      <c r="R18" s="38"/>
      <c r="S18" s="34"/>
    </row>
    <row r="19" spans="1:19" ht="15">
      <c r="A19" s="24"/>
      <c r="B19" s="25" t="s">
        <v>2102</v>
      </c>
      <c r="C19" s="24" t="s">
        <v>929</v>
      </c>
      <c r="D19" s="24"/>
      <c r="E19" s="24"/>
      <c r="F19" s="24"/>
      <c r="G19" s="24"/>
      <c r="H19" s="36">
        <f>INPUT!J7</f>
        <v>0</v>
      </c>
      <c r="I19" s="36"/>
      <c r="J19" s="36">
        <f>INPUT!L7</f>
        <v>19332019</v>
      </c>
      <c r="K19" s="36"/>
      <c r="L19" s="36">
        <f>INPUT!M7</f>
        <v>11023548</v>
      </c>
      <c r="M19" s="36"/>
      <c r="N19" s="36">
        <f>INPUT!O7</f>
        <v>28166113.8</v>
      </c>
      <c r="O19" s="24"/>
      <c r="P19" s="38"/>
      <c r="Q19" s="38"/>
      <c r="R19" s="38"/>
      <c r="S19" s="34"/>
    </row>
    <row r="20" spans="1:19" ht="15">
      <c r="A20" s="24"/>
      <c r="B20" s="25"/>
      <c r="C20" s="24" t="s">
        <v>1754</v>
      </c>
      <c r="D20" s="24"/>
      <c r="E20" s="24"/>
      <c r="F20" s="24"/>
      <c r="G20" s="24"/>
      <c r="H20" s="37">
        <f>INPUT!J8</f>
        <v>0</v>
      </c>
      <c r="I20" s="36"/>
      <c r="J20" s="37">
        <f>INPUT!L8</f>
        <v>0</v>
      </c>
      <c r="K20" s="36"/>
      <c r="L20" s="37">
        <f>INPUT!M8</f>
        <v>0</v>
      </c>
      <c r="M20" s="36"/>
      <c r="N20" s="37">
        <f>INPUT!O8</f>
        <v>0</v>
      </c>
      <c r="O20" s="24"/>
      <c r="P20" s="38"/>
      <c r="Q20" s="38"/>
      <c r="R20" s="38"/>
      <c r="S20" s="34"/>
    </row>
    <row r="21" spans="1:19" ht="15">
      <c r="A21" s="24"/>
      <c r="B21" s="25"/>
      <c r="C21" s="24" t="s">
        <v>543</v>
      </c>
      <c r="D21" s="24"/>
      <c r="E21" s="24"/>
      <c r="F21" s="24"/>
      <c r="G21" s="24"/>
      <c r="H21" s="36">
        <f>SUM(H16:H20)</f>
        <v>19332019</v>
      </c>
      <c r="I21" s="34"/>
      <c r="J21" s="36">
        <f>SUM(J16:J20)</f>
        <v>19332019</v>
      </c>
      <c r="K21" s="34"/>
      <c r="L21" s="36">
        <f>SUM(L16:L20)</f>
        <v>68252358.33</v>
      </c>
      <c r="M21" s="34"/>
      <c r="N21" s="36">
        <f>SUM(N16:N20)</f>
        <v>68252358.87</v>
      </c>
      <c r="O21" s="24"/>
      <c r="P21" s="38"/>
      <c r="Q21" s="38"/>
      <c r="R21" s="38"/>
      <c r="S21" s="34"/>
    </row>
    <row r="22" spans="1:19" ht="15">
      <c r="A22" s="24"/>
      <c r="B22" s="25"/>
      <c r="C22" s="24"/>
      <c r="D22" s="24"/>
      <c r="E22" s="24"/>
      <c r="F22" s="24"/>
      <c r="G22" s="24"/>
      <c r="H22" s="36"/>
      <c r="I22" s="34"/>
      <c r="J22" s="36"/>
      <c r="K22" s="34"/>
      <c r="L22" s="36"/>
      <c r="M22" s="34"/>
      <c r="N22" s="36"/>
      <c r="O22" s="24"/>
      <c r="P22" s="38"/>
      <c r="Q22" s="38"/>
      <c r="R22" s="38"/>
      <c r="S22" s="34"/>
    </row>
    <row r="23" spans="1:19" ht="15" hidden="1">
      <c r="A23" s="46" t="s">
        <v>1309</v>
      </c>
      <c r="B23" s="684" t="s">
        <v>920</v>
      </c>
      <c r="C23" s="46" t="s">
        <v>926</v>
      </c>
      <c r="D23" s="46"/>
      <c r="E23" s="46"/>
      <c r="F23" s="46"/>
      <c r="G23" s="46"/>
      <c r="H23" s="685">
        <v>0</v>
      </c>
      <c r="I23" s="686"/>
      <c r="J23" s="685">
        <v>0</v>
      </c>
      <c r="K23" s="36"/>
      <c r="L23" s="685">
        <v>0</v>
      </c>
      <c r="M23" s="686"/>
      <c r="N23" s="685">
        <v>0</v>
      </c>
      <c r="O23" s="24"/>
      <c r="P23" s="38"/>
      <c r="Q23" s="38"/>
      <c r="R23" s="38"/>
      <c r="S23" s="34"/>
    </row>
    <row r="24" spans="1:19" ht="15" hidden="1">
      <c r="A24" s="46"/>
      <c r="B24" s="684" t="s">
        <v>376</v>
      </c>
      <c r="C24" s="46" t="s">
        <v>927</v>
      </c>
      <c r="D24" s="46"/>
      <c r="E24" s="46"/>
      <c r="F24" s="46"/>
      <c r="G24" s="46"/>
      <c r="H24" s="685">
        <v>0</v>
      </c>
      <c r="I24" s="686"/>
      <c r="J24" s="685">
        <v>0</v>
      </c>
      <c r="K24" s="36"/>
      <c r="L24" s="685">
        <v>0</v>
      </c>
      <c r="M24" s="686"/>
      <c r="N24" s="685">
        <v>0</v>
      </c>
      <c r="O24" s="24"/>
      <c r="P24" s="38"/>
      <c r="Q24" s="38"/>
      <c r="R24" s="38"/>
      <c r="S24" s="34"/>
    </row>
    <row r="25" spans="1:19" ht="15" hidden="1">
      <c r="A25" s="46"/>
      <c r="B25" s="684" t="s">
        <v>1621</v>
      </c>
      <c r="C25" s="46" t="s">
        <v>928</v>
      </c>
      <c r="D25" s="46"/>
      <c r="E25" s="46"/>
      <c r="F25" s="46"/>
      <c r="G25" s="46"/>
      <c r="H25" s="685">
        <v>0</v>
      </c>
      <c r="I25" s="686"/>
      <c r="J25" s="685">
        <v>0</v>
      </c>
      <c r="K25" s="36"/>
      <c r="L25" s="685">
        <v>0</v>
      </c>
      <c r="M25" s="686"/>
      <c r="N25" s="685">
        <v>0</v>
      </c>
      <c r="O25" s="24"/>
      <c r="P25" s="38"/>
      <c r="Q25" s="38"/>
      <c r="R25" s="38"/>
      <c r="S25" s="34"/>
    </row>
    <row r="26" spans="1:19" ht="15" hidden="1">
      <c r="A26" s="46"/>
      <c r="B26" s="687" t="s">
        <v>1622</v>
      </c>
      <c r="C26" s="46" t="s">
        <v>929</v>
      </c>
      <c r="D26" s="46"/>
      <c r="E26" s="46"/>
      <c r="F26" s="46"/>
      <c r="G26" s="46"/>
      <c r="H26" s="685">
        <v>0</v>
      </c>
      <c r="I26" s="686"/>
      <c r="J26" s="685">
        <v>0</v>
      </c>
      <c r="K26" s="36"/>
      <c r="L26" s="685">
        <v>0</v>
      </c>
      <c r="M26" s="686"/>
      <c r="N26" s="685">
        <v>0</v>
      </c>
      <c r="O26" s="24"/>
      <c r="P26" s="38"/>
      <c r="Q26" s="38"/>
      <c r="R26" s="38"/>
      <c r="S26" s="34"/>
    </row>
    <row r="27" spans="1:19" ht="15" hidden="1">
      <c r="A27" s="46"/>
      <c r="B27" s="684"/>
      <c r="C27" s="46" t="s">
        <v>1754</v>
      </c>
      <c r="D27" s="46"/>
      <c r="E27" s="46"/>
      <c r="F27" s="46"/>
      <c r="G27" s="46"/>
      <c r="H27" s="688">
        <v>0</v>
      </c>
      <c r="I27" s="686"/>
      <c r="J27" s="688">
        <v>0</v>
      </c>
      <c r="K27" s="36"/>
      <c r="L27" s="688">
        <v>0</v>
      </c>
      <c r="M27" s="686"/>
      <c r="N27" s="688">
        <v>0</v>
      </c>
      <c r="O27" s="24"/>
      <c r="P27" s="38"/>
      <c r="Q27" s="38"/>
      <c r="R27" s="38"/>
      <c r="S27" s="34"/>
    </row>
    <row r="28" spans="1:19" ht="15" hidden="1">
      <c r="A28" s="46"/>
      <c r="B28" s="684"/>
      <c r="C28" s="46" t="s">
        <v>543</v>
      </c>
      <c r="D28" s="46"/>
      <c r="E28" s="46"/>
      <c r="F28" s="46"/>
      <c r="G28" s="46"/>
      <c r="H28" s="36">
        <f>SUM(H23:H27)</f>
        <v>0</v>
      </c>
      <c r="I28" s="36">
        <f>SUM(I23:I27)</f>
        <v>0</v>
      </c>
      <c r="J28" s="36">
        <f>SUM(J23:J27)</f>
        <v>0</v>
      </c>
      <c r="K28" s="36"/>
      <c r="L28" s="36">
        <f>SUM(L23:L27)</f>
        <v>0</v>
      </c>
      <c r="M28" s="36"/>
      <c r="N28" s="36">
        <f>SUM(N23:N27)</f>
        <v>0</v>
      </c>
      <c r="O28" s="24"/>
      <c r="P28" s="38"/>
      <c r="Q28" s="38"/>
      <c r="R28" s="38"/>
      <c r="S28" s="34"/>
    </row>
    <row r="29" spans="1:19" ht="15" hidden="1">
      <c r="A29" s="46"/>
      <c r="B29" s="684"/>
      <c r="C29" s="46"/>
      <c r="D29" s="46"/>
      <c r="E29" s="46"/>
      <c r="F29" s="46"/>
      <c r="G29" s="46"/>
      <c r="H29" s="36"/>
      <c r="I29" s="36"/>
      <c r="J29" s="36"/>
      <c r="K29" s="36"/>
      <c r="L29" s="36"/>
      <c r="M29" s="36"/>
      <c r="N29" s="36"/>
      <c r="O29" s="24"/>
      <c r="P29" s="38"/>
      <c r="Q29" s="38"/>
      <c r="R29" s="38"/>
      <c r="S29" s="34"/>
    </row>
    <row r="30" spans="1:19" ht="15">
      <c r="A30" s="46" t="s">
        <v>682</v>
      </c>
      <c r="B30" s="684" t="s">
        <v>1310</v>
      </c>
      <c r="C30" s="46" t="s">
        <v>926</v>
      </c>
      <c r="D30" s="46"/>
      <c r="E30" s="46"/>
      <c r="F30" s="152"/>
      <c r="G30" s="46"/>
      <c r="H30" s="38">
        <f>+H9-H16+H23</f>
        <v>-655664</v>
      </c>
      <c r="I30" s="36"/>
      <c r="J30" s="38">
        <f>+J9-J16+J23</f>
        <v>0</v>
      </c>
      <c r="K30" s="36"/>
      <c r="L30" s="689">
        <f>+L9-L16+L23</f>
        <v>-715711.8790000007</v>
      </c>
      <c r="M30" s="36"/>
      <c r="N30" s="689">
        <f>+N9-N16+N23</f>
        <v>-651200.3619999997</v>
      </c>
      <c r="O30" s="24"/>
      <c r="P30" s="38"/>
      <c r="Q30" s="38"/>
      <c r="R30" s="38"/>
      <c r="S30" s="34"/>
    </row>
    <row r="31" spans="1:19" ht="15">
      <c r="A31" s="46"/>
      <c r="B31" s="684" t="s">
        <v>1313</v>
      </c>
      <c r="C31" s="46" t="s">
        <v>927</v>
      </c>
      <c r="D31" s="46"/>
      <c r="E31" s="46"/>
      <c r="F31" s="46"/>
      <c r="G31" s="46"/>
      <c r="H31" s="38">
        <f>+H10-H17+H24</f>
        <v>-131546</v>
      </c>
      <c r="I31" s="36"/>
      <c r="J31" s="38">
        <f>+J10-J17+J24</f>
        <v>0</v>
      </c>
      <c r="K31" s="36"/>
      <c r="L31" s="689">
        <f>+L10-L17+L24</f>
        <v>-164824.75</v>
      </c>
      <c r="M31" s="36"/>
      <c r="N31" s="689">
        <f>+N10-N17+N24</f>
        <v>-11698.595354389981</v>
      </c>
      <c r="O31" s="24"/>
      <c r="P31" s="38"/>
      <c r="Q31" s="38"/>
      <c r="R31" s="38"/>
      <c r="S31" s="34"/>
    </row>
    <row r="32" spans="1:19" ht="15">
      <c r="A32" s="46"/>
      <c r="B32" s="684" t="s">
        <v>1314</v>
      </c>
      <c r="C32" s="46" t="s">
        <v>928</v>
      </c>
      <c r="D32" s="46"/>
      <c r="E32" s="46"/>
      <c r="F32" s="46"/>
      <c r="G32" s="46"/>
      <c r="H32" s="38">
        <f>+H11-H18+H25</f>
        <v>-9303</v>
      </c>
      <c r="I32" s="36"/>
      <c r="J32" s="38">
        <f>+J11-J18+J25</f>
        <v>0</v>
      </c>
      <c r="K32" s="36"/>
      <c r="L32" s="689">
        <f>+L11-L18+L25</f>
        <v>87976.90199999977</v>
      </c>
      <c r="M32" s="36"/>
      <c r="N32" s="689">
        <f>+N11-N18+N25</f>
        <v>-489752.4143803604</v>
      </c>
      <c r="O32" s="24"/>
      <c r="P32" s="38"/>
      <c r="Q32" s="38"/>
      <c r="R32" s="38"/>
      <c r="S32" s="34"/>
    </row>
    <row r="33" spans="1:19" ht="15">
      <c r="A33" s="46"/>
      <c r="B33" s="690" t="s">
        <v>2108</v>
      </c>
      <c r="C33" s="46" t="s">
        <v>929</v>
      </c>
      <c r="D33" s="46"/>
      <c r="E33" s="46"/>
      <c r="F33" s="46"/>
      <c r="G33" s="46"/>
      <c r="H33" s="38">
        <f>+H12-H19+H26</f>
        <v>0</v>
      </c>
      <c r="I33" s="36"/>
      <c r="J33" s="38">
        <f>+J12-J19+J26</f>
        <v>-796513</v>
      </c>
      <c r="K33" s="36"/>
      <c r="L33" s="689">
        <f>+L12-L19+L26</f>
        <v>-552371.773</v>
      </c>
      <c r="M33" s="36"/>
      <c r="N33" s="689">
        <f>+N12-N19+N26</f>
        <v>-192279.6850367561</v>
      </c>
      <c r="O33" s="24"/>
      <c r="P33" s="38"/>
      <c r="Q33" s="38"/>
      <c r="R33" s="38"/>
      <c r="S33" s="34"/>
    </row>
    <row r="34" spans="1:19" ht="15">
      <c r="A34" s="46"/>
      <c r="B34" s="690"/>
      <c r="C34" s="46" t="s">
        <v>1754</v>
      </c>
      <c r="D34" s="46"/>
      <c r="E34" s="46"/>
      <c r="F34" s="46"/>
      <c r="G34" s="46"/>
      <c r="H34" s="37">
        <f>+H13-H20+H27</f>
        <v>0</v>
      </c>
      <c r="I34" s="36"/>
      <c r="J34" s="37">
        <f>+J13-J20+J27</f>
        <v>0</v>
      </c>
      <c r="K34" s="36"/>
      <c r="L34" s="691">
        <f>+L13-L20+L27</f>
        <v>0</v>
      </c>
      <c r="M34" s="36"/>
      <c r="N34" s="691">
        <f>+N13-N20+N27</f>
        <v>0</v>
      </c>
      <c r="O34" s="24"/>
      <c r="P34" s="38"/>
      <c r="Q34" s="38"/>
      <c r="R34" s="38"/>
      <c r="S34" s="34"/>
    </row>
    <row r="35" spans="1:19" ht="15">
      <c r="A35" s="46"/>
      <c r="B35" s="690"/>
      <c r="C35" s="46" t="s">
        <v>543</v>
      </c>
      <c r="D35" s="46"/>
      <c r="E35" s="46"/>
      <c r="F35" s="46"/>
      <c r="G35" s="46"/>
      <c r="H35" s="36">
        <f>SUM(H30:H34)</f>
        <v>-796513</v>
      </c>
      <c r="I35" s="36"/>
      <c r="J35" s="36">
        <f>SUM(J30:J34)</f>
        <v>-796513</v>
      </c>
      <c r="K35" s="36"/>
      <c r="L35" s="36">
        <f>SUM(L30:L34)</f>
        <v>-1344931.500000001</v>
      </c>
      <c r="M35" s="36"/>
      <c r="N35" s="36">
        <f>SUM(N30:N34)</f>
        <v>-1344931.056771506</v>
      </c>
      <c r="O35" s="24"/>
      <c r="P35" s="38"/>
      <c r="Q35" s="38"/>
      <c r="R35" s="38"/>
      <c r="S35" s="34"/>
    </row>
    <row r="36" spans="1:19" ht="15">
      <c r="A36" s="24"/>
      <c r="B36" s="3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8" ht="15">
      <c r="A37" s="24"/>
      <c r="B37" s="32"/>
      <c r="C37" s="24"/>
      <c r="D37" s="40"/>
      <c r="E37" s="41" t="s">
        <v>923</v>
      </c>
      <c r="F37" s="40"/>
      <c r="G37" s="24"/>
      <c r="H37" s="42"/>
      <c r="I37" s="29" t="s">
        <v>1755</v>
      </c>
      <c r="J37" s="42"/>
      <c r="K37" s="24"/>
      <c r="L37" s="42"/>
      <c r="M37" s="31" t="s">
        <v>123</v>
      </c>
      <c r="N37" s="42"/>
      <c r="O37" s="43" t="s">
        <v>923</v>
      </c>
      <c r="P37" s="40"/>
      <c r="Q37" s="24"/>
      <c r="R37" s="24"/>
    </row>
    <row r="38" spans="1:18" ht="15">
      <c r="A38" s="24"/>
      <c r="B38" s="32"/>
      <c r="C38" s="24"/>
      <c r="D38" s="99"/>
      <c r="E38" s="44"/>
      <c r="F38" s="99"/>
      <c r="G38" s="24"/>
      <c r="H38" s="32" t="s">
        <v>1436</v>
      </c>
      <c r="I38" s="24"/>
      <c r="J38" s="32" t="s">
        <v>1436</v>
      </c>
      <c r="K38" s="24"/>
      <c r="L38" s="32" t="s">
        <v>1437</v>
      </c>
      <c r="M38" s="24"/>
      <c r="N38" s="32" t="s">
        <v>1438</v>
      </c>
      <c r="O38" s="24"/>
      <c r="P38" s="44"/>
      <c r="Q38" s="24"/>
      <c r="R38" s="24"/>
    </row>
    <row r="39" spans="1:18" ht="15">
      <c r="A39" s="24"/>
      <c r="B39" s="32"/>
      <c r="C39" s="24"/>
      <c r="D39" s="45"/>
      <c r="E39" s="45"/>
      <c r="F39" s="45"/>
      <c r="G39" s="24"/>
      <c r="H39" s="24"/>
      <c r="I39" s="24"/>
      <c r="J39" s="24"/>
      <c r="K39" s="24"/>
      <c r="L39" s="25" t="s">
        <v>922</v>
      </c>
      <c r="M39" s="24"/>
      <c r="N39" s="25" t="s">
        <v>924</v>
      </c>
      <c r="O39" s="24"/>
      <c r="P39" s="45"/>
      <c r="Q39" s="24"/>
      <c r="R39" s="24"/>
    </row>
    <row r="40" spans="1:18" ht="15">
      <c r="A40" s="24"/>
      <c r="B40" s="32"/>
      <c r="C40" s="24"/>
      <c r="D40" s="44"/>
      <c r="E40" s="44"/>
      <c r="F40" s="44"/>
      <c r="G40" s="24"/>
      <c r="H40" s="29" t="s">
        <v>1757</v>
      </c>
      <c r="I40" s="24"/>
      <c r="J40" s="29" t="s">
        <v>1758</v>
      </c>
      <c r="K40" s="24"/>
      <c r="L40" s="31" t="s">
        <v>125</v>
      </c>
      <c r="M40" s="24"/>
      <c r="N40" s="31" t="s">
        <v>126</v>
      </c>
      <c r="O40" s="24"/>
      <c r="P40" s="44"/>
      <c r="Q40" s="24"/>
      <c r="R40" s="24"/>
    </row>
    <row r="41" spans="1:18" ht="15">
      <c r="A41" s="24" t="s">
        <v>1305</v>
      </c>
      <c r="B41" s="25" t="s">
        <v>539</v>
      </c>
      <c r="C41" s="24" t="s">
        <v>926</v>
      </c>
      <c r="D41" s="38"/>
      <c r="E41" s="38"/>
      <c r="F41" s="38"/>
      <c r="G41" s="36"/>
      <c r="H41" s="36">
        <f>+PAGE4!D46</f>
        <v>1772770.474</v>
      </c>
      <c r="I41" s="36"/>
      <c r="J41" s="36">
        <f>+PAGE4!F46</f>
        <v>239960.036</v>
      </c>
      <c r="K41" s="36"/>
      <c r="L41" s="36">
        <f>H9+L9</f>
        <v>54784324.541</v>
      </c>
      <c r="M41" s="36"/>
      <c r="N41" s="36">
        <f>+J9+N9</f>
        <v>10553825.848000001</v>
      </c>
      <c r="O41" s="24"/>
      <c r="P41" s="40"/>
      <c r="Q41" s="24"/>
      <c r="R41" s="24"/>
    </row>
    <row r="42" spans="1:18" ht="15">
      <c r="A42" s="24"/>
      <c r="B42" s="25" t="s">
        <v>546</v>
      </c>
      <c r="C42" s="24" t="s">
        <v>927</v>
      </c>
      <c r="D42" s="38"/>
      <c r="E42" s="38"/>
      <c r="F42" s="38"/>
      <c r="G42" s="36"/>
      <c r="H42" s="36">
        <f>+PAGE4!D47</f>
        <v>414214.42</v>
      </c>
      <c r="I42" s="36"/>
      <c r="J42" s="36">
        <f>+PAGE4!F47</f>
        <v>39521.80100000001</v>
      </c>
      <c r="K42" s="36"/>
      <c r="L42" s="36">
        <f>H10+L10</f>
        <v>12778632.16</v>
      </c>
      <c r="M42" s="36"/>
      <c r="N42" s="36">
        <f>+J10+N10</f>
        <v>1048494.60464561</v>
      </c>
      <c r="O42" s="24"/>
      <c r="P42" s="40"/>
      <c r="Q42" s="24"/>
      <c r="R42" s="24"/>
    </row>
    <row r="43" spans="1:18" ht="15">
      <c r="A43" s="24"/>
      <c r="B43" s="25" t="s">
        <v>1691</v>
      </c>
      <c r="C43" s="24" t="s">
        <v>928</v>
      </c>
      <c r="D43" s="38"/>
      <c r="E43" s="38"/>
      <c r="F43" s="38"/>
      <c r="G43" s="36"/>
      <c r="H43" s="36">
        <f>+PAGE4!D48</f>
        <v>216111.64499999996</v>
      </c>
      <c r="I43" s="36"/>
      <c r="J43" s="36">
        <f>+PAGE4!F48</f>
        <v>1365802.7259999998</v>
      </c>
      <c r="K43" s="36"/>
      <c r="L43" s="36">
        <f>H11+L11</f>
        <v>7408799.902</v>
      </c>
      <c r="M43" s="36"/>
      <c r="N43" s="36">
        <f>+J11+N11</f>
        <v>27331273.24561964</v>
      </c>
      <c r="O43" s="24"/>
      <c r="P43" s="40"/>
      <c r="Q43" s="24"/>
      <c r="R43" s="24"/>
    </row>
    <row r="44" spans="1:18" ht="15">
      <c r="A44" s="24"/>
      <c r="B44" s="25"/>
      <c r="C44" s="24" t="s">
        <v>929</v>
      </c>
      <c r="D44" s="38"/>
      <c r="E44" s="38"/>
      <c r="F44" s="38"/>
      <c r="G44" s="36"/>
      <c r="H44" s="36">
        <f>+PAGE4!D49</f>
        <v>262818.93899999995</v>
      </c>
      <c r="I44" s="36"/>
      <c r="J44" s="36">
        <f>+PAGE4!F49</f>
        <v>1020630.894</v>
      </c>
      <c r="K44" s="36"/>
      <c r="L44" s="36">
        <f>H12+L12</f>
        <v>10471176.227</v>
      </c>
      <c r="M44" s="36"/>
      <c r="N44" s="36">
        <f>+J12+N12</f>
        <v>46509340.11496325</v>
      </c>
      <c r="O44" s="24"/>
      <c r="P44" s="40"/>
      <c r="Q44" s="24"/>
      <c r="R44" s="24"/>
    </row>
    <row r="45" spans="1:18" ht="15">
      <c r="A45" s="24"/>
      <c r="B45" s="25"/>
      <c r="C45" s="24" t="s">
        <v>1754</v>
      </c>
      <c r="D45" s="38"/>
      <c r="E45" s="38"/>
      <c r="F45" s="38"/>
      <c r="G45" s="36"/>
      <c r="H45" s="37">
        <f>+PAGE4!D50</f>
        <v>0</v>
      </c>
      <c r="I45" s="36"/>
      <c r="J45" s="37">
        <f>+PAGE4!F50</f>
        <v>0</v>
      </c>
      <c r="K45" s="36"/>
      <c r="L45" s="37">
        <f>H13+L13</f>
        <v>0</v>
      </c>
      <c r="M45" s="36"/>
      <c r="N45" s="37">
        <f>+J13+N13</f>
        <v>0</v>
      </c>
      <c r="O45" s="24"/>
      <c r="P45" s="40"/>
      <c r="Q45" s="24"/>
      <c r="R45" s="24"/>
    </row>
    <row r="46" spans="1:18" ht="15">
      <c r="A46" s="24"/>
      <c r="B46" s="25"/>
      <c r="C46" s="24" t="s">
        <v>543</v>
      </c>
      <c r="D46" s="38"/>
      <c r="E46" s="38"/>
      <c r="F46" s="38"/>
      <c r="G46" s="36"/>
      <c r="H46" s="36">
        <f>SUM(H41:H45)</f>
        <v>2665915.4779999997</v>
      </c>
      <c r="I46" s="36"/>
      <c r="J46" s="36">
        <f>SUM(J41:J45)</f>
        <v>2665915.457</v>
      </c>
      <c r="K46" s="36"/>
      <c r="L46" s="36">
        <f>SUM(L41:L45)</f>
        <v>85442932.83</v>
      </c>
      <c r="M46" s="36"/>
      <c r="N46" s="36">
        <f>SUM(N41:N45)</f>
        <v>85442933.8132285</v>
      </c>
      <c r="O46" s="24"/>
      <c r="P46" s="40"/>
      <c r="Q46" s="24"/>
      <c r="R46" s="24"/>
    </row>
    <row r="47" spans="1:18" ht="15">
      <c r="A47" s="24"/>
      <c r="B47" s="25"/>
      <c r="C47" s="24"/>
      <c r="D47" s="40"/>
      <c r="E47" s="40"/>
      <c r="F47" s="40"/>
      <c r="G47" s="24"/>
      <c r="H47" s="24"/>
      <c r="I47" s="24"/>
      <c r="J47" s="24"/>
      <c r="K47" s="24"/>
      <c r="L47" s="46"/>
      <c r="M47" s="46"/>
      <c r="N47" s="46"/>
      <c r="O47" s="24"/>
      <c r="P47" s="40"/>
      <c r="Q47" s="24"/>
      <c r="R47" s="24"/>
    </row>
    <row r="48" spans="1:18" ht="15">
      <c r="A48" s="24" t="s">
        <v>1306</v>
      </c>
      <c r="B48" s="25" t="s">
        <v>1307</v>
      </c>
      <c r="C48" s="24" t="s">
        <v>926</v>
      </c>
      <c r="D48" s="38"/>
      <c r="E48" s="91"/>
      <c r="F48" s="38"/>
      <c r="G48" s="24"/>
      <c r="H48" s="36">
        <f>INPUT!J12</f>
        <v>1789812.973</v>
      </c>
      <c r="I48" s="46"/>
      <c r="J48" s="36">
        <f>INPUT!L12</f>
        <v>256923.91199999998</v>
      </c>
      <c r="K48" s="46"/>
      <c r="L48" s="36">
        <f>INPUT!M12</f>
        <v>56155700.42</v>
      </c>
      <c r="M48" s="46"/>
      <c r="N48" s="36">
        <f>INPUT!O12</f>
        <v>11205026.21</v>
      </c>
      <c r="O48" s="24"/>
      <c r="P48" s="40"/>
      <c r="Q48" s="24"/>
      <c r="R48" s="24"/>
    </row>
    <row r="49" spans="1:18" ht="15">
      <c r="A49" s="24"/>
      <c r="B49" s="25" t="s">
        <v>1308</v>
      </c>
      <c r="C49" s="24" t="s">
        <v>927</v>
      </c>
      <c r="D49" s="38"/>
      <c r="E49" s="91"/>
      <c r="F49" s="38"/>
      <c r="G49" s="24"/>
      <c r="H49" s="36">
        <f>INPUT!J13</f>
        <v>415879.08</v>
      </c>
      <c r="I49" s="46"/>
      <c r="J49" s="36">
        <f>INPUT!L13</f>
        <v>40996.566000000006</v>
      </c>
      <c r="K49" s="46"/>
      <c r="L49" s="36">
        <f>INPUT!M13</f>
        <v>13075002.91</v>
      </c>
      <c r="M49" s="46"/>
      <c r="N49" s="36">
        <f>INPUT!O13</f>
        <v>1060193.2</v>
      </c>
      <c r="O49" s="24"/>
      <c r="P49" s="40"/>
      <c r="Q49" s="24"/>
      <c r="R49" s="24"/>
    </row>
    <row r="50" spans="1:18" ht="15">
      <c r="A50" s="24"/>
      <c r="B50" s="25" t="s">
        <v>1661</v>
      </c>
      <c r="C50" s="24" t="s">
        <v>928</v>
      </c>
      <c r="D50" s="38"/>
      <c r="E50" s="91"/>
      <c r="F50" s="38"/>
      <c r="G50" s="24"/>
      <c r="H50" s="36">
        <f>INPUT!J14</f>
        <v>214311.58</v>
      </c>
      <c r="I50" s="46"/>
      <c r="J50" s="36">
        <f>INPUT!L14</f>
        <v>1358179.321</v>
      </c>
      <c r="K50" s="46"/>
      <c r="L50" s="36">
        <f>INPUT!M14</f>
        <v>7330126</v>
      </c>
      <c r="M50" s="46"/>
      <c r="N50" s="36">
        <f>INPUT!O14</f>
        <v>27821025.66</v>
      </c>
      <c r="O50" s="24"/>
      <c r="P50" s="40"/>
      <c r="Q50" s="24"/>
      <c r="R50" s="24"/>
    </row>
    <row r="51" spans="1:18" ht="15">
      <c r="A51" s="24"/>
      <c r="B51" s="25" t="s">
        <v>546</v>
      </c>
      <c r="C51" s="24" t="s">
        <v>929</v>
      </c>
      <c r="D51" s="38"/>
      <c r="E51" s="91"/>
      <c r="F51" s="38"/>
      <c r="G51" s="24"/>
      <c r="H51" s="36">
        <f>INPUT!J15</f>
        <v>279677.1479999999</v>
      </c>
      <c r="I51" s="46"/>
      <c r="J51" s="36">
        <f>INPUT!L15</f>
        <v>1043580.959</v>
      </c>
      <c r="K51" s="46"/>
      <c r="L51" s="36">
        <f>INPUT!M15</f>
        <v>11023548</v>
      </c>
      <c r="M51" s="46"/>
      <c r="N51" s="36">
        <f>INPUT!O15</f>
        <v>47498132.8</v>
      </c>
      <c r="O51" s="24"/>
      <c r="P51" s="40"/>
      <c r="Q51" s="24"/>
      <c r="R51" s="24"/>
    </row>
    <row r="52" spans="1:18" ht="15">
      <c r="A52" s="24"/>
      <c r="B52" s="25" t="s">
        <v>1691</v>
      </c>
      <c r="C52" s="24" t="s">
        <v>1754</v>
      </c>
      <c r="D52" s="38"/>
      <c r="E52" s="91"/>
      <c r="F52" s="38"/>
      <c r="G52" s="24"/>
      <c r="H52" s="37">
        <f>INPUT!J16</f>
        <v>0</v>
      </c>
      <c r="I52" s="46"/>
      <c r="J52" s="37">
        <f>INPUT!L16</f>
        <v>0</v>
      </c>
      <c r="K52" s="46"/>
      <c r="L52" s="37">
        <f>INPUT!M16</f>
        <v>0</v>
      </c>
      <c r="M52" s="46"/>
      <c r="N52" s="37">
        <f>INPUT!O16</f>
        <v>0</v>
      </c>
      <c r="O52" s="24"/>
      <c r="P52" s="40"/>
      <c r="Q52" s="24"/>
      <c r="R52" s="24"/>
    </row>
    <row r="53" spans="1:18" ht="15">
      <c r="A53" s="24"/>
      <c r="B53" s="25"/>
      <c r="C53" s="24" t="s">
        <v>543</v>
      </c>
      <c r="D53" s="38"/>
      <c r="E53" s="91"/>
      <c r="F53" s="38"/>
      <c r="G53" s="24"/>
      <c r="H53" s="36">
        <f>SUM(H48:H52)</f>
        <v>2699680.781</v>
      </c>
      <c r="I53" s="46"/>
      <c r="J53" s="36">
        <f>SUM(J48:J52)</f>
        <v>2699680.7580000004</v>
      </c>
      <c r="K53" s="46"/>
      <c r="L53" s="36">
        <f>SUM(L48:L52)</f>
        <v>87584377.33</v>
      </c>
      <c r="M53" s="46"/>
      <c r="N53" s="36">
        <f>SUM(N48:N52)</f>
        <v>87584377.87</v>
      </c>
      <c r="O53" s="24"/>
      <c r="P53" s="40"/>
      <c r="Q53" s="24"/>
      <c r="R53" s="24"/>
    </row>
    <row r="54" spans="1:18" ht="15" hidden="1">
      <c r="A54" s="24"/>
      <c r="B54" s="25"/>
      <c r="C54" s="24"/>
      <c r="D54" s="38"/>
      <c r="E54" s="91"/>
      <c r="F54" s="38"/>
      <c r="G54" s="24"/>
      <c r="H54" s="36"/>
      <c r="I54" s="46"/>
      <c r="J54" s="36"/>
      <c r="K54" s="46"/>
      <c r="L54" s="36"/>
      <c r="M54" s="46"/>
      <c r="N54" s="36"/>
      <c r="O54" s="24"/>
      <c r="P54" s="40"/>
      <c r="Q54" s="24"/>
      <c r="R54" s="24"/>
    </row>
    <row r="55" spans="1:18" ht="15" hidden="1">
      <c r="A55" s="24" t="s">
        <v>1309</v>
      </c>
      <c r="B55" s="684" t="s">
        <v>920</v>
      </c>
      <c r="C55" s="46" t="s">
        <v>926</v>
      </c>
      <c r="D55" s="38"/>
      <c r="E55" s="38"/>
      <c r="F55" s="38"/>
      <c r="G55" s="46"/>
      <c r="H55" s="36">
        <f>+PAGE4!D60</f>
        <v>0</v>
      </c>
      <c r="I55" s="36"/>
      <c r="J55" s="36">
        <f>+PAGE4!F60</f>
        <v>0</v>
      </c>
      <c r="K55" s="46"/>
      <c r="L55" s="36">
        <f>H23+L23</f>
        <v>0</v>
      </c>
      <c r="M55" s="46"/>
      <c r="N55" s="36">
        <f>J23+N23</f>
        <v>0</v>
      </c>
      <c r="O55" s="24"/>
      <c r="P55" s="40"/>
      <c r="Q55" s="24"/>
      <c r="R55" s="24"/>
    </row>
    <row r="56" spans="1:18" ht="15" hidden="1">
      <c r="A56" s="24"/>
      <c r="B56" s="684" t="s">
        <v>376</v>
      </c>
      <c r="C56" s="46" t="s">
        <v>927</v>
      </c>
      <c r="D56" s="38"/>
      <c r="E56" s="38"/>
      <c r="F56" s="38"/>
      <c r="G56" s="46"/>
      <c r="H56" s="36">
        <f>+PAGE4!D61</f>
        <v>0</v>
      </c>
      <c r="I56" s="36"/>
      <c r="J56" s="36">
        <f>+PAGE4!F61</f>
        <v>0</v>
      </c>
      <c r="K56" s="46"/>
      <c r="L56" s="36">
        <f aca="true" t="shared" si="0" ref="L56:N59">H24+L24</f>
        <v>0</v>
      </c>
      <c r="M56" s="46"/>
      <c r="N56" s="36">
        <f>J24+N24</f>
        <v>0</v>
      </c>
      <c r="O56" s="24"/>
      <c r="P56" s="40"/>
      <c r="Q56" s="24"/>
      <c r="R56" s="24"/>
    </row>
    <row r="57" spans="1:18" ht="15" hidden="1">
      <c r="A57" s="24"/>
      <c r="B57" s="684" t="s">
        <v>1621</v>
      </c>
      <c r="C57" s="46" t="s">
        <v>928</v>
      </c>
      <c r="D57" s="38"/>
      <c r="E57" s="38"/>
      <c r="F57" s="38"/>
      <c r="G57" s="46"/>
      <c r="H57" s="36">
        <f>+PAGE4!D62</f>
        <v>0</v>
      </c>
      <c r="I57" s="36"/>
      <c r="J57" s="36">
        <f>+PAGE4!F62</f>
        <v>0</v>
      </c>
      <c r="K57" s="46"/>
      <c r="L57" s="36">
        <f>H25+L25</f>
        <v>0</v>
      </c>
      <c r="M57" s="46"/>
      <c r="N57" s="36">
        <f t="shared" si="0"/>
        <v>0</v>
      </c>
      <c r="O57" s="24"/>
      <c r="P57" s="40"/>
      <c r="Q57" s="24"/>
      <c r="R57" s="24"/>
    </row>
    <row r="58" spans="1:18" ht="15" hidden="1">
      <c r="A58" s="24"/>
      <c r="B58" s="687" t="s">
        <v>1622</v>
      </c>
      <c r="C58" s="46" t="s">
        <v>929</v>
      </c>
      <c r="D58" s="38"/>
      <c r="E58" s="38"/>
      <c r="F58" s="38"/>
      <c r="G58" s="46"/>
      <c r="H58" s="36">
        <f>+PAGE4!D63</f>
        <v>0</v>
      </c>
      <c r="I58" s="36"/>
      <c r="J58" s="36">
        <f>+PAGE4!F63</f>
        <v>0</v>
      </c>
      <c r="K58" s="46"/>
      <c r="L58" s="36">
        <f t="shared" si="0"/>
        <v>0</v>
      </c>
      <c r="M58" s="46"/>
      <c r="N58" s="36">
        <f t="shared" si="0"/>
        <v>0</v>
      </c>
      <c r="O58" s="24"/>
      <c r="P58" s="40"/>
      <c r="Q58" s="24"/>
      <c r="R58" s="24"/>
    </row>
    <row r="59" spans="1:18" ht="15" hidden="1">
      <c r="A59" s="24"/>
      <c r="B59" s="684"/>
      <c r="C59" s="46" t="s">
        <v>1754</v>
      </c>
      <c r="D59" s="38"/>
      <c r="E59" s="38"/>
      <c r="F59" s="38"/>
      <c r="G59" s="46"/>
      <c r="H59" s="37">
        <f>+PAGE4!D64</f>
        <v>0</v>
      </c>
      <c r="I59" s="36"/>
      <c r="J59" s="37">
        <f>+PAGE4!F64</f>
        <v>0</v>
      </c>
      <c r="K59" s="46"/>
      <c r="L59" s="37">
        <f t="shared" si="0"/>
        <v>0</v>
      </c>
      <c r="M59" s="46"/>
      <c r="N59" s="37">
        <f t="shared" si="0"/>
        <v>0</v>
      </c>
      <c r="O59" s="24"/>
      <c r="P59" s="40"/>
      <c r="Q59" s="24"/>
      <c r="R59" s="24"/>
    </row>
    <row r="60" spans="1:18" ht="15" hidden="1">
      <c r="A60" s="24"/>
      <c r="B60" s="684"/>
      <c r="C60" s="46" t="s">
        <v>543</v>
      </c>
      <c r="D60" s="38"/>
      <c r="E60" s="38"/>
      <c r="F60" s="38"/>
      <c r="G60" s="46"/>
      <c r="H60" s="36">
        <f>SUM(H55:H59)</f>
        <v>0</v>
      </c>
      <c r="I60" s="36"/>
      <c r="J60" s="36">
        <f>SUM(J55:J59)</f>
        <v>0</v>
      </c>
      <c r="K60" s="46"/>
      <c r="L60" s="36">
        <f>SUM(L55:L59)</f>
        <v>0</v>
      </c>
      <c r="M60" s="46"/>
      <c r="N60" s="36">
        <f>SUM(N55:N59)</f>
        <v>0</v>
      </c>
      <c r="O60" s="24"/>
      <c r="P60" s="40"/>
      <c r="Q60" s="24"/>
      <c r="R60" s="24"/>
    </row>
    <row r="61" spans="1:18" ht="15">
      <c r="A61" s="24"/>
      <c r="B61" s="24"/>
      <c r="C61" s="24"/>
      <c r="D61" s="38"/>
      <c r="E61" s="38"/>
      <c r="F61" s="38"/>
      <c r="G61" s="36"/>
      <c r="H61" s="36"/>
      <c r="I61" s="36"/>
      <c r="J61" s="36"/>
      <c r="K61" s="36"/>
      <c r="L61" s="36"/>
      <c r="M61" s="36"/>
      <c r="N61" s="36"/>
      <c r="O61" s="24"/>
      <c r="P61" s="24"/>
      <c r="Q61" s="24"/>
      <c r="R61" s="24"/>
    </row>
    <row r="62" spans="1:14" ht="15">
      <c r="A62" s="24" t="s">
        <v>682</v>
      </c>
      <c r="B62" s="25" t="s">
        <v>1310</v>
      </c>
      <c r="C62" s="24" t="s">
        <v>926</v>
      </c>
      <c r="D62" s="38"/>
      <c r="E62" s="38"/>
      <c r="F62" s="38"/>
      <c r="G62" s="36"/>
      <c r="H62" s="36">
        <f>+H41-H48</f>
        <v>-17042.49900000007</v>
      </c>
      <c r="I62" s="36"/>
      <c r="J62" s="36">
        <f>+J41-J48</f>
        <v>-16963.87599999999</v>
      </c>
      <c r="K62" s="36"/>
      <c r="L62" s="36">
        <f>+L41-L48+L55</f>
        <v>-1371375.8790000007</v>
      </c>
      <c r="M62" s="36"/>
      <c r="N62" s="36">
        <f>+N41-N48+N55</f>
        <v>-651200.3619999997</v>
      </c>
    </row>
    <row r="63" spans="1:14" ht="15">
      <c r="A63" s="24"/>
      <c r="B63" s="25" t="s">
        <v>1313</v>
      </c>
      <c r="C63" s="24" t="s">
        <v>927</v>
      </c>
      <c r="D63" s="38"/>
      <c r="E63" s="38"/>
      <c r="F63" s="38"/>
      <c r="G63" s="36"/>
      <c r="H63" s="36">
        <f>+H42-H49</f>
        <v>-1664.6600000000326</v>
      </c>
      <c r="I63" s="36"/>
      <c r="J63" s="36">
        <f>+J42-J49</f>
        <v>-1474.7649999999994</v>
      </c>
      <c r="K63" s="36"/>
      <c r="L63" s="36">
        <f>+L42-L49+L56</f>
        <v>-296370.75</v>
      </c>
      <c r="M63" s="36"/>
      <c r="N63" s="36">
        <f>+N42-N49+N56</f>
        <v>-11698.595354389981</v>
      </c>
    </row>
    <row r="64" spans="1:14" ht="15">
      <c r="A64" s="24"/>
      <c r="B64" s="25" t="s">
        <v>1314</v>
      </c>
      <c r="C64" s="24" t="s">
        <v>928</v>
      </c>
      <c r="D64" s="38"/>
      <c r="E64" s="38"/>
      <c r="F64" s="38"/>
      <c r="G64" s="36"/>
      <c r="H64" s="36">
        <f>+H43-H50</f>
        <v>1800.0649999999732</v>
      </c>
      <c r="I64" s="36"/>
      <c r="J64" s="36">
        <f>+J43-J50</f>
        <v>7623.404999999795</v>
      </c>
      <c r="K64" s="36"/>
      <c r="L64" s="36">
        <f>+L43-L50+L57</f>
        <v>78673.90199999977</v>
      </c>
      <c r="M64" s="36"/>
      <c r="N64" s="36">
        <f>+N43-N50+N57</f>
        <v>-489752.4143803604</v>
      </c>
    </row>
    <row r="65" spans="1:14" ht="15">
      <c r="A65" s="24"/>
      <c r="B65" s="32" t="s">
        <v>1031</v>
      </c>
      <c r="C65" s="24" t="s">
        <v>929</v>
      </c>
      <c r="D65" s="38"/>
      <c r="E65" s="38"/>
      <c r="F65" s="38"/>
      <c r="G65" s="36"/>
      <c r="H65" s="36">
        <f>+H44-H51</f>
        <v>-16858.208999999973</v>
      </c>
      <c r="I65" s="36"/>
      <c r="J65" s="36">
        <f>+J44-J51</f>
        <v>-22950.06500000006</v>
      </c>
      <c r="K65" s="36"/>
      <c r="L65" s="36">
        <f>+L44-L51+L58</f>
        <v>-552371.773</v>
      </c>
      <c r="M65" s="36"/>
      <c r="N65" s="36">
        <f>+N44-N51+N58</f>
        <v>-988792.6850367486</v>
      </c>
    </row>
    <row r="66" spans="1:14" ht="15">
      <c r="A66" s="24"/>
      <c r="B66" s="24"/>
      <c r="C66" s="24" t="s">
        <v>1754</v>
      </c>
      <c r="D66" s="38"/>
      <c r="E66" s="38"/>
      <c r="F66" s="38"/>
      <c r="G66" s="36"/>
      <c r="H66" s="37">
        <f>+H45-H52</f>
        <v>0</v>
      </c>
      <c r="I66" s="36"/>
      <c r="J66" s="37">
        <f>+J45-J52</f>
        <v>0</v>
      </c>
      <c r="K66" s="36"/>
      <c r="L66" s="37">
        <f>+L45-L52+L59</f>
        <v>0</v>
      </c>
      <c r="M66" s="36"/>
      <c r="N66" s="37">
        <f>+N45-N52+N59</f>
        <v>0</v>
      </c>
    </row>
    <row r="67" spans="1:14" ht="15">
      <c r="A67" s="24"/>
      <c r="B67" s="24"/>
      <c r="C67" s="24" t="s">
        <v>543</v>
      </c>
      <c r="D67" s="38"/>
      <c r="E67" s="38"/>
      <c r="F67" s="38"/>
      <c r="G67" s="36"/>
      <c r="H67" s="36">
        <f>SUM(H62:H66)</f>
        <v>-33765.3030000001</v>
      </c>
      <c r="I67" s="36"/>
      <c r="J67" s="36">
        <f>SUM(J62:J66)</f>
        <v>-33765.301000000254</v>
      </c>
      <c r="K67" s="36"/>
      <c r="L67" s="36">
        <f>SUM(L62:L66)</f>
        <v>-2141444.500000001</v>
      </c>
      <c r="M67" s="36"/>
      <c r="N67" s="36">
        <f>SUM(N62:N66)</f>
        <v>-2141444.0567714986</v>
      </c>
    </row>
    <row r="69" spans="2:22" ht="15">
      <c r="B69" s="30"/>
      <c r="T69" s="681"/>
      <c r="U69" s="38"/>
      <c r="V69" s="681"/>
    </row>
    <row r="70" spans="2:22" ht="15">
      <c r="B70" s="677"/>
      <c r="T70" s="681"/>
      <c r="U70" s="38"/>
      <c r="V70" s="681"/>
    </row>
    <row r="71" spans="2:22" ht="15">
      <c r="B71" s="677"/>
      <c r="T71" s="681"/>
      <c r="U71" s="38"/>
      <c r="V71" s="681"/>
    </row>
    <row r="72" spans="2:22" ht="15">
      <c r="B72" s="47"/>
      <c r="T72" s="681"/>
      <c r="U72" s="38"/>
      <c r="V72" s="681"/>
    </row>
    <row r="73" spans="2:22" ht="15">
      <c r="B73" s="24"/>
      <c r="T73" s="681"/>
      <c r="U73" s="38"/>
      <c r="V73" s="681"/>
    </row>
    <row r="74" spans="20:22" ht="15">
      <c r="T74" s="681"/>
      <c r="U74" s="38"/>
      <c r="V74" s="681"/>
    </row>
    <row r="75" spans="20:22" ht="15">
      <c r="T75" s="38"/>
      <c r="U75" s="38"/>
      <c r="V75" s="38"/>
    </row>
    <row r="76" spans="20:22" ht="15">
      <c r="T76" s="5"/>
      <c r="U76" s="5"/>
      <c r="V76" s="5"/>
    </row>
  </sheetData>
  <sheetProtection/>
  <printOptions horizontalCentered="1"/>
  <pageMargins left="0.25" right="0.25" top="0.5" bottom="0.5" header="0" footer="0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2.140625" style="3" customWidth="1"/>
    <col min="2" max="2" width="9.140625" style="3" customWidth="1"/>
    <col min="3" max="3" width="15.00390625" style="3" customWidth="1"/>
    <col min="4" max="4" width="5.7109375" style="3" customWidth="1"/>
    <col min="5" max="5" width="15.00390625" style="3" customWidth="1"/>
    <col min="6" max="6" width="5.7109375" style="3" customWidth="1"/>
    <col min="7" max="7" width="16.140625" style="3" customWidth="1"/>
    <col min="8" max="8" width="5.7109375" style="3" customWidth="1"/>
    <col min="9" max="9" width="15.7109375" style="3" customWidth="1"/>
    <col min="10" max="10" width="12.8515625" style="3" bestFit="1" customWidth="1"/>
    <col min="11" max="11" width="10.140625" style="3" bestFit="1" customWidth="1"/>
    <col min="12" max="16384" width="9.140625" style="3" customWidth="1"/>
  </cols>
  <sheetData>
    <row r="1" spans="1:9" ht="16.5">
      <c r="A1" s="23" t="s">
        <v>1294</v>
      </c>
      <c r="B1" s="15" t="str">
        <f>INPUT!C1</f>
        <v>February 2012</v>
      </c>
      <c r="I1" s="14" t="s">
        <v>1207</v>
      </c>
    </row>
    <row r="2" spans="1:9" ht="16.5">
      <c r="A2" s="23"/>
      <c r="B2" s="15"/>
      <c r="I2" s="14"/>
    </row>
    <row r="3" ht="16.5">
      <c r="E3" s="14" t="s">
        <v>1208</v>
      </c>
    </row>
    <row r="4" ht="16.5">
      <c r="E4" s="48" t="s">
        <v>1209</v>
      </c>
    </row>
    <row r="6" spans="3:7" ht="16.5">
      <c r="C6" s="14" t="s">
        <v>1298</v>
      </c>
      <c r="G6" s="49" t="s">
        <v>127</v>
      </c>
    </row>
    <row r="7" spans="3:9" ht="16.5">
      <c r="C7" s="14" t="s">
        <v>127</v>
      </c>
      <c r="E7" s="14" t="s">
        <v>1298</v>
      </c>
      <c r="G7" s="49" t="s">
        <v>128</v>
      </c>
      <c r="I7" s="14" t="s">
        <v>1210</v>
      </c>
    </row>
    <row r="8" spans="3:9" ht="16.5">
      <c r="C8" s="14" t="s">
        <v>128</v>
      </c>
      <c r="E8" s="14" t="s">
        <v>129</v>
      </c>
      <c r="G8" s="49" t="s">
        <v>1211</v>
      </c>
      <c r="I8" s="20" t="s">
        <v>113</v>
      </c>
    </row>
    <row r="9" spans="1:9" ht="16.5">
      <c r="A9" s="17" t="s">
        <v>1298</v>
      </c>
      <c r="C9" s="18" t="s">
        <v>1364</v>
      </c>
      <c r="E9" s="18" t="s">
        <v>130</v>
      </c>
      <c r="G9" s="50" t="s">
        <v>1212</v>
      </c>
      <c r="I9" s="17" t="s">
        <v>128</v>
      </c>
    </row>
    <row r="10" spans="3:9" ht="15">
      <c r="C10" s="51" t="s">
        <v>119</v>
      </c>
      <c r="D10" s="52"/>
      <c r="E10" s="51" t="s">
        <v>120</v>
      </c>
      <c r="F10" s="52"/>
      <c r="G10" s="51" t="s">
        <v>121</v>
      </c>
      <c r="H10" s="52"/>
      <c r="I10" s="51" t="s">
        <v>1213</v>
      </c>
    </row>
    <row r="12" spans="1:9" ht="15">
      <c r="A12" s="3" t="s">
        <v>926</v>
      </c>
      <c r="C12" s="13">
        <f>APPII!I24</f>
        <v>6951000</v>
      </c>
      <c r="E12" s="53">
        <f>INPUT!C5</f>
        <v>0.3052</v>
      </c>
      <c r="G12" s="13">
        <f>ROUND($C$17*E12,-2)</f>
        <v>8156200</v>
      </c>
      <c r="I12" s="12">
        <f>C12-G12</f>
        <v>-1205200</v>
      </c>
    </row>
    <row r="13" spans="1:9" ht="15">
      <c r="A13" s="3" t="s">
        <v>927</v>
      </c>
      <c r="C13" s="13">
        <f>APPII!I31</f>
        <v>1471000</v>
      </c>
      <c r="E13" s="53">
        <f>INPUT!C6</f>
        <v>0.06409</v>
      </c>
      <c r="G13" s="13">
        <f>ROUND($C$17*E13,-2)+100</f>
        <v>1712800</v>
      </c>
      <c r="I13" s="12">
        <f>C13-G13</f>
        <v>-241800</v>
      </c>
    </row>
    <row r="14" spans="1:9" ht="15">
      <c r="A14" s="3" t="s">
        <v>928</v>
      </c>
      <c r="C14" s="13">
        <f>APPII!I44</f>
        <v>5426000</v>
      </c>
      <c r="E14" s="53">
        <f>INPUT!C7</f>
        <v>0.20368</v>
      </c>
      <c r="G14" s="13">
        <f>ROUND($C$17*E14,-2)</f>
        <v>5443100</v>
      </c>
      <c r="I14" s="12">
        <f>C14-G14</f>
        <v>-17100</v>
      </c>
    </row>
    <row r="15" spans="1:9" ht="15">
      <c r="A15" s="3" t="s">
        <v>929</v>
      </c>
      <c r="C15" s="13">
        <f>APPII!I65</f>
        <v>12876000</v>
      </c>
      <c r="E15" s="53">
        <f>INPUT!C8</f>
        <v>0.42703</v>
      </c>
      <c r="G15" s="13">
        <f>ROUND($C$17*E15,-2)</f>
        <v>11411900</v>
      </c>
      <c r="I15" s="12">
        <f>C15-G15</f>
        <v>1464100</v>
      </c>
    </row>
    <row r="16" spans="1:9" ht="15">
      <c r="A16" s="3" t="s">
        <v>1754</v>
      </c>
      <c r="C16" s="21">
        <f>APPII!I70</f>
        <v>0</v>
      </c>
      <c r="E16" s="54">
        <f>INPUT!C9</f>
        <v>0</v>
      </c>
      <c r="G16" s="21">
        <f>ROUND($C$17*E16,-2)</f>
        <v>0</v>
      </c>
      <c r="I16" s="13">
        <f>C16-G16</f>
        <v>0</v>
      </c>
    </row>
    <row r="17" spans="1:9" ht="15">
      <c r="A17" s="3" t="s">
        <v>543</v>
      </c>
      <c r="C17" s="13">
        <f>SUM(C12:C16)</f>
        <v>26724000</v>
      </c>
      <c r="E17" s="53">
        <f>SUM(E12:E16)</f>
        <v>1</v>
      </c>
      <c r="G17" s="13">
        <f>SUM(G12:G16)</f>
        <v>26724000</v>
      </c>
      <c r="I17" s="12" t="s">
        <v>923</v>
      </c>
    </row>
    <row r="19" ht="16.5">
      <c r="E19" s="48" t="s">
        <v>1214</v>
      </c>
    </row>
    <row r="21" spans="3:9" ht="16.5">
      <c r="C21" s="14" t="s">
        <v>1210</v>
      </c>
      <c r="F21" s="14" t="s">
        <v>919</v>
      </c>
      <c r="I21" s="49" t="s">
        <v>924</v>
      </c>
    </row>
    <row r="22" spans="3:9" ht="16.5">
      <c r="C22" s="20" t="s">
        <v>113</v>
      </c>
      <c r="F22" s="14" t="s">
        <v>114</v>
      </c>
      <c r="I22" s="56" t="s">
        <v>1215</v>
      </c>
    </row>
    <row r="23" spans="1:9" ht="16.5">
      <c r="A23" s="17" t="s">
        <v>1298</v>
      </c>
      <c r="C23" s="17" t="s">
        <v>128</v>
      </c>
      <c r="E23" s="16"/>
      <c r="F23" s="18" t="s">
        <v>1216</v>
      </c>
      <c r="G23" s="16"/>
      <c r="I23" s="50" t="s">
        <v>1727</v>
      </c>
    </row>
    <row r="24" spans="3:9" ht="15">
      <c r="C24" s="51" t="s">
        <v>119</v>
      </c>
      <c r="F24" s="51" t="s">
        <v>120</v>
      </c>
      <c r="I24" s="51" t="s">
        <v>121</v>
      </c>
    </row>
    <row r="26" spans="1:10" ht="15">
      <c r="A26" s="3" t="s">
        <v>926</v>
      </c>
      <c r="C26" s="13">
        <f>+I12</f>
        <v>-1205200</v>
      </c>
      <c r="E26" s="51" t="str">
        <f>IF(I12&lt;=0,"*****",APPIII!J32)</f>
        <v>*****</v>
      </c>
      <c r="F26" s="51" t="s">
        <v>1217</v>
      </c>
      <c r="G26" s="1151" t="str">
        <f>IF(I12&lt;=0,"*****",APPV!H46)</f>
        <v>*****</v>
      </c>
      <c r="I26" s="12">
        <f>IF(I12&lt;=0,ROUND(C26*$E$33,0),ROUND(C26*(E26+G26),0))</f>
        <v>-15257832</v>
      </c>
      <c r="J26" s="418"/>
    </row>
    <row r="27" spans="1:10" ht="15">
      <c r="A27" s="3" t="s">
        <v>927</v>
      </c>
      <c r="C27" s="13">
        <f>+I13</f>
        <v>-241800</v>
      </c>
      <c r="E27" s="51" t="str">
        <f>IF(I13&lt;=0,"*****",APPIII!J39)</f>
        <v>*****</v>
      </c>
      <c r="F27" s="51" t="s">
        <v>1217</v>
      </c>
      <c r="G27" s="51" t="str">
        <f>IF(I13&lt;=0,"*****",APPV!H47)</f>
        <v>*****</v>
      </c>
      <c r="I27" s="12">
        <f>IF(I13&lt;=0,ROUND(C27*$E$33,0),ROUND(C27*(E27+G27),0))</f>
        <v>-3061188</v>
      </c>
      <c r="J27" s="95"/>
    </row>
    <row r="28" spans="1:10" ht="15">
      <c r="A28" s="3" t="s">
        <v>928</v>
      </c>
      <c r="C28" s="13">
        <f>+I14</f>
        <v>-17100</v>
      </c>
      <c r="E28" s="51" t="str">
        <f>IF(I14&lt;=0,"*****",APPIII!J51)</f>
        <v>*****</v>
      </c>
      <c r="F28" s="51" t="s">
        <v>1217</v>
      </c>
      <c r="G28" s="51" t="str">
        <f>IF(I14&lt;=0,"*****",APPV!H48)</f>
        <v>*****</v>
      </c>
      <c r="I28" s="12">
        <f>IF(I14&lt;=0,ROUND(C28*$E$33,0),ROUND(C28*(E28+G28),0))</f>
        <v>-216486</v>
      </c>
      <c r="J28" s="95"/>
    </row>
    <row r="29" spans="1:9" ht="15">
      <c r="A29" s="3" t="s">
        <v>929</v>
      </c>
      <c r="C29" s="13">
        <f>+I15</f>
        <v>1464100</v>
      </c>
      <c r="E29" s="51">
        <f>IF(I15&lt;=0,"*****",APPIII!J71)</f>
        <v>10.64</v>
      </c>
      <c r="F29" s="51" t="s">
        <v>1217</v>
      </c>
      <c r="G29" s="51">
        <f>IF(I15&lt;=0,"*****",APPV!H49)</f>
        <v>2.02</v>
      </c>
      <c r="I29" s="12">
        <f>IF(I15&lt;=0,ROUND(C29*$E$33,0),ROUND(C29*(E29+G29),0))</f>
        <v>18535506</v>
      </c>
    </row>
    <row r="30" spans="1:9" ht="15">
      <c r="A30" s="3" t="s">
        <v>1754</v>
      </c>
      <c r="C30" s="13">
        <f>+I16</f>
        <v>0</v>
      </c>
      <c r="E30" s="51" t="str">
        <f>IF(I16&lt;=0,"*****",APPIII!J79)</f>
        <v>*****</v>
      </c>
      <c r="F30" s="51" t="s">
        <v>1217</v>
      </c>
      <c r="G30" s="51" t="str">
        <f>IF(I16&lt;=0,"*****",APPV!H50)</f>
        <v>*****</v>
      </c>
      <c r="I30" s="12">
        <f>IF(I16&lt;=0,ROUND(C30*$E$33,0),ROUND(C30*(E30+G30),0))</f>
        <v>0</v>
      </c>
    </row>
    <row r="31" spans="1:3" ht="15">
      <c r="A31" s="3" t="s">
        <v>923</v>
      </c>
      <c r="C31" s="13"/>
    </row>
    <row r="33" spans="1:9" ht="16.5">
      <c r="A33" s="23" t="s">
        <v>1218</v>
      </c>
      <c r="E33" s="739">
        <f>SUMIF(E26:E30,"&lt;100000",I26:I30)/SUMIF(E26:E30,"&lt;100000",C26:C30)</f>
        <v>12.66</v>
      </c>
      <c r="I33" s="19"/>
    </row>
    <row r="34" ht="15">
      <c r="A34" s="19" t="s">
        <v>1219</v>
      </c>
    </row>
    <row r="35" ht="15">
      <c r="A35" s="19"/>
    </row>
    <row r="37" ht="16.5">
      <c r="A37" s="23" t="s">
        <v>1220</v>
      </c>
    </row>
    <row r="38" spans="1:2" ht="15">
      <c r="A38" s="3" t="s">
        <v>2013</v>
      </c>
      <c r="B38" s="19"/>
    </row>
    <row r="39" ht="15">
      <c r="A39" s="19" t="s">
        <v>1425</v>
      </c>
    </row>
    <row r="40" ht="15">
      <c r="A40" s="19"/>
    </row>
    <row r="41" spans="1:2" ht="15">
      <c r="A41" s="3" t="s">
        <v>1426</v>
      </c>
      <c r="B41" s="19"/>
    </row>
    <row r="42" spans="1:2" ht="15">
      <c r="A42" s="3" t="s">
        <v>1427</v>
      </c>
      <c r="B42" s="19"/>
    </row>
  </sheetData>
  <sheetProtection/>
  <printOptions horizontalCentered="1"/>
  <pageMargins left="0.75" right="0.25" top="1" bottom="1" header="0" footer="0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7109375" style="3" customWidth="1"/>
    <col min="3" max="3" width="5.7109375" style="3" customWidth="1"/>
    <col min="4" max="4" width="13.00390625" style="3" customWidth="1"/>
    <col min="5" max="5" width="3.7109375" style="3" customWidth="1"/>
    <col min="6" max="6" width="14.421875" style="3" customWidth="1"/>
    <col min="7" max="7" width="3.7109375" style="3" customWidth="1"/>
    <col min="8" max="8" width="17.7109375" style="3" customWidth="1"/>
    <col min="9" max="9" width="3.7109375" style="3" customWidth="1"/>
    <col min="10" max="10" width="16.421875" style="3" customWidth="1"/>
    <col min="11" max="16384" width="9.140625" style="3" customWidth="1"/>
  </cols>
  <sheetData>
    <row r="1" spans="1:10" ht="16.5">
      <c r="A1" s="14" t="s">
        <v>923</v>
      </c>
      <c r="B1" s="15" t="str">
        <f>INPUT!C1</f>
        <v>February 2012</v>
      </c>
      <c r="J1" s="14" t="s">
        <v>382</v>
      </c>
    </row>
    <row r="2" ht="16.5">
      <c r="F2" s="14" t="s">
        <v>106</v>
      </c>
    </row>
    <row r="3" ht="16.5">
      <c r="F3" s="14" t="s">
        <v>384</v>
      </c>
    </row>
    <row r="5" spans="4:10" ht="16.5">
      <c r="D5" s="16"/>
      <c r="E5" s="17" t="s">
        <v>1703</v>
      </c>
      <c r="F5" s="16"/>
      <c r="H5" s="16"/>
      <c r="I5" s="17" t="s">
        <v>1727</v>
      </c>
      <c r="J5" s="16"/>
    </row>
    <row r="6" spans="4:10" ht="16.5">
      <c r="D6" s="14" t="s">
        <v>1704</v>
      </c>
      <c r="F6" s="14" t="s">
        <v>1705</v>
      </c>
      <c r="H6" s="14" t="s">
        <v>385</v>
      </c>
      <c r="J6" s="14" t="s">
        <v>386</v>
      </c>
    </row>
    <row r="7" spans="4:10" ht="16.5">
      <c r="D7" s="14" t="s">
        <v>1757</v>
      </c>
      <c r="F7" s="14" t="s">
        <v>1758</v>
      </c>
      <c r="H7" s="14" t="s">
        <v>115</v>
      </c>
      <c r="J7" s="14" t="s">
        <v>116</v>
      </c>
    </row>
    <row r="8" spans="1:10" ht="16.5">
      <c r="A8" s="23" t="s">
        <v>391</v>
      </c>
      <c r="D8" s="18" t="s">
        <v>1707</v>
      </c>
      <c r="F8" s="17" t="s">
        <v>1708</v>
      </c>
      <c r="H8" s="17" t="s">
        <v>1707</v>
      </c>
      <c r="J8" s="17" t="s">
        <v>1708</v>
      </c>
    </row>
    <row r="9" spans="1:10" ht="15">
      <c r="A9" s="3" t="s">
        <v>1943</v>
      </c>
      <c r="C9" s="3" t="s">
        <v>926</v>
      </c>
      <c r="D9" s="13">
        <f>INPUT!J28</f>
        <v>472412.316</v>
      </c>
      <c r="E9" s="13"/>
      <c r="F9" s="13">
        <f>INPUT!L28</f>
        <v>424975.283</v>
      </c>
      <c r="G9" s="12"/>
      <c r="H9" s="13">
        <f>+PAGE6!C20</f>
        <v>15560944</v>
      </c>
      <c r="I9" s="13"/>
      <c r="J9" s="13">
        <f>+PAGE6!E20</f>
        <v>17469083.501000002</v>
      </c>
    </row>
    <row r="10" spans="1:10" ht="15">
      <c r="A10" s="3" t="s">
        <v>1174</v>
      </c>
      <c r="C10" s="3" t="s">
        <v>927</v>
      </c>
      <c r="D10" s="13">
        <f>INPUT!J29</f>
        <v>99203.5</v>
      </c>
      <c r="E10" s="13"/>
      <c r="F10" s="13">
        <f>INPUT!L29</f>
        <v>59034.196</v>
      </c>
      <c r="G10" s="12"/>
      <c r="H10" s="13">
        <f>+PAGE6!C21</f>
        <v>3267696</v>
      </c>
      <c r="I10" s="13"/>
      <c r="J10" s="13">
        <f>+PAGE6!E21</f>
        <v>1603354.86664561</v>
      </c>
    </row>
    <row r="11" spans="1:10" ht="15">
      <c r="A11" s="3" t="s">
        <v>1175</v>
      </c>
      <c r="C11" s="3" t="s">
        <v>928</v>
      </c>
      <c r="D11" s="13">
        <f>INPUT!J30</f>
        <v>315271.769</v>
      </c>
      <c r="E11" s="13"/>
      <c r="F11" s="13">
        <f>INPUT!L30</f>
        <v>277690.762</v>
      </c>
      <c r="G11" s="12"/>
      <c r="H11" s="13">
        <f>+PAGE6!C22</f>
        <v>10384840</v>
      </c>
      <c r="I11" s="13"/>
      <c r="J11" s="13">
        <f>+PAGE6!E22</f>
        <v>9690943.08561964</v>
      </c>
    </row>
    <row r="12" spans="1:10" ht="15">
      <c r="A12" s="3" t="s">
        <v>1176</v>
      </c>
      <c r="C12" s="3" t="s">
        <v>929</v>
      </c>
      <c r="D12" s="13">
        <f>INPUT!J31</f>
        <v>660990.298</v>
      </c>
      <c r="E12" s="13"/>
      <c r="F12" s="13">
        <f>INPUT!L31</f>
        <v>786177.637</v>
      </c>
      <c r="G12" s="12"/>
      <c r="H12" s="13">
        <f>+PAGE6!C23</f>
        <v>21772575</v>
      </c>
      <c r="I12" s="13"/>
      <c r="J12" s="13">
        <f>+PAGE6!E23</f>
        <v>22222674.535963245</v>
      </c>
    </row>
    <row r="13" spans="1:10" ht="15">
      <c r="A13" s="3" t="s">
        <v>1177</v>
      </c>
      <c r="C13" s="3" t="s">
        <v>1754</v>
      </c>
      <c r="D13" s="21">
        <f>INPUT!J32</f>
        <v>0</v>
      </c>
      <c r="E13" s="13"/>
      <c r="F13" s="21">
        <f>INPUT!L32</f>
        <v>0</v>
      </c>
      <c r="G13" s="12"/>
      <c r="H13" s="21">
        <f>+PAGE6!C24</f>
        <v>0</v>
      </c>
      <c r="I13" s="13"/>
      <c r="J13" s="21">
        <f>+PAGE6!E24</f>
        <v>0</v>
      </c>
    </row>
    <row r="14" spans="1:10" ht="15">
      <c r="A14" s="3" t="s">
        <v>1178</v>
      </c>
      <c r="C14" s="3" t="s">
        <v>1179</v>
      </c>
      <c r="D14" s="13">
        <f>SUM(D9:D13)</f>
        <v>1547877.883</v>
      </c>
      <c r="E14" s="13"/>
      <c r="F14" s="13">
        <f>SUM(F9:F13)</f>
        <v>1547877.878</v>
      </c>
      <c r="G14" s="12"/>
      <c r="H14" s="13">
        <f>SUM(H9:H13)</f>
        <v>50986055</v>
      </c>
      <c r="I14" s="13"/>
      <c r="J14" s="13">
        <f>SUM(J9:J13)</f>
        <v>50986055.9892285</v>
      </c>
    </row>
    <row r="16" spans="1:10" ht="15">
      <c r="A16" s="3" t="s">
        <v>1180</v>
      </c>
      <c r="C16" s="3" t="s">
        <v>926</v>
      </c>
      <c r="D16" s="13">
        <f>+PAGE7!I44*-1</f>
        <v>-185605</v>
      </c>
      <c r="E16" s="13"/>
      <c r="F16" s="13">
        <f>+PAGE7!I44*-1</f>
        <v>-185605</v>
      </c>
      <c r="G16" s="12"/>
      <c r="H16" s="13">
        <f>+PAGE7!K44*-1</f>
        <v>-6938587</v>
      </c>
      <c r="I16" s="12"/>
      <c r="J16" s="13">
        <f>+PAGE7!K44*-1</f>
        <v>-6938587</v>
      </c>
    </row>
    <row r="17" spans="1:10" ht="15">
      <c r="A17" s="3" t="s">
        <v>1181</v>
      </c>
      <c r="C17" s="3" t="s">
        <v>927</v>
      </c>
      <c r="D17" s="13">
        <f>+PAGE7!I45*-1</f>
        <v>-19597</v>
      </c>
      <c r="E17" s="13"/>
      <c r="F17" s="13">
        <f>+PAGE7!I45*-1</f>
        <v>-19597</v>
      </c>
      <c r="G17" s="12"/>
      <c r="H17" s="13">
        <f>+PAGE7!K45*-1</f>
        <v>-557331</v>
      </c>
      <c r="I17" s="12"/>
      <c r="J17" s="13">
        <f>+PAGE7!K45*-1</f>
        <v>-557331</v>
      </c>
    </row>
    <row r="18" spans="1:10" ht="15">
      <c r="A18" s="3" t="s">
        <v>1182</v>
      </c>
      <c r="C18" s="3" t="s">
        <v>928</v>
      </c>
      <c r="D18" s="13">
        <f>+PAGE7!I46*-1</f>
        <v>-99318</v>
      </c>
      <c r="E18" s="13"/>
      <c r="F18" s="13">
        <f>+PAGE7!I46*-1</f>
        <v>-99318</v>
      </c>
      <c r="G18" s="12"/>
      <c r="H18" s="13">
        <f>+PAGE7!K46*-1</f>
        <v>-3203026</v>
      </c>
      <c r="I18" s="12"/>
      <c r="J18" s="13">
        <f>+PAGE7!K46*-1</f>
        <v>-3203026</v>
      </c>
    </row>
    <row r="19" spans="1:10" ht="15">
      <c r="A19" s="3" t="s">
        <v>1184</v>
      </c>
      <c r="C19" s="3" t="s">
        <v>929</v>
      </c>
      <c r="D19" s="13">
        <f>+PAGE7!I47*-1</f>
        <v>-400225</v>
      </c>
      <c r="E19" s="13"/>
      <c r="F19" s="13">
        <f>+PAGE7!I47*-1</f>
        <v>-400225</v>
      </c>
      <c r="G19" s="12"/>
      <c r="H19" s="13">
        <f>+PAGE7!K47*-1</f>
        <v>-11343998</v>
      </c>
      <c r="I19" s="12"/>
      <c r="J19" s="13">
        <f>+PAGE7!K47*-1</f>
        <v>-11343998</v>
      </c>
    </row>
    <row r="20" spans="1:10" ht="15">
      <c r="A20" s="3" t="s">
        <v>1185</v>
      </c>
      <c r="C20" s="3" t="s">
        <v>1754</v>
      </c>
      <c r="D20" s="21">
        <f>+PAGE7!I48*-1</f>
        <v>0</v>
      </c>
      <c r="E20" s="13"/>
      <c r="F20" s="21">
        <f>+PAGE7!I48*-1</f>
        <v>0</v>
      </c>
      <c r="G20" s="12"/>
      <c r="H20" s="21">
        <f>+PAGE7!K48*-1</f>
        <v>0</v>
      </c>
      <c r="I20" s="12"/>
      <c r="J20" s="21">
        <f>+PAGE7!K48*-1</f>
        <v>0</v>
      </c>
    </row>
    <row r="21" spans="1:10" ht="15">
      <c r="A21" s="19" t="s">
        <v>1186</v>
      </c>
      <c r="C21" s="3" t="s">
        <v>1179</v>
      </c>
      <c r="D21" s="13">
        <f>SUM(D16:D20)</f>
        <v>-704745</v>
      </c>
      <c r="E21" s="13"/>
      <c r="F21" s="13">
        <f>SUM(F16:F20)</f>
        <v>-704745</v>
      </c>
      <c r="G21" s="12"/>
      <c r="H21" s="13">
        <f>SUM(H16:H20)</f>
        <v>-22042942</v>
      </c>
      <c r="I21" s="12"/>
      <c r="J21" s="13">
        <f>SUM(J16:J20)</f>
        <v>-22042942</v>
      </c>
    </row>
    <row r="23" spans="1:10" ht="15">
      <c r="A23" s="3" t="s">
        <v>1187</v>
      </c>
      <c r="C23" s="3" t="s">
        <v>926</v>
      </c>
      <c r="D23" s="57">
        <f>+D9+D16</f>
        <v>286807.316</v>
      </c>
      <c r="E23" s="57"/>
      <c r="F23" s="57">
        <f>+F9+F16</f>
        <v>239370.283</v>
      </c>
      <c r="G23" s="57"/>
      <c r="H23" s="57">
        <f>+H9+H16</f>
        <v>8622357</v>
      </c>
      <c r="I23" s="57"/>
      <c r="J23" s="57">
        <f>+J9+J16</f>
        <v>10530496.501000002</v>
      </c>
    </row>
    <row r="24" spans="1:10" ht="15">
      <c r="A24" s="3" t="s">
        <v>1188</v>
      </c>
      <c r="C24" s="3" t="s">
        <v>927</v>
      </c>
      <c r="D24" s="57">
        <f aca="true" t="shared" si="0" ref="D24:J27">+D10+D17</f>
        <v>79606.5</v>
      </c>
      <c r="E24" s="57"/>
      <c r="F24" s="57">
        <f t="shared" si="0"/>
        <v>39437.196</v>
      </c>
      <c r="G24" s="57"/>
      <c r="H24" s="57">
        <f t="shared" si="0"/>
        <v>2710365</v>
      </c>
      <c r="I24" s="57"/>
      <c r="J24" s="57">
        <f t="shared" si="0"/>
        <v>1046023.86664561</v>
      </c>
    </row>
    <row r="25" spans="1:10" ht="15">
      <c r="A25" s="3" t="s">
        <v>920</v>
      </c>
      <c r="C25" s="3" t="s">
        <v>928</v>
      </c>
      <c r="D25" s="57">
        <f t="shared" si="0"/>
        <v>215953.76899999997</v>
      </c>
      <c r="E25" s="57"/>
      <c r="F25" s="57">
        <f t="shared" si="0"/>
        <v>178372.762</v>
      </c>
      <c r="G25" s="57"/>
      <c r="H25" s="57">
        <f t="shared" si="0"/>
        <v>7181814</v>
      </c>
      <c r="I25" s="57"/>
      <c r="J25" s="57">
        <f t="shared" si="0"/>
        <v>6487917.08561964</v>
      </c>
    </row>
    <row r="26" spans="3:10" ht="15">
      <c r="C26" s="3" t="s">
        <v>929</v>
      </c>
      <c r="D26" s="57">
        <f t="shared" si="0"/>
        <v>260765.29799999995</v>
      </c>
      <c r="E26" s="57"/>
      <c r="F26" s="57">
        <f t="shared" si="0"/>
        <v>385952.637</v>
      </c>
      <c r="G26" s="57"/>
      <c r="H26" s="57">
        <f t="shared" si="0"/>
        <v>10428577</v>
      </c>
      <c r="I26" s="57"/>
      <c r="J26" s="57">
        <f t="shared" si="0"/>
        <v>10878676.535963245</v>
      </c>
    </row>
    <row r="27" spans="3:10" ht="15">
      <c r="C27" s="3" t="s">
        <v>1754</v>
      </c>
      <c r="D27" s="58">
        <f t="shared" si="0"/>
        <v>0</v>
      </c>
      <c r="E27" s="57"/>
      <c r="F27" s="58">
        <f t="shared" si="0"/>
        <v>0</v>
      </c>
      <c r="G27" s="57"/>
      <c r="H27" s="58">
        <f t="shared" si="0"/>
        <v>0</v>
      </c>
      <c r="I27" s="57"/>
      <c r="J27" s="58">
        <f t="shared" si="0"/>
        <v>0</v>
      </c>
    </row>
    <row r="28" spans="3:10" ht="15">
      <c r="C28" s="3" t="s">
        <v>1179</v>
      </c>
      <c r="D28" s="57">
        <f>SUM(D23:D27)</f>
        <v>843132.8829999999</v>
      </c>
      <c r="E28" s="57"/>
      <c r="F28" s="57">
        <f>SUM(F23:F27)</f>
        <v>843132.878</v>
      </c>
      <c r="G28" s="57"/>
      <c r="H28" s="57">
        <f>SUM(H23:H27)</f>
        <v>28943113</v>
      </c>
      <c r="I28" s="57"/>
      <c r="J28" s="57">
        <f>SUM(J23:J27)</f>
        <v>28943113.989228494</v>
      </c>
    </row>
    <row r="30" ht="16.5">
      <c r="A30" s="23" t="s">
        <v>663</v>
      </c>
    </row>
    <row r="31" spans="1:10" ht="15">
      <c r="A31" s="3" t="s">
        <v>127</v>
      </c>
      <c r="C31" s="3" t="s">
        <v>926</v>
      </c>
      <c r="D31" s="13">
        <f>PAGE8!E8</f>
        <v>1485963.158</v>
      </c>
      <c r="E31" s="13"/>
      <c r="F31" s="13">
        <f>+PAGE8!E21</f>
        <v>0</v>
      </c>
      <c r="G31" s="13"/>
      <c r="H31" s="13">
        <f>PAGE8!I8</f>
        <v>30904135.541</v>
      </c>
      <c r="I31" s="13"/>
      <c r="J31" s="13">
        <f>+PAGE8!I21</f>
        <v>0</v>
      </c>
    </row>
    <row r="32" spans="1:10" ht="15">
      <c r="A32" s="3" t="s">
        <v>920</v>
      </c>
      <c r="C32" s="3" t="s">
        <v>927</v>
      </c>
      <c r="D32" s="13">
        <f>PAGE8!E9</f>
        <v>334607.92</v>
      </c>
      <c r="E32" s="13"/>
      <c r="F32" s="13">
        <f>+PAGE8!E22</f>
        <v>0</v>
      </c>
      <c r="G32" s="13"/>
      <c r="H32" s="13">
        <f>PAGE8!I9</f>
        <v>7007079.16</v>
      </c>
      <c r="I32" s="13"/>
      <c r="J32" s="13">
        <f>+PAGE8!I22</f>
        <v>0</v>
      </c>
    </row>
    <row r="33" spans="1:10" ht="15">
      <c r="A33" s="3" t="s">
        <v>664</v>
      </c>
      <c r="C33" s="3" t="s">
        <v>928</v>
      </c>
      <c r="D33" s="13">
        <f>PAGE8!E10</f>
        <v>0</v>
      </c>
      <c r="E33" s="13"/>
      <c r="F33" s="13">
        <f>+PAGE8!E23</f>
        <v>1187419.601</v>
      </c>
      <c r="G33" s="13"/>
      <c r="H33" s="13">
        <f>PAGE8!I10</f>
        <v>0</v>
      </c>
      <c r="I33" s="13"/>
      <c r="J33" s="13">
        <f>+PAGE8!I23</f>
        <v>20843356.16</v>
      </c>
    </row>
    <row r="34" spans="3:10" ht="15">
      <c r="C34" s="3" t="s">
        <v>929</v>
      </c>
      <c r="D34" s="13">
        <f>PAGE8!E11</f>
        <v>1491.821</v>
      </c>
      <c r="E34" s="13"/>
      <c r="F34" s="13">
        <f>+PAGE8!E24</f>
        <v>634643.282</v>
      </c>
      <c r="G34" s="13"/>
      <c r="H34" s="13">
        <f>PAGE8!I11</f>
        <v>26185.939</v>
      </c>
      <c r="I34" s="13"/>
      <c r="J34" s="13">
        <f>+PAGE8!I24</f>
        <v>17094044.474</v>
      </c>
    </row>
    <row r="35" spans="3:10" ht="15">
      <c r="C35" s="3" t="s">
        <v>1754</v>
      </c>
      <c r="D35" s="21">
        <f>PAGE8!E12</f>
        <v>0</v>
      </c>
      <c r="E35" s="13"/>
      <c r="F35" s="21">
        <f>+PAGE8!E25</f>
        <v>0</v>
      </c>
      <c r="G35" s="13"/>
      <c r="H35" s="21">
        <f>PAGE8!I12</f>
        <v>0</v>
      </c>
      <c r="I35" s="13"/>
      <c r="J35" s="21">
        <f>+PAGE8!I25</f>
        <v>0</v>
      </c>
    </row>
    <row r="36" spans="3:10" ht="15">
      <c r="C36" s="3" t="s">
        <v>1179</v>
      </c>
      <c r="D36" s="13">
        <f>SUM(D31:D35)</f>
        <v>1822062.899</v>
      </c>
      <c r="E36" s="13"/>
      <c r="F36" s="13">
        <f>SUM(F31:F35)</f>
        <v>1822062.883</v>
      </c>
      <c r="G36" s="13"/>
      <c r="H36" s="13">
        <f>SUM(H31:H35)</f>
        <v>37937400.64000001</v>
      </c>
      <c r="I36" s="13"/>
      <c r="J36" s="13">
        <f>SUM(J31:J35)</f>
        <v>37937400.634</v>
      </c>
    </row>
    <row r="37" spans="4:10" ht="15">
      <c r="D37" s="13"/>
      <c r="E37" s="13"/>
      <c r="F37" s="13"/>
      <c r="G37" s="13"/>
      <c r="H37" s="13"/>
      <c r="I37" s="13"/>
      <c r="J37" s="13"/>
    </row>
    <row r="38" spans="1:10" ht="15">
      <c r="A38" s="3" t="s">
        <v>665</v>
      </c>
      <c r="C38" s="3" t="s">
        <v>926</v>
      </c>
      <c r="D38" s="13">
        <f>PAGE9!D8</f>
        <v>0</v>
      </c>
      <c r="E38" s="13"/>
      <c r="F38" s="13">
        <f>+'ECONOMY 151'!D20</f>
        <v>0</v>
      </c>
      <c r="G38" s="13"/>
      <c r="H38" s="13">
        <f>PAGE9!H8</f>
        <v>0</v>
      </c>
      <c r="I38" s="13"/>
      <c r="J38" s="13">
        <f>+PAGE9!H21</f>
        <v>0</v>
      </c>
    </row>
    <row r="39" spans="1:10" ht="15">
      <c r="A39" s="3" t="s">
        <v>920</v>
      </c>
      <c r="C39" s="3" t="s">
        <v>927</v>
      </c>
      <c r="D39" s="13">
        <f>PAGE9!D9</f>
        <v>0</v>
      </c>
      <c r="E39" s="13"/>
      <c r="F39" s="13">
        <f>+'ECONOMY 151'!D21</f>
        <v>0</v>
      </c>
      <c r="G39" s="13"/>
      <c r="H39" s="13">
        <f>PAGE9!H9</f>
        <v>0</v>
      </c>
      <c r="I39" s="13"/>
      <c r="J39" s="13">
        <f>+PAGE9!H22</f>
        <v>0</v>
      </c>
    </row>
    <row r="40" spans="1:10" ht="15">
      <c r="A40" s="3" t="s">
        <v>666</v>
      </c>
      <c r="C40" s="3" t="s">
        <v>928</v>
      </c>
      <c r="D40" s="13">
        <f>PAGE9!D10</f>
        <v>0</v>
      </c>
      <c r="E40" s="13"/>
      <c r="F40" s="13">
        <f>+'ECONOMY 151'!D22</f>
        <v>0</v>
      </c>
      <c r="G40" s="13"/>
      <c r="H40" s="13">
        <f>PAGE9!H10</f>
        <v>0</v>
      </c>
      <c r="I40" s="13"/>
      <c r="J40" s="13">
        <f>+PAGE9!H23</f>
        <v>0</v>
      </c>
    </row>
    <row r="41" spans="3:10" ht="15">
      <c r="C41" s="3" t="s">
        <v>929</v>
      </c>
      <c r="D41" s="13">
        <f>PAGE9!D11</f>
        <v>0</v>
      </c>
      <c r="E41" s="13"/>
      <c r="F41" s="13">
        <f>+'ECONOMY 151'!D23</f>
        <v>0</v>
      </c>
      <c r="G41" s="13"/>
      <c r="H41" s="13">
        <f>PAGE9!H11</f>
        <v>0</v>
      </c>
      <c r="I41" s="13"/>
      <c r="J41" s="13">
        <f>+PAGE9!H24</f>
        <v>0</v>
      </c>
    </row>
    <row r="42" spans="3:10" ht="15">
      <c r="C42" s="3" t="s">
        <v>1754</v>
      </c>
      <c r="D42" s="21">
        <f>PAGE9!D12</f>
        <v>0</v>
      </c>
      <c r="E42" s="13"/>
      <c r="F42" s="21">
        <f>+'ECONOMY 151'!D24</f>
        <v>0</v>
      </c>
      <c r="G42" s="13"/>
      <c r="H42" s="21">
        <f>PAGE9!H12</f>
        <v>0</v>
      </c>
      <c r="I42" s="13"/>
      <c r="J42" s="21">
        <f>+PAGE9!H25</f>
        <v>0</v>
      </c>
    </row>
    <row r="43" spans="3:10" ht="15">
      <c r="C43" s="3" t="s">
        <v>1179</v>
      </c>
      <c r="D43" s="13">
        <f>SUM(D38:D42)</f>
        <v>0</v>
      </c>
      <c r="E43" s="13"/>
      <c r="F43" s="13">
        <f>SUM(F38:F42)</f>
        <v>0</v>
      </c>
      <c r="G43" s="13"/>
      <c r="H43" s="13">
        <f>SUM(H38:H42)</f>
        <v>0</v>
      </c>
      <c r="I43" s="13"/>
      <c r="J43" s="13">
        <f>SUM(J38:J42)</f>
        <v>0</v>
      </c>
    </row>
    <row r="44" spans="4:10" ht="15">
      <c r="D44" s="13"/>
      <c r="E44" s="13"/>
      <c r="F44" s="13"/>
      <c r="G44" s="13"/>
      <c r="H44" s="13"/>
      <c r="I44" s="13"/>
      <c r="J44" s="13"/>
    </row>
    <row r="45" spans="1:10" ht="16.5">
      <c r="A45" s="23" t="s">
        <v>635</v>
      </c>
      <c r="D45" s="13"/>
      <c r="E45" s="13"/>
      <c r="F45" s="13"/>
      <c r="G45" s="13"/>
      <c r="H45" s="13"/>
      <c r="I45" s="13"/>
      <c r="J45" s="13"/>
    </row>
    <row r="46" spans="1:10" ht="15">
      <c r="A46" s="19" t="s">
        <v>636</v>
      </c>
      <c r="C46" s="3" t="s">
        <v>926</v>
      </c>
      <c r="D46" s="13">
        <f>+D23+D31+D38+PAGE5!D16</f>
        <v>1772770.474</v>
      </c>
      <c r="E46" s="13"/>
      <c r="F46" s="13">
        <f>+F23+F31+F38+PAGE5!F16</f>
        <v>239960.036</v>
      </c>
      <c r="G46" s="13"/>
      <c r="H46" s="13">
        <f>+H23+H31+H38+PAGE5!H16</f>
        <v>39526492.541</v>
      </c>
      <c r="I46" s="13"/>
      <c r="J46" s="13">
        <f>+J23+J31+J38+PAGE5!J16</f>
        <v>10553825.848000001</v>
      </c>
    </row>
    <row r="47" spans="3:10" ht="15">
      <c r="C47" s="3" t="s">
        <v>927</v>
      </c>
      <c r="D47" s="13">
        <f>+D24+D32+D39+PAGE5!D17</f>
        <v>414214.42</v>
      </c>
      <c r="E47" s="13"/>
      <c r="F47" s="13">
        <f>+F24+F32+F39+PAGE5!F17</f>
        <v>39521.80100000001</v>
      </c>
      <c r="G47" s="13"/>
      <c r="H47" s="13">
        <f>+H24+H32+H39+PAGE5!H17</f>
        <v>9717444.16</v>
      </c>
      <c r="I47" s="13"/>
      <c r="J47" s="13">
        <f>+J24+J32+J39+PAGE5!J17</f>
        <v>1048494.60464561</v>
      </c>
    </row>
    <row r="48" spans="3:10" ht="15">
      <c r="C48" s="3" t="s">
        <v>928</v>
      </c>
      <c r="D48" s="13">
        <f>+D25+D33+D40+PAGE5!D18</f>
        <v>216111.64499999996</v>
      </c>
      <c r="E48" s="13"/>
      <c r="F48" s="13">
        <f>+F25+F33+F40+PAGE5!F18</f>
        <v>1365802.7259999998</v>
      </c>
      <c r="G48" s="13"/>
      <c r="H48" s="13">
        <f>+H25+H33+H40+PAGE5!H18</f>
        <v>7192313.902</v>
      </c>
      <c r="I48" s="13"/>
      <c r="J48" s="13">
        <f>+J25+J33+J40+PAGE5!J18</f>
        <v>27331273.24561964</v>
      </c>
    </row>
    <row r="49" spans="3:10" ht="15">
      <c r="C49" s="3" t="s">
        <v>929</v>
      </c>
      <c r="D49" s="13">
        <f>+D26+D34+D41+PAGE5!D19</f>
        <v>262818.93899999995</v>
      </c>
      <c r="E49" s="13"/>
      <c r="F49" s="13">
        <f>+F26+F34+F41+PAGE5!F19</f>
        <v>1020630.894</v>
      </c>
      <c r="G49" s="13"/>
      <c r="H49" s="13">
        <f>+H26+H34+H41+PAGE5!H19</f>
        <v>10471176.227</v>
      </c>
      <c r="I49" s="13"/>
      <c r="J49" s="13">
        <f>+J26+J34+J41+PAGE5!J19</f>
        <v>27973834.114963245</v>
      </c>
    </row>
    <row r="50" spans="3:10" ht="15">
      <c r="C50" s="3" t="s">
        <v>1754</v>
      </c>
      <c r="D50" s="21">
        <f>+D27+D35+D42+PAGE5!D20</f>
        <v>0</v>
      </c>
      <c r="E50" s="13"/>
      <c r="F50" s="21">
        <f>+F27+F35+F42+PAGE5!F20</f>
        <v>0</v>
      </c>
      <c r="G50" s="13"/>
      <c r="H50" s="21">
        <f>+H27+H35+H42+PAGE5!H20</f>
        <v>0</v>
      </c>
      <c r="I50" s="13"/>
      <c r="J50" s="21">
        <f>+J27+J35+J42+PAGE5!J20</f>
        <v>0</v>
      </c>
    </row>
    <row r="51" spans="3:10" ht="15">
      <c r="C51" s="3" t="s">
        <v>1179</v>
      </c>
      <c r="D51" s="13">
        <f>SUM(D46:D50)</f>
        <v>2665915.4779999997</v>
      </c>
      <c r="E51" s="13"/>
      <c r="F51" s="13">
        <f>SUM(F46:F50)</f>
        <v>2665915.457</v>
      </c>
      <c r="G51" s="13"/>
      <c r="H51" s="13">
        <f>SUM(H46:H50)</f>
        <v>66907426.830000006</v>
      </c>
      <c r="I51" s="13"/>
      <c r="J51" s="13">
        <f>SUM(J46:J50)</f>
        <v>66907427.8132285</v>
      </c>
    </row>
    <row r="53" spans="1:10" ht="15">
      <c r="A53" s="3" t="s">
        <v>560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19" t="s">
        <v>561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19" t="s">
        <v>567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19" t="s">
        <v>562</v>
      </c>
      <c r="B56" s="2"/>
      <c r="C56" s="2"/>
      <c r="D56" s="2"/>
      <c r="E56" s="2"/>
      <c r="F56" s="2"/>
      <c r="G56" s="2"/>
      <c r="H56" s="2"/>
      <c r="I56" s="2"/>
      <c r="J56" s="2"/>
    </row>
    <row r="57" ht="15">
      <c r="A57" s="19" t="s">
        <v>208</v>
      </c>
    </row>
    <row r="58" ht="15">
      <c r="A58" s="19" t="s">
        <v>1267</v>
      </c>
    </row>
    <row r="59" ht="15">
      <c r="A59" s="19" t="s">
        <v>209</v>
      </c>
    </row>
  </sheetData>
  <sheetProtection/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5.7109375" style="3" customWidth="1"/>
    <col min="4" max="4" width="12.57421875" style="3" customWidth="1"/>
    <col min="5" max="5" width="5.7109375" style="3" customWidth="1"/>
    <col min="6" max="6" width="13.57421875" style="3" customWidth="1"/>
    <col min="7" max="7" width="3.7109375" style="3" customWidth="1"/>
    <col min="8" max="8" width="16.57421875" style="3" customWidth="1"/>
    <col min="9" max="9" width="5.7109375" style="3" customWidth="1"/>
    <col min="10" max="10" width="15.7109375" style="3" customWidth="1"/>
    <col min="11" max="11" width="5.7109375" style="3" customWidth="1"/>
    <col min="12" max="16384" width="9.140625" style="3" customWidth="1"/>
  </cols>
  <sheetData>
    <row r="1" spans="1:10" ht="16.5">
      <c r="A1" s="14" t="s">
        <v>1294</v>
      </c>
      <c r="B1" s="15" t="str">
        <f>INPUT!C1</f>
        <v>February 2012</v>
      </c>
      <c r="J1" s="14" t="s">
        <v>637</v>
      </c>
    </row>
    <row r="2" spans="1:10" ht="16.5">
      <c r="A2" s="14"/>
      <c r="B2" s="15"/>
      <c r="J2" s="14"/>
    </row>
    <row r="4" ht="16.5">
      <c r="F4" s="14" t="s">
        <v>106</v>
      </c>
    </row>
    <row r="5" ht="16.5">
      <c r="F5" s="14" t="s">
        <v>638</v>
      </c>
    </row>
    <row r="6" ht="16.5">
      <c r="F6" s="14" t="s">
        <v>211</v>
      </c>
    </row>
    <row r="7" ht="16.5">
      <c r="F7" s="14" t="s">
        <v>212</v>
      </c>
    </row>
    <row r="8" ht="16.5">
      <c r="F8" s="14"/>
    </row>
    <row r="9" ht="16.5">
      <c r="F9" s="14"/>
    </row>
    <row r="10" spans="4:10" ht="16.5">
      <c r="D10" s="16"/>
      <c r="E10" s="17" t="s">
        <v>1703</v>
      </c>
      <c r="F10" s="16"/>
      <c r="H10" s="16"/>
      <c r="I10" s="17" t="s">
        <v>1727</v>
      </c>
      <c r="J10" s="16"/>
    </row>
    <row r="11" spans="4:10" ht="16.5">
      <c r="D11" s="14" t="s">
        <v>1704</v>
      </c>
      <c r="F11" s="14" t="s">
        <v>1705</v>
      </c>
      <c r="H11" s="14" t="s">
        <v>922</v>
      </c>
      <c r="J11" s="14" t="s">
        <v>924</v>
      </c>
    </row>
    <row r="12" spans="4:10" ht="16.5">
      <c r="D12" s="14" t="s">
        <v>1757</v>
      </c>
      <c r="F12" s="14" t="s">
        <v>1758</v>
      </c>
      <c r="H12" s="14" t="s">
        <v>1298</v>
      </c>
      <c r="J12" s="14" t="s">
        <v>1298</v>
      </c>
    </row>
    <row r="13" spans="1:10" ht="16.5">
      <c r="A13" s="23" t="s">
        <v>213</v>
      </c>
      <c r="D13" s="17" t="s">
        <v>923</v>
      </c>
      <c r="F13" s="17" t="s">
        <v>1708</v>
      </c>
      <c r="H13" s="17" t="s">
        <v>115</v>
      </c>
      <c r="J13" s="17" t="s">
        <v>116</v>
      </c>
    </row>
    <row r="14" ht="16.5">
      <c r="J14" s="59" t="s">
        <v>1708</v>
      </c>
    </row>
    <row r="15" spans="1:10" ht="16.5">
      <c r="A15" s="23"/>
      <c r="D15" s="59"/>
      <c r="F15" s="59"/>
      <c r="H15" s="59"/>
      <c r="J15" s="59"/>
    </row>
    <row r="16" spans="1:10" ht="15">
      <c r="A16" s="3" t="s">
        <v>265</v>
      </c>
      <c r="C16" s="3" t="s">
        <v>926</v>
      </c>
      <c r="D16" s="13">
        <f>INPUT!J38</f>
        <v>0</v>
      </c>
      <c r="E16" s="2"/>
      <c r="F16" s="13">
        <f>INPUT!L38</f>
        <v>589.753</v>
      </c>
      <c r="G16" s="2"/>
      <c r="H16" s="13">
        <f>INPUT!M38</f>
        <v>0</v>
      </c>
      <c r="I16" s="13"/>
      <c r="J16" s="13">
        <f>INPUT!O38</f>
        <v>23329.347</v>
      </c>
    </row>
    <row r="17" spans="1:10" ht="15">
      <c r="A17" s="3" t="s">
        <v>266</v>
      </c>
      <c r="C17" s="3" t="s">
        <v>927</v>
      </c>
      <c r="D17" s="13">
        <f>INPUT!J39</f>
        <v>0</v>
      </c>
      <c r="E17" s="2"/>
      <c r="F17" s="13">
        <f>INPUT!L39</f>
        <v>84.605</v>
      </c>
      <c r="G17" s="2"/>
      <c r="H17" s="13">
        <f>INPUT!M39</f>
        <v>0</v>
      </c>
      <c r="I17" s="13"/>
      <c r="J17" s="13">
        <f>INPUT!O39</f>
        <v>2470.738</v>
      </c>
    </row>
    <row r="18" spans="1:10" ht="15">
      <c r="A18" s="3" t="s">
        <v>267</v>
      </c>
      <c r="C18" s="3" t="s">
        <v>928</v>
      </c>
      <c r="D18" s="13">
        <f>INPUT!J40</f>
        <v>157.876</v>
      </c>
      <c r="E18" s="2"/>
      <c r="F18" s="13">
        <f>INPUT!L40</f>
        <v>10.363</v>
      </c>
      <c r="G18" s="2"/>
      <c r="H18" s="13">
        <f>INPUT!M40</f>
        <v>10499.902</v>
      </c>
      <c r="I18" s="13"/>
      <c r="J18" s="13">
        <f>INPUT!O40</f>
        <v>0</v>
      </c>
    </row>
    <row r="19" spans="1:10" ht="15">
      <c r="A19" s="3" t="s">
        <v>268</v>
      </c>
      <c r="C19" s="3" t="s">
        <v>929</v>
      </c>
      <c r="D19" s="13">
        <f>INPUT!J41</f>
        <v>561.82</v>
      </c>
      <c r="E19" s="2"/>
      <c r="F19" s="13">
        <f>INPUT!L41</f>
        <v>34.975</v>
      </c>
      <c r="G19" s="2"/>
      <c r="H19" s="13">
        <f>INPUT!M41</f>
        <v>16413.288</v>
      </c>
      <c r="I19" s="13"/>
      <c r="J19" s="13">
        <f>INPUT!O41</f>
        <v>1113.105</v>
      </c>
    </row>
    <row r="20" spans="1:10" ht="15">
      <c r="A20" s="3" t="s">
        <v>269</v>
      </c>
      <c r="C20" s="3" t="s">
        <v>1754</v>
      </c>
      <c r="D20" s="21">
        <f>INPUT!J42</f>
        <v>0</v>
      </c>
      <c r="E20" s="2"/>
      <c r="F20" s="21">
        <f>INPUT!L42</f>
        <v>0</v>
      </c>
      <c r="G20" s="2"/>
      <c r="H20" s="21">
        <f>INPUT!M42</f>
        <v>0</v>
      </c>
      <c r="I20" s="13"/>
      <c r="J20" s="21">
        <f>INPUT!O42</f>
        <v>0</v>
      </c>
    </row>
    <row r="21" spans="1:10" ht="15">
      <c r="A21" s="3" t="s">
        <v>923</v>
      </c>
      <c r="C21" s="3" t="s">
        <v>1179</v>
      </c>
      <c r="D21" s="13">
        <f>SUM(D16:D20)</f>
        <v>719.696</v>
      </c>
      <c r="E21" s="2"/>
      <c r="F21" s="13">
        <f>SUM(F16:F20)</f>
        <v>719.696</v>
      </c>
      <c r="G21" s="2"/>
      <c r="H21" s="13">
        <f>SUM(H16:H20)</f>
        <v>26913.190000000002</v>
      </c>
      <c r="I21" s="13"/>
      <c r="J21" s="13">
        <f>SUM(J16:J20)</f>
        <v>26913.190000000002</v>
      </c>
    </row>
    <row r="23" spans="1:10" ht="15">
      <c r="A23" s="3" t="s">
        <v>1307</v>
      </c>
      <c r="C23" s="3" t="s">
        <v>926</v>
      </c>
      <c r="D23" s="13">
        <f>INPUT!P38</f>
        <v>0</v>
      </c>
      <c r="E23" s="2"/>
      <c r="F23" s="13">
        <f>INPUT!R38</f>
        <v>571.841</v>
      </c>
      <c r="G23" s="2"/>
      <c r="H23" s="13">
        <f>+INPUT!S38</f>
        <v>0</v>
      </c>
      <c r="I23" s="13"/>
      <c r="J23" s="13">
        <f>+INPUT!U38</f>
        <v>22612.164</v>
      </c>
    </row>
    <row r="24" spans="1:10" ht="15">
      <c r="A24" s="3" t="s">
        <v>1308</v>
      </c>
      <c r="C24" s="3" t="s">
        <v>927</v>
      </c>
      <c r="D24" s="13">
        <f>INPUT!P39</f>
        <v>0</v>
      </c>
      <c r="E24" s="2"/>
      <c r="F24" s="13">
        <f>INPUT!R39</f>
        <v>38.23</v>
      </c>
      <c r="G24" s="2"/>
      <c r="H24" s="13">
        <f>+INPUT!S39</f>
        <v>0</v>
      </c>
      <c r="I24" s="13"/>
      <c r="J24" s="13">
        <f>+INPUT!U39</f>
        <v>1118.16</v>
      </c>
    </row>
    <row r="25" spans="1:10" ht="15">
      <c r="A25" s="3" t="s">
        <v>1691</v>
      </c>
      <c r="C25" s="3" t="s">
        <v>928</v>
      </c>
      <c r="D25" s="13">
        <f>INPUT!P40</f>
        <v>181.791</v>
      </c>
      <c r="E25" s="2"/>
      <c r="F25" s="13">
        <f>INPUT!R40</f>
        <v>10.363</v>
      </c>
      <c r="G25" s="2"/>
      <c r="H25" s="13">
        <f>+INPUT!S40</f>
        <v>11239.691</v>
      </c>
      <c r="I25" s="13"/>
      <c r="J25" s="13">
        <f>+INPUT!U40</f>
        <v>0</v>
      </c>
    </row>
    <row r="26" spans="1:10" ht="15">
      <c r="A26" s="3" t="s">
        <v>923</v>
      </c>
      <c r="C26" s="3" t="s">
        <v>929</v>
      </c>
      <c r="D26" s="13">
        <f>INPUT!P41</f>
        <v>530.398</v>
      </c>
      <c r="E26" s="2"/>
      <c r="F26" s="13">
        <f>INPUT!R41</f>
        <v>91.755</v>
      </c>
      <c r="G26" s="2"/>
      <c r="H26" s="13">
        <f>+INPUT!S41</f>
        <v>15326.972</v>
      </c>
      <c r="I26" s="13"/>
      <c r="J26" s="13">
        <f>+INPUT!U41</f>
        <v>2836.339</v>
      </c>
    </row>
    <row r="27" spans="1:10" ht="15">
      <c r="A27" s="3" t="s">
        <v>923</v>
      </c>
      <c r="C27" s="3" t="s">
        <v>1754</v>
      </c>
      <c r="D27" s="21">
        <f>INPUT!P42</f>
        <v>0</v>
      </c>
      <c r="E27" s="2"/>
      <c r="F27" s="21">
        <f>INPUT!R42</f>
        <v>0</v>
      </c>
      <c r="G27" s="2"/>
      <c r="H27" s="21">
        <f>+INPUT!S42</f>
        <v>0</v>
      </c>
      <c r="I27" s="13"/>
      <c r="J27" s="21">
        <f>+INPUT!U42</f>
        <v>0</v>
      </c>
    </row>
    <row r="28" spans="1:10" ht="15">
      <c r="A28" s="3" t="s">
        <v>923</v>
      </c>
      <c r="C28" s="3" t="s">
        <v>1179</v>
      </c>
      <c r="D28" s="13">
        <f>SUM(D23:D27)</f>
        <v>712.1890000000001</v>
      </c>
      <c r="E28" s="2"/>
      <c r="F28" s="13">
        <f>SUM(F23:F27)</f>
        <v>712.189</v>
      </c>
      <c r="G28" s="2"/>
      <c r="H28" s="13">
        <f>SUM(H23:H27)</f>
        <v>26566.663</v>
      </c>
      <c r="I28" s="13"/>
      <c r="J28" s="13">
        <f>SUM(J23:J27)</f>
        <v>26566.663</v>
      </c>
    </row>
    <row r="29" spans="4:10" ht="15">
      <c r="D29" s="13"/>
      <c r="E29" s="2"/>
      <c r="F29" s="13"/>
      <c r="G29" s="2"/>
      <c r="H29" s="13"/>
      <c r="I29" s="13"/>
      <c r="J29" s="13"/>
    </row>
    <row r="30" spans="1:11" ht="15">
      <c r="A30" s="3" t="s">
        <v>759</v>
      </c>
      <c r="C30" s="3" t="s">
        <v>926</v>
      </c>
      <c r="D30" s="13">
        <f>+D16-D23</f>
        <v>0</v>
      </c>
      <c r="E30" s="2"/>
      <c r="F30" s="13">
        <f>+F16-F23</f>
        <v>17.912000000000035</v>
      </c>
      <c r="G30" s="2"/>
      <c r="H30" s="13">
        <f>+H16-H23</f>
        <v>0</v>
      </c>
      <c r="I30" s="13"/>
      <c r="J30" s="13">
        <f>+J16-J23</f>
        <v>717.1830000000009</v>
      </c>
      <c r="K30" s="51"/>
    </row>
    <row r="31" spans="1:10" ht="15">
      <c r="A31" s="3" t="s">
        <v>1313</v>
      </c>
      <c r="C31" s="3" t="s">
        <v>927</v>
      </c>
      <c r="D31" s="13">
        <f>+D17-D24</f>
        <v>0</v>
      </c>
      <c r="E31" s="2"/>
      <c r="F31" s="13">
        <f>+F17-F24</f>
        <v>46.37500000000001</v>
      </c>
      <c r="G31" s="2"/>
      <c r="H31" s="13">
        <f>+H17-H24</f>
        <v>0</v>
      </c>
      <c r="I31" s="13"/>
      <c r="J31" s="13">
        <f>+J17-J24</f>
        <v>1352.5779999999997</v>
      </c>
    </row>
    <row r="32" spans="1:11" ht="15">
      <c r="A32" s="3" t="s">
        <v>1314</v>
      </c>
      <c r="C32" s="3" t="s">
        <v>928</v>
      </c>
      <c r="D32" s="13">
        <f>+D18-D25</f>
        <v>-23.914999999999992</v>
      </c>
      <c r="E32" s="2"/>
      <c r="F32" s="13">
        <f>+F18-F25</f>
        <v>0</v>
      </c>
      <c r="G32" s="2"/>
      <c r="H32" s="13">
        <f>+H18-H25</f>
        <v>-739.7890000000007</v>
      </c>
      <c r="I32" s="13"/>
      <c r="J32" s="13">
        <f>+J18-J25</f>
        <v>0</v>
      </c>
      <c r="K32" s="51"/>
    </row>
    <row r="33" spans="1:10" ht="15">
      <c r="A33" s="3" t="s">
        <v>923</v>
      </c>
      <c r="C33" s="3" t="s">
        <v>929</v>
      </c>
      <c r="D33" s="13">
        <f>+D19-D26</f>
        <v>31.422000000000025</v>
      </c>
      <c r="E33" s="2"/>
      <c r="F33" s="13">
        <f>+F19-F26</f>
        <v>-56.779999999999994</v>
      </c>
      <c r="G33" s="2"/>
      <c r="H33" s="13">
        <f>+H19-H26</f>
        <v>1086.3160000000007</v>
      </c>
      <c r="I33" s="13"/>
      <c r="J33" s="13">
        <f>+J19-J26</f>
        <v>-1723.234</v>
      </c>
    </row>
    <row r="34" spans="1:11" ht="15">
      <c r="A34" s="3" t="s">
        <v>923</v>
      </c>
      <c r="C34" s="3" t="s">
        <v>1754</v>
      </c>
      <c r="D34" s="21">
        <f>+D20-D27</f>
        <v>0</v>
      </c>
      <c r="E34" s="2"/>
      <c r="F34" s="21">
        <f>+F20-F27</f>
        <v>0</v>
      </c>
      <c r="G34" s="2"/>
      <c r="H34" s="21">
        <f>+H20-H27</f>
        <v>0</v>
      </c>
      <c r="I34" s="13"/>
      <c r="J34" s="21">
        <f>+J20-J27</f>
        <v>0</v>
      </c>
      <c r="K34" s="51"/>
    </row>
    <row r="35" spans="1:10" ht="15">
      <c r="A35" s="3" t="s">
        <v>923</v>
      </c>
      <c r="C35" s="3" t="s">
        <v>1179</v>
      </c>
      <c r="D35" s="13">
        <f>SUM(D30:D34)</f>
        <v>7.507000000000033</v>
      </c>
      <c r="E35" s="2"/>
      <c r="F35" s="13">
        <f>SUM(F30:F34)</f>
        <v>7.5070000000000405</v>
      </c>
      <c r="G35" s="2"/>
      <c r="H35" s="13">
        <f>SUM(H30:H34)</f>
        <v>346.52700000000004</v>
      </c>
      <c r="I35" s="13"/>
      <c r="J35" s="13">
        <f>SUM(J30:J34)</f>
        <v>346.5270000000005</v>
      </c>
    </row>
    <row r="37" ht="16.5">
      <c r="A37" s="23"/>
    </row>
    <row r="39" ht="16.5">
      <c r="A39" s="23"/>
    </row>
    <row r="40" ht="15">
      <c r="A40" s="19"/>
    </row>
    <row r="47" ht="15">
      <c r="A47" s="19" t="s">
        <v>832</v>
      </c>
    </row>
    <row r="48" ht="15">
      <c r="A48" s="367" t="s">
        <v>831</v>
      </c>
    </row>
  </sheetData>
  <sheetProtection/>
  <printOptions/>
  <pageMargins left="0.25" right="0.25" top="0.25" bottom="0.25" header="0" footer="0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s998909</cp:lastModifiedBy>
  <cp:lastPrinted>2012-02-29T18:58:34Z</cp:lastPrinted>
  <dcterms:created xsi:type="dcterms:W3CDTF">1997-01-09T21:36:07Z</dcterms:created>
  <dcterms:modified xsi:type="dcterms:W3CDTF">2015-02-06T21:39:37Z</dcterms:modified>
  <cp:category/>
  <cp:version/>
  <cp:contentType/>
  <cp:contentStatus/>
</cp:coreProperties>
</file>