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5" yWindow="1950" windowWidth="14370" windowHeight="8970" tabRatio="752"/>
  </bookViews>
  <sheets>
    <sheet name="Scenario Comparison 4yr" sheetId="1" r:id="rId1"/>
    <sheet name="2014 Cost Per Mile thru Sept" sheetId="8" r:id="rId2"/>
    <sheet name="Scenario Mileage Table 4yr" sheetId="3" r:id="rId3"/>
    <sheet name="Strategy" sheetId="6" r:id="rId4"/>
    <sheet name="CMI Calculations" sheetId="7" r:id="rId5"/>
  </sheets>
  <definedNames>
    <definedName name="_xlnm.Print_Area" localSheetId="4">'CMI Calculations'!$A$1:$W$51</definedName>
    <definedName name="_xlnm.Print_Area" localSheetId="3">Strategy!$A$1:$S$54</definedName>
  </definedNames>
  <calcPr calcId="145621" calcMode="autoNoTable"/>
</workbook>
</file>

<file path=xl/calcChain.xml><?xml version="1.0" encoding="utf-8"?>
<calcChain xmlns="http://schemas.openxmlformats.org/spreadsheetml/2006/main">
  <c r="H24" i="1" l="1"/>
  <c r="E11" i="1" l="1"/>
  <c r="E10" i="1"/>
  <c r="E9" i="1"/>
  <c r="E8" i="1"/>
  <c r="C11" i="1"/>
  <c r="C10" i="1"/>
  <c r="C9" i="1"/>
  <c r="C8" i="1"/>
  <c r="O73" i="3" l="1"/>
  <c r="N73" i="3"/>
  <c r="M73" i="3"/>
  <c r="L73" i="3"/>
  <c r="K73" i="3"/>
  <c r="J73" i="3"/>
  <c r="I73" i="3"/>
  <c r="H73" i="3"/>
  <c r="G73" i="3"/>
  <c r="F73" i="3"/>
  <c r="E73" i="3"/>
  <c r="D73" i="3"/>
  <c r="C73" i="3"/>
  <c r="B73" i="3"/>
  <c r="O54" i="3"/>
  <c r="N54" i="3"/>
  <c r="M54" i="3"/>
  <c r="L54" i="3"/>
  <c r="K54" i="3"/>
  <c r="J54" i="3"/>
  <c r="I54" i="3"/>
  <c r="H54" i="3"/>
  <c r="G54" i="3"/>
  <c r="F54" i="3"/>
  <c r="E54" i="3"/>
  <c r="D54" i="3"/>
  <c r="C54" i="3"/>
  <c r="B54" i="3"/>
  <c r="O35" i="3"/>
  <c r="N35" i="3"/>
  <c r="M35" i="3"/>
  <c r="L35" i="3"/>
  <c r="K35" i="3"/>
  <c r="J35" i="3"/>
  <c r="I35" i="3"/>
  <c r="H35" i="3"/>
  <c r="G35" i="3"/>
  <c r="F35" i="3"/>
  <c r="E35" i="3"/>
  <c r="D35" i="3"/>
  <c r="C35" i="3"/>
  <c r="B35" i="3"/>
  <c r="N15" i="3"/>
  <c r="M15" i="3"/>
  <c r="L15" i="3"/>
  <c r="K15" i="3"/>
  <c r="J15" i="3"/>
  <c r="I15" i="3"/>
  <c r="H15" i="3"/>
  <c r="G15" i="3"/>
  <c r="F15" i="3"/>
  <c r="E15" i="3"/>
  <c r="D15" i="3"/>
  <c r="C15" i="3"/>
  <c r="B15" i="3"/>
  <c r="D14" i="1" l="1"/>
  <c r="D15" i="1"/>
  <c r="D13" i="1"/>
  <c r="D12" i="1"/>
  <c r="D11" i="1"/>
  <c r="D10" i="1"/>
  <c r="D9" i="1"/>
  <c r="D8" i="1"/>
  <c r="B27" i="1" l="1"/>
  <c r="F20" i="8"/>
  <c r="C22" i="1" s="1"/>
  <c r="K16" i="1" l="1"/>
  <c r="K15" i="1"/>
  <c r="K14" i="1"/>
  <c r="K13" i="1"/>
  <c r="K12" i="1"/>
  <c r="K11" i="1"/>
  <c r="K10" i="1"/>
  <c r="K9" i="1"/>
  <c r="K8" i="1"/>
  <c r="J16" i="1"/>
  <c r="J15" i="1"/>
  <c r="J14" i="1"/>
  <c r="J13" i="1"/>
  <c r="J12" i="1"/>
  <c r="J11" i="1"/>
  <c r="J10" i="1"/>
  <c r="J9" i="1"/>
  <c r="J8" i="1"/>
  <c r="I16" i="1"/>
  <c r="I15" i="1"/>
  <c r="I14" i="1"/>
  <c r="I13" i="1"/>
  <c r="I12" i="1"/>
  <c r="I11" i="1"/>
  <c r="I10" i="1"/>
  <c r="I9" i="1"/>
  <c r="I8" i="1"/>
  <c r="H16" i="1"/>
  <c r="H15" i="1"/>
  <c r="H14" i="1"/>
  <c r="H13" i="1"/>
  <c r="H12" i="1"/>
  <c r="H11" i="1"/>
  <c r="H10" i="1"/>
  <c r="H9" i="1"/>
  <c r="H8" i="1"/>
  <c r="F24" i="7"/>
  <c r="F23" i="7"/>
  <c r="F22" i="7"/>
  <c r="F21" i="7"/>
  <c r="F20" i="7"/>
  <c r="F19" i="7"/>
  <c r="F18" i="7"/>
  <c r="F17" i="7"/>
  <c r="F16" i="7"/>
  <c r="F15" i="7"/>
  <c r="K15" i="7"/>
  <c r="K14" i="7"/>
  <c r="G14" i="7"/>
  <c r="K13" i="7"/>
  <c r="O13" i="7"/>
  <c r="Q13" i="7"/>
  <c r="G13" i="7"/>
  <c r="K12" i="7"/>
  <c r="G12" i="7"/>
  <c r="K11" i="7"/>
  <c r="G11" i="7"/>
  <c r="R11" i="7"/>
  <c r="O10" i="7"/>
  <c r="P10" i="7"/>
  <c r="K10" i="7"/>
  <c r="G10" i="7"/>
  <c r="O9" i="7"/>
  <c r="Q9" i="7"/>
  <c r="K9" i="7"/>
  <c r="G9" i="7"/>
  <c r="O8" i="7"/>
  <c r="P8" i="7"/>
  <c r="K8" i="7"/>
  <c r="Q8" i="7"/>
  <c r="G8" i="7"/>
  <c r="O7" i="7"/>
  <c r="K7" i="7"/>
  <c r="Q7" i="7"/>
  <c r="G7" i="7"/>
  <c r="O6" i="7"/>
  <c r="K6" i="7"/>
  <c r="Q6" i="7"/>
  <c r="G6" i="7"/>
  <c r="O5" i="7"/>
  <c r="K5" i="7"/>
  <c r="Q5" i="7"/>
  <c r="G5" i="7"/>
  <c r="P5" i="7"/>
  <c r="T54" i="6"/>
  <c r="S54" i="6"/>
  <c r="R54" i="6"/>
  <c r="Q54" i="6"/>
  <c r="P54" i="6"/>
  <c r="N54" i="6"/>
  <c r="M54" i="6"/>
  <c r="L54" i="6"/>
  <c r="K54" i="6"/>
  <c r="J54" i="6"/>
  <c r="I54" i="6"/>
  <c r="H54" i="6"/>
  <c r="O48" i="6"/>
  <c r="O54" i="6"/>
  <c r="F48" i="6"/>
  <c r="F54" i="6"/>
  <c r="T45" i="6"/>
  <c r="C45" i="6"/>
  <c r="C54" i="6"/>
  <c r="T43" i="6"/>
  <c r="S43" i="6"/>
  <c r="R43" i="6"/>
  <c r="Q43" i="6"/>
  <c r="N43" i="6"/>
  <c r="M43" i="6"/>
  <c r="L43" i="6"/>
  <c r="K43" i="6"/>
  <c r="J43" i="6"/>
  <c r="I43" i="6"/>
  <c r="H43" i="6"/>
  <c r="Q39" i="6"/>
  <c r="P38" i="6"/>
  <c r="P43" i="6"/>
  <c r="G38" i="6"/>
  <c r="G43" i="6"/>
  <c r="O37" i="6"/>
  <c r="O43" i="6"/>
  <c r="F37" i="6"/>
  <c r="F43" i="6"/>
  <c r="E36" i="6"/>
  <c r="E43" i="6"/>
  <c r="D35" i="6"/>
  <c r="D43" i="6"/>
  <c r="T34" i="6"/>
  <c r="C34" i="6"/>
  <c r="C43" i="6"/>
  <c r="S32" i="6"/>
  <c r="P32" i="6"/>
  <c r="O32" i="6"/>
  <c r="N32" i="6"/>
  <c r="M32" i="6"/>
  <c r="L32" i="6"/>
  <c r="K32" i="6"/>
  <c r="J32" i="6"/>
  <c r="I32" i="6"/>
  <c r="H32" i="6"/>
  <c r="G27" i="6"/>
  <c r="G49" i="6"/>
  <c r="G54" i="6"/>
  <c r="S26" i="6"/>
  <c r="F26" i="6"/>
  <c r="R25" i="6"/>
  <c r="R32" i="6"/>
  <c r="E25" i="6"/>
  <c r="E47" i="6"/>
  <c r="E54" i="6"/>
  <c r="Q24" i="6"/>
  <c r="Q32" i="6"/>
  <c r="D24" i="6"/>
  <c r="D46" i="6"/>
  <c r="D54" i="6"/>
  <c r="C23" i="6"/>
  <c r="P21" i="6"/>
  <c r="O21" i="6"/>
  <c r="N21" i="6"/>
  <c r="M21" i="6"/>
  <c r="L21" i="6"/>
  <c r="K21" i="6"/>
  <c r="J21" i="6"/>
  <c r="I21" i="6"/>
  <c r="H21" i="6"/>
  <c r="T20" i="6"/>
  <c r="S19" i="6"/>
  <c r="R18" i="6"/>
  <c r="Q17" i="6"/>
  <c r="Q21" i="6"/>
  <c r="T16" i="6"/>
  <c r="P16" i="6"/>
  <c r="S15" i="6"/>
  <c r="S21" i="6"/>
  <c r="R14" i="6"/>
  <c r="R21" i="6"/>
  <c r="Q13" i="6"/>
  <c r="P12" i="6"/>
  <c r="T12" i="6"/>
  <c r="T21" i="6"/>
  <c r="C24" i="1"/>
  <c r="C25" i="1" s="1"/>
  <c r="I27" i="1"/>
  <c r="I26" i="1"/>
  <c r="I25" i="1"/>
  <c r="I24" i="1"/>
  <c r="G27" i="1"/>
  <c r="G26" i="1"/>
  <c r="G25" i="1"/>
  <c r="G24" i="1"/>
  <c r="B22" i="1"/>
  <c r="B24" i="1" s="1"/>
  <c r="B25" i="1" s="1"/>
  <c r="B26" i="1" s="1"/>
  <c r="B40" i="1"/>
  <c r="O12" i="7"/>
  <c r="P12" i="7"/>
  <c r="P6" i="7"/>
  <c r="R9" i="7"/>
  <c r="O11" i="7"/>
  <c r="Q11" i="7"/>
  <c r="R13" i="7"/>
  <c r="O14" i="7"/>
  <c r="P14" i="7"/>
  <c r="R6" i="7"/>
  <c r="R7" i="7"/>
  <c r="Q10" i="7"/>
  <c r="L15" i="7"/>
  <c r="M15" i="7"/>
  <c r="P7" i="7"/>
  <c r="R8" i="7"/>
  <c r="P9" i="7"/>
  <c r="R10" i="7"/>
  <c r="P11" i="7"/>
  <c r="R12" i="7"/>
  <c r="P13" i="7"/>
  <c r="R14" i="7"/>
  <c r="G15" i="7"/>
  <c r="O15" i="7"/>
  <c r="Q14" i="7"/>
  <c r="Q12" i="7"/>
  <c r="M34" i="7"/>
  <c r="M35" i="7"/>
  <c r="M36" i="7"/>
  <c r="M37" i="7"/>
  <c r="M38" i="7"/>
  <c r="M39" i="7"/>
  <c r="M40" i="7"/>
  <c r="M41" i="7"/>
  <c r="M42" i="7"/>
  <c r="M43" i="7"/>
  <c r="M44" i="7"/>
  <c r="M45" i="7"/>
  <c r="M46" i="7"/>
  <c r="M47" i="7"/>
  <c r="M48" i="7"/>
  <c r="M49" i="7"/>
  <c r="M50" i="7"/>
  <c r="M51" i="7"/>
  <c r="M25" i="7"/>
  <c r="N15" i="7"/>
  <c r="H15" i="7"/>
  <c r="R15" i="7"/>
  <c r="I15" i="7"/>
  <c r="L34" i="7"/>
  <c r="L43" i="7"/>
  <c r="L25" i="7"/>
  <c r="L26" i="7"/>
  <c r="I43" i="7"/>
  <c r="I44" i="7"/>
  <c r="I45" i="7"/>
  <c r="I46" i="7"/>
  <c r="I47" i="7"/>
  <c r="I48" i="7"/>
  <c r="I49" i="7"/>
  <c r="I50" i="7"/>
  <c r="I51" i="7"/>
  <c r="I25" i="7"/>
  <c r="I26" i="7"/>
  <c r="I27" i="7"/>
  <c r="I28" i="7"/>
  <c r="I29" i="7"/>
  <c r="I30" i="7"/>
  <c r="I31" i="7"/>
  <c r="I32" i="7"/>
  <c r="I33" i="7"/>
  <c r="I34" i="7"/>
  <c r="I35" i="7"/>
  <c r="I36" i="7"/>
  <c r="I37" i="7"/>
  <c r="I38" i="7"/>
  <c r="I39" i="7"/>
  <c r="I40" i="7"/>
  <c r="I41" i="7"/>
  <c r="I42" i="7"/>
  <c r="N43" i="7"/>
  <c r="L44" i="7"/>
  <c r="H34" i="7"/>
  <c r="H43" i="7"/>
  <c r="H25" i="7"/>
  <c r="J15" i="7"/>
  <c r="L35" i="7"/>
  <c r="N34" i="7"/>
  <c r="N16" i="7"/>
  <c r="Q15" i="7"/>
  <c r="M26" i="7"/>
  <c r="N25" i="7"/>
  <c r="N26" i="7"/>
  <c r="M27" i="7"/>
  <c r="N35" i="7"/>
  <c r="L36" i="7"/>
  <c r="J34" i="7"/>
  <c r="H35" i="7"/>
  <c r="P15" i="7"/>
  <c r="J16" i="7"/>
  <c r="L45" i="7"/>
  <c r="N44" i="7"/>
  <c r="M16" i="7"/>
  <c r="N17" i="7"/>
  <c r="L16" i="7"/>
  <c r="H26" i="7"/>
  <c r="J25" i="7"/>
  <c r="H44" i="7"/>
  <c r="J43" i="7"/>
  <c r="O34" i="7"/>
  <c r="Q34" i="7"/>
  <c r="O25" i="7"/>
  <c r="Q25" i="7"/>
  <c r="J17" i="7"/>
  <c r="H16" i="7"/>
  <c r="I16" i="7"/>
  <c r="O16" i="7"/>
  <c r="Q16" i="7"/>
  <c r="N36" i="7"/>
  <c r="L37" i="7"/>
  <c r="J26" i="7"/>
  <c r="H27" i="7"/>
  <c r="O43" i="7"/>
  <c r="Q43" i="7"/>
  <c r="O44" i="7"/>
  <c r="Q44" i="7"/>
  <c r="J35" i="7"/>
  <c r="H36" i="7"/>
  <c r="M28" i="7"/>
  <c r="J44" i="7"/>
  <c r="H45" i="7"/>
  <c r="O35" i="7"/>
  <c r="Q35" i="7"/>
  <c r="M17" i="7"/>
  <c r="N18" i="7"/>
  <c r="L17" i="7"/>
  <c r="L27" i="7"/>
  <c r="L28" i="7"/>
  <c r="L29" i="7"/>
  <c r="L30" i="7"/>
  <c r="L31" i="7"/>
  <c r="L32" i="7"/>
  <c r="L33" i="7"/>
  <c r="N45" i="7"/>
  <c r="L46" i="7"/>
  <c r="P34" i="7"/>
  <c r="N27" i="7"/>
  <c r="P16" i="7"/>
  <c r="N37" i="7"/>
  <c r="L38" i="7"/>
  <c r="P25" i="7"/>
  <c r="P44" i="7"/>
  <c r="P35" i="7"/>
  <c r="J27" i="7"/>
  <c r="H28" i="7"/>
  <c r="O17" i="7"/>
  <c r="Q17" i="7"/>
  <c r="J18" i="7"/>
  <c r="I17" i="7"/>
  <c r="H17" i="7"/>
  <c r="O26" i="7"/>
  <c r="Q26" i="7"/>
  <c r="M29" i="7"/>
  <c r="N28" i="7"/>
  <c r="N46" i="7"/>
  <c r="L47" i="7"/>
  <c r="M18" i="7"/>
  <c r="N19" i="7"/>
  <c r="L18" i="7"/>
  <c r="J45" i="7"/>
  <c r="O45" i="7"/>
  <c r="Q45" i="7"/>
  <c r="H46" i="7"/>
  <c r="J36" i="7"/>
  <c r="H37" i="7"/>
  <c r="P43" i="7"/>
  <c r="P26" i="7"/>
  <c r="M19" i="7"/>
  <c r="M20" i="7"/>
  <c r="L19" i="7"/>
  <c r="L20" i="7"/>
  <c r="L21" i="7"/>
  <c r="L22" i="7"/>
  <c r="L23" i="7"/>
  <c r="L24" i="7"/>
  <c r="P27" i="7"/>
  <c r="O27" i="7"/>
  <c r="Q27" i="7"/>
  <c r="J46" i="7"/>
  <c r="H47" i="7"/>
  <c r="J19" i="7"/>
  <c r="H18" i="7"/>
  <c r="O18" i="7"/>
  <c r="Q18" i="7"/>
  <c r="I18" i="7"/>
  <c r="P45" i="7"/>
  <c r="M30" i="7"/>
  <c r="N29" i="7"/>
  <c r="L39" i="7"/>
  <c r="N38" i="7"/>
  <c r="O36" i="7"/>
  <c r="Q36" i="7"/>
  <c r="H38" i="7"/>
  <c r="J37" i="7"/>
  <c r="O37" i="7"/>
  <c r="Q37" i="7"/>
  <c r="N47" i="7"/>
  <c r="L48" i="7"/>
  <c r="P17" i="7"/>
  <c r="J28" i="7"/>
  <c r="H29" i="7"/>
  <c r="J38" i="7"/>
  <c r="H39" i="7"/>
  <c r="N39" i="7"/>
  <c r="L40" i="7"/>
  <c r="O19" i="7"/>
  <c r="Q19" i="7"/>
  <c r="I19" i="7"/>
  <c r="I20" i="7"/>
  <c r="I21" i="7"/>
  <c r="I22" i="7"/>
  <c r="I23" i="7"/>
  <c r="I24" i="7"/>
  <c r="P19" i="7"/>
  <c r="H19" i="7"/>
  <c r="H20" i="7"/>
  <c r="L49" i="7"/>
  <c r="N48" i="7"/>
  <c r="M21" i="7"/>
  <c r="N20" i="7"/>
  <c r="O28" i="7"/>
  <c r="Q28" i="7"/>
  <c r="P28" i="7"/>
  <c r="P37" i="7"/>
  <c r="O38" i="7"/>
  <c r="Q38" i="7"/>
  <c r="H48" i="7"/>
  <c r="J47" i="7"/>
  <c r="H30" i="7"/>
  <c r="J29" i="7"/>
  <c r="O47" i="7"/>
  <c r="Q47" i="7"/>
  <c r="N30" i="7"/>
  <c r="M31" i="7"/>
  <c r="P18" i="7"/>
  <c r="O46" i="7"/>
  <c r="Q46" i="7"/>
  <c r="P36" i="7"/>
  <c r="P46" i="7"/>
  <c r="P47" i="7"/>
  <c r="M22" i="7"/>
  <c r="N21" i="7"/>
  <c r="H21" i="7"/>
  <c r="J20" i="7"/>
  <c r="N40" i="7"/>
  <c r="L41" i="7"/>
  <c r="J48" i="7"/>
  <c r="H49" i="7"/>
  <c r="J39" i="7"/>
  <c r="H40" i="7"/>
  <c r="M32" i="7"/>
  <c r="N31" i="7"/>
  <c r="O29" i="7"/>
  <c r="Q29" i="7"/>
  <c r="O48" i="7"/>
  <c r="Q48" i="7"/>
  <c r="J30" i="7"/>
  <c r="H31" i="7"/>
  <c r="N49" i="7"/>
  <c r="L50" i="7"/>
  <c r="P38" i="7"/>
  <c r="P29" i="7"/>
  <c r="J40" i="7"/>
  <c r="H41" i="7"/>
  <c r="M33" i="7"/>
  <c r="N33" i="7"/>
  <c r="N32" i="7"/>
  <c r="P39" i="7"/>
  <c r="M23" i="7"/>
  <c r="N22" i="7"/>
  <c r="O39" i="7"/>
  <c r="Q39" i="7"/>
  <c r="P48" i="7"/>
  <c r="H22" i="7"/>
  <c r="J21" i="7"/>
  <c r="N41" i="7"/>
  <c r="L42" i="7"/>
  <c r="N42" i="7"/>
  <c r="J31" i="7"/>
  <c r="H32" i="7"/>
  <c r="N50" i="7"/>
  <c r="L51" i="7"/>
  <c r="N51" i="7"/>
  <c r="O30" i="7"/>
  <c r="Q30" i="7"/>
  <c r="J49" i="7"/>
  <c r="H50" i="7"/>
  <c r="O20" i="7"/>
  <c r="Q20" i="7"/>
  <c r="J50" i="7"/>
  <c r="H51" i="7"/>
  <c r="J51" i="7"/>
  <c r="J32" i="7"/>
  <c r="H33" i="7"/>
  <c r="J33" i="7"/>
  <c r="H42" i="7"/>
  <c r="J42" i="7"/>
  <c r="J41" i="7"/>
  <c r="O50" i="7"/>
  <c r="Q50" i="7"/>
  <c r="O31" i="7"/>
  <c r="Q31" i="7"/>
  <c r="O49" i="7"/>
  <c r="Q49" i="7"/>
  <c r="O42" i="7"/>
  <c r="P20" i="7"/>
  <c r="P30" i="7"/>
  <c r="O40" i="7"/>
  <c r="Q40" i="7"/>
  <c r="O41" i="7"/>
  <c r="Q41" i="7"/>
  <c r="M24" i="7"/>
  <c r="N24" i="7"/>
  <c r="N23" i="7"/>
  <c r="O51" i="7"/>
  <c r="O21" i="7"/>
  <c r="Q21" i="7"/>
  <c r="H23" i="7"/>
  <c r="J22" i="7"/>
  <c r="P49" i="7"/>
  <c r="O32" i="7"/>
  <c r="Q32" i="7"/>
  <c r="H24" i="7"/>
  <c r="J24" i="7"/>
  <c r="J23" i="7"/>
  <c r="P21" i="7"/>
  <c r="O33" i="7"/>
  <c r="Q33" i="7"/>
  <c r="O22" i="7"/>
  <c r="Q22" i="7"/>
  <c r="P22" i="7"/>
  <c r="P31" i="7"/>
  <c r="P41" i="7"/>
  <c r="P40" i="7"/>
  <c r="P50" i="7"/>
  <c r="P33" i="7"/>
  <c r="P32" i="7"/>
  <c r="O23" i="7"/>
  <c r="Q23" i="7"/>
  <c r="O24" i="7"/>
  <c r="Q24" i="7"/>
  <c r="P24" i="7"/>
  <c r="P23" i="7"/>
  <c r="I29" i="1" l="1"/>
  <c r="G29" i="1"/>
  <c r="J27" i="1"/>
  <c r="B28" i="1"/>
  <c r="J25" i="1"/>
  <c r="H25" i="1"/>
  <c r="C26" i="1"/>
  <c r="J24" i="1" l="1"/>
  <c r="B29" i="1"/>
  <c r="E12" i="1"/>
  <c r="C12" i="1"/>
  <c r="C27" i="1"/>
  <c r="H26" i="1"/>
  <c r="J26" i="1"/>
  <c r="J29" i="1" l="1"/>
  <c r="C28" i="1"/>
  <c r="E13" i="1"/>
  <c r="C13" i="1"/>
  <c r="B30" i="1"/>
  <c r="H27" i="1" l="1"/>
  <c r="H29" i="1" s="1"/>
  <c r="H31" i="1" s="1"/>
  <c r="J33" i="1" s="1"/>
  <c r="B31" i="1"/>
  <c r="E14" i="1"/>
  <c r="C14" i="1"/>
  <c r="C29" i="1"/>
  <c r="B12" i="1"/>
  <c r="B13" i="1" l="1"/>
  <c r="C30" i="1"/>
  <c r="B32" i="1"/>
  <c r="C15" i="1"/>
  <c r="E15" i="1"/>
  <c r="B14" i="1" l="1"/>
  <c r="C31" i="1"/>
  <c r="D16" i="1"/>
  <c r="D18" i="1" s="1"/>
  <c r="B16" i="1"/>
  <c r="E16" i="1"/>
  <c r="E18" i="1" s="1"/>
  <c r="C16" i="1"/>
  <c r="C18" i="1" s="1"/>
  <c r="C19" i="1" s="1"/>
  <c r="C32" i="1" l="1"/>
  <c r="B15" i="1"/>
  <c r="B18" i="1" s="1"/>
  <c r="B19" i="1" s="1"/>
  <c r="E19" i="1"/>
  <c r="D19" i="1"/>
</calcChain>
</file>

<file path=xl/sharedStrings.xml><?xml version="1.0" encoding="utf-8"?>
<sst xmlns="http://schemas.openxmlformats.org/spreadsheetml/2006/main" count="215" uniqueCount="99">
  <si>
    <t>Year</t>
  </si>
  <si>
    <t>Scenario 2</t>
  </si>
  <si>
    <t>Scenario 3</t>
  </si>
  <si>
    <t>Scenario 4</t>
  </si>
  <si>
    <t>Scenario 1</t>
  </si>
  <si>
    <t>Cost/Mile</t>
  </si>
  <si>
    <t xml:space="preserve">Re-Clear Cost </t>
  </si>
  <si>
    <t xml:space="preserve">Test Year O&amp;M Expenditures TYE, 09/30/2014 </t>
  </si>
  <si>
    <t>Additional Annual Funding for Scenario 2</t>
  </si>
  <si>
    <t xml:space="preserve">Scenario 2 Difference </t>
  </si>
  <si>
    <t>Scenario 2 average</t>
  </si>
  <si>
    <t>Co - ST</t>
  </si>
  <si>
    <t>AEP-KYP</t>
  </si>
  <si>
    <t>Filter</t>
  </si>
  <si>
    <t>Excl JMEDs</t>
  </si>
  <si>
    <t>Sum of Value</t>
  </si>
  <si>
    <t>SAIDI</t>
  </si>
  <si>
    <t>Customer</t>
  </si>
  <si>
    <t>CMI</t>
  </si>
  <si>
    <t>3PH CMI</t>
  </si>
  <si>
    <t>1PH CMI</t>
  </si>
  <si>
    <t>TOTAL</t>
  </si>
  <si>
    <t>%</t>
  </si>
  <si>
    <t>Period Length</t>
  </si>
  <si>
    <t>Period Ending</t>
  </si>
  <si>
    <t>Veg Outside RoW</t>
  </si>
  <si>
    <t>Veg Inside RoW</t>
  </si>
  <si>
    <t>Grand Total</t>
  </si>
  <si>
    <t>Count</t>
  </si>
  <si>
    <t>12M</t>
  </si>
  <si>
    <t>Scenario #1 Projections</t>
  </si>
  <si>
    <t>Scenario #2 Projections</t>
  </si>
  <si>
    <t xml:space="preserve">CMI projections for scenario #2 derived by looking at 38 circuits that were either total reclear or almost total reclear in 2010, 2011, 2012 and comparing the the Tree In CMI and Tree Out CMI in the following year (2011, 2012, 2013). The Tree In CMI reduction was 60.1% and the Tree Out CMI reduction was 27.1%. </t>
  </si>
  <si>
    <t>Scenario #3 Projections</t>
  </si>
  <si>
    <t xml:space="preserve">CMI projections for scenario #3 derived by looking at 38 circuits that were either total reclear or almost total reclear in 2010, 2011, 2012 and comparing the the Tree In CMI and Tree Out CMI in the following year (2011, 2012, 2013). The Tree In CMI reduction was 60.1% and the Tree Out CMI reduction was 27.1%. </t>
  </si>
  <si>
    <t>Scenario #4 Projections</t>
  </si>
  <si>
    <t xml:space="preserve">CMI projections for scenario #4 derived by looking at 38 circuits that were either total reclear or almost total reclear in 2010, 2011, 2012 and comparing the the Tree In CMI and Tree Out CMI in the following year (2011, 2012, 2013). The Tree In CMI reduction was 60.1% and the Tree Out CMI reduction was 27.1%. </t>
  </si>
  <si>
    <t>Orig Clear</t>
  </si>
  <si>
    <t>Reclear</t>
  </si>
  <si>
    <t>Scenario #1</t>
  </si>
  <si>
    <t>Total Miles</t>
  </si>
  <si>
    <t>Three Phase Miles</t>
  </si>
  <si>
    <t>Single Phase Miles</t>
  </si>
  <si>
    <t>Scenario #2</t>
  </si>
  <si>
    <t>Scenario #3</t>
  </si>
  <si>
    <t>Scenario #4</t>
  </si>
  <si>
    <t>Interim</t>
  </si>
  <si>
    <t>Mid-Year</t>
  </si>
  <si>
    <t>Scenario Reliability Comparison (Customer Minute Interruption - CMI)</t>
  </si>
  <si>
    <t>CMI projections for scenario #1 derived starting with 2010 as base year, then looking at the average change over the next four years. This vaule is applied to 2015 through 2018. Then from this point the cycle benefits are applied.</t>
  </si>
  <si>
    <t>110</t>
  </si>
  <si>
    <t>In Org Budget View</t>
  </si>
  <si>
    <t>Out of Org Budget View</t>
  </si>
  <si>
    <t>Internal Labor</t>
  </si>
  <si>
    <t>Outside Services</t>
  </si>
  <si>
    <t>Material &amp; Supplies</t>
  </si>
  <si>
    <t>Other Cost Category</t>
  </si>
  <si>
    <t>Fleet Services</t>
  </si>
  <si>
    <t>Incentives</t>
  </si>
  <si>
    <t>Other Clearings/Billings</t>
  </si>
  <si>
    <t>(01) Jan</t>
  </si>
  <si>
    <t>(02) Feb</t>
  </si>
  <si>
    <t>(03) Mar</t>
  </si>
  <si>
    <t>(04) Apr</t>
  </si>
  <si>
    <t>(05) May</t>
  </si>
  <si>
    <t>(06) Jun</t>
  </si>
  <si>
    <t>(07) Jul</t>
  </si>
  <si>
    <t>(08) Aug</t>
  </si>
  <si>
    <t>(09) Sep</t>
  </si>
  <si>
    <t>Totals</t>
  </si>
  <si>
    <t>2014 Cost per Mile    =</t>
  </si>
  <si>
    <r>
      <rPr>
        <b/>
        <sz val="12"/>
        <color theme="1"/>
        <rFont val="Times New Roman"/>
        <family val="1"/>
      </rPr>
      <t>September Status (3rd Quarter Updated Miles)    =</t>
    </r>
    <r>
      <rPr>
        <sz val="12"/>
        <color theme="1"/>
        <rFont val="Times New Roman"/>
        <family val="1"/>
      </rPr>
      <t xml:space="preserve"> </t>
    </r>
  </si>
  <si>
    <t>Table 7:  Scenario 2</t>
  </si>
  <si>
    <t>Yr 1 Miles</t>
  </si>
  <si>
    <t xml:space="preserve">      5 years growth</t>
  </si>
  <si>
    <t>4 years growth</t>
  </si>
  <si>
    <t>Yr 2 Miles</t>
  </si>
  <si>
    <t>Yr 3 Miles</t>
  </si>
  <si>
    <t>Yr 4 Miles</t>
  </si>
  <si>
    <t>Yr 5 Miles</t>
  </si>
  <si>
    <t>Yr 6 Miles</t>
  </si>
  <si>
    <t>Yr 7 Miles</t>
  </si>
  <si>
    <t>Yr 8 Miles</t>
  </si>
  <si>
    <t>Yr 9 Miles</t>
  </si>
  <si>
    <t>Program Miles</t>
  </si>
  <si>
    <t>Task 1 - # Miles (Unanimous Settlement Agreement)</t>
  </si>
  <si>
    <t>Task 2 - # Miles Interim Clear at Maintained Cost (4 - 5 yrs growth)</t>
  </si>
  <si>
    <t>Task 3 - # Miles at Maintained Cost (4 yrs growth)</t>
  </si>
  <si>
    <t>Table 6:  Scenario 1</t>
  </si>
  <si>
    <t>8.5 years growth</t>
  </si>
  <si>
    <t>Task 2 - # Miles at Re-Clear Cost (Start at 8.5 yrs growth)</t>
  </si>
  <si>
    <t>Table 8:  Scenario 3</t>
  </si>
  <si>
    <t>7 years growth</t>
  </si>
  <si>
    <t>Task 2 - # Miles at Re-clear Cost (7 yrs growth)</t>
  </si>
  <si>
    <t>Table 9:  Scenario 4</t>
  </si>
  <si>
    <t xml:space="preserve">    5 years growth</t>
  </si>
  <si>
    <t>Scenario Cost Comparison for 4 Year Cycle</t>
  </si>
  <si>
    <t xml:space="preserve">Maintenance Cost </t>
  </si>
  <si>
    <t>Travel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</si>
</sst>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quot;$&quot;#,##0.00"/>
    <numFmt numFmtId="165" formatCode="0.0"/>
    <numFmt numFmtId="166" formatCode="0.0%"/>
    <numFmt numFmtId="167" formatCode="#,##0.0"/>
    <numFmt numFmtId="168" formatCode="#,##0;\(#,##0\)"/>
  </numFmts>
  <fonts count="30" x14ac:knownFonts="1">
    <font>
      <sz val="11"/>
      <color theme="1"/>
      <name val="Calibri"/>
      <family val="2"/>
      <scheme val="minor"/>
    </font>
    <font>
      <sz val="10"/>
      <name val="Arial"/>
      <family val="2"/>
    </font>
    <font>
      <sz val="11"/>
      <color theme="1"/>
      <name val="Calibri"/>
      <family val="2"/>
      <scheme val="minor"/>
    </font>
    <font>
      <sz val="10"/>
      <color theme="1"/>
      <name val="Calibri"/>
      <family val="2"/>
      <scheme val="minor"/>
    </font>
    <font>
      <sz val="11"/>
      <color theme="1"/>
      <name val="Times New Roman"/>
      <family val="1"/>
    </font>
    <font>
      <sz val="12"/>
      <name val="Times New Roman"/>
      <family val="1"/>
    </font>
    <font>
      <sz val="12"/>
      <color indexed="8"/>
      <name val="Times New Roman"/>
      <family val="1"/>
    </font>
    <font>
      <sz val="12"/>
      <color theme="1"/>
      <name val="Calibri"/>
      <family val="2"/>
      <scheme val="minor"/>
    </font>
    <font>
      <sz val="12"/>
      <color theme="1"/>
      <name val="Times New Roman"/>
      <family val="1"/>
    </font>
    <font>
      <b/>
      <sz val="12"/>
      <color rgb="FF0070C0"/>
      <name val="Times New Roman"/>
      <family val="1"/>
    </font>
    <font>
      <b/>
      <sz val="12"/>
      <color theme="1"/>
      <name val="Times New Roman"/>
      <family val="1"/>
    </font>
    <font>
      <b/>
      <sz val="12"/>
      <name val="Times New Roman"/>
      <family val="1"/>
    </font>
    <font>
      <b/>
      <sz val="12"/>
      <color rgb="FFFF0000"/>
      <name val="Times New Roman"/>
      <family val="1"/>
    </font>
    <font>
      <b/>
      <sz val="12"/>
      <color indexed="8"/>
      <name val="Times New Roman"/>
      <family val="1"/>
    </font>
    <font>
      <sz val="12"/>
      <color indexed="10"/>
      <name val="Times New Roman"/>
      <family val="1"/>
    </font>
    <font>
      <b/>
      <sz val="12"/>
      <color indexed="10"/>
      <name val="Times New Roman"/>
      <family val="1"/>
    </font>
    <font>
      <b/>
      <sz val="12"/>
      <color theme="3"/>
      <name val="Times New Roman"/>
      <family val="1"/>
    </font>
    <font>
      <b/>
      <sz val="12"/>
      <color rgb="FF00B050"/>
      <name val="Times New Roman"/>
      <family val="1"/>
    </font>
    <font>
      <b/>
      <sz val="11"/>
      <color theme="1"/>
      <name val="Calibri"/>
      <family val="2"/>
      <scheme val="minor"/>
    </font>
    <font>
      <b/>
      <sz val="18"/>
      <color theme="1"/>
      <name val="Arial"/>
      <family val="2"/>
    </font>
    <font>
      <b/>
      <sz val="12"/>
      <color theme="1"/>
      <name val="Arial"/>
      <family val="2"/>
    </font>
    <font>
      <sz val="12"/>
      <color theme="1"/>
      <name val="Arial"/>
      <family val="2"/>
    </font>
    <font>
      <b/>
      <sz val="11"/>
      <color theme="4"/>
      <name val="Calibri"/>
      <family val="2"/>
      <scheme val="minor"/>
    </font>
    <font>
      <sz val="11"/>
      <color rgb="FFFFC000"/>
      <name val="Calibri"/>
      <family val="2"/>
      <scheme val="minor"/>
    </font>
    <font>
      <b/>
      <sz val="11"/>
      <color rgb="FFFFC000"/>
      <name val="Calibri"/>
      <family val="2"/>
      <scheme val="minor"/>
    </font>
    <font>
      <b/>
      <sz val="11"/>
      <color rgb="FFFF0000"/>
      <name val="Calibri"/>
      <family val="2"/>
      <scheme val="minor"/>
    </font>
    <font>
      <b/>
      <sz val="11"/>
      <color theme="1"/>
      <name val="Arial"/>
      <family val="2"/>
    </font>
    <font>
      <b/>
      <sz val="11"/>
      <color rgb="FF92D050"/>
      <name val="Calibri"/>
      <family val="2"/>
      <scheme val="minor"/>
    </font>
    <font>
      <sz val="11"/>
      <name val="Calibri"/>
      <family val="2"/>
      <scheme val="minor"/>
    </font>
    <font>
      <sz val="11"/>
      <color rgb="FF009900"/>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indexed="65"/>
        <bgColor indexed="8"/>
      </patternFill>
    </fill>
    <fill>
      <patternFill patternType="mediumGray">
        <fgColor indexed="8"/>
        <bgColor theme="2"/>
      </patternFill>
    </fill>
    <fill>
      <patternFill patternType="solid">
        <fgColor indexed="65"/>
        <bgColor indexed="10"/>
      </patternFill>
    </fill>
    <fill>
      <patternFill patternType="solid">
        <fgColor theme="2"/>
        <bgColor indexed="10"/>
      </patternFill>
    </fill>
    <fill>
      <patternFill patternType="solid">
        <fgColor indexed="65"/>
        <bgColor indexed="64"/>
      </patternFill>
    </fill>
    <fill>
      <patternFill patternType="solid">
        <fgColor theme="2"/>
        <bgColor indexed="64"/>
      </patternFill>
    </fill>
    <fill>
      <patternFill patternType="solid">
        <fgColor rgb="FFFFFF00"/>
        <bgColor indexed="8"/>
      </patternFill>
    </fill>
    <fill>
      <patternFill patternType="solid">
        <fgColor theme="0" tint="-0.34998626667073579"/>
        <bgColor indexed="64"/>
      </patternFill>
    </fill>
    <fill>
      <patternFill patternType="solid">
        <fgColor theme="3" tint="0.39997558519241921"/>
        <bgColor indexed="64"/>
      </patternFill>
    </fill>
    <fill>
      <patternFill patternType="solid">
        <fgColor rgb="FFFFC000"/>
        <bgColor indexed="64"/>
      </patternFill>
    </fill>
    <fill>
      <patternFill patternType="solid">
        <fgColor rgb="FFFF0000"/>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n">
        <color auto="1"/>
      </right>
      <top style="thin">
        <color indexed="9"/>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indexed="9"/>
      </bottom>
      <diagonal/>
    </border>
    <border>
      <left style="thin">
        <color auto="1"/>
      </left>
      <right style="thin">
        <color auto="1"/>
      </right>
      <top/>
      <bottom/>
      <diagonal/>
    </border>
    <border>
      <left style="thin">
        <color auto="1"/>
      </left>
      <right style="thin">
        <color auto="1"/>
      </right>
      <top style="thin">
        <color indexed="9"/>
      </top>
      <bottom style="thick">
        <color auto="1"/>
      </bottom>
      <diagonal/>
    </border>
    <border>
      <left/>
      <right style="thick">
        <color auto="1"/>
      </right>
      <top style="thick">
        <color auto="1"/>
      </top>
      <bottom style="thin">
        <color auto="1"/>
      </bottom>
      <diagonal/>
    </border>
    <border>
      <left/>
      <right style="thick">
        <color auto="1"/>
      </right>
      <top style="thin">
        <color indexed="9"/>
      </top>
      <bottom style="thick">
        <color auto="1"/>
      </bottom>
      <diagonal/>
    </border>
    <border>
      <left style="thin">
        <color auto="1"/>
      </left>
      <right style="thick">
        <color auto="1"/>
      </right>
      <top style="thin">
        <color auto="1"/>
      </top>
      <bottom style="thin">
        <color auto="1"/>
      </bottom>
      <diagonal/>
    </border>
    <border>
      <left/>
      <right style="thin">
        <color indexed="9"/>
      </right>
      <top/>
      <bottom style="thick">
        <color auto="1"/>
      </bottom>
      <diagonal/>
    </border>
    <border>
      <left/>
      <right style="thin">
        <color auto="1"/>
      </right>
      <top/>
      <bottom style="thick">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ck">
        <color auto="1"/>
      </bottom>
      <diagonal/>
    </border>
    <border diagonalUp="1" diagonalDown="1">
      <left/>
      <right/>
      <top/>
      <bottom/>
      <diagonal style="thin">
        <color auto="1"/>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right style="thick">
        <color indexed="64"/>
      </right>
      <top style="thin">
        <color indexed="64"/>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9">
    <xf numFmtId="0" fontId="0" fillId="0" borderId="0"/>
    <xf numFmtId="0" fontId="2"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cellStyleXfs>
  <cellXfs count="258">
    <xf numFmtId="0" fontId="0" fillId="0" borderId="0" xfId="0"/>
    <xf numFmtId="0" fontId="4" fillId="0" borderId="0" xfId="0" applyFont="1"/>
    <xf numFmtId="0" fontId="4" fillId="0" borderId="0" xfId="0" applyFont="1" applyAlignment="1">
      <alignment horizontal="center"/>
    </xf>
    <xf numFmtId="42" fontId="4" fillId="0" borderId="0" xfId="0" applyNumberFormat="1" applyFont="1" applyAlignment="1">
      <alignment horizontal="center"/>
    </xf>
    <xf numFmtId="42" fontId="4" fillId="0" borderId="0" xfId="0" applyNumberFormat="1" applyFont="1" applyAlignment="1"/>
    <xf numFmtId="0" fontId="5" fillId="9" borderId="33" xfId="0" applyNumberFormat="1" applyFont="1" applyFill="1" applyBorder="1" applyAlignment="1">
      <alignment horizontal="center" vertical="center"/>
    </xf>
    <xf numFmtId="0" fontId="5" fillId="9" borderId="19" xfId="0" applyNumberFormat="1" applyFont="1" applyFill="1" applyBorder="1" applyAlignment="1">
      <alignment horizontal="center" vertical="center"/>
    </xf>
    <xf numFmtId="0" fontId="5" fillId="9" borderId="26" xfId="0" applyNumberFormat="1" applyFont="1" applyFill="1" applyBorder="1" applyAlignment="1">
      <alignment horizontal="center" vertical="center"/>
    </xf>
    <xf numFmtId="0" fontId="5" fillId="9" borderId="26" xfId="0" applyNumberFormat="1" applyFont="1" applyFill="1" applyBorder="1" applyAlignment="1">
      <alignment vertical="center"/>
    </xf>
    <xf numFmtId="0" fontId="5" fillId="10" borderId="14" xfId="0" applyNumberFormat="1" applyFont="1" applyFill="1" applyBorder="1" applyAlignment="1">
      <alignment horizontal="center" vertical="center"/>
    </xf>
    <xf numFmtId="0" fontId="5" fillId="9" borderId="25" xfId="0" applyNumberFormat="1" applyFont="1" applyFill="1" applyBorder="1" applyAlignment="1">
      <alignment vertical="center"/>
    </xf>
    <xf numFmtId="0" fontId="5" fillId="9" borderId="14" xfId="0" applyNumberFormat="1" applyFont="1" applyFill="1" applyBorder="1" applyAlignment="1">
      <alignment horizontal="center" vertical="center"/>
    </xf>
    <xf numFmtId="0" fontId="7" fillId="0" borderId="0" xfId="0" applyFont="1"/>
    <xf numFmtId="0" fontId="8" fillId="0" borderId="0" xfId="0" applyFont="1"/>
    <xf numFmtId="0" fontId="8" fillId="2" borderId="0" xfId="0" applyFont="1" applyFill="1"/>
    <xf numFmtId="0" fontId="8" fillId="2" borderId="0" xfId="0" applyFont="1" applyFill="1" applyAlignment="1">
      <alignment horizontal="center"/>
    </xf>
    <xf numFmtId="0" fontId="8" fillId="0" borderId="0" xfId="0" applyFont="1" applyAlignment="1">
      <alignment horizontal="center"/>
    </xf>
    <xf numFmtId="0" fontId="8" fillId="3" borderId="0" xfId="0" applyFont="1" applyFill="1"/>
    <xf numFmtId="1" fontId="8" fillId="0" borderId="0" xfId="0" applyNumberFormat="1" applyFont="1" applyFill="1"/>
    <xf numFmtId="0" fontId="8" fillId="0" borderId="0" xfId="0" applyFont="1" applyFill="1"/>
    <xf numFmtId="1" fontId="8" fillId="0" borderId="0" xfId="0" applyNumberFormat="1" applyFont="1"/>
    <xf numFmtId="0" fontId="10" fillId="0" borderId="10" xfId="0" applyFont="1" applyBorder="1" applyAlignment="1">
      <alignment horizontal="center"/>
    </xf>
    <xf numFmtId="0" fontId="10" fillId="0" borderId="11" xfId="0" applyFont="1" applyBorder="1" applyAlignment="1">
      <alignment horizontal="center"/>
    </xf>
    <xf numFmtId="42" fontId="10" fillId="0" borderId="11" xfId="0" applyNumberFormat="1" applyFont="1" applyBorder="1" applyAlignment="1">
      <alignment horizontal="center"/>
    </xf>
    <xf numFmtId="42" fontId="10" fillId="0" borderId="12" xfId="0" applyNumberFormat="1" applyFont="1" applyBorder="1" applyAlignment="1">
      <alignment horizontal="center"/>
    </xf>
    <xf numFmtId="0" fontId="10" fillId="0" borderId="13" xfId="0" applyFont="1" applyBorder="1" applyAlignment="1">
      <alignment horizontal="center"/>
    </xf>
    <xf numFmtId="3" fontId="8" fillId="0" borderId="0" xfId="0" quotePrefix="1" applyNumberFormat="1" applyFont="1" applyBorder="1" applyAlignment="1">
      <alignment horizontal="center"/>
    </xf>
    <xf numFmtId="3" fontId="8" fillId="0" borderId="14" xfId="0" quotePrefix="1" applyNumberFormat="1" applyFont="1" applyBorder="1" applyAlignment="1">
      <alignment horizontal="center"/>
    </xf>
    <xf numFmtId="0" fontId="10" fillId="0" borderId="15" xfId="0" applyFont="1" applyBorder="1" applyAlignment="1">
      <alignment horizontal="center"/>
    </xf>
    <xf numFmtId="3" fontId="8" fillId="0" borderId="16" xfId="0" quotePrefix="1" applyNumberFormat="1" applyFont="1" applyBorder="1" applyAlignment="1">
      <alignment horizontal="center"/>
    </xf>
    <xf numFmtId="3" fontId="8" fillId="0" borderId="17" xfId="0" quotePrefix="1" applyNumberFormat="1" applyFont="1" applyBorder="1" applyAlignment="1">
      <alignment horizontal="center"/>
    </xf>
    <xf numFmtId="0" fontId="10" fillId="0" borderId="13" xfId="0" applyFont="1" applyBorder="1" applyAlignment="1">
      <alignment horizontal="left"/>
    </xf>
    <xf numFmtId="0" fontId="8" fillId="0" borderId="13" xfId="0" applyFont="1" applyBorder="1" applyAlignment="1">
      <alignment horizontal="center"/>
    </xf>
    <xf numFmtId="0" fontId="10" fillId="0" borderId="15" xfId="0" applyFont="1" applyBorder="1" applyAlignment="1">
      <alignment horizontal="center" wrapText="1"/>
    </xf>
    <xf numFmtId="42" fontId="8" fillId="0" borderId="0" xfId="0" applyNumberFormat="1" applyFont="1" applyAlignment="1">
      <alignment horizontal="center"/>
    </xf>
    <xf numFmtId="42" fontId="8" fillId="0" borderId="0" xfId="0" applyNumberFormat="1" applyFont="1" applyAlignment="1"/>
    <xf numFmtId="0" fontId="10" fillId="0" borderId="0" xfId="0" applyFont="1" applyAlignment="1">
      <alignment horizontal="center"/>
    </xf>
    <xf numFmtId="6" fontId="8" fillId="0" borderId="0" xfId="0" applyNumberFormat="1" applyFont="1" applyAlignment="1">
      <alignment horizontal="center"/>
    </xf>
    <xf numFmtId="44" fontId="8" fillId="0" borderId="0" xfId="0" applyNumberFormat="1" applyFont="1" applyAlignment="1">
      <alignment horizontal="center"/>
    </xf>
    <xf numFmtId="42" fontId="8" fillId="0" borderId="0" xfId="0" applyNumberFormat="1" applyFont="1" applyAlignment="1">
      <alignment horizontal="left"/>
    </xf>
    <xf numFmtId="0" fontId="10" fillId="0" borderId="0" xfId="0" applyFont="1" applyAlignment="1">
      <alignment horizontal="center" wrapText="1"/>
    </xf>
    <xf numFmtId="42" fontId="10" fillId="0" borderId="0" xfId="0" applyNumberFormat="1" applyFont="1" applyAlignment="1">
      <alignment horizontal="center"/>
    </xf>
    <xf numFmtId="42" fontId="8" fillId="0" borderId="0" xfId="0" applyNumberFormat="1" applyFont="1"/>
    <xf numFmtId="0" fontId="10" fillId="0" borderId="0" xfId="0" applyFont="1" applyFill="1"/>
    <xf numFmtId="0" fontId="10" fillId="0" borderId="0" xfId="0" applyFont="1" applyFill="1" applyAlignment="1">
      <alignment horizontal="center"/>
    </xf>
    <xf numFmtId="42" fontId="11" fillId="0" borderId="0" xfId="0" applyNumberFormat="1" applyFont="1" applyFill="1" applyAlignment="1">
      <alignment horizontal="center"/>
    </xf>
    <xf numFmtId="0" fontId="10" fillId="0" borderId="0" xfId="0" applyFont="1"/>
    <xf numFmtId="42" fontId="10" fillId="0" borderId="0" xfId="0" applyNumberFormat="1" applyFont="1"/>
    <xf numFmtId="42" fontId="11" fillId="4" borderId="9" xfId="0" applyNumberFormat="1" applyFont="1" applyFill="1" applyBorder="1"/>
    <xf numFmtId="44" fontId="8" fillId="0" borderId="0" xfId="0" applyNumberFormat="1" applyFont="1"/>
    <xf numFmtId="7" fontId="8" fillId="0" borderId="0" xfId="0" applyNumberFormat="1" applyFont="1" applyAlignment="1">
      <alignment horizontal="center"/>
    </xf>
    <xf numFmtId="0" fontId="11" fillId="0" borderId="20" xfId="0" applyNumberFormat="1" applyFont="1" applyFill="1" applyBorder="1" applyAlignment="1">
      <alignment horizontal="center" vertical="center"/>
    </xf>
    <xf numFmtId="1" fontId="11" fillId="0" borderId="22" xfId="0" applyNumberFormat="1" applyFont="1" applyFill="1" applyBorder="1" applyAlignment="1">
      <alignment horizontal="center" vertical="center"/>
    </xf>
    <xf numFmtId="1" fontId="11" fillId="0" borderId="24" xfId="0" applyNumberFormat="1" applyFont="1" applyFill="1" applyBorder="1" applyAlignment="1">
      <alignment horizontal="center" vertical="center"/>
    </xf>
    <xf numFmtId="0" fontId="11" fillId="5" borderId="28" xfId="0" applyNumberFormat="1" applyFont="1" applyFill="1" applyBorder="1" applyAlignment="1">
      <alignment horizontal="center" vertical="center"/>
    </xf>
    <xf numFmtId="0" fontId="11" fillId="0" borderId="33" xfId="0" applyNumberFormat="1" applyFont="1" applyFill="1" applyBorder="1" applyAlignment="1">
      <alignment horizontal="center" vertical="center"/>
    </xf>
    <xf numFmtId="0" fontId="11" fillId="0" borderId="18" xfId="0" applyNumberFormat="1" applyFont="1" applyFill="1" applyBorder="1" applyAlignment="1">
      <alignment horizontal="center" vertical="center"/>
    </xf>
    <xf numFmtId="0" fontId="11" fillId="5" borderId="30" xfId="0" applyNumberFormat="1" applyFont="1" applyFill="1" applyBorder="1" applyAlignment="1">
      <alignment horizontal="center" vertical="center"/>
    </xf>
    <xf numFmtId="0" fontId="5" fillId="0" borderId="33" xfId="0" applyNumberFormat="1" applyFont="1" applyFill="1" applyBorder="1" applyAlignment="1">
      <alignment horizontal="left" vertical="center"/>
    </xf>
    <xf numFmtId="168" fontId="5" fillId="5" borderId="18" xfId="0" applyNumberFormat="1" applyFont="1" applyFill="1" applyBorder="1" applyAlignment="1">
      <alignment horizontal="center" vertical="center"/>
    </xf>
    <xf numFmtId="168" fontId="5" fillId="5" borderId="18" xfId="0" applyNumberFormat="1" applyFont="1" applyFill="1" applyBorder="1" applyAlignment="1">
      <alignment horizontal="right" vertical="center"/>
    </xf>
    <xf numFmtId="168" fontId="5" fillId="5" borderId="18" xfId="0" applyNumberFormat="1" applyFont="1" applyFill="1" applyBorder="1" applyAlignment="1">
      <alignment vertical="center"/>
    </xf>
    <xf numFmtId="168" fontId="11" fillId="6" borderId="30" xfId="0" applyNumberFormat="1" applyFont="1" applyFill="1" applyBorder="1" applyAlignment="1">
      <alignment horizontal="right" vertical="center"/>
    </xf>
    <xf numFmtId="0" fontId="11" fillId="7" borderId="33" xfId="0" applyNumberFormat="1" applyFont="1" applyFill="1" applyBorder="1" applyAlignment="1">
      <alignment horizontal="center" vertical="center"/>
    </xf>
    <xf numFmtId="168" fontId="11" fillId="7" borderId="18" xfId="0" applyNumberFormat="1" applyFont="1" applyFill="1" applyBorder="1" applyAlignment="1">
      <alignment horizontal="center" vertical="center"/>
    </xf>
    <xf numFmtId="168" fontId="11" fillId="7" borderId="18" xfId="0" applyNumberFormat="1" applyFont="1" applyFill="1" applyBorder="1" applyAlignment="1">
      <alignment horizontal="right" vertical="center"/>
    </xf>
    <xf numFmtId="168" fontId="11" fillId="7" borderId="18" xfId="0" applyNumberFormat="1" applyFont="1" applyFill="1" applyBorder="1" applyAlignment="1">
      <alignment vertical="center"/>
    </xf>
    <xf numFmtId="168" fontId="11" fillId="8" borderId="30" xfId="0" applyNumberFormat="1" applyFont="1" applyFill="1" applyBorder="1" applyAlignment="1">
      <alignment horizontal="right" vertical="center"/>
    </xf>
    <xf numFmtId="168" fontId="11" fillId="7" borderId="30" xfId="0" applyNumberFormat="1" applyFont="1" applyFill="1" applyBorder="1" applyAlignment="1">
      <alignment horizontal="right" vertical="center"/>
    </xf>
    <xf numFmtId="0" fontId="11" fillId="7" borderId="15" xfId="0" applyNumberFormat="1" applyFont="1" applyFill="1" applyBorder="1" applyAlignment="1">
      <alignment horizontal="center" vertical="center"/>
    </xf>
    <xf numFmtId="168" fontId="11" fillId="6" borderId="23" xfId="0" applyNumberFormat="1" applyFont="1" applyFill="1" applyBorder="1" applyAlignment="1">
      <alignment horizontal="center" vertical="center"/>
    </xf>
    <xf numFmtId="168" fontId="11" fillId="6" borderId="27" xfId="0" applyNumberFormat="1" applyFont="1" applyFill="1" applyBorder="1" applyAlignment="1">
      <alignment horizontal="right" vertical="center"/>
    </xf>
    <xf numFmtId="168" fontId="11" fillId="6" borderId="27" xfId="0" applyNumberFormat="1" applyFont="1" applyFill="1" applyBorder="1" applyAlignment="1">
      <alignment vertical="center"/>
    </xf>
    <xf numFmtId="168" fontId="11" fillId="11" borderId="29" xfId="0" applyNumberFormat="1" applyFont="1" applyFill="1" applyBorder="1" applyAlignment="1">
      <alignment horizontal="right" vertical="center"/>
    </xf>
    <xf numFmtId="0" fontId="12" fillId="0" borderId="0" xfId="0" applyFont="1" applyAlignment="1">
      <alignment horizontal="center"/>
    </xf>
    <xf numFmtId="164" fontId="12" fillId="0" borderId="0" xfId="0" quotePrefix="1" applyNumberFormat="1" applyFont="1"/>
    <xf numFmtId="0" fontId="16" fillId="0" borderId="0" xfId="0" applyFont="1" applyAlignment="1">
      <alignment horizontal="center"/>
    </xf>
    <xf numFmtId="0" fontId="16" fillId="0" borderId="0" xfId="0" applyFont="1"/>
    <xf numFmtId="0" fontId="16" fillId="0" borderId="0" xfId="0" applyFont="1" applyAlignment="1">
      <alignment horizontal="center" wrapText="1"/>
    </xf>
    <xf numFmtId="0" fontId="16" fillId="0" borderId="0" xfId="0" applyFont="1" applyAlignment="1">
      <alignment horizontal="center" vertical="center" wrapText="1"/>
    </xf>
    <xf numFmtId="14" fontId="8" fillId="0" borderId="0" xfId="0" applyNumberFormat="1" applyFont="1" applyAlignment="1">
      <alignment horizontal="center"/>
    </xf>
    <xf numFmtId="165" fontId="8" fillId="0" borderId="0" xfId="0" applyNumberFormat="1" applyFont="1" applyAlignment="1">
      <alignment horizontal="center"/>
    </xf>
    <xf numFmtId="3" fontId="8" fillId="0" borderId="0" xfId="0" applyNumberFormat="1" applyFont="1" applyAlignment="1">
      <alignment horizontal="center"/>
    </xf>
    <xf numFmtId="3" fontId="8" fillId="0" borderId="0" xfId="0" applyNumberFormat="1" applyFont="1"/>
    <xf numFmtId="166" fontId="8" fillId="0" borderId="0" xfId="0" applyNumberFormat="1" applyFont="1" applyAlignment="1">
      <alignment horizontal="center"/>
    </xf>
    <xf numFmtId="166" fontId="17" fillId="0" borderId="0" xfId="0" applyNumberFormat="1" applyFont="1" applyAlignment="1">
      <alignment horizontal="center"/>
    </xf>
    <xf numFmtId="0" fontId="17" fillId="0" borderId="0" xfId="0" applyFont="1"/>
    <xf numFmtId="14" fontId="17" fillId="0" borderId="0" xfId="0" applyNumberFormat="1" applyFont="1" applyAlignment="1">
      <alignment horizontal="center"/>
    </xf>
    <xf numFmtId="0" fontId="17" fillId="0" borderId="0" xfId="0" applyFont="1" applyAlignment="1">
      <alignment horizontal="center"/>
    </xf>
    <xf numFmtId="3" fontId="17" fillId="0" borderId="0" xfId="0" applyNumberFormat="1" applyFont="1" applyAlignment="1">
      <alignment horizontal="center"/>
    </xf>
    <xf numFmtId="3" fontId="17" fillId="0" borderId="0" xfId="0" applyNumberFormat="1" applyFont="1"/>
    <xf numFmtId="0" fontId="17" fillId="0" borderId="0" xfId="0" applyFont="1" applyBorder="1"/>
    <xf numFmtId="0" fontId="5" fillId="0" borderId="0" xfId="0" applyFont="1" applyBorder="1" applyAlignment="1">
      <alignment vertical="top" wrapText="1"/>
    </xf>
    <xf numFmtId="14" fontId="17" fillId="0" borderId="2" xfId="0" applyNumberFormat="1" applyFont="1" applyBorder="1" applyAlignment="1">
      <alignment horizontal="center"/>
    </xf>
    <xf numFmtId="165" fontId="17" fillId="0" borderId="2" xfId="0" applyNumberFormat="1" applyFont="1" applyBorder="1" applyAlignment="1">
      <alignment horizontal="center"/>
    </xf>
    <xf numFmtId="3" fontId="17" fillId="0" borderId="2" xfId="0" applyNumberFormat="1" applyFont="1" applyBorder="1" applyAlignment="1">
      <alignment horizontal="center"/>
    </xf>
    <xf numFmtId="3" fontId="17" fillId="0" borderId="2" xfId="0" applyNumberFormat="1" applyFont="1" applyBorder="1"/>
    <xf numFmtId="166" fontId="17" fillId="0" borderId="2" xfId="0" applyNumberFormat="1" applyFont="1" applyBorder="1" applyAlignment="1">
      <alignment horizontal="center"/>
    </xf>
    <xf numFmtId="0" fontId="8" fillId="0" borderId="0" xfId="0" applyFont="1" applyAlignment="1">
      <alignment vertical="center" wrapText="1"/>
    </xf>
    <xf numFmtId="14" fontId="17" fillId="0" borderId="0" xfId="0" applyNumberFormat="1" applyFont="1" applyBorder="1" applyAlignment="1">
      <alignment horizontal="center"/>
    </xf>
    <xf numFmtId="167" fontId="17" fillId="0" borderId="0" xfId="0" applyNumberFormat="1" applyFont="1" applyBorder="1" applyAlignment="1">
      <alignment horizontal="center"/>
    </xf>
    <xf numFmtId="3" fontId="17" fillId="0" borderId="0" xfId="0" applyNumberFormat="1" applyFont="1" applyBorder="1" applyAlignment="1">
      <alignment horizontal="center"/>
    </xf>
    <xf numFmtId="3" fontId="17" fillId="0" borderId="0" xfId="0" applyNumberFormat="1" applyFont="1" applyBorder="1"/>
    <xf numFmtId="166" fontId="17" fillId="0" borderId="0" xfId="0" applyNumberFormat="1" applyFont="1" applyBorder="1" applyAlignment="1">
      <alignment horizontal="center"/>
    </xf>
    <xf numFmtId="0" fontId="17" fillId="0" borderId="6" xfId="0" applyFont="1" applyBorder="1" applyAlignment="1">
      <alignment horizontal="center" vertical="center" wrapText="1"/>
    </xf>
    <xf numFmtId="14" fontId="17" fillId="0" borderId="7" xfId="0" applyNumberFormat="1" applyFont="1" applyBorder="1" applyAlignment="1">
      <alignment horizontal="center"/>
    </xf>
    <xf numFmtId="167" fontId="17" fillId="0" borderId="7" xfId="0" applyNumberFormat="1" applyFont="1" applyBorder="1" applyAlignment="1">
      <alignment horizontal="center"/>
    </xf>
    <xf numFmtId="3" fontId="17" fillId="0" borderId="7" xfId="0" applyNumberFormat="1" applyFont="1" applyBorder="1" applyAlignment="1">
      <alignment horizontal="center"/>
    </xf>
    <xf numFmtId="3" fontId="17" fillId="0" borderId="7" xfId="0" applyNumberFormat="1" applyFont="1" applyBorder="1"/>
    <xf numFmtId="166" fontId="17" fillId="0" borderId="7" xfId="0" applyNumberFormat="1" applyFont="1" applyBorder="1" applyAlignment="1">
      <alignment horizontal="center"/>
    </xf>
    <xf numFmtId="167" fontId="17" fillId="0" borderId="2" xfId="0" applyNumberFormat="1" applyFont="1" applyBorder="1" applyAlignment="1">
      <alignment horizontal="center"/>
    </xf>
    <xf numFmtId="0" fontId="17" fillId="0" borderId="2" xfId="0" applyFont="1" applyBorder="1"/>
    <xf numFmtId="0" fontId="17" fillId="0" borderId="2" xfId="0" applyFont="1" applyBorder="1" applyAlignment="1">
      <alignment horizontal="center"/>
    </xf>
    <xf numFmtId="0" fontId="17" fillId="0" borderId="0" xfId="0" applyFont="1" applyBorder="1" applyAlignment="1">
      <alignment horizontal="center"/>
    </xf>
    <xf numFmtId="0" fontId="17" fillId="0" borderId="4" xfId="0" applyFont="1" applyBorder="1" applyAlignment="1">
      <alignment horizontal="center"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17" fillId="0" borderId="7" xfId="0" applyFont="1" applyBorder="1"/>
    <xf numFmtId="0" fontId="17" fillId="0" borderId="7"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5" fontId="11" fillId="0" borderId="0" xfId="0" applyNumberFormat="1" applyFont="1" applyBorder="1" applyAlignment="1">
      <alignment horizontal="center"/>
    </xf>
    <xf numFmtId="5" fontId="12" fillId="0" borderId="16" xfId="0" applyNumberFormat="1" applyFont="1" applyBorder="1" applyAlignment="1">
      <alignment horizontal="center"/>
    </xf>
    <xf numFmtId="5" fontId="12" fillId="0" borderId="17" xfId="0" applyNumberFormat="1" applyFont="1" applyBorder="1" applyAlignment="1"/>
    <xf numFmtId="5" fontId="8" fillId="0" borderId="0" xfId="0" applyNumberFormat="1" applyFont="1" applyBorder="1" applyAlignment="1">
      <alignment horizontal="center"/>
    </xf>
    <xf numFmtId="5" fontId="5" fillId="0" borderId="14" xfId="0" applyNumberFormat="1" applyFont="1" applyBorder="1" applyAlignment="1">
      <alignment horizontal="center"/>
    </xf>
    <xf numFmtId="5" fontId="8" fillId="0" borderId="14" xfId="0" applyNumberFormat="1" applyFont="1" applyBorder="1" applyAlignment="1">
      <alignment horizontal="center"/>
    </xf>
    <xf numFmtId="5" fontId="11" fillId="0" borderId="14" xfId="0" applyNumberFormat="1" applyFont="1" applyBorder="1" applyAlignment="1">
      <alignment horizontal="center"/>
    </xf>
    <xf numFmtId="0" fontId="10" fillId="4" borderId="0" xfId="0" applyFont="1" applyFill="1"/>
    <xf numFmtId="0" fontId="8" fillId="4" borderId="0" xfId="0" applyFont="1" applyFill="1" applyAlignment="1">
      <alignment horizontal="center"/>
    </xf>
    <xf numFmtId="42" fontId="8" fillId="4" borderId="0" xfId="0" applyNumberFormat="1" applyFont="1" applyFill="1" applyAlignment="1">
      <alignment horizontal="center"/>
    </xf>
    <xf numFmtId="42" fontId="10" fillId="12" borderId="38" xfId="0" applyNumberFormat="1" applyFont="1" applyFill="1" applyBorder="1" applyAlignment="1">
      <alignment horizontal="center"/>
    </xf>
    <xf numFmtId="42" fontId="8" fillId="12" borderId="38" xfId="0" applyNumberFormat="1" applyFont="1" applyFill="1" applyBorder="1" applyAlignment="1">
      <alignment horizontal="center"/>
    </xf>
    <xf numFmtId="42" fontId="8" fillId="12" borderId="38" xfId="0" applyNumberFormat="1" applyFont="1" applyFill="1" applyBorder="1" applyAlignment="1">
      <alignment horizontal="left"/>
    </xf>
    <xf numFmtId="0" fontId="10" fillId="12" borderId="38" xfId="0" applyFont="1" applyFill="1" applyBorder="1" applyAlignment="1">
      <alignment horizontal="center"/>
    </xf>
    <xf numFmtId="0" fontId="19" fillId="0" borderId="13" xfId="0" applyFont="1" applyBorder="1" applyAlignment="1">
      <alignment horizontal="center" wrapText="1"/>
    </xf>
    <xf numFmtId="0" fontId="19" fillId="0" borderId="0" xfId="0" applyFont="1" applyBorder="1" applyAlignment="1">
      <alignment horizontal="center" wrapText="1"/>
    </xf>
    <xf numFmtId="0" fontId="19" fillId="0" borderId="14" xfId="0" applyFont="1" applyBorder="1" applyAlignment="1">
      <alignment horizontal="center" wrapText="1"/>
    </xf>
    <xf numFmtId="0" fontId="0" fillId="0" borderId="39" xfId="0" applyBorder="1"/>
    <xf numFmtId="0" fontId="20" fillId="0" borderId="40" xfId="0" applyFont="1" applyBorder="1" applyAlignment="1">
      <alignment horizontal="center"/>
    </xf>
    <xf numFmtId="0" fontId="20" fillId="0" borderId="41" xfId="0" applyFont="1" applyBorder="1" applyAlignment="1">
      <alignment horizontal="center"/>
    </xf>
    <xf numFmtId="0" fontId="20" fillId="0" borderId="42" xfId="0" applyFont="1" applyBorder="1" applyAlignment="1">
      <alignment horizontal="center"/>
    </xf>
    <xf numFmtId="0" fontId="0" fillId="0" borderId="43" xfId="0" applyBorder="1"/>
    <xf numFmtId="0" fontId="21" fillId="0" borderId="44" xfId="0" applyFont="1" applyBorder="1" applyAlignment="1">
      <alignment horizontal="center"/>
    </xf>
    <xf numFmtId="0" fontId="21" fillId="0" borderId="45" xfId="0" applyFont="1" applyBorder="1" applyAlignment="1">
      <alignment horizontal="center"/>
    </xf>
    <xf numFmtId="0" fontId="0" fillId="0" borderId="46" xfId="0" applyBorder="1" applyAlignment="1">
      <alignment horizontal="center"/>
    </xf>
    <xf numFmtId="0" fontId="0" fillId="0" borderId="43" xfId="0" applyBorder="1" applyAlignment="1">
      <alignment horizontal="center"/>
    </xf>
    <xf numFmtId="0" fontId="0" fillId="13" borderId="44" xfId="0" applyFill="1" applyBorder="1" applyAlignment="1">
      <alignment horizontal="center"/>
    </xf>
    <xf numFmtId="0" fontId="0" fillId="0" borderId="44" xfId="0" applyBorder="1" applyAlignment="1">
      <alignment horizontal="center"/>
    </xf>
    <xf numFmtId="0" fontId="22" fillId="0" borderId="44" xfId="0" applyFont="1" applyBorder="1" applyAlignment="1">
      <alignment horizontal="center"/>
    </xf>
    <xf numFmtId="0" fontId="0" fillId="14" borderId="44" xfId="0" applyFill="1" applyBorder="1" applyAlignment="1">
      <alignment horizontal="center"/>
    </xf>
    <xf numFmtId="0" fontId="23" fillId="0" borderId="44" xfId="0" applyFont="1" applyBorder="1" applyAlignment="1">
      <alignment horizontal="center"/>
    </xf>
    <xf numFmtId="0" fontId="24" fillId="0" borderId="44" xfId="0" applyFont="1" applyBorder="1" applyAlignment="1">
      <alignment horizontal="center"/>
    </xf>
    <xf numFmtId="0" fontId="0" fillId="15" borderId="44" xfId="0" applyFill="1" applyBorder="1" applyAlignment="1">
      <alignment horizontal="center"/>
    </xf>
    <xf numFmtId="0" fontId="25" fillId="0" borderId="44" xfId="0" applyFont="1" applyBorder="1" applyAlignment="1">
      <alignment horizontal="center"/>
    </xf>
    <xf numFmtId="0" fontId="0" fillId="0" borderId="45" xfId="0" applyBorder="1" applyAlignment="1">
      <alignment horizontal="center"/>
    </xf>
    <xf numFmtId="0" fontId="0" fillId="15" borderId="46" xfId="0" applyFill="1" applyBorder="1" applyAlignment="1">
      <alignment horizontal="center"/>
    </xf>
    <xf numFmtId="0" fontId="0" fillId="15" borderId="45" xfId="0" applyFill="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13" borderId="48" xfId="0" applyFill="1"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52" xfId="0" applyFill="1" applyBorder="1" applyAlignment="1">
      <alignment horizontal="center"/>
    </xf>
    <xf numFmtId="0" fontId="0" fillId="0" borderId="53" xfId="0" applyFill="1" applyBorder="1" applyAlignment="1">
      <alignment horizontal="center"/>
    </xf>
    <xf numFmtId="0" fontId="0" fillId="0" borderId="54" xfId="0" applyFill="1" applyBorder="1" applyAlignment="1">
      <alignment horizontal="center"/>
    </xf>
    <xf numFmtId="0" fontId="0" fillId="0" borderId="13" xfId="0" applyBorder="1"/>
    <xf numFmtId="0" fontId="0" fillId="0" borderId="0" xfId="0" applyBorder="1"/>
    <xf numFmtId="0" fontId="0" fillId="0" borderId="55" xfId="0" applyBorder="1" applyAlignment="1">
      <alignment horizontal="center"/>
    </xf>
    <xf numFmtId="0" fontId="0" fillId="13" borderId="44" xfId="0" applyFill="1" applyBorder="1"/>
    <xf numFmtId="0" fontId="0" fillId="14" borderId="44" xfId="0" applyFill="1" applyBorder="1"/>
    <xf numFmtId="0" fontId="0" fillId="0" borderId="15" xfId="0" applyBorder="1"/>
    <xf numFmtId="0" fontId="0" fillId="0" borderId="16" xfId="0" applyBorder="1"/>
    <xf numFmtId="0" fontId="0" fillId="15" borderId="58" xfId="0" applyFill="1" applyBorder="1"/>
    <xf numFmtId="0" fontId="26" fillId="0" borderId="40" xfId="0" applyFont="1" applyBorder="1" applyAlignment="1">
      <alignment horizontal="center"/>
    </xf>
    <xf numFmtId="0" fontId="26" fillId="0" borderId="41" xfId="0" applyFont="1" applyBorder="1" applyAlignment="1">
      <alignment horizontal="center"/>
    </xf>
    <xf numFmtId="0" fontId="26" fillId="0" borderId="42" xfId="0" applyFont="1" applyBorder="1" applyAlignment="1">
      <alignment horizontal="center"/>
    </xf>
    <xf numFmtId="0" fontId="0" fillId="3" borderId="44" xfId="0" applyFill="1" applyBorder="1" applyAlignment="1">
      <alignment horizontal="center"/>
    </xf>
    <xf numFmtId="0" fontId="27" fillId="0" borderId="44" xfId="0" applyFont="1" applyBorder="1" applyAlignment="1">
      <alignment horizontal="center"/>
    </xf>
    <xf numFmtId="0" fontId="28" fillId="15" borderId="46" xfId="0" applyFont="1" applyFill="1" applyBorder="1" applyAlignment="1">
      <alignment horizontal="center"/>
    </xf>
    <xf numFmtId="0" fontId="29" fillId="0" borderId="44" xfId="0" applyFont="1" applyBorder="1" applyAlignment="1">
      <alignment horizontal="center"/>
    </xf>
    <xf numFmtId="0" fontId="0" fillId="0" borderId="14" xfId="0" applyBorder="1" applyAlignment="1">
      <alignment horizontal="center"/>
    </xf>
    <xf numFmtId="0" fontId="0" fillId="13" borderId="45" xfId="0" applyFill="1" applyBorder="1"/>
    <xf numFmtId="0" fontId="0" fillId="3" borderId="62" xfId="0" applyFill="1" applyBorder="1"/>
    <xf numFmtId="0" fontId="0" fillId="0" borderId="44" xfId="0" applyFill="1" applyBorder="1" applyAlignment="1">
      <alignment horizontal="center"/>
    </xf>
    <xf numFmtId="0" fontId="27" fillId="0" borderId="44" xfId="0" applyFont="1" applyFill="1" applyBorder="1" applyAlignment="1">
      <alignment horizontal="center"/>
    </xf>
    <xf numFmtId="0" fontId="0" fillId="0" borderId="45" xfId="0" applyFill="1" applyBorder="1" applyAlignment="1">
      <alignment horizontal="center"/>
    </xf>
    <xf numFmtId="0" fontId="28" fillId="3" borderId="44" xfId="0" applyFont="1" applyFill="1" applyBorder="1" applyAlignment="1">
      <alignment horizontal="center"/>
    </xf>
    <xf numFmtId="0" fontId="0" fillId="0" borderId="46" xfId="0" applyFill="1" applyBorder="1" applyAlignment="1">
      <alignment horizontal="center"/>
    </xf>
    <xf numFmtId="0" fontId="28" fillId="0" borderId="52" xfId="0" applyFont="1" applyFill="1" applyBorder="1" applyAlignment="1">
      <alignment horizontal="center"/>
    </xf>
    <xf numFmtId="0" fontId="0" fillId="0" borderId="57" xfId="0" applyBorder="1" applyAlignment="1">
      <alignment horizontal="center"/>
    </xf>
    <xf numFmtId="0" fontId="0" fillId="3" borderId="63" xfId="0" applyFill="1" applyBorder="1"/>
    <xf numFmtId="0" fontId="18" fillId="0" borderId="45" xfId="0" applyFont="1" applyBorder="1" applyAlignment="1"/>
    <xf numFmtId="0" fontId="0" fillId="0" borderId="44" xfId="0" applyBorder="1"/>
    <xf numFmtId="0" fontId="18" fillId="0" borderId="56" xfId="0" applyFont="1" applyBorder="1" applyAlignment="1"/>
    <xf numFmtId="0" fontId="0" fillId="0" borderId="56" xfId="0" applyBorder="1"/>
    <xf numFmtId="0" fontId="18" fillId="0" borderId="59" xfId="0" applyFont="1" applyBorder="1" applyAlignment="1"/>
    <xf numFmtId="0" fontId="0" fillId="0" borderId="58" xfId="0" applyBorder="1"/>
    <xf numFmtId="0" fontId="18" fillId="0" borderId="60" xfId="0" applyFont="1" applyBorder="1" applyAlignment="1"/>
    <xf numFmtId="0" fontId="0" fillId="0" borderId="60" xfId="0" applyBorder="1"/>
    <xf numFmtId="0" fontId="0" fillId="0" borderId="61" xfId="0" applyBorder="1" applyAlignment="1">
      <alignment horizontal="center"/>
    </xf>
    <xf numFmtId="0" fontId="28" fillId="14" borderId="44" xfId="0" applyFont="1" applyFill="1" applyBorder="1" applyAlignment="1">
      <alignment horizontal="center"/>
    </xf>
    <xf numFmtId="0" fontId="25" fillId="0" borderId="44" xfId="0" applyFont="1" applyFill="1" applyBorder="1" applyAlignment="1">
      <alignment horizontal="center"/>
    </xf>
    <xf numFmtId="0" fontId="28" fillId="15" borderId="44" xfId="0" applyFont="1" applyFill="1" applyBorder="1" applyAlignment="1">
      <alignment horizontal="center"/>
    </xf>
    <xf numFmtId="0" fontId="0" fillId="14" borderId="63" xfId="0" applyFill="1" applyBorder="1"/>
    <xf numFmtId="4" fontId="8" fillId="0" borderId="0" xfId="0" applyNumberFormat="1" applyFont="1" applyAlignment="1">
      <alignment horizontal="center"/>
    </xf>
    <xf numFmtId="0" fontId="9" fillId="0" borderId="16" xfId="0" applyFont="1" applyBorder="1" applyAlignment="1">
      <alignment horizontal="center"/>
    </xf>
    <xf numFmtId="0" fontId="11" fillId="0" borderId="21" xfId="0" applyNumberFormat="1" applyFont="1" applyFill="1" applyBorder="1" applyAlignment="1">
      <alignment horizontal="center" vertical="center"/>
    </xf>
    <xf numFmtId="0" fontId="13" fillId="0" borderId="21" xfId="0" applyNumberFormat="1" applyFont="1" applyFill="1" applyBorder="1" applyAlignment="1">
      <alignment vertical="center"/>
    </xf>
    <xf numFmtId="0" fontId="13" fillId="0" borderId="22" xfId="0" applyNumberFormat="1" applyFont="1" applyFill="1" applyBorder="1" applyAlignment="1">
      <alignment vertical="center"/>
    </xf>
    <xf numFmtId="0" fontId="11" fillId="0" borderId="36" xfId="0" applyNumberFormat="1" applyFont="1" applyFill="1" applyBorder="1" applyAlignment="1">
      <alignment horizontal="center" vertical="center"/>
    </xf>
    <xf numFmtId="0" fontId="13" fillId="0" borderId="34" xfId="0" applyNumberFormat="1" applyFont="1" applyFill="1" applyBorder="1" applyAlignment="1">
      <alignment vertical="center"/>
    </xf>
    <xf numFmtId="0" fontId="13" fillId="0" borderId="35" xfId="0" applyNumberFormat="1" applyFont="1" applyFill="1" applyBorder="1" applyAlignment="1">
      <alignment vertical="center"/>
    </xf>
    <xf numFmtId="0" fontId="11" fillId="0" borderId="34" xfId="0" applyNumberFormat="1" applyFont="1" applyFill="1" applyBorder="1" applyAlignment="1">
      <alignment horizontal="center" vertical="center"/>
    </xf>
    <xf numFmtId="0" fontId="5" fillId="0" borderId="36" xfId="0" applyNumberFormat="1" applyFont="1" applyFill="1" applyBorder="1" applyAlignment="1">
      <alignment horizontal="left" vertical="center"/>
    </xf>
    <xf numFmtId="0" fontId="14" fillId="0" borderId="34" xfId="0" applyNumberFormat="1" applyFont="1" applyFill="1" applyBorder="1" applyAlignment="1">
      <alignment vertical="center"/>
    </xf>
    <xf numFmtId="0" fontId="14" fillId="0" borderId="35" xfId="0" applyNumberFormat="1" applyFont="1" applyFill="1" applyBorder="1" applyAlignment="1">
      <alignment vertical="center"/>
    </xf>
    <xf numFmtId="0" fontId="5" fillId="0" borderId="34" xfId="0" applyNumberFormat="1" applyFont="1" applyFill="1" applyBorder="1" applyAlignment="1">
      <alignment horizontal="left" vertical="center"/>
    </xf>
    <xf numFmtId="0" fontId="11" fillId="7" borderId="36" xfId="0" applyNumberFormat="1" applyFont="1" applyFill="1" applyBorder="1" applyAlignment="1">
      <alignment horizontal="left" vertical="center"/>
    </xf>
    <xf numFmtId="0" fontId="15" fillId="7" borderId="34" xfId="0" applyNumberFormat="1" applyFont="1" applyFill="1" applyBorder="1" applyAlignment="1">
      <alignment vertical="center"/>
    </xf>
    <xf numFmtId="0" fontId="15" fillId="7" borderId="35" xfId="0" applyNumberFormat="1" applyFont="1" applyFill="1" applyBorder="1" applyAlignment="1">
      <alignment vertical="center"/>
    </xf>
    <xf numFmtId="0" fontId="11" fillId="7" borderId="34" xfId="0" applyNumberFormat="1" applyFont="1" applyFill="1" applyBorder="1" applyAlignment="1">
      <alignment horizontal="right" vertical="center"/>
    </xf>
    <xf numFmtId="0" fontId="5" fillId="9" borderId="36" xfId="0" applyNumberFormat="1" applyFont="1" applyFill="1" applyBorder="1" applyAlignment="1">
      <alignment horizontal="center" vertical="center"/>
    </xf>
    <xf numFmtId="0" fontId="6" fillId="9" borderId="34" xfId="0" applyNumberFormat="1" applyFont="1" applyFill="1" applyBorder="1" applyAlignment="1">
      <alignment vertical="center"/>
    </xf>
    <xf numFmtId="0" fontId="6" fillId="9" borderId="35" xfId="0" applyNumberFormat="1" applyFont="1" applyFill="1" applyBorder="1" applyAlignment="1">
      <alignment vertical="center"/>
    </xf>
    <xf numFmtId="0" fontId="5" fillId="9" borderId="34" xfId="0" applyNumberFormat="1" applyFont="1" applyFill="1" applyBorder="1" applyAlignment="1">
      <alignment horizontal="center" vertical="center"/>
    </xf>
    <xf numFmtId="0" fontId="8" fillId="0" borderId="0" xfId="0" applyFont="1" applyAlignment="1">
      <alignment horizontal="center"/>
    </xf>
    <xf numFmtId="0" fontId="10" fillId="0" borderId="0" xfId="0" applyFont="1" applyAlignment="1">
      <alignment horizontal="center"/>
    </xf>
    <xf numFmtId="0" fontId="11" fillId="7" borderId="37" xfId="0" applyNumberFormat="1" applyFont="1" applyFill="1" applyBorder="1" applyAlignment="1">
      <alignment horizontal="center" vertical="center"/>
    </xf>
    <xf numFmtId="0" fontId="15" fillId="7" borderId="16" xfId="0" applyNumberFormat="1" applyFont="1" applyFill="1" applyBorder="1" applyAlignment="1">
      <alignment vertical="center"/>
    </xf>
    <xf numFmtId="0" fontId="15" fillId="7" borderId="32" xfId="0" applyNumberFormat="1" applyFont="1" applyFill="1" applyBorder="1" applyAlignment="1">
      <alignment vertical="center"/>
    </xf>
    <xf numFmtId="0" fontId="11" fillId="7" borderId="31" xfId="0" applyNumberFormat="1" applyFont="1" applyFill="1" applyBorder="1" applyAlignment="1">
      <alignment horizontal="right" vertical="center"/>
    </xf>
    <xf numFmtId="0" fontId="18" fillId="0" borderId="45" xfId="0" applyFont="1" applyBorder="1" applyAlignment="1">
      <alignment horizontal="left"/>
    </xf>
    <xf numFmtId="0" fontId="18" fillId="0" borderId="56" xfId="0" applyFont="1" applyBorder="1" applyAlignment="1">
      <alignment horizontal="left"/>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12" xfId="0" applyFont="1" applyBorder="1" applyAlignment="1">
      <alignment horizontal="center" wrapText="1"/>
    </xf>
    <xf numFmtId="0" fontId="18" fillId="0" borderId="57" xfId="0" applyFont="1" applyBorder="1" applyAlignment="1">
      <alignment horizontal="left"/>
    </xf>
    <xf numFmtId="0" fontId="18" fillId="0" borderId="59" xfId="0" applyFont="1" applyBorder="1" applyAlignment="1">
      <alignment horizontal="left"/>
    </xf>
    <xf numFmtId="0" fontId="18" fillId="0" borderId="60" xfId="0" applyFont="1" applyBorder="1" applyAlignment="1">
      <alignment horizontal="left"/>
    </xf>
    <xf numFmtId="0" fontId="18" fillId="0" borderId="61" xfId="0" applyFont="1"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cellXfs>
  <cellStyles count="9">
    <cellStyle name="Normal" xfId="0" builtinId="0"/>
    <cellStyle name="Normal 2" xfId="1"/>
    <cellStyle name="Normal 3" xfId="2"/>
    <cellStyle name="Normal 4" xfId="3"/>
    <cellStyle name="Normal 4 2" xfId="4"/>
    <cellStyle name="Normal 5" xfId="5"/>
    <cellStyle name="Normal 6" xfId="6"/>
    <cellStyle name="Normal 7" xfId="7"/>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85726</xdr:colOff>
      <xdr:row>5</xdr:row>
      <xdr:rowOff>127000</xdr:rowOff>
    </xdr:from>
    <xdr:to>
      <xdr:col>4</xdr:col>
      <xdr:colOff>419100</xdr:colOff>
      <xdr:row>5</xdr:row>
      <xdr:rowOff>139700</xdr:rowOff>
    </xdr:to>
    <xdr:cxnSp macro="">
      <xdr:nvCxnSpPr>
        <xdr:cNvPr id="13" name="Straight Arrow Connector 12"/>
        <xdr:cNvCxnSpPr/>
      </xdr:nvCxnSpPr>
      <xdr:spPr>
        <a:xfrm flipH="1" flipV="1">
          <a:off x="1983106" y="1544320"/>
          <a:ext cx="1217294" cy="127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5</xdr:row>
      <xdr:rowOff>123825</xdr:rowOff>
    </xdr:from>
    <xdr:to>
      <xdr:col>9</xdr:col>
      <xdr:colOff>438150</xdr:colOff>
      <xdr:row>5</xdr:row>
      <xdr:rowOff>139700</xdr:rowOff>
    </xdr:to>
    <xdr:cxnSp macro="">
      <xdr:nvCxnSpPr>
        <xdr:cNvPr id="14" name="Straight Arrow Connector 13"/>
        <xdr:cNvCxnSpPr/>
      </xdr:nvCxnSpPr>
      <xdr:spPr>
        <a:xfrm flipV="1">
          <a:off x="4587240" y="1541145"/>
          <a:ext cx="842010" cy="158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447675</xdr:colOff>
      <xdr:row>5</xdr:row>
      <xdr:rowOff>95250</xdr:rowOff>
    </xdr:from>
    <xdr:to>
      <xdr:col>11</xdr:col>
      <xdr:colOff>200025</xdr:colOff>
      <xdr:row>5</xdr:row>
      <xdr:rowOff>95250</xdr:rowOff>
    </xdr:to>
    <xdr:cxnSp macro="">
      <xdr:nvCxnSpPr>
        <xdr:cNvPr id="15" name="Straight Arrow Connector 14"/>
        <xdr:cNvCxnSpPr/>
      </xdr:nvCxnSpPr>
      <xdr:spPr>
        <a:xfrm flipH="1">
          <a:off x="5873115" y="1512570"/>
          <a:ext cx="201930" cy="0"/>
        </a:xfrm>
        <a:prstGeom prst="straightConnector1">
          <a:avLst/>
        </a:prstGeom>
        <a:ln w="25400">
          <a:solidFill>
            <a:srgbClr val="00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228600</xdr:colOff>
      <xdr:row>5</xdr:row>
      <xdr:rowOff>95250</xdr:rowOff>
    </xdr:from>
    <xdr:to>
      <xdr:col>14</xdr:col>
      <xdr:colOff>0</xdr:colOff>
      <xdr:row>5</xdr:row>
      <xdr:rowOff>95250</xdr:rowOff>
    </xdr:to>
    <xdr:cxnSp macro="">
      <xdr:nvCxnSpPr>
        <xdr:cNvPr id="16" name="Straight Arrow Connector 15"/>
        <xdr:cNvCxnSpPr/>
      </xdr:nvCxnSpPr>
      <xdr:spPr>
        <a:xfrm>
          <a:off x="6987540" y="1512570"/>
          <a:ext cx="213360" cy="0"/>
        </a:xfrm>
        <a:prstGeom prst="straightConnector1">
          <a:avLst/>
        </a:prstGeom>
        <a:ln w="25400">
          <a:solidFill>
            <a:srgbClr val="00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25</xdr:row>
      <xdr:rowOff>139700</xdr:rowOff>
    </xdr:from>
    <xdr:to>
      <xdr:col>6</xdr:col>
      <xdr:colOff>46566</xdr:colOff>
      <xdr:row>25</xdr:row>
      <xdr:rowOff>139700</xdr:rowOff>
    </xdr:to>
    <xdr:cxnSp macro="">
      <xdr:nvCxnSpPr>
        <xdr:cNvPr id="17" name="Straight Arrow Connector 16"/>
        <xdr:cNvCxnSpPr/>
      </xdr:nvCxnSpPr>
      <xdr:spPr>
        <a:xfrm>
          <a:off x="3337560" y="6814820"/>
          <a:ext cx="374226" cy="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423334</xdr:colOff>
      <xdr:row>25</xdr:row>
      <xdr:rowOff>131234</xdr:rowOff>
    </xdr:from>
    <xdr:to>
      <xdr:col>2</xdr:col>
      <xdr:colOff>203200</xdr:colOff>
      <xdr:row>25</xdr:row>
      <xdr:rowOff>139700</xdr:rowOff>
    </xdr:to>
    <xdr:cxnSp macro="">
      <xdr:nvCxnSpPr>
        <xdr:cNvPr id="18" name="Straight Arrow Connector 17"/>
        <xdr:cNvCxnSpPr/>
      </xdr:nvCxnSpPr>
      <xdr:spPr>
        <a:xfrm flipH="1">
          <a:off x="1878754" y="6806354"/>
          <a:ext cx="221826" cy="8466"/>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406400</xdr:colOff>
      <xdr:row>25</xdr:row>
      <xdr:rowOff>93134</xdr:rowOff>
    </xdr:from>
    <xdr:to>
      <xdr:col>7</xdr:col>
      <xdr:colOff>211667</xdr:colOff>
      <xdr:row>25</xdr:row>
      <xdr:rowOff>93134</xdr:rowOff>
    </xdr:to>
    <xdr:cxnSp macro="">
      <xdr:nvCxnSpPr>
        <xdr:cNvPr id="19" name="Straight Arrow Connector 18"/>
        <xdr:cNvCxnSpPr/>
      </xdr:nvCxnSpPr>
      <xdr:spPr>
        <a:xfrm flipH="1">
          <a:off x="4071620" y="6768254"/>
          <a:ext cx="247227" cy="0"/>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237066</xdr:colOff>
      <xdr:row>25</xdr:row>
      <xdr:rowOff>93134</xdr:rowOff>
    </xdr:from>
    <xdr:to>
      <xdr:col>10</xdr:col>
      <xdr:colOff>16934</xdr:colOff>
      <xdr:row>25</xdr:row>
      <xdr:rowOff>93134</xdr:rowOff>
    </xdr:to>
    <xdr:cxnSp macro="">
      <xdr:nvCxnSpPr>
        <xdr:cNvPr id="20" name="Straight Arrow Connector 19"/>
        <xdr:cNvCxnSpPr/>
      </xdr:nvCxnSpPr>
      <xdr:spPr>
        <a:xfrm>
          <a:off x="5228166" y="6768254"/>
          <a:ext cx="221828" cy="0"/>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423334</xdr:colOff>
      <xdr:row>25</xdr:row>
      <xdr:rowOff>76200</xdr:rowOff>
    </xdr:from>
    <xdr:to>
      <xdr:col>11</xdr:col>
      <xdr:colOff>211667</xdr:colOff>
      <xdr:row>25</xdr:row>
      <xdr:rowOff>84667</xdr:rowOff>
    </xdr:to>
    <xdr:cxnSp macro="">
      <xdr:nvCxnSpPr>
        <xdr:cNvPr id="21" name="Straight Arrow Connector 20"/>
        <xdr:cNvCxnSpPr/>
      </xdr:nvCxnSpPr>
      <xdr:spPr>
        <a:xfrm flipH="1" flipV="1">
          <a:off x="5856394" y="6751320"/>
          <a:ext cx="230293" cy="8467"/>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237067</xdr:colOff>
      <xdr:row>25</xdr:row>
      <xdr:rowOff>101600</xdr:rowOff>
    </xdr:from>
    <xdr:to>
      <xdr:col>14</xdr:col>
      <xdr:colOff>16933</xdr:colOff>
      <xdr:row>25</xdr:row>
      <xdr:rowOff>101600</xdr:rowOff>
    </xdr:to>
    <xdr:cxnSp macro="">
      <xdr:nvCxnSpPr>
        <xdr:cNvPr id="22" name="Straight Arrow Connector 21"/>
        <xdr:cNvCxnSpPr/>
      </xdr:nvCxnSpPr>
      <xdr:spPr>
        <a:xfrm>
          <a:off x="6996007" y="6776720"/>
          <a:ext cx="221826" cy="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12700</xdr:colOff>
      <xdr:row>45</xdr:row>
      <xdr:rowOff>114300</xdr:rowOff>
    </xdr:from>
    <xdr:to>
      <xdr:col>4</xdr:col>
      <xdr:colOff>76200</xdr:colOff>
      <xdr:row>45</xdr:row>
      <xdr:rowOff>114300</xdr:rowOff>
    </xdr:to>
    <xdr:cxnSp macro="">
      <xdr:nvCxnSpPr>
        <xdr:cNvPr id="23" name="Straight Arrow Connector 22"/>
        <xdr:cNvCxnSpPr/>
      </xdr:nvCxnSpPr>
      <xdr:spPr>
        <a:xfrm flipH="1">
          <a:off x="1910080" y="11658600"/>
          <a:ext cx="947420" cy="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419100</xdr:colOff>
      <xdr:row>45</xdr:row>
      <xdr:rowOff>139700</xdr:rowOff>
    </xdr:from>
    <xdr:to>
      <xdr:col>8</xdr:col>
      <xdr:colOff>38100</xdr:colOff>
      <xdr:row>45</xdr:row>
      <xdr:rowOff>139700</xdr:rowOff>
    </xdr:to>
    <xdr:cxnSp macro="">
      <xdr:nvCxnSpPr>
        <xdr:cNvPr id="24" name="Straight Arrow Connector 23"/>
        <xdr:cNvCxnSpPr/>
      </xdr:nvCxnSpPr>
      <xdr:spPr>
        <a:xfrm>
          <a:off x="4084320" y="11684000"/>
          <a:ext cx="502920" cy="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414867</xdr:colOff>
      <xdr:row>45</xdr:row>
      <xdr:rowOff>101600</xdr:rowOff>
    </xdr:from>
    <xdr:to>
      <xdr:col>9</xdr:col>
      <xdr:colOff>211666</xdr:colOff>
      <xdr:row>45</xdr:row>
      <xdr:rowOff>101600</xdr:rowOff>
    </xdr:to>
    <xdr:cxnSp macro="">
      <xdr:nvCxnSpPr>
        <xdr:cNvPr id="25" name="Straight Arrow Connector 24"/>
        <xdr:cNvCxnSpPr/>
      </xdr:nvCxnSpPr>
      <xdr:spPr>
        <a:xfrm flipH="1">
          <a:off x="4964007" y="11645900"/>
          <a:ext cx="238759" cy="0"/>
        </a:xfrm>
        <a:prstGeom prst="straightConnector1">
          <a:avLst/>
        </a:prstGeom>
        <a:ln w="25400">
          <a:solidFill>
            <a:srgbClr val="92D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237067</xdr:colOff>
      <xdr:row>45</xdr:row>
      <xdr:rowOff>93133</xdr:rowOff>
    </xdr:from>
    <xdr:to>
      <xdr:col>12</xdr:col>
      <xdr:colOff>25400</xdr:colOff>
      <xdr:row>45</xdr:row>
      <xdr:rowOff>93133</xdr:rowOff>
    </xdr:to>
    <xdr:cxnSp macro="">
      <xdr:nvCxnSpPr>
        <xdr:cNvPr id="26" name="Straight Arrow Connector 25"/>
        <xdr:cNvCxnSpPr/>
      </xdr:nvCxnSpPr>
      <xdr:spPr>
        <a:xfrm>
          <a:off x="6112087" y="11637433"/>
          <a:ext cx="230293" cy="0"/>
        </a:xfrm>
        <a:prstGeom prst="straightConnector1">
          <a:avLst/>
        </a:prstGeom>
        <a:ln w="25400">
          <a:solidFill>
            <a:srgbClr val="92D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406400</xdr:colOff>
      <xdr:row>64</xdr:row>
      <xdr:rowOff>63500</xdr:rowOff>
    </xdr:from>
    <xdr:to>
      <xdr:col>2</xdr:col>
      <xdr:colOff>165100</xdr:colOff>
      <xdr:row>64</xdr:row>
      <xdr:rowOff>63500</xdr:rowOff>
    </xdr:to>
    <xdr:cxnSp macro="">
      <xdr:nvCxnSpPr>
        <xdr:cNvPr id="27" name="Straight Arrow Connector 26"/>
        <xdr:cNvCxnSpPr/>
      </xdr:nvCxnSpPr>
      <xdr:spPr>
        <a:xfrm flipH="1">
          <a:off x="1861820" y="16035020"/>
          <a:ext cx="200660"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101600</xdr:colOff>
      <xdr:row>64</xdr:row>
      <xdr:rowOff>76200</xdr:rowOff>
    </xdr:from>
    <xdr:to>
      <xdr:col>6</xdr:col>
      <xdr:colOff>25400</xdr:colOff>
      <xdr:row>64</xdr:row>
      <xdr:rowOff>76200</xdr:rowOff>
    </xdr:to>
    <xdr:cxnSp macro="">
      <xdr:nvCxnSpPr>
        <xdr:cNvPr id="28" name="Straight Arrow Connector 27"/>
        <xdr:cNvCxnSpPr/>
      </xdr:nvCxnSpPr>
      <xdr:spPr>
        <a:xfrm>
          <a:off x="3324860" y="16047720"/>
          <a:ext cx="365760"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393700</xdr:colOff>
      <xdr:row>64</xdr:row>
      <xdr:rowOff>63500</xdr:rowOff>
    </xdr:from>
    <xdr:to>
      <xdr:col>9</xdr:col>
      <xdr:colOff>88900</xdr:colOff>
      <xdr:row>64</xdr:row>
      <xdr:rowOff>76200</xdr:rowOff>
    </xdr:to>
    <xdr:cxnSp macro="">
      <xdr:nvCxnSpPr>
        <xdr:cNvPr id="29" name="Straight Arrow Connector 28"/>
        <xdr:cNvCxnSpPr/>
      </xdr:nvCxnSpPr>
      <xdr:spPr>
        <a:xfrm flipH="1" flipV="1">
          <a:off x="4942840" y="16035020"/>
          <a:ext cx="137160" cy="1270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330200</xdr:colOff>
      <xdr:row>64</xdr:row>
      <xdr:rowOff>76200</xdr:rowOff>
    </xdr:from>
    <xdr:to>
      <xdr:col>12</xdr:col>
      <xdr:colOff>63500</xdr:colOff>
      <xdr:row>64</xdr:row>
      <xdr:rowOff>76200</xdr:rowOff>
    </xdr:to>
    <xdr:cxnSp macro="">
      <xdr:nvCxnSpPr>
        <xdr:cNvPr id="30" name="Straight Arrow Connector 29"/>
        <xdr:cNvCxnSpPr/>
      </xdr:nvCxnSpPr>
      <xdr:spPr>
        <a:xfrm>
          <a:off x="6205220" y="16047720"/>
          <a:ext cx="175260" cy="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2"/>
  <sheetViews>
    <sheetView tabSelected="1" zoomScale="80" zoomScaleNormal="80" workbookViewId="0">
      <selection activeCell="A42" sqref="A42"/>
    </sheetView>
  </sheetViews>
  <sheetFormatPr defaultColWidth="8.85546875" defaultRowHeight="15" x14ac:dyDescent="0.25"/>
  <cols>
    <col min="1" max="1" width="14.42578125" style="2" customWidth="1"/>
    <col min="2" max="2" width="15.28515625" style="2" customWidth="1"/>
    <col min="3" max="3" width="16" style="2" customWidth="1"/>
    <col min="4" max="4" width="15.42578125" style="3" customWidth="1"/>
    <col min="5" max="5" width="15.5703125" style="4" customWidth="1"/>
    <col min="6" max="6" width="9.140625" style="1" customWidth="1"/>
    <col min="7" max="7" width="14.28515625" style="2" customWidth="1"/>
    <col min="8" max="8" width="15.7109375" style="2" customWidth="1"/>
    <col min="9" max="9" width="15.28515625" style="2" customWidth="1"/>
    <col min="10" max="10" width="15" style="1" customWidth="1"/>
    <col min="11" max="11" width="13.7109375" style="1" customWidth="1"/>
    <col min="12" max="12" width="6.28515625" style="1" customWidth="1"/>
    <col min="13" max="13" width="13.5703125" style="1" customWidth="1"/>
    <col min="14" max="14" width="16.28515625" style="1" customWidth="1"/>
    <col min="15" max="15" width="13.85546875" style="1" customWidth="1"/>
    <col min="16" max="16" width="10.7109375" style="1" customWidth="1"/>
    <col min="17" max="17" width="12" style="1" customWidth="1"/>
    <col min="18" max="20" width="5.85546875" style="1" customWidth="1"/>
    <col min="21" max="21" width="5.7109375" style="1" customWidth="1"/>
    <col min="22" max="22" width="6" style="1" customWidth="1"/>
    <col min="23" max="24" width="5.7109375" style="1" customWidth="1"/>
    <col min="25" max="16384" width="8.85546875" style="1"/>
  </cols>
  <sheetData>
    <row r="1" spans="1:11" s="13" customFormat="1" ht="16.149999999999999" thickBot="1" x14ac:dyDescent="0.35">
      <c r="A1" s="207" t="s">
        <v>96</v>
      </c>
      <c r="B1" s="207"/>
      <c r="C1" s="207"/>
      <c r="D1" s="207"/>
      <c r="E1" s="207"/>
    </row>
    <row r="2" spans="1:11" s="13" customFormat="1" ht="16.149999999999999" thickTop="1" x14ac:dyDescent="0.3">
      <c r="A2" s="21" t="s">
        <v>0</v>
      </c>
      <c r="B2" s="22" t="s">
        <v>4</v>
      </c>
      <c r="C2" s="22" t="s">
        <v>1</v>
      </c>
      <c r="D2" s="23" t="s">
        <v>2</v>
      </c>
      <c r="E2" s="24" t="s">
        <v>3</v>
      </c>
    </row>
    <row r="3" spans="1:11" s="13" customFormat="1" ht="15.6" x14ac:dyDescent="0.3">
      <c r="A3" s="25">
        <v>2010</v>
      </c>
      <c r="B3" s="124">
        <v>8950346</v>
      </c>
      <c r="C3" s="124">
        <v>8950346</v>
      </c>
      <c r="D3" s="124">
        <v>8950346</v>
      </c>
      <c r="E3" s="126">
        <v>8950346</v>
      </c>
    </row>
    <row r="4" spans="1:11" s="13" customFormat="1" ht="15.6" x14ac:dyDescent="0.3">
      <c r="A4" s="25">
        <v>2011</v>
      </c>
      <c r="B4" s="124">
        <v>17261128</v>
      </c>
      <c r="C4" s="124">
        <v>17261128</v>
      </c>
      <c r="D4" s="124">
        <v>17261128</v>
      </c>
      <c r="E4" s="126">
        <v>17261128</v>
      </c>
    </row>
    <row r="5" spans="1:11" s="13" customFormat="1" ht="15.6" x14ac:dyDescent="0.3">
      <c r="A5" s="25">
        <v>2012</v>
      </c>
      <c r="B5" s="124">
        <v>17029248</v>
      </c>
      <c r="C5" s="124">
        <v>17029248</v>
      </c>
      <c r="D5" s="124">
        <v>17029248</v>
      </c>
      <c r="E5" s="126">
        <v>17029248</v>
      </c>
    </row>
    <row r="6" spans="1:11" s="13" customFormat="1" ht="16.149999999999999" thickBot="1" x14ac:dyDescent="0.35">
      <c r="A6" s="25">
        <v>2013</v>
      </c>
      <c r="B6" s="124">
        <v>17466579</v>
      </c>
      <c r="C6" s="124">
        <v>17466579</v>
      </c>
      <c r="D6" s="124">
        <v>17466579</v>
      </c>
      <c r="E6" s="126">
        <v>17466579</v>
      </c>
      <c r="G6" s="207" t="s">
        <v>48</v>
      </c>
      <c r="H6" s="207"/>
      <c r="I6" s="207"/>
      <c r="J6" s="207"/>
      <c r="K6" s="207"/>
    </row>
    <row r="7" spans="1:11" s="13" customFormat="1" ht="16.149999999999999" thickTop="1" x14ac:dyDescent="0.3">
      <c r="A7" s="25">
        <v>2014</v>
      </c>
      <c r="B7" s="124">
        <v>17237965</v>
      </c>
      <c r="C7" s="124">
        <v>17237965</v>
      </c>
      <c r="D7" s="124">
        <v>17237965</v>
      </c>
      <c r="E7" s="126">
        <v>17237965</v>
      </c>
      <c r="G7" s="21" t="s">
        <v>47</v>
      </c>
      <c r="H7" s="22" t="s">
        <v>4</v>
      </c>
      <c r="I7" s="22" t="s">
        <v>1</v>
      </c>
      <c r="J7" s="23" t="s">
        <v>2</v>
      </c>
      <c r="K7" s="24" t="s">
        <v>3</v>
      </c>
    </row>
    <row r="8" spans="1:11" s="13" customFormat="1" ht="15.6" x14ac:dyDescent="0.3">
      <c r="A8" s="25">
        <v>2015</v>
      </c>
      <c r="B8" s="124">
        <v>17237965</v>
      </c>
      <c r="C8" s="124">
        <f>(987*C24)+(465*B24)+(276*B24*1.5)+1000000</f>
        <v>27661059.552160002</v>
      </c>
      <c r="D8" s="124">
        <f>(1500*C24)+78*(C24*1.5)</f>
        <v>28467335.773800001</v>
      </c>
      <c r="E8" s="125">
        <f>((1008*C24)+(663*B24)+(570*C24*1.5))+1000000</f>
        <v>40801454.989119999</v>
      </c>
      <c r="G8" s="25">
        <v>2015</v>
      </c>
      <c r="H8" s="26">
        <f>'CMI Calculations'!O16</f>
        <v>38319469.964991868</v>
      </c>
      <c r="I8" s="26">
        <f>'CMI Calculations'!O25</f>
        <v>34121734.749507263</v>
      </c>
      <c r="J8" s="26">
        <f>'CMI Calculations'!O34</f>
        <v>34364399.655365296</v>
      </c>
      <c r="K8" s="27">
        <f>'CMI Calculations'!O43</f>
        <v>33291820.771472767</v>
      </c>
    </row>
    <row r="9" spans="1:11" s="13" customFormat="1" ht="15.6" x14ac:dyDescent="0.3">
      <c r="A9" s="25">
        <v>2016</v>
      </c>
      <c r="B9" s="124">
        <v>17237965</v>
      </c>
      <c r="C9" s="124">
        <f>(986*C25)+(500*B25)+(271*B25*1.5)+1000000</f>
        <v>27664598.163471401</v>
      </c>
      <c r="D9" s="124">
        <f>(1500*C25)+78*(C25*1.5)</f>
        <v>28182662.416062001</v>
      </c>
      <c r="E9" s="125">
        <f>((1008*C25)+(732*B25)+(570*C25*1.5))+1000000</f>
        <v>41125000.256189197</v>
      </c>
      <c r="G9" s="25">
        <v>2016</v>
      </c>
      <c r="H9" s="26">
        <f>'CMI Calculations'!O17</f>
        <v>39721705.464991868</v>
      </c>
      <c r="I9" s="26">
        <f>'CMI Calculations'!O26</f>
        <v>31529690.454365335</v>
      </c>
      <c r="J9" s="26">
        <f>'CMI Calculations'!O35</f>
        <v>32016908.785280403</v>
      </c>
      <c r="K9" s="27">
        <f>'CMI Calculations'!O44</f>
        <v>29981676.870267108</v>
      </c>
    </row>
    <row r="10" spans="1:11" s="13" customFormat="1" ht="15.6" x14ac:dyDescent="0.3">
      <c r="A10" s="25">
        <v>2017</v>
      </c>
      <c r="B10" s="124">
        <v>17237965</v>
      </c>
      <c r="C10" s="124">
        <f>(986*C26)+(500*B26)+(288*B26*1.5)+1000000</f>
        <v>27661948.95834633</v>
      </c>
      <c r="D10" s="124">
        <f>(1500*C26)+328*(C26*1.5)</f>
        <v>34371345.020078883</v>
      </c>
      <c r="E10" s="125">
        <f>((504*C26)+(1227*B26)+(285*C26*1.5))+1000000</f>
        <v>29775648.639550976</v>
      </c>
      <c r="G10" s="25">
        <v>2017</v>
      </c>
      <c r="H10" s="26">
        <f>'CMI Calculations'!O18</f>
        <v>41123940.964991868</v>
      </c>
      <c r="I10" s="26">
        <f>'CMI Calculations'!O27</f>
        <v>28183193.211666241</v>
      </c>
      <c r="J10" s="26">
        <f>'CMI Calculations'!O36</f>
        <v>29513195.524457</v>
      </c>
      <c r="K10" s="27">
        <f>'CMI Calculations'!O45</f>
        <v>27425984.108244184</v>
      </c>
    </row>
    <row r="11" spans="1:11" s="13" customFormat="1" ht="15.6" x14ac:dyDescent="0.3">
      <c r="A11" s="25">
        <v>2018</v>
      </c>
      <c r="B11" s="124">
        <v>17237965</v>
      </c>
      <c r="C11" s="124">
        <f>(986*C27)+(500*B27)+(312*B27*1.5)+1000000</f>
        <v>27664088.540064447</v>
      </c>
      <c r="D11" s="124">
        <f>(1500*C27)+579*(C27*1.5)</f>
        <v>40459058.922317401</v>
      </c>
      <c r="E11" s="125">
        <f>(2016.25*B27)+1000000</f>
        <v>21456385.514698602</v>
      </c>
      <c r="G11" s="25">
        <v>2018</v>
      </c>
      <c r="H11" s="26">
        <f>'CMI Calculations'!O19</f>
        <v>42526176.464991868</v>
      </c>
      <c r="I11" s="26">
        <f>'CMI Calculations'!O28</f>
        <v>26113375.442976922</v>
      </c>
      <c r="J11" s="26">
        <f>'CMI Calculations'!O37</f>
        <v>26923675.859532438</v>
      </c>
      <c r="K11" s="27">
        <f>'CMI Calculations'!O46</f>
        <v>25122049.858571809</v>
      </c>
    </row>
    <row r="12" spans="1:11" s="13" customFormat="1" ht="15.6" x14ac:dyDescent="0.3">
      <c r="A12" s="25">
        <v>2019</v>
      </c>
      <c r="B12" s="124">
        <f>(1500*C28)+516.25*(C28*1.5)</f>
        <v>38462690.063365504</v>
      </c>
      <c r="C12" s="124">
        <f>2016.25*B28</f>
        <v>20251821.65955162</v>
      </c>
      <c r="D12" s="124">
        <f>(1500*C28)+579*(C28*1.5)</f>
        <v>40054468.333094224</v>
      </c>
      <c r="E12" s="126">
        <f t="shared" ref="E12:E16" si="0">2016.25*B28</f>
        <v>20251821.65955162</v>
      </c>
      <c r="G12" s="25">
        <v>2019</v>
      </c>
      <c r="H12" s="26">
        <f>'CMI Calculations'!O20</f>
        <v>39359048.133691706</v>
      </c>
      <c r="I12" s="26">
        <f>'CMI Calculations'!O29</f>
        <v>24038082.640338201</v>
      </c>
      <c r="J12" s="26">
        <f>'CMI Calculations'!O38</f>
        <v>24596611.715558022</v>
      </c>
      <c r="K12" s="27">
        <f>'CMI Calculations'!O47</f>
        <v>23040964.837289043</v>
      </c>
    </row>
    <row r="13" spans="1:11" s="13" customFormat="1" ht="15.6" x14ac:dyDescent="0.3">
      <c r="A13" s="25">
        <v>2020</v>
      </c>
      <c r="B13" s="124">
        <f>(1500*C29)+516.25*(C29*1.5)</f>
        <v>38078063.162731849</v>
      </c>
      <c r="C13" s="124">
        <f>2016.25*B29</f>
        <v>20049303.442956101</v>
      </c>
      <c r="D13" s="124">
        <f>(1500*C29)+579*(C29*1.5)</f>
        <v>39653923.649763294</v>
      </c>
      <c r="E13" s="126">
        <f t="shared" si="0"/>
        <v>20049303.442956101</v>
      </c>
      <c r="G13" s="25">
        <v>2020</v>
      </c>
      <c r="H13" s="26">
        <f>'CMI Calculations'!O21</f>
        <v>36448345.296859942</v>
      </c>
      <c r="I13" s="26">
        <f>'CMI Calculations'!O30</f>
        <v>22095426.363388568</v>
      </c>
      <c r="J13" s="26">
        <f>'CMI Calculations'!O39</f>
        <v>22500989.310398787</v>
      </c>
      <c r="K13" s="27">
        <f>'CMI Calculations'!O48</f>
        <v>21143611.445501279</v>
      </c>
    </row>
    <row r="14" spans="1:11" s="13" customFormat="1" ht="15.6" x14ac:dyDescent="0.3">
      <c r="A14" s="25">
        <v>2021</v>
      </c>
      <c r="B14" s="124">
        <f>(1500*C30)+516.25*(C30*1.5)</f>
        <v>37697282.531104527</v>
      </c>
      <c r="C14" s="124">
        <f>2016.25*B30</f>
        <v>19848810.408526544</v>
      </c>
      <c r="D14" s="124">
        <f>(789*C30)+(711*B30)+516*(B30*1.5)</f>
        <v>27696470.067370452</v>
      </c>
      <c r="E14" s="126">
        <f t="shared" si="0"/>
        <v>19848810.408526544</v>
      </c>
      <c r="G14" s="25">
        <v>2021</v>
      </c>
      <c r="H14" s="26">
        <f>'CMI Calculations'!O22</f>
        <v>33770461.672300257</v>
      </c>
      <c r="I14" s="26">
        <f>'CMI Calculations'!O31</f>
        <v>20331212.710822541</v>
      </c>
      <c r="J14" s="26">
        <f>'CMI Calculations'!O40</f>
        <v>20667242.737419799</v>
      </c>
      <c r="K14" s="27">
        <f>'CMI Calculations'!O49</f>
        <v>19438097.796416286</v>
      </c>
    </row>
    <row r="15" spans="1:11" s="13" customFormat="1" ht="15.6" x14ac:dyDescent="0.3">
      <c r="A15" s="25">
        <v>2022</v>
      </c>
      <c r="B15" s="124">
        <f>(1500*C31)+516.25*(C31*1.5)</f>
        <v>37320309.705793485</v>
      </c>
      <c r="C15" s="124">
        <f>2016.25*B31</f>
        <v>19650322.304441277</v>
      </c>
      <c r="D15" s="124">
        <f>B31*2016.25</f>
        <v>19650322.304441277</v>
      </c>
      <c r="E15" s="126">
        <f t="shared" si="0"/>
        <v>19650322.304441277</v>
      </c>
      <c r="G15" s="25">
        <v>2022</v>
      </c>
      <c r="H15" s="26">
        <f>'CMI Calculations'!O23</f>
        <v>31304326.489440925</v>
      </c>
      <c r="I15" s="26">
        <f>'CMI Calculations'!O32</f>
        <v>18726312.016208574</v>
      </c>
      <c r="J15" s="26">
        <f>'CMI Calculations'!O41</f>
        <v>19003717.752002466</v>
      </c>
      <c r="K15" s="27">
        <f>'CMI Calculations'!O50</f>
        <v>17888669.135192182</v>
      </c>
    </row>
    <row r="16" spans="1:11" s="13" customFormat="1" ht="16.149999999999999" thickBot="1" x14ac:dyDescent="0.35">
      <c r="A16" s="25">
        <v>2023</v>
      </c>
      <c r="B16" s="124">
        <f>2016.25*B32</f>
        <v>19453819.081396863</v>
      </c>
      <c r="C16" s="124">
        <f>2016.25*B32</f>
        <v>19453819.081396863</v>
      </c>
      <c r="D16" s="124">
        <f>2016.25*B32</f>
        <v>19453819.081396863</v>
      </c>
      <c r="E16" s="126">
        <f t="shared" si="0"/>
        <v>19453819.081396863</v>
      </c>
      <c r="G16" s="28">
        <v>2023</v>
      </c>
      <c r="H16" s="29">
        <f>'CMI Calculations'!O24</f>
        <v>29031091.552715383</v>
      </c>
      <c r="I16" s="29">
        <f>'CMI Calculations'!O33</f>
        <v>17263953.220138237</v>
      </c>
      <c r="J16" s="29">
        <f>'CMI Calculations'!O42</f>
        <v>17492159.327654865</v>
      </c>
      <c r="K16" s="30">
        <f>'CMI Calculations'!O51</f>
        <v>16479012.335658178</v>
      </c>
    </row>
    <row r="17" spans="1:13" s="13" customFormat="1" ht="16.149999999999999" thickTop="1" x14ac:dyDescent="0.3">
      <c r="A17" s="31"/>
      <c r="B17" s="124"/>
      <c r="C17" s="124"/>
      <c r="D17" s="124"/>
      <c r="E17" s="126"/>
    </row>
    <row r="18" spans="1:13" s="13" customFormat="1" ht="19.899999999999999" customHeight="1" x14ac:dyDescent="0.3">
      <c r="A18" s="32"/>
      <c r="B18" s="121">
        <f>SUM(B3:B16)</f>
        <v>317909290.54439229</v>
      </c>
      <c r="C18" s="121">
        <f>SUM(C3:C17)</f>
        <v>287851038.11091459</v>
      </c>
      <c r="D18" s="121">
        <f>SUM(D3:D16)</f>
        <v>355934671.56832445</v>
      </c>
      <c r="E18" s="127">
        <f>SUM(E3:E17)</f>
        <v>310357832.29643118</v>
      </c>
      <c r="G18" s="16"/>
      <c r="H18" s="16"/>
      <c r="I18" s="16"/>
    </row>
    <row r="19" spans="1:13" s="13" customFormat="1" ht="31.9" thickBot="1" x14ac:dyDescent="0.35">
      <c r="A19" s="33" t="s">
        <v>9</v>
      </c>
      <c r="B19" s="122">
        <f>B18-C18</f>
        <v>30058252.4334777</v>
      </c>
      <c r="C19" s="122">
        <f>C18-C18</f>
        <v>0</v>
      </c>
      <c r="D19" s="122">
        <f>D18-C18</f>
        <v>68083633.457409859</v>
      </c>
      <c r="E19" s="123">
        <f>E18-C18</f>
        <v>22506794.185516596</v>
      </c>
      <c r="G19" s="16"/>
      <c r="H19" s="16"/>
      <c r="I19" s="16"/>
    </row>
    <row r="20" spans="1:13" s="13" customFormat="1" ht="16.149999999999999" thickTop="1" x14ac:dyDescent="0.3">
      <c r="A20" s="16"/>
      <c r="B20" s="16"/>
      <c r="C20" s="34"/>
      <c r="D20" s="34"/>
      <c r="E20" s="35"/>
      <c r="G20" s="16"/>
      <c r="H20" s="16"/>
      <c r="I20" s="16"/>
    </row>
    <row r="21" spans="1:13" s="13" customFormat="1" ht="15.6" x14ac:dyDescent="0.3">
      <c r="A21" s="16"/>
      <c r="B21" s="16"/>
      <c r="C21" s="34"/>
      <c r="D21" s="34"/>
      <c r="E21" s="35"/>
      <c r="G21" s="16"/>
      <c r="H21" s="16"/>
      <c r="I21" s="16"/>
    </row>
    <row r="22" spans="1:13" s="13" customFormat="1" ht="15.6" x14ac:dyDescent="0.3">
      <c r="A22" s="36">
        <v>2014</v>
      </c>
      <c r="B22" s="37">
        <f>C22*0.6</f>
        <v>10669.716</v>
      </c>
      <c r="C22" s="50">
        <f>'2014 Cost Per Mile thru Sept'!F20</f>
        <v>17782.86</v>
      </c>
      <c r="D22" s="39"/>
      <c r="E22" s="35"/>
      <c r="G22" s="16"/>
      <c r="H22" s="16"/>
      <c r="I22" s="16"/>
    </row>
    <row r="23" spans="1:13" s="13" customFormat="1" ht="31.15" x14ac:dyDescent="0.3">
      <c r="A23" s="36" t="s">
        <v>0</v>
      </c>
      <c r="B23" s="40" t="s">
        <v>97</v>
      </c>
      <c r="C23" s="40" t="s">
        <v>6</v>
      </c>
      <c r="D23" s="34"/>
      <c r="E23" s="35"/>
      <c r="F23" s="36" t="s">
        <v>0</v>
      </c>
      <c r="G23" s="134" t="s">
        <v>4</v>
      </c>
      <c r="H23" s="36" t="s">
        <v>1</v>
      </c>
      <c r="I23" s="131" t="s">
        <v>2</v>
      </c>
      <c r="J23" s="41" t="s">
        <v>3</v>
      </c>
    </row>
    <row r="24" spans="1:13" s="13" customFormat="1" ht="15.6" x14ac:dyDescent="0.3">
      <c r="A24" s="36">
        <v>2015</v>
      </c>
      <c r="B24" s="206">
        <f>B22-(B22*0.01)</f>
        <v>10563.018840000001</v>
      </c>
      <c r="C24" s="206">
        <f>C22-(C22*0.01)</f>
        <v>17605.0314</v>
      </c>
      <c r="D24" s="34"/>
      <c r="E24" s="35"/>
      <c r="F24" s="36">
        <v>2015</v>
      </c>
      <c r="G24" s="132">
        <f t="shared" ref="G24:J27" si="1">B8</f>
        <v>17237965</v>
      </c>
      <c r="H24" s="34">
        <f>C8</f>
        <v>27661059.552160002</v>
      </c>
      <c r="I24" s="132">
        <f t="shared" si="1"/>
        <v>28467335.773800001</v>
      </c>
      <c r="J24" s="34">
        <f t="shared" si="1"/>
        <v>40801454.989119999</v>
      </c>
      <c r="M24" s="42"/>
    </row>
    <row r="25" spans="1:13" s="13" customFormat="1" ht="15.6" x14ac:dyDescent="0.3">
      <c r="A25" s="36">
        <v>2016</v>
      </c>
      <c r="B25" s="206">
        <f>B24-(B24*0.01)</f>
        <v>10457.3886516</v>
      </c>
      <c r="C25" s="206">
        <f>C24-(C24*0.01)</f>
        <v>17428.981086</v>
      </c>
      <c r="D25" s="34"/>
      <c r="E25" s="35"/>
      <c r="F25" s="36">
        <v>2016</v>
      </c>
      <c r="G25" s="132">
        <f t="shared" si="1"/>
        <v>17237965</v>
      </c>
      <c r="H25" s="34">
        <f t="shared" si="1"/>
        <v>27664598.163471401</v>
      </c>
      <c r="I25" s="132">
        <f t="shared" si="1"/>
        <v>28182662.416062001</v>
      </c>
      <c r="J25" s="34">
        <f t="shared" si="1"/>
        <v>41125000.256189197</v>
      </c>
    </row>
    <row r="26" spans="1:13" s="13" customFormat="1" ht="15.6" x14ac:dyDescent="0.3">
      <c r="A26" s="36">
        <v>2017</v>
      </c>
      <c r="B26" s="206">
        <f>B25-(B25*0.01)</f>
        <v>10352.814765084</v>
      </c>
      <c r="C26" s="206">
        <f>C25-(C25*0.01)</f>
        <v>17254.691275140001</v>
      </c>
      <c r="D26" s="34"/>
      <c r="E26" s="35"/>
      <c r="F26" s="36">
        <v>2017</v>
      </c>
      <c r="G26" s="132">
        <f t="shared" si="1"/>
        <v>17237965</v>
      </c>
      <c r="H26" s="34">
        <f t="shared" si="1"/>
        <v>27661948.95834633</v>
      </c>
      <c r="I26" s="132">
        <f t="shared" si="1"/>
        <v>34371345.020078883</v>
      </c>
      <c r="J26" s="34">
        <f t="shared" si="1"/>
        <v>29775648.639550976</v>
      </c>
    </row>
    <row r="27" spans="1:13" s="13" customFormat="1" ht="15.6" x14ac:dyDescent="0.3">
      <c r="A27" s="36">
        <v>2018</v>
      </c>
      <c r="B27" s="206">
        <f>B26-(B26*0.02)</f>
        <v>10145.75846978232</v>
      </c>
      <c r="C27" s="206">
        <f t="shared" ref="C27:C32" si="2">C26-(C26*0.01)</f>
        <v>17082.144362388601</v>
      </c>
      <c r="D27" s="34"/>
      <c r="E27" s="35"/>
      <c r="F27" s="36">
        <v>2018</v>
      </c>
      <c r="G27" s="132">
        <f t="shared" si="1"/>
        <v>17237965</v>
      </c>
      <c r="H27" s="34">
        <f t="shared" si="1"/>
        <v>27664088.540064447</v>
      </c>
      <c r="I27" s="132">
        <f t="shared" si="1"/>
        <v>40459058.922317401</v>
      </c>
      <c r="J27" s="34">
        <f t="shared" si="1"/>
        <v>21456385.514698602</v>
      </c>
    </row>
    <row r="28" spans="1:13" s="13" customFormat="1" ht="15.6" x14ac:dyDescent="0.3">
      <c r="A28" s="36">
        <v>2019</v>
      </c>
      <c r="B28" s="206">
        <f>B27-(B27*0.01)</f>
        <v>10044.300885084498</v>
      </c>
      <c r="C28" s="206">
        <f t="shared" si="2"/>
        <v>16911.322918764716</v>
      </c>
      <c r="D28" s="34"/>
      <c r="E28" s="35"/>
      <c r="F28" s="36"/>
      <c r="G28" s="132"/>
      <c r="H28" s="34"/>
      <c r="I28" s="133"/>
      <c r="J28" s="34"/>
    </row>
    <row r="29" spans="1:13" s="13" customFormat="1" ht="15.6" x14ac:dyDescent="0.3">
      <c r="A29" s="36">
        <v>2020</v>
      </c>
      <c r="B29" s="206">
        <f>B28-(B28*0.01)</f>
        <v>9943.8578762336529</v>
      </c>
      <c r="C29" s="206">
        <f t="shared" si="2"/>
        <v>16742.20968957707</v>
      </c>
      <c r="D29" s="34"/>
      <c r="E29" s="35"/>
      <c r="G29" s="132">
        <f>SUM(G24:G28)</f>
        <v>68951860</v>
      </c>
      <c r="H29" s="34">
        <f>SUM(H24:H28)</f>
        <v>110651695.21404219</v>
      </c>
      <c r="I29" s="132">
        <f>SUM(I24:I28)</f>
        <v>131480402.13225828</v>
      </c>
      <c r="J29" s="42">
        <f>SUM(J24:J28)</f>
        <v>133158489.39955878</v>
      </c>
    </row>
    <row r="30" spans="1:13" s="13" customFormat="1" ht="15.6" x14ac:dyDescent="0.3">
      <c r="A30" s="36">
        <v>2021</v>
      </c>
      <c r="B30" s="206">
        <f>B29-(B29*0.01)</f>
        <v>9844.4192974713169</v>
      </c>
      <c r="C30" s="206">
        <f t="shared" si="2"/>
        <v>16574.787592681299</v>
      </c>
      <c r="D30" s="34"/>
      <c r="E30" s="35"/>
      <c r="G30" s="16"/>
      <c r="H30" s="16"/>
      <c r="I30" s="16"/>
    </row>
    <row r="31" spans="1:13" s="13" customFormat="1" ht="15.6" x14ac:dyDescent="0.3">
      <c r="A31" s="36">
        <v>2022</v>
      </c>
      <c r="B31" s="206">
        <f>B30-(B30*0.01)</f>
        <v>9745.9751044966033</v>
      </c>
      <c r="C31" s="206">
        <f t="shared" si="2"/>
        <v>16409.039716754487</v>
      </c>
      <c r="D31" s="34"/>
      <c r="E31" s="35"/>
      <c r="F31" s="43" t="s">
        <v>10</v>
      </c>
      <c r="G31" s="44"/>
      <c r="H31" s="45">
        <f>H29/4</f>
        <v>27662923.803510547</v>
      </c>
      <c r="I31" s="39"/>
      <c r="J31" s="42"/>
    </row>
    <row r="32" spans="1:13" s="13" customFormat="1" ht="16.149999999999999" thickBot="1" x14ac:dyDescent="0.35">
      <c r="A32" s="36">
        <v>2023</v>
      </c>
      <c r="B32" s="206">
        <f>B31-(B31*0.01)</f>
        <v>9648.5153534516376</v>
      </c>
      <c r="C32" s="206">
        <f t="shared" si="2"/>
        <v>16244.949319586942</v>
      </c>
      <c r="D32" s="34"/>
      <c r="E32" s="35"/>
      <c r="F32" s="46" t="s">
        <v>7</v>
      </c>
      <c r="G32" s="16"/>
      <c r="H32" s="34"/>
      <c r="I32" s="34"/>
      <c r="J32" s="47">
        <v>16996358</v>
      </c>
    </row>
    <row r="33" spans="1:13" s="13" customFormat="1" ht="16.899999999999999" thickTop="1" thickBot="1" x14ac:dyDescent="0.35">
      <c r="A33" s="16"/>
      <c r="B33" s="16"/>
      <c r="C33" s="16"/>
      <c r="D33" s="34"/>
      <c r="E33" s="35"/>
      <c r="F33" s="128" t="s">
        <v>8</v>
      </c>
      <c r="G33" s="129"/>
      <c r="H33" s="130"/>
      <c r="I33" s="130"/>
      <c r="J33" s="48">
        <f>H31-J32</f>
        <v>10666565.803510547</v>
      </c>
    </row>
    <row r="34" spans="1:13" s="13" customFormat="1" ht="16.149999999999999" thickTop="1" x14ac:dyDescent="0.3">
      <c r="A34" s="36" t="s">
        <v>0</v>
      </c>
      <c r="B34" s="36" t="s">
        <v>5</v>
      </c>
      <c r="C34" s="16"/>
      <c r="D34" s="34"/>
      <c r="E34" s="35"/>
      <c r="G34" s="16"/>
      <c r="H34" s="16"/>
      <c r="I34" s="34"/>
      <c r="M34" s="42"/>
    </row>
    <row r="35" spans="1:13" s="13" customFormat="1" ht="15.6" x14ac:dyDescent="0.3">
      <c r="A35" s="36">
        <v>2010</v>
      </c>
      <c r="B35" s="38">
        <v>19331.2</v>
      </c>
      <c r="C35" s="16"/>
      <c r="D35" s="34"/>
      <c r="E35" s="35"/>
      <c r="G35" s="16"/>
      <c r="H35" s="16"/>
      <c r="I35" s="16"/>
      <c r="J35" s="49"/>
    </row>
    <row r="36" spans="1:13" s="13" customFormat="1" ht="15.6" x14ac:dyDescent="0.3">
      <c r="A36" s="36">
        <v>2011</v>
      </c>
      <c r="B36" s="38">
        <v>18520.52</v>
      </c>
      <c r="C36" s="16"/>
      <c r="D36" s="34"/>
      <c r="E36" s="35"/>
      <c r="G36" s="16"/>
      <c r="H36" s="16"/>
      <c r="I36" s="16"/>
    </row>
    <row r="37" spans="1:13" s="13" customFormat="1" ht="15.6" x14ac:dyDescent="0.3">
      <c r="A37" s="36">
        <v>2012</v>
      </c>
      <c r="B37" s="38">
        <v>19112.509999999998</v>
      </c>
      <c r="C37" s="16"/>
      <c r="D37" s="34"/>
      <c r="E37" s="35"/>
      <c r="G37" s="16"/>
      <c r="H37" s="16"/>
      <c r="I37" s="16"/>
    </row>
    <row r="38" spans="1:13" s="13" customFormat="1" ht="15.6" x14ac:dyDescent="0.3">
      <c r="A38" s="36">
        <v>2013</v>
      </c>
      <c r="B38" s="38">
        <v>21145.98</v>
      </c>
      <c r="C38" s="16"/>
      <c r="D38" s="34"/>
      <c r="E38" s="35"/>
      <c r="G38" s="16"/>
      <c r="H38" s="16"/>
      <c r="I38" s="16"/>
    </row>
    <row r="39" spans="1:13" s="13" customFormat="1" ht="15.6" x14ac:dyDescent="0.3">
      <c r="A39" s="36">
        <v>2014</v>
      </c>
      <c r="B39" s="38">
        <v>17782.86</v>
      </c>
      <c r="C39" s="34"/>
      <c r="D39" s="35"/>
      <c r="F39" s="16"/>
      <c r="G39" s="16"/>
      <c r="H39" s="16"/>
    </row>
    <row r="40" spans="1:13" s="13" customFormat="1" ht="15.6" x14ac:dyDescent="0.3">
      <c r="B40" s="38">
        <f>SUM(B35:B39)/5</f>
        <v>19178.613999999998</v>
      </c>
      <c r="C40" s="16"/>
      <c r="D40" s="34"/>
      <c r="E40" s="35"/>
      <c r="G40" s="16"/>
      <c r="H40" s="16"/>
      <c r="I40" s="16"/>
    </row>
    <row r="41" spans="1:13" s="13" customFormat="1" ht="15.6" x14ac:dyDescent="0.3">
      <c r="A41" s="16"/>
      <c r="B41" s="16"/>
      <c r="C41" s="16"/>
      <c r="D41" s="34"/>
      <c r="E41" s="35"/>
      <c r="G41" s="16"/>
      <c r="H41" s="16"/>
      <c r="I41" s="16"/>
    </row>
    <row r="42" spans="1:13" s="13" customFormat="1" ht="15.6" x14ac:dyDescent="0.3">
      <c r="A42" s="16"/>
      <c r="B42" s="16"/>
      <c r="C42" s="16"/>
      <c r="D42" s="34"/>
      <c r="E42" s="35"/>
      <c r="G42" s="16"/>
      <c r="H42" s="16"/>
      <c r="I42" s="16"/>
    </row>
    <row r="43" spans="1:13" s="13" customFormat="1" ht="15.6" x14ac:dyDescent="0.3">
      <c r="A43" s="16"/>
      <c r="B43" s="16"/>
      <c r="C43" s="16"/>
      <c r="D43" s="34"/>
      <c r="E43" s="35"/>
      <c r="G43" s="16"/>
      <c r="H43" s="16"/>
      <c r="I43" s="16"/>
    </row>
    <row r="44" spans="1:13" s="13" customFormat="1" ht="15.6" x14ac:dyDescent="0.3">
      <c r="A44" s="16"/>
      <c r="B44" s="16"/>
      <c r="C44" s="16"/>
      <c r="D44" s="34"/>
      <c r="E44" s="35"/>
      <c r="G44" s="16"/>
      <c r="H44" s="16"/>
      <c r="I44" s="16"/>
    </row>
    <row r="45" spans="1:13" s="13" customFormat="1" ht="15.6" x14ac:dyDescent="0.3">
      <c r="A45" s="16"/>
      <c r="B45" s="16"/>
      <c r="C45" s="16"/>
      <c r="D45" s="34"/>
      <c r="E45" s="35"/>
      <c r="G45" s="16"/>
      <c r="H45" s="16"/>
      <c r="I45" s="16"/>
    </row>
    <row r="46" spans="1:13" s="13" customFormat="1" ht="15.75" x14ac:dyDescent="0.25">
      <c r="A46" s="16"/>
      <c r="B46" s="16"/>
      <c r="C46" s="16"/>
      <c r="D46" s="34"/>
      <c r="E46" s="35"/>
      <c r="G46" s="16"/>
      <c r="H46" s="16"/>
      <c r="I46" s="16"/>
    </row>
    <row r="47" spans="1:13" s="13" customFormat="1" ht="15.75" x14ac:dyDescent="0.25">
      <c r="A47" s="16"/>
      <c r="B47" s="16"/>
      <c r="C47" s="16"/>
      <c r="D47" s="34"/>
      <c r="E47" s="35"/>
      <c r="G47" s="16"/>
      <c r="H47" s="16"/>
      <c r="I47" s="16"/>
    </row>
    <row r="48" spans="1:13" s="13" customFormat="1" ht="15.75" x14ac:dyDescent="0.25">
      <c r="A48" s="16"/>
      <c r="B48" s="16"/>
      <c r="C48" s="16"/>
      <c r="D48" s="34"/>
      <c r="E48" s="35"/>
      <c r="G48" s="16"/>
      <c r="H48" s="16"/>
      <c r="I48" s="16"/>
    </row>
    <row r="49" spans="1:9" s="13" customFormat="1" ht="15.75" x14ac:dyDescent="0.25">
      <c r="A49" s="16"/>
      <c r="B49" s="16"/>
      <c r="C49" s="16"/>
      <c r="D49" s="34"/>
      <c r="E49" s="35"/>
      <c r="G49" s="16"/>
      <c r="H49" s="16"/>
      <c r="I49" s="16"/>
    </row>
    <row r="50" spans="1:9" s="13" customFormat="1" ht="15.75" x14ac:dyDescent="0.25">
      <c r="A50" s="16"/>
      <c r="B50" s="16"/>
      <c r="C50" s="16"/>
      <c r="D50" s="34"/>
      <c r="E50" s="35"/>
      <c r="G50" s="16"/>
      <c r="H50" s="16"/>
      <c r="I50" s="16"/>
    </row>
    <row r="51" spans="1:9" s="13" customFormat="1" ht="15.75" x14ac:dyDescent="0.25">
      <c r="A51" s="16"/>
      <c r="B51" s="16"/>
      <c r="C51" s="16"/>
      <c r="D51" s="34"/>
      <c r="E51" s="35"/>
      <c r="G51" s="16"/>
      <c r="H51" s="16"/>
      <c r="I51" s="16"/>
    </row>
    <row r="52" spans="1:9" s="13" customFormat="1" ht="15.75" x14ac:dyDescent="0.25">
      <c r="A52" s="16"/>
      <c r="B52" s="16"/>
      <c r="C52" s="16"/>
      <c r="D52" s="34"/>
      <c r="E52" s="35"/>
      <c r="G52" s="16"/>
      <c r="H52" s="16"/>
      <c r="I52" s="16"/>
    </row>
    <row r="53" spans="1:9" s="13" customFormat="1" ht="15.75" x14ac:dyDescent="0.25">
      <c r="A53" s="16"/>
      <c r="B53" s="16"/>
      <c r="C53" s="16"/>
      <c r="D53" s="34"/>
      <c r="E53" s="35"/>
      <c r="G53" s="16"/>
      <c r="H53" s="16"/>
      <c r="I53" s="16"/>
    </row>
    <row r="54" spans="1:9" s="13" customFormat="1" ht="15.75" x14ac:dyDescent="0.25">
      <c r="A54" s="16"/>
      <c r="B54" s="16"/>
      <c r="C54" s="16"/>
      <c r="D54" s="34"/>
      <c r="E54" s="35"/>
      <c r="G54" s="16"/>
      <c r="H54" s="16"/>
      <c r="I54" s="16"/>
    </row>
    <row r="55" spans="1:9" s="13" customFormat="1" ht="15.75" x14ac:dyDescent="0.25">
      <c r="A55" s="16"/>
      <c r="B55" s="16"/>
      <c r="C55" s="16"/>
      <c r="D55" s="34"/>
      <c r="E55" s="35"/>
      <c r="G55" s="16"/>
      <c r="H55" s="16"/>
      <c r="I55" s="16"/>
    </row>
    <row r="56" spans="1:9" s="13" customFormat="1" ht="15.75" x14ac:dyDescent="0.25">
      <c r="A56" s="16"/>
      <c r="B56" s="16"/>
      <c r="C56" s="16"/>
      <c r="D56" s="34"/>
      <c r="E56" s="35"/>
      <c r="G56" s="16"/>
      <c r="H56" s="16"/>
      <c r="I56" s="16"/>
    </row>
    <row r="57" spans="1:9" s="13" customFormat="1" ht="15.75" x14ac:dyDescent="0.25">
      <c r="A57" s="16"/>
      <c r="B57" s="16"/>
      <c r="C57" s="16"/>
      <c r="D57" s="34"/>
      <c r="E57" s="35"/>
      <c r="G57" s="16"/>
      <c r="H57" s="16"/>
      <c r="I57" s="16"/>
    </row>
    <row r="58" spans="1:9" s="13" customFormat="1" ht="15.75" x14ac:dyDescent="0.25">
      <c r="A58" s="16"/>
      <c r="B58" s="16"/>
      <c r="C58" s="16"/>
      <c r="D58" s="34"/>
      <c r="E58" s="35"/>
      <c r="G58" s="16"/>
      <c r="H58" s="16"/>
      <c r="I58" s="16"/>
    </row>
    <row r="59" spans="1:9" s="13" customFormat="1" ht="15.75" x14ac:dyDescent="0.25">
      <c r="A59" s="16"/>
      <c r="B59" s="16"/>
      <c r="C59" s="16"/>
      <c r="D59" s="34"/>
      <c r="E59" s="35"/>
      <c r="G59" s="16"/>
      <c r="H59" s="16"/>
      <c r="I59" s="16"/>
    </row>
    <row r="60" spans="1:9" s="13" customFormat="1" ht="15.75" x14ac:dyDescent="0.25">
      <c r="A60" s="16"/>
      <c r="B60" s="16"/>
      <c r="C60" s="16"/>
      <c r="D60" s="34"/>
      <c r="E60" s="35"/>
      <c r="G60" s="16"/>
      <c r="H60" s="16"/>
      <c r="I60" s="16"/>
    </row>
    <row r="61" spans="1:9" s="13" customFormat="1" ht="15.75" x14ac:dyDescent="0.25">
      <c r="A61" s="16"/>
      <c r="B61" s="16"/>
      <c r="C61" s="16"/>
      <c r="D61" s="34"/>
      <c r="E61" s="35"/>
      <c r="G61" s="16"/>
      <c r="H61" s="16"/>
      <c r="I61" s="16"/>
    </row>
    <row r="62" spans="1:9" s="13" customFormat="1" ht="15.75" x14ac:dyDescent="0.25">
      <c r="A62" s="16"/>
      <c r="B62" s="16"/>
      <c r="C62" s="16"/>
      <c r="D62" s="34"/>
      <c r="E62" s="35"/>
      <c r="G62" s="16"/>
      <c r="H62" s="16"/>
      <c r="I62" s="16"/>
    </row>
    <row r="63" spans="1:9" s="13" customFormat="1" ht="15.75" x14ac:dyDescent="0.25">
      <c r="A63" s="16"/>
      <c r="B63" s="16"/>
      <c r="C63" s="16"/>
      <c r="D63" s="34"/>
      <c r="E63" s="35"/>
      <c r="G63" s="16"/>
      <c r="H63" s="16"/>
      <c r="I63" s="16"/>
    </row>
    <row r="64" spans="1:9" s="13" customFormat="1" ht="15.75" x14ac:dyDescent="0.25">
      <c r="A64" s="16"/>
      <c r="B64" s="16"/>
      <c r="C64" s="16"/>
      <c r="D64" s="34"/>
      <c r="E64" s="35"/>
      <c r="G64" s="16"/>
      <c r="H64" s="16"/>
      <c r="I64" s="16"/>
    </row>
    <row r="65" spans="1:9" s="13" customFormat="1" ht="15.75" x14ac:dyDescent="0.25">
      <c r="A65" s="16"/>
      <c r="B65" s="16"/>
      <c r="C65" s="16"/>
      <c r="D65" s="34"/>
      <c r="E65" s="35"/>
      <c r="G65" s="16"/>
      <c r="H65" s="16"/>
      <c r="I65" s="16"/>
    </row>
    <row r="66" spans="1:9" s="13" customFormat="1" ht="15.75" x14ac:dyDescent="0.25">
      <c r="A66" s="16"/>
      <c r="B66" s="16"/>
      <c r="C66" s="16"/>
      <c r="D66" s="34"/>
      <c r="E66" s="35"/>
      <c r="G66" s="16"/>
      <c r="H66" s="16"/>
      <c r="I66" s="16"/>
    </row>
    <row r="67" spans="1:9" s="13" customFormat="1" ht="15.75" x14ac:dyDescent="0.25">
      <c r="A67" s="16"/>
      <c r="B67" s="16"/>
      <c r="C67" s="16"/>
      <c r="D67" s="34"/>
      <c r="E67" s="35"/>
      <c r="G67" s="16"/>
      <c r="H67" s="16"/>
      <c r="I67" s="16"/>
    </row>
    <row r="68" spans="1:9" s="13" customFormat="1" ht="15.75" x14ac:dyDescent="0.25">
      <c r="A68" s="16"/>
      <c r="B68" s="16"/>
      <c r="C68" s="16"/>
      <c r="D68" s="34"/>
      <c r="E68" s="35"/>
      <c r="G68" s="16"/>
      <c r="H68" s="16"/>
      <c r="I68" s="16"/>
    </row>
    <row r="69" spans="1:9" s="13" customFormat="1" ht="15.75" x14ac:dyDescent="0.25">
      <c r="A69" s="16"/>
      <c r="B69" s="16"/>
      <c r="C69" s="16"/>
      <c r="D69" s="34"/>
      <c r="E69" s="35"/>
      <c r="G69" s="16"/>
      <c r="H69" s="16"/>
      <c r="I69" s="16"/>
    </row>
    <row r="70" spans="1:9" s="13" customFormat="1" ht="15.75" x14ac:dyDescent="0.25">
      <c r="A70" s="16"/>
      <c r="B70" s="16"/>
      <c r="C70" s="16"/>
      <c r="D70" s="34"/>
      <c r="E70" s="35"/>
      <c r="G70" s="16"/>
      <c r="H70" s="16"/>
      <c r="I70" s="16"/>
    </row>
    <row r="71" spans="1:9" s="13" customFormat="1" ht="15.75" x14ac:dyDescent="0.25">
      <c r="A71" s="16"/>
      <c r="B71" s="16"/>
      <c r="C71" s="16"/>
      <c r="D71" s="34"/>
      <c r="E71" s="35"/>
      <c r="G71" s="16"/>
      <c r="H71" s="16"/>
      <c r="I71" s="16"/>
    </row>
    <row r="72" spans="1:9" s="13" customFormat="1" ht="15.75" x14ac:dyDescent="0.25">
      <c r="A72" s="16"/>
      <c r="B72" s="16"/>
      <c r="C72" s="16"/>
      <c r="D72" s="34"/>
      <c r="E72" s="35"/>
      <c r="G72" s="16"/>
      <c r="H72" s="16"/>
      <c r="I72" s="16"/>
    </row>
    <row r="73" spans="1:9" s="13" customFormat="1" ht="15.75" x14ac:dyDescent="0.25">
      <c r="A73" s="16"/>
      <c r="B73" s="16"/>
      <c r="C73" s="16"/>
      <c r="D73" s="34"/>
      <c r="E73" s="35"/>
      <c r="G73" s="16"/>
      <c r="H73" s="16"/>
      <c r="I73" s="16"/>
    </row>
    <row r="74" spans="1:9" s="13" customFormat="1" ht="15.75" x14ac:dyDescent="0.25">
      <c r="A74" s="16"/>
      <c r="B74" s="16"/>
      <c r="C74" s="16"/>
      <c r="D74" s="34"/>
      <c r="E74" s="35"/>
      <c r="G74" s="16"/>
      <c r="H74" s="16"/>
      <c r="I74" s="16"/>
    </row>
    <row r="75" spans="1:9" s="13" customFormat="1" ht="15.75" x14ac:dyDescent="0.25">
      <c r="A75" s="16"/>
      <c r="B75" s="16"/>
      <c r="C75" s="16"/>
      <c r="D75" s="34"/>
      <c r="E75" s="35"/>
      <c r="G75" s="16"/>
      <c r="H75" s="16"/>
      <c r="I75" s="16"/>
    </row>
    <row r="76" spans="1:9" s="13" customFormat="1" ht="15.75" x14ac:dyDescent="0.25">
      <c r="A76" s="16"/>
      <c r="B76" s="16"/>
      <c r="C76" s="16"/>
      <c r="D76" s="34"/>
      <c r="E76" s="35"/>
      <c r="G76" s="16"/>
      <c r="H76" s="16"/>
      <c r="I76" s="16"/>
    </row>
    <row r="77" spans="1:9" s="13" customFormat="1" ht="15.75" x14ac:dyDescent="0.25">
      <c r="A77" s="16"/>
      <c r="B77" s="16"/>
      <c r="C77" s="16"/>
      <c r="D77" s="34"/>
      <c r="E77" s="35"/>
      <c r="G77" s="16"/>
      <c r="H77" s="16"/>
      <c r="I77" s="16"/>
    </row>
    <row r="78" spans="1:9" s="13" customFormat="1" ht="15.75" x14ac:dyDescent="0.25">
      <c r="A78" s="16"/>
      <c r="B78" s="16"/>
      <c r="C78" s="16"/>
      <c r="D78" s="34"/>
      <c r="E78" s="35"/>
      <c r="G78" s="16"/>
      <c r="H78" s="16"/>
      <c r="I78" s="16"/>
    </row>
    <row r="79" spans="1:9" s="13" customFormat="1" ht="15.75" x14ac:dyDescent="0.25">
      <c r="A79" s="16"/>
      <c r="B79" s="16"/>
      <c r="C79" s="16"/>
      <c r="D79" s="34"/>
      <c r="E79" s="35"/>
      <c r="G79" s="16"/>
      <c r="H79" s="16"/>
      <c r="I79" s="16"/>
    </row>
    <row r="80" spans="1:9" s="13" customFormat="1" ht="15.75" x14ac:dyDescent="0.25">
      <c r="A80" s="16"/>
      <c r="B80" s="16"/>
      <c r="C80" s="16"/>
      <c r="D80" s="34"/>
      <c r="E80" s="35"/>
      <c r="G80" s="16"/>
      <c r="H80" s="16"/>
      <c r="I80" s="16"/>
    </row>
    <row r="81" spans="1:9" s="13" customFormat="1" ht="15.75" x14ac:dyDescent="0.25">
      <c r="A81" s="16"/>
      <c r="B81" s="16"/>
      <c r="C81" s="16"/>
      <c r="D81" s="34"/>
      <c r="E81" s="35"/>
      <c r="G81" s="16"/>
      <c r="H81" s="16"/>
      <c r="I81" s="16"/>
    </row>
    <row r="82" spans="1:9" s="13" customFormat="1" ht="15.75" x14ac:dyDescent="0.25">
      <c r="A82" s="16"/>
      <c r="B82" s="16"/>
      <c r="C82" s="16"/>
      <c r="D82" s="34"/>
      <c r="E82" s="35"/>
      <c r="G82" s="16"/>
      <c r="H82" s="16"/>
      <c r="I82" s="16"/>
    </row>
    <row r="83" spans="1:9" s="13" customFormat="1" ht="15.75" x14ac:dyDescent="0.25">
      <c r="A83" s="16"/>
      <c r="B83" s="16"/>
      <c r="C83" s="16"/>
      <c r="D83" s="34"/>
      <c r="E83" s="35"/>
      <c r="G83" s="16"/>
      <c r="H83" s="16"/>
      <c r="I83" s="16"/>
    </row>
    <row r="84" spans="1:9" s="13" customFormat="1" ht="15.75" x14ac:dyDescent="0.25">
      <c r="A84" s="16"/>
      <c r="B84" s="16"/>
      <c r="C84" s="16"/>
      <c r="D84" s="34"/>
      <c r="E84" s="35"/>
      <c r="G84" s="16"/>
      <c r="H84" s="16"/>
      <c r="I84" s="16"/>
    </row>
    <row r="85" spans="1:9" s="13" customFormat="1" ht="15.75" x14ac:dyDescent="0.25">
      <c r="A85" s="16"/>
      <c r="B85" s="16"/>
      <c r="C85" s="16"/>
      <c r="D85" s="34"/>
      <c r="E85" s="35"/>
      <c r="G85" s="16"/>
      <c r="H85" s="16"/>
      <c r="I85" s="16"/>
    </row>
    <row r="86" spans="1:9" s="13" customFormat="1" ht="15.75" x14ac:dyDescent="0.25">
      <c r="A86" s="16"/>
      <c r="B86" s="16"/>
      <c r="C86" s="16"/>
      <c r="D86" s="34"/>
      <c r="E86" s="35"/>
      <c r="G86" s="16"/>
      <c r="H86" s="16"/>
      <c r="I86" s="16"/>
    </row>
    <row r="87" spans="1:9" s="13" customFormat="1" ht="15.75" x14ac:dyDescent="0.25">
      <c r="A87" s="16"/>
      <c r="B87" s="16"/>
      <c r="C87" s="16"/>
      <c r="D87" s="34"/>
      <c r="E87" s="35"/>
      <c r="G87" s="16"/>
      <c r="H87" s="16"/>
      <c r="I87" s="16"/>
    </row>
    <row r="88" spans="1:9" s="13" customFormat="1" ht="15.75" x14ac:dyDescent="0.25">
      <c r="A88" s="16"/>
      <c r="B88" s="16"/>
      <c r="C88" s="16"/>
      <c r="D88" s="34"/>
      <c r="E88" s="35"/>
      <c r="G88" s="16"/>
      <c r="H88" s="16"/>
      <c r="I88" s="16"/>
    </row>
    <row r="89" spans="1:9" s="13" customFormat="1" ht="15.75" x14ac:dyDescent="0.25">
      <c r="A89" s="16"/>
      <c r="B89" s="16"/>
      <c r="C89" s="16"/>
      <c r="D89" s="34"/>
      <c r="E89" s="35"/>
      <c r="G89" s="16"/>
      <c r="H89" s="16"/>
      <c r="I89" s="16"/>
    </row>
    <row r="90" spans="1:9" s="13" customFormat="1" ht="15.75" x14ac:dyDescent="0.25">
      <c r="A90" s="16"/>
      <c r="B90" s="16"/>
      <c r="C90" s="16"/>
      <c r="D90" s="34"/>
      <c r="E90" s="35"/>
      <c r="G90" s="16"/>
      <c r="H90" s="16"/>
      <c r="I90" s="16"/>
    </row>
    <row r="91" spans="1:9" s="13" customFormat="1" ht="15.75" x14ac:dyDescent="0.25">
      <c r="A91" s="16"/>
      <c r="B91" s="16"/>
      <c r="C91" s="16"/>
      <c r="D91" s="34"/>
      <c r="E91" s="35"/>
      <c r="G91" s="16"/>
      <c r="H91" s="16"/>
      <c r="I91" s="16"/>
    </row>
    <row r="92" spans="1:9" s="13" customFormat="1" ht="15.75" x14ac:dyDescent="0.25">
      <c r="A92" s="16"/>
      <c r="B92" s="16"/>
      <c r="C92" s="16"/>
      <c r="D92" s="34"/>
      <c r="E92" s="35"/>
      <c r="G92" s="16"/>
      <c r="H92" s="16"/>
      <c r="I92" s="16"/>
    </row>
    <row r="93" spans="1:9" s="13" customFormat="1" ht="15.75" x14ac:dyDescent="0.25">
      <c r="A93" s="16"/>
      <c r="B93" s="16"/>
      <c r="C93" s="16"/>
      <c r="D93" s="34"/>
      <c r="E93" s="35"/>
      <c r="G93" s="16"/>
      <c r="H93" s="16"/>
      <c r="I93" s="16"/>
    </row>
    <row r="94" spans="1:9" s="13" customFormat="1" ht="15.75" x14ac:dyDescent="0.25">
      <c r="A94" s="16"/>
      <c r="B94" s="16"/>
      <c r="C94" s="16"/>
      <c r="D94" s="34"/>
      <c r="E94" s="35"/>
      <c r="G94" s="16"/>
      <c r="H94" s="16"/>
      <c r="I94" s="16"/>
    </row>
    <row r="95" spans="1:9" s="13" customFormat="1" ht="15.75" x14ac:dyDescent="0.25">
      <c r="A95" s="16"/>
      <c r="B95" s="16"/>
      <c r="C95" s="16"/>
      <c r="D95" s="34"/>
      <c r="E95" s="35"/>
      <c r="G95" s="16"/>
      <c r="H95" s="16"/>
      <c r="I95" s="16"/>
    </row>
    <row r="96" spans="1:9" s="13" customFormat="1" ht="15.75" x14ac:dyDescent="0.25">
      <c r="A96" s="16"/>
      <c r="B96" s="16"/>
      <c r="C96" s="16"/>
      <c r="D96" s="34"/>
      <c r="E96" s="35"/>
      <c r="G96" s="16"/>
      <c r="H96" s="16"/>
      <c r="I96" s="16"/>
    </row>
    <row r="97" spans="1:9" s="13" customFormat="1" ht="15.75" x14ac:dyDescent="0.25">
      <c r="A97" s="16"/>
      <c r="B97" s="16"/>
      <c r="C97" s="16"/>
      <c r="D97" s="34"/>
      <c r="E97" s="35"/>
      <c r="G97" s="16"/>
      <c r="H97" s="16"/>
      <c r="I97" s="16"/>
    </row>
    <row r="98" spans="1:9" s="13" customFormat="1" ht="15.75" x14ac:dyDescent="0.25">
      <c r="A98" s="16"/>
      <c r="B98" s="16"/>
      <c r="C98" s="16"/>
      <c r="D98" s="34"/>
      <c r="E98" s="35"/>
      <c r="G98" s="16"/>
      <c r="H98" s="16"/>
      <c r="I98" s="16"/>
    </row>
    <row r="99" spans="1:9" s="13" customFormat="1" ht="15.75" x14ac:dyDescent="0.25">
      <c r="A99" s="16"/>
      <c r="B99" s="16"/>
      <c r="C99" s="16"/>
      <c r="D99" s="34"/>
      <c r="E99" s="35"/>
      <c r="G99" s="16"/>
      <c r="H99" s="16"/>
      <c r="I99" s="16"/>
    </row>
    <row r="100" spans="1:9" s="13" customFormat="1" ht="15.75" x14ac:dyDescent="0.25">
      <c r="A100" s="16"/>
      <c r="B100" s="16"/>
      <c r="C100" s="16"/>
      <c r="D100" s="34"/>
      <c r="E100" s="35"/>
      <c r="G100" s="16"/>
      <c r="H100" s="16"/>
      <c r="I100" s="16"/>
    </row>
    <row r="101" spans="1:9" s="13" customFormat="1" ht="15.75" x14ac:dyDescent="0.25">
      <c r="A101" s="16"/>
      <c r="B101" s="16"/>
      <c r="C101" s="16"/>
      <c r="D101" s="34"/>
      <c r="E101" s="35"/>
      <c r="G101" s="16"/>
      <c r="H101" s="16"/>
      <c r="I101" s="16"/>
    </row>
    <row r="102" spans="1:9" s="13" customFormat="1" ht="15.75" x14ac:dyDescent="0.25">
      <c r="A102" s="16"/>
      <c r="B102" s="16"/>
      <c r="C102" s="16"/>
      <c r="D102" s="34"/>
      <c r="E102" s="35"/>
      <c r="G102" s="16"/>
      <c r="H102" s="16"/>
      <c r="I102" s="16"/>
    </row>
    <row r="103" spans="1:9" s="13" customFormat="1" ht="15.75" x14ac:dyDescent="0.25">
      <c r="A103" s="16"/>
      <c r="B103" s="16"/>
      <c r="C103" s="16"/>
      <c r="D103" s="34"/>
      <c r="E103" s="35"/>
      <c r="G103" s="16"/>
      <c r="H103" s="16"/>
      <c r="I103" s="16"/>
    </row>
    <row r="104" spans="1:9" s="13" customFormat="1" ht="15.75" x14ac:dyDescent="0.25">
      <c r="A104" s="16"/>
      <c r="B104" s="16"/>
      <c r="C104" s="16"/>
      <c r="D104" s="34"/>
      <c r="E104" s="35"/>
      <c r="G104" s="16"/>
      <c r="H104" s="16"/>
      <c r="I104" s="16"/>
    </row>
    <row r="105" spans="1:9" s="13" customFormat="1" ht="15.75" x14ac:dyDescent="0.25">
      <c r="A105" s="16"/>
      <c r="B105" s="16"/>
      <c r="C105" s="16"/>
      <c r="D105" s="34"/>
      <c r="E105" s="35"/>
      <c r="G105" s="16"/>
      <c r="H105" s="16"/>
      <c r="I105" s="16"/>
    </row>
    <row r="106" spans="1:9" s="13" customFormat="1" ht="15.75" x14ac:dyDescent="0.25">
      <c r="A106" s="16"/>
      <c r="B106" s="16"/>
      <c r="C106" s="16"/>
      <c r="D106" s="34"/>
      <c r="E106" s="35"/>
      <c r="G106" s="16"/>
      <c r="H106" s="16"/>
      <c r="I106" s="16"/>
    </row>
    <row r="107" spans="1:9" s="13" customFormat="1" ht="15.75" x14ac:dyDescent="0.25">
      <c r="A107" s="16"/>
      <c r="B107" s="16"/>
      <c r="C107" s="16"/>
      <c r="D107" s="34"/>
      <c r="E107" s="35"/>
      <c r="G107" s="16"/>
      <c r="H107" s="16"/>
      <c r="I107" s="16"/>
    </row>
    <row r="108" spans="1:9" s="13" customFormat="1" ht="15.75" x14ac:dyDescent="0.25">
      <c r="A108" s="16"/>
      <c r="B108" s="16"/>
      <c r="C108" s="16"/>
      <c r="D108" s="34"/>
      <c r="E108" s="35"/>
      <c r="G108" s="16"/>
      <c r="H108" s="16"/>
      <c r="I108" s="16"/>
    </row>
    <row r="109" spans="1:9" s="13" customFormat="1" ht="15.75" x14ac:dyDescent="0.25">
      <c r="A109" s="16"/>
      <c r="B109" s="16"/>
      <c r="C109" s="16"/>
      <c r="D109" s="34"/>
      <c r="E109" s="35"/>
      <c r="G109" s="16"/>
      <c r="H109" s="16"/>
      <c r="I109" s="16"/>
    </row>
    <row r="110" spans="1:9" s="13" customFormat="1" ht="15.75" x14ac:dyDescent="0.25">
      <c r="A110" s="16"/>
      <c r="B110" s="16"/>
      <c r="C110" s="16"/>
      <c r="D110" s="34"/>
      <c r="E110" s="35"/>
      <c r="G110" s="16"/>
      <c r="H110" s="16"/>
      <c r="I110" s="16"/>
    </row>
    <row r="111" spans="1:9" s="13" customFormat="1" ht="15.75" x14ac:dyDescent="0.25">
      <c r="A111" s="16"/>
      <c r="B111" s="16"/>
      <c r="C111" s="16"/>
      <c r="D111" s="34"/>
      <c r="E111" s="35"/>
      <c r="G111" s="16"/>
      <c r="H111" s="16"/>
      <c r="I111" s="16"/>
    </row>
    <row r="112" spans="1:9" s="13" customFormat="1" ht="15.75" x14ac:dyDescent="0.25">
      <c r="A112" s="16"/>
      <c r="B112" s="16"/>
      <c r="C112" s="16"/>
      <c r="D112" s="34"/>
      <c r="E112" s="35"/>
      <c r="G112" s="16"/>
      <c r="H112" s="16"/>
      <c r="I112" s="16"/>
    </row>
    <row r="113" spans="1:9" s="13" customFormat="1" ht="15.75" x14ac:dyDescent="0.25">
      <c r="A113" s="16"/>
      <c r="B113" s="16"/>
      <c r="C113" s="16"/>
      <c r="D113" s="34"/>
      <c r="E113" s="35"/>
      <c r="G113" s="16"/>
      <c r="H113" s="16"/>
      <c r="I113" s="16"/>
    </row>
    <row r="114" spans="1:9" s="13" customFormat="1" ht="15.75" x14ac:dyDescent="0.25">
      <c r="A114" s="16"/>
      <c r="B114" s="16"/>
      <c r="C114" s="16"/>
      <c r="D114" s="34"/>
      <c r="E114" s="35"/>
      <c r="G114" s="16"/>
      <c r="H114" s="16"/>
      <c r="I114" s="16"/>
    </row>
    <row r="115" spans="1:9" s="13" customFormat="1" ht="15.75" x14ac:dyDescent="0.25">
      <c r="A115" s="16"/>
      <c r="B115" s="16"/>
      <c r="C115" s="16"/>
      <c r="D115" s="34"/>
      <c r="E115" s="35"/>
      <c r="G115" s="16"/>
      <c r="H115" s="16"/>
      <c r="I115" s="16"/>
    </row>
    <row r="116" spans="1:9" s="13" customFormat="1" ht="15.75" x14ac:dyDescent="0.25">
      <c r="A116" s="16"/>
      <c r="B116" s="16"/>
      <c r="C116" s="16"/>
      <c r="D116" s="34"/>
      <c r="E116" s="35"/>
      <c r="G116" s="16"/>
      <c r="H116" s="16"/>
      <c r="I116" s="16"/>
    </row>
    <row r="117" spans="1:9" s="13" customFormat="1" ht="15.75" x14ac:dyDescent="0.25">
      <c r="A117" s="16"/>
      <c r="B117" s="16"/>
      <c r="C117" s="16"/>
      <c r="D117" s="34"/>
      <c r="E117" s="35"/>
      <c r="G117" s="16"/>
      <c r="H117" s="16"/>
      <c r="I117" s="16"/>
    </row>
    <row r="118" spans="1:9" s="13" customFormat="1" ht="15.75" x14ac:dyDescent="0.25">
      <c r="A118" s="16"/>
      <c r="B118" s="16"/>
      <c r="C118" s="16"/>
      <c r="D118" s="34"/>
      <c r="E118" s="35"/>
      <c r="G118" s="16"/>
      <c r="H118" s="16"/>
      <c r="I118" s="16"/>
    </row>
    <row r="119" spans="1:9" s="13" customFormat="1" ht="15.75" x14ac:dyDescent="0.25">
      <c r="A119" s="16"/>
      <c r="B119" s="16"/>
      <c r="C119" s="16"/>
      <c r="D119" s="34"/>
      <c r="E119" s="35"/>
      <c r="G119" s="16"/>
      <c r="H119" s="16"/>
      <c r="I119" s="16"/>
    </row>
    <row r="120" spans="1:9" s="13" customFormat="1" ht="15.75" x14ac:dyDescent="0.25">
      <c r="A120" s="16"/>
      <c r="B120" s="16"/>
      <c r="C120" s="16"/>
      <c r="D120" s="34"/>
      <c r="E120" s="35"/>
      <c r="G120" s="16"/>
      <c r="H120" s="16"/>
      <c r="I120" s="16"/>
    </row>
    <row r="121" spans="1:9" s="13" customFormat="1" ht="15.75" x14ac:dyDescent="0.25">
      <c r="A121" s="16"/>
      <c r="B121" s="16"/>
      <c r="C121" s="16"/>
      <c r="D121" s="34"/>
      <c r="E121" s="35"/>
      <c r="G121" s="16"/>
      <c r="H121" s="16"/>
      <c r="I121" s="16"/>
    </row>
    <row r="122" spans="1:9" s="13" customFormat="1" ht="15.75" x14ac:dyDescent="0.25">
      <c r="A122" s="16"/>
      <c r="B122" s="16"/>
      <c r="C122" s="16"/>
      <c r="D122" s="34"/>
      <c r="E122" s="35"/>
      <c r="G122" s="16"/>
      <c r="H122" s="16"/>
      <c r="I122" s="16"/>
    </row>
    <row r="123" spans="1:9" s="13" customFormat="1" ht="15.75" x14ac:dyDescent="0.25">
      <c r="A123" s="16"/>
      <c r="B123" s="16"/>
      <c r="C123" s="16"/>
      <c r="D123" s="34"/>
      <c r="E123" s="35"/>
      <c r="G123" s="16"/>
      <c r="H123" s="16"/>
      <c r="I123" s="16"/>
    </row>
    <row r="124" spans="1:9" s="13" customFormat="1" ht="15.75" x14ac:dyDescent="0.25">
      <c r="A124" s="16"/>
      <c r="B124" s="16"/>
      <c r="C124" s="16"/>
      <c r="D124" s="34"/>
      <c r="E124" s="35"/>
      <c r="G124" s="16"/>
      <c r="H124" s="16"/>
      <c r="I124" s="16"/>
    </row>
    <row r="125" spans="1:9" s="13" customFormat="1" ht="15.75" x14ac:dyDescent="0.25">
      <c r="A125" s="16"/>
      <c r="B125" s="16"/>
      <c r="C125" s="16"/>
      <c r="D125" s="34"/>
      <c r="E125" s="35"/>
      <c r="G125" s="16"/>
      <c r="H125" s="16"/>
      <c r="I125" s="16"/>
    </row>
    <row r="126" spans="1:9" s="13" customFormat="1" ht="15.75" x14ac:dyDescent="0.25">
      <c r="A126" s="16"/>
      <c r="B126" s="16"/>
      <c r="C126" s="16"/>
      <c r="D126" s="34"/>
      <c r="E126" s="35"/>
      <c r="G126" s="16"/>
      <c r="H126" s="16"/>
      <c r="I126" s="16"/>
    </row>
    <row r="127" spans="1:9" s="13" customFormat="1" ht="15.75" x14ac:dyDescent="0.25">
      <c r="A127" s="16"/>
      <c r="B127" s="16"/>
      <c r="C127" s="16"/>
      <c r="D127" s="34"/>
      <c r="E127" s="35"/>
      <c r="G127" s="16"/>
      <c r="H127" s="16"/>
      <c r="I127" s="16"/>
    </row>
    <row r="128" spans="1:9" s="13" customFormat="1" ht="15.75" x14ac:dyDescent="0.25">
      <c r="A128" s="16"/>
      <c r="B128" s="16"/>
      <c r="C128" s="16"/>
      <c r="D128" s="34"/>
      <c r="E128" s="35"/>
      <c r="G128" s="16"/>
      <c r="H128" s="16"/>
      <c r="I128" s="16"/>
    </row>
    <row r="129" spans="1:9" s="13" customFormat="1" ht="15.75" x14ac:dyDescent="0.25">
      <c r="A129" s="16"/>
      <c r="B129" s="16"/>
      <c r="C129" s="16"/>
      <c r="D129" s="34"/>
      <c r="E129" s="35"/>
      <c r="G129" s="16"/>
      <c r="H129" s="16"/>
      <c r="I129" s="16"/>
    </row>
    <row r="130" spans="1:9" s="13" customFormat="1" ht="15.75" x14ac:dyDescent="0.25">
      <c r="A130" s="16"/>
      <c r="B130" s="16"/>
      <c r="C130" s="16"/>
      <c r="D130" s="34"/>
      <c r="E130" s="35"/>
      <c r="G130" s="16"/>
      <c r="H130" s="16"/>
      <c r="I130" s="16"/>
    </row>
    <row r="131" spans="1:9" s="13" customFormat="1" ht="15.75" x14ac:dyDescent="0.25">
      <c r="A131" s="16"/>
      <c r="B131" s="16"/>
      <c r="C131" s="16"/>
      <c r="D131" s="34"/>
      <c r="E131" s="35"/>
      <c r="G131" s="16"/>
      <c r="H131" s="16"/>
      <c r="I131" s="16"/>
    </row>
    <row r="132" spans="1:9" s="13" customFormat="1" ht="15.75" x14ac:dyDescent="0.25">
      <c r="A132" s="16"/>
      <c r="B132" s="16"/>
      <c r="C132" s="16"/>
      <c r="D132" s="34"/>
      <c r="E132" s="35"/>
      <c r="G132" s="16"/>
      <c r="H132" s="16"/>
      <c r="I132" s="16"/>
    </row>
  </sheetData>
  <mergeCells count="2">
    <mergeCell ref="A1:E1"/>
    <mergeCell ref="G6:K6"/>
  </mergeCells>
  <pageMargins left="0.7" right="0.7" top="0.75" bottom="0.75" header="0.3" footer="0.3"/>
  <pageSetup scale="77" orientation="landscape" r:id="rId1"/>
  <headerFooter>
    <oddHeader>&amp;RKPSC Case No. 2014-00396
Commission Staff's Second Set of Data Requests
Date January 29, 2015
Item No. 5m
Attachment 1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heetViews>
  <sheetFormatPr defaultColWidth="8.85546875" defaultRowHeight="15.75" x14ac:dyDescent="0.25"/>
  <cols>
    <col min="1" max="2" width="6.28515625" style="13" customWidth="1"/>
    <col min="3" max="3" width="10.28515625" style="13" customWidth="1"/>
    <col min="4" max="4" width="11.140625" style="13" customWidth="1"/>
    <col min="5" max="5" width="8.85546875" style="13"/>
    <col min="6" max="6" width="13.7109375" style="13" customWidth="1"/>
    <col min="7" max="7" width="4" style="13" customWidth="1"/>
    <col min="8" max="8" width="10.28515625" style="13" customWidth="1"/>
    <col min="9" max="9" width="10.140625" style="13" bestFit="1" customWidth="1"/>
    <col min="10" max="10" width="10.7109375" style="13" customWidth="1"/>
    <col min="11" max="11" width="10.28515625" style="13" customWidth="1"/>
    <col min="12" max="12" width="10" style="13" customWidth="1"/>
    <col min="13" max="13" width="9.85546875" style="13" customWidth="1"/>
    <col min="14" max="14" width="11.28515625" style="13" customWidth="1"/>
    <col min="15" max="15" width="10" style="13" customWidth="1"/>
    <col min="16" max="16" width="9.85546875" style="13" customWidth="1"/>
    <col min="17" max="17" width="12.140625" style="13" customWidth="1"/>
    <col min="18" max="16384" width="8.85546875" style="13"/>
  </cols>
  <sheetData>
    <row r="1" spans="1:17" ht="16.149999999999999" thickBot="1" x14ac:dyDescent="0.35"/>
    <row r="2" spans="1:17" ht="16.149999999999999" thickTop="1" x14ac:dyDescent="0.3">
      <c r="A2" s="51"/>
      <c r="B2" s="208"/>
      <c r="C2" s="209"/>
      <c r="D2" s="209"/>
      <c r="E2" s="208"/>
      <c r="F2" s="209"/>
      <c r="G2" s="210"/>
      <c r="H2" s="52">
        <v>2014</v>
      </c>
      <c r="I2" s="53">
        <v>2014</v>
      </c>
      <c r="J2" s="53">
        <v>2014</v>
      </c>
      <c r="K2" s="53">
        <v>2014</v>
      </c>
      <c r="L2" s="53">
        <v>2014</v>
      </c>
      <c r="M2" s="53">
        <v>2014</v>
      </c>
      <c r="N2" s="53">
        <v>2014</v>
      </c>
      <c r="O2" s="53">
        <v>2014</v>
      </c>
      <c r="P2" s="53">
        <v>2014</v>
      </c>
      <c r="Q2" s="54"/>
    </row>
    <row r="3" spans="1:17" ht="15.6" x14ac:dyDescent="0.3">
      <c r="A3" s="55"/>
      <c r="B3" s="211"/>
      <c r="C3" s="212"/>
      <c r="D3" s="213"/>
      <c r="E3" s="214"/>
      <c r="F3" s="212"/>
      <c r="G3" s="213"/>
      <c r="H3" s="56" t="s">
        <v>60</v>
      </c>
      <c r="I3" s="56" t="s">
        <v>61</v>
      </c>
      <c r="J3" s="56" t="s">
        <v>62</v>
      </c>
      <c r="K3" s="56" t="s">
        <v>63</v>
      </c>
      <c r="L3" s="56" t="s">
        <v>64</v>
      </c>
      <c r="M3" s="56" t="s">
        <v>65</v>
      </c>
      <c r="N3" s="56" t="s">
        <v>66</v>
      </c>
      <c r="O3" s="56" t="s">
        <v>67</v>
      </c>
      <c r="P3" s="56" t="s">
        <v>68</v>
      </c>
      <c r="Q3" s="57" t="s">
        <v>69</v>
      </c>
    </row>
    <row r="4" spans="1:17" ht="15.6" x14ac:dyDescent="0.3">
      <c r="A4" s="58" t="s">
        <v>50</v>
      </c>
      <c r="B4" s="215" t="s">
        <v>51</v>
      </c>
      <c r="C4" s="216"/>
      <c r="D4" s="217"/>
      <c r="E4" s="218" t="s">
        <v>53</v>
      </c>
      <c r="F4" s="216"/>
      <c r="G4" s="217"/>
      <c r="H4" s="59">
        <v>16594.71</v>
      </c>
      <c r="I4" s="60">
        <v>20353.32</v>
      </c>
      <c r="J4" s="60">
        <v>20942.440000000002</v>
      </c>
      <c r="K4" s="61">
        <v>22217.63</v>
      </c>
      <c r="L4" s="60">
        <v>30774.29</v>
      </c>
      <c r="M4" s="60">
        <v>18484.18</v>
      </c>
      <c r="N4" s="60">
        <v>21032.92</v>
      </c>
      <c r="O4" s="60">
        <v>22861.49</v>
      </c>
      <c r="P4" s="60">
        <v>20865.509999999998</v>
      </c>
      <c r="Q4" s="62">
        <v>194126.49000000002</v>
      </c>
    </row>
    <row r="5" spans="1:17" ht="15.6" x14ac:dyDescent="0.3">
      <c r="A5" s="58" t="s">
        <v>50</v>
      </c>
      <c r="B5" s="215"/>
      <c r="C5" s="216"/>
      <c r="D5" s="217"/>
      <c r="E5" s="218" t="s">
        <v>54</v>
      </c>
      <c r="F5" s="216"/>
      <c r="G5" s="217"/>
      <c r="H5" s="59">
        <v>989885.19</v>
      </c>
      <c r="I5" s="60">
        <v>1881600.4800000004</v>
      </c>
      <c r="J5" s="60">
        <v>1389711.1800000002</v>
      </c>
      <c r="K5" s="61">
        <v>1953825.4</v>
      </c>
      <c r="L5" s="60">
        <v>1183592.6100000001</v>
      </c>
      <c r="M5" s="60">
        <v>1158157.8</v>
      </c>
      <c r="N5" s="60">
        <v>1377857.72</v>
      </c>
      <c r="O5" s="60">
        <v>1500220.5799999998</v>
      </c>
      <c r="P5" s="60">
        <v>1344467.9</v>
      </c>
      <c r="Q5" s="62">
        <v>12779318.860000001</v>
      </c>
    </row>
    <row r="6" spans="1:17" ht="15.6" x14ac:dyDescent="0.3">
      <c r="A6" s="58" t="s">
        <v>50</v>
      </c>
      <c r="B6" s="215"/>
      <c r="C6" s="216"/>
      <c r="D6" s="217"/>
      <c r="E6" s="218" t="s">
        <v>55</v>
      </c>
      <c r="F6" s="216"/>
      <c r="G6" s="217"/>
      <c r="H6" s="59">
        <v>4076.1700000000005</v>
      </c>
      <c r="I6" s="60">
        <v>9703.57</v>
      </c>
      <c r="J6" s="60">
        <v>3387.99</v>
      </c>
      <c r="K6" s="61">
        <v>8481.590000000002</v>
      </c>
      <c r="L6" s="60">
        <v>6111.63</v>
      </c>
      <c r="M6" s="60">
        <v>24233.879999999997</v>
      </c>
      <c r="N6" s="60">
        <v>71332.540000000008</v>
      </c>
      <c r="O6" s="60">
        <v>48166.28</v>
      </c>
      <c r="P6" s="60">
        <v>71891.66</v>
      </c>
      <c r="Q6" s="62">
        <v>247385.31000000003</v>
      </c>
    </row>
    <row r="7" spans="1:17" ht="15.6" x14ac:dyDescent="0.3">
      <c r="A7" s="58" t="s">
        <v>50</v>
      </c>
      <c r="B7" s="215"/>
      <c r="C7" s="216"/>
      <c r="D7" s="217"/>
      <c r="E7" s="218" t="s">
        <v>98</v>
      </c>
      <c r="F7" s="216"/>
      <c r="G7" s="217"/>
      <c r="H7" s="59">
        <v>40</v>
      </c>
      <c r="I7" s="60"/>
      <c r="J7" s="60">
        <v>209.93</v>
      </c>
      <c r="K7" s="61">
        <v>118.21</v>
      </c>
      <c r="L7" s="60">
        <v>194.46</v>
      </c>
      <c r="M7" s="60"/>
      <c r="N7" s="60"/>
      <c r="O7" s="60"/>
      <c r="P7" s="60">
        <v>153.15</v>
      </c>
      <c r="Q7" s="62">
        <v>715.75</v>
      </c>
    </row>
    <row r="8" spans="1:17" ht="15.6" x14ac:dyDescent="0.3">
      <c r="A8" s="58" t="s">
        <v>50</v>
      </c>
      <c r="B8" s="215"/>
      <c r="C8" s="216"/>
      <c r="D8" s="217"/>
      <c r="E8" s="218" t="s">
        <v>56</v>
      </c>
      <c r="F8" s="216"/>
      <c r="G8" s="217"/>
      <c r="H8" s="59">
        <v>654.8900000000001</v>
      </c>
      <c r="I8" s="60">
        <v>198.9</v>
      </c>
      <c r="J8" s="60">
        <v>236.44</v>
      </c>
      <c r="K8" s="61">
        <v>235.29000000000002</v>
      </c>
      <c r="L8" s="60">
        <v>530.49</v>
      </c>
      <c r="M8" s="60">
        <v>34.549999999999997</v>
      </c>
      <c r="N8" s="60">
        <v>453.79</v>
      </c>
      <c r="O8" s="60">
        <v>279.06</v>
      </c>
      <c r="P8" s="60">
        <v>201.67</v>
      </c>
      <c r="Q8" s="62">
        <v>2825.08</v>
      </c>
    </row>
    <row r="9" spans="1:17" ht="15.6" x14ac:dyDescent="0.3">
      <c r="A9" s="58" t="s">
        <v>50</v>
      </c>
      <c r="B9" s="215"/>
      <c r="C9" s="216"/>
      <c r="D9" s="217"/>
      <c r="E9" s="218" t="s">
        <v>57</v>
      </c>
      <c r="F9" s="216"/>
      <c r="G9" s="217"/>
      <c r="H9" s="59">
        <v>4494.46</v>
      </c>
      <c r="I9" s="60">
        <v>2839.84</v>
      </c>
      <c r="J9" s="60">
        <v>4572.21</v>
      </c>
      <c r="K9" s="61">
        <v>4027.88</v>
      </c>
      <c r="L9" s="60">
        <v>3631.07</v>
      </c>
      <c r="M9" s="60">
        <v>2639.03</v>
      </c>
      <c r="N9" s="60">
        <v>3596.5</v>
      </c>
      <c r="O9" s="60">
        <v>3514.49</v>
      </c>
      <c r="P9" s="60">
        <v>3465.07</v>
      </c>
      <c r="Q9" s="62">
        <v>32780.549999999996</v>
      </c>
    </row>
    <row r="10" spans="1:17" ht="15.6" x14ac:dyDescent="0.3">
      <c r="A10" s="63"/>
      <c r="B10" s="219" t="s">
        <v>51</v>
      </c>
      <c r="C10" s="220"/>
      <c r="D10" s="221"/>
      <c r="E10" s="222"/>
      <c r="F10" s="220"/>
      <c r="G10" s="221"/>
      <c r="H10" s="64">
        <v>1015745.42</v>
      </c>
      <c r="I10" s="65">
        <v>1914696.1100000006</v>
      </c>
      <c r="J10" s="65">
        <v>1419060.19</v>
      </c>
      <c r="K10" s="66">
        <v>1988905.9999999998</v>
      </c>
      <c r="L10" s="65">
        <v>1224834.55</v>
      </c>
      <c r="M10" s="65">
        <v>1203549.44</v>
      </c>
      <c r="N10" s="65">
        <v>1474273.47</v>
      </c>
      <c r="O10" s="65">
        <v>1575041.9</v>
      </c>
      <c r="P10" s="65">
        <v>1441044.9599999997</v>
      </c>
      <c r="Q10" s="67">
        <v>13257152.040000007</v>
      </c>
    </row>
    <row r="11" spans="1:17" ht="15.6" x14ac:dyDescent="0.3">
      <c r="A11" s="5"/>
      <c r="B11" s="223"/>
      <c r="C11" s="224"/>
      <c r="D11" s="225"/>
      <c r="E11" s="226"/>
      <c r="F11" s="224"/>
      <c r="G11" s="225"/>
      <c r="H11" s="6"/>
      <c r="I11" s="7"/>
      <c r="J11" s="7"/>
      <c r="K11" s="8"/>
      <c r="L11" s="7"/>
      <c r="M11" s="7"/>
      <c r="N11" s="7"/>
      <c r="O11" s="7"/>
      <c r="P11" s="7"/>
      <c r="Q11" s="9"/>
    </row>
    <row r="12" spans="1:17" ht="15.6" x14ac:dyDescent="0.3">
      <c r="A12" s="58" t="s">
        <v>50</v>
      </c>
      <c r="B12" s="215" t="s">
        <v>52</v>
      </c>
      <c r="C12" s="216"/>
      <c r="D12" s="217"/>
      <c r="E12" s="218" t="s">
        <v>58</v>
      </c>
      <c r="F12" s="216"/>
      <c r="G12" s="217"/>
      <c r="H12" s="59">
        <v>2183.13</v>
      </c>
      <c r="I12" s="60">
        <v>1665.7099999999998</v>
      </c>
      <c r="J12" s="60">
        <v>5224.1099999999997</v>
      </c>
      <c r="K12" s="61">
        <v>4730.66</v>
      </c>
      <c r="L12" s="60">
        <v>4956.7999999999993</v>
      </c>
      <c r="M12" s="60">
        <v>1534.74</v>
      </c>
      <c r="N12" s="60">
        <v>4445.82</v>
      </c>
      <c r="O12" s="60">
        <v>3632.1400000000003</v>
      </c>
      <c r="P12" s="60">
        <v>447.92</v>
      </c>
      <c r="Q12" s="62">
        <v>28821.03</v>
      </c>
    </row>
    <row r="13" spans="1:17" ht="15.6" x14ac:dyDescent="0.3">
      <c r="A13" s="58" t="s">
        <v>50</v>
      </c>
      <c r="B13" s="215"/>
      <c r="C13" s="216"/>
      <c r="D13" s="217"/>
      <c r="E13" s="218" t="s">
        <v>59</v>
      </c>
      <c r="F13" s="216"/>
      <c r="G13" s="217"/>
      <c r="H13" s="59">
        <v>-731.84</v>
      </c>
      <c r="I13" s="60">
        <v>760.66</v>
      </c>
      <c r="J13" s="60">
        <v>-812.17</v>
      </c>
      <c r="K13" s="61">
        <v>-216.12</v>
      </c>
      <c r="L13" s="60">
        <v>-596.19000000000005</v>
      </c>
      <c r="M13" s="60">
        <v>546.94000000000005</v>
      </c>
      <c r="N13" s="60">
        <v>-1663.48</v>
      </c>
      <c r="O13" s="60">
        <v>1219.23</v>
      </c>
      <c r="P13" s="60">
        <v>-679.98</v>
      </c>
      <c r="Q13" s="62">
        <v>-2172.9500000000003</v>
      </c>
    </row>
    <row r="14" spans="1:17" ht="15.6" x14ac:dyDescent="0.3">
      <c r="A14" s="63"/>
      <c r="B14" s="219" t="s">
        <v>52</v>
      </c>
      <c r="C14" s="220"/>
      <c r="D14" s="221"/>
      <c r="E14" s="222"/>
      <c r="F14" s="220"/>
      <c r="G14" s="221"/>
      <c r="H14" s="64">
        <v>1451.29</v>
      </c>
      <c r="I14" s="65">
        <v>2426.37</v>
      </c>
      <c r="J14" s="65">
        <v>4411.9399999999996</v>
      </c>
      <c r="K14" s="66">
        <v>4514.54</v>
      </c>
      <c r="L14" s="65">
        <v>4360.6099999999988</v>
      </c>
      <c r="M14" s="65">
        <v>2081.6800000000003</v>
      </c>
      <c r="N14" s="65">
        <v>2782.3399999999997</v>
      </c>
      <c r="O14" s="65">
        <v>4851.3700000000008</v>
      </c>
      <c r="P14" s="65">
        <v>-232.06</v>
      </c>
      <c r="Q14" s="68">
        <v>26648.080000000002</v>
      </c>
    </row>
    <row r="15" spans="1:17" ht="15.6" x14ac:dyDescent="0.3">
      <c r="A15" s="5"/>
      <c r="B15" s="223"/>
      <c r="C15" s="224"/>
      <c r="D15" s="225"/>
      <c r="E15" s="226"/>
      <c r="F15" s="224"/>
      <c r="G15" s="225"/>
      <c r="H15" s="6"/>
      <c r="I15" s="7"/>
      <c r="J15" s="7"/>
      <c r="K15" s="10"/>
      <c r="L15" s="7"/>
      <c r="M15" s="7"/>
      <c r="N15" s="7"/>
      <c r="O15" s="7"/>
      <c r="P15" s="7"/>
      <c r="Q15" s="11"/>
    </row>
    <row r="16" spans="1:17" ht="16.149999999999999" thickBot="1" x14ac:dyDescent="0.35">
      <c r="A16" s="69"/>
      <c r="B16" s="229"/>
      <c r="C16" s="230"/>
      <c r="D16" s="231"/>
      <c r="E16" s="232"/>
      <c r="F16" s="230"/>
      <c r="G16" s="231"/>
      <c r="H16" s="70">
        <v>1017196.71</v>
      </c>
      <c r="I16" s="71">
        <v>1917122.4800000004</v>
      </c>
      <c r="J16" s="71">
        <v>1423472.13</v>
      </c>
      <c r="K16" s="72">
        <v>1993420.5399999996</v>
      </c>
      <c r="L16" s="71">
        <v>1229195.1600000001</v>
      </c>
      <c r="M16" s="71">
        <v>1205631.1199999999</v>
      </c>
      <c r="N16" s="71">
        <v>1477055.81</v>
      </c>
      <c r="O16" s="71">
        <v>1579893.2699999998</v>
      </c>
      <c r="P16" s="71">
        <v>1440812.8999999997</v>
      </c>
      <c r="Q16" s="73">
        <v>13283800.120000003</v>
      </c>
    </row>
    <row r="17" spans="1:6" ht="16.149999999999999" thickTop="1" x14ac:dyDescent="0.3"/>
    <row r="19" spans="1:6" ht="15.6" x14ac:dyDescent="0.3">
      <c r="A19" s="227" t="s">
        <v>71</v>
      </c>
      <c r="B19" s="227"/>
      <c r="C19" s="227"/>
      <c r="D19" s="227"/>
      <c r="E19" s="227"/>
      <c r="F19" s="74">
        <v>747</v>
      </c>
    </row>
    <row r="20" spans="1:6" ht="15.6" x14ac:dyDescent="0.3">
      <c r="C20" s="228" t="s">
        <v>70</v>
      </c>
      <c r="D20" s="228"/>
      <c r="E20" s="228"/>
      <c r="F20" s="75">
        <f>ROUND(Q16/F19,2)</f>
        <v>17782.86</v>
      </c>
    </row>
    <row r="21" spans="1:6" ht="15.6" x14ac:dyDescent="0.3">
      <c r="D21" s="16"/>
    </row>
  </sheetData>
  <mergeCells count="32">
    <mergeCell ref="A19:E19"/>
    <mergeCell ref="C20:E20"/>
    <mergeCell ref="B14:D14"/>
    <mergeCell ref="E14:G14"/>
    <mergeCell ref="B15:D15"/>
    <mergeCell ref="E15:G15"/>
    <mergeCell ref="B16:D16"/>
    <mergeCell ref="E16:G16"/>
    <mergeCell ref="B11:D11"/>
    <mergeCell ref="E11:G11"/>
    <mergeCell ref="B12:D12"/>
    <mergeCell ref="E12:G12"/>
    <mergeCell ref="B13:D13"/>
    <mergeCell ref="E13:G13"/>
    <mergeCell ref="B8:D8"/>
    <mergeCell ref="E8:G8"/>
    <mergeCell ref="B9:D9"/>
    <mergeCell ref="E9:G9"/>
    <mergeCell ref="B10:D10"/>
    <mergeCell ref="E10:G10"/>
    <mergeCell ref="B5:D5"/>
    <mergeCell ref="E5:G5"/>
    <mergeCell ref="B6:D6"/>
    <mergeCell ref="E6:G6"/>
    <mergeCell ref="B7:D7"/>
    <mergeCell ref="E7:G7"/>
    <mergeCell ref="B2:D2"/>
    <mergeCell ref="E2:G2"/>
    <mergeCell ref="B3:D3"/>
    <mergeCell ref="E3:G3"/>
    <mergeCell ref="B4:D4"/>
    <mergeCell ref="E4:G4"/>
  </mergeCells>
  <pageMargins left="0.7" right="0.7" top="2" bottom="0.75" header="0.3" footer="0.3"/>
  <pageSetup scale="74" orientation="landscape" r:id="rId1"/>
  <headerFooter>
    <oddHeader>&amp;RKPSC Case No. 2014-00396
Commission Staff's Second Set of Data Requests
Date January 29, 2015
Item No. 5m
Attachment 1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topLeftCell="A55" zoomScale="90" zoomScaleNormal="90" workbookViewId="0">
      <selection activeCell="C23" sqref="C23"/>
    </sheetView>
  </sheetViews>
  <sheetFormatPr defaultRowHeight="15" x14ac:dyDescent="0.25"/>
  <cols>
    <col min="1" max="1" width="14.5703125" customWidth="1"/>
    <col min="2" max="2" width="6.5703125" customWidth="1"/>
    <col min="3" max="5" width="6.28515625" customWidth="1"/>
    <col min="6" max="6" width="6.42578125" customWidth="1"/>
    <col min="7" max="7" width="6.7109375" customWidth="1"/>
    <col min="8" max="8" width="6.28515625" customWidth="1"/>
    <col min="9" max="9" width="6.7109375" customWidth="1"/>
    <col min="10" max="10" width="6.5703125" customWidth="1"/>
    <col min="11" max="11" width="7.140625" customWidth="1"/>
    <col min="12" max="12" width="6.7109375" customWidth="1"/>
    <col min="13" max="13" width="6.42578125" customWidth="1"/>
    <col min="14" max="14" width="7" customWidth="1"/>
    <col min="15" max="15" width="6.7109375" customWidth="1"/>
  </cols>
  <sheetData>
    <row r="1" spans="1:15" thickBot="1" x14ac:dyDescent="0.35"/>
    <row r="2" spans="1:15" ht="25.15" customHeight="1" thickTop="1" x14ac:dyDescent="0.4">
      <c r="A2" s="235" t="s">
        <v>88</v>
      </c>
      <c r="B2" s="236"/>
      <c r="C2" s="236"/>
      <c r="D2" s="236"/>
      <c r="E2" s="236"/>
      <c r="F2" s="236"/>
      <c r="G2" s="236"/>
      <c r="H2" s="236"/>
      <c r="I2" s="236"/>
      <c r="J2" s="236"/>
      <c r="K2" s="236"/>
      <c r="L2" s="236"/>
      <c r="M2" s="236"/>
      <c r="N2" s="236"/>
      <c r="O2" s="237"/>
    </row>
    <row r="3" spans="1:15" ht="11.45" customHeight="1" thickBot="1" x14ac:dyDescent="0.45">
      <c r="A3" s="135"/>
      <c r="B3" s="136"/>
      <c r="C3" s="136"/>
      <c r="D3" s="136"/>
      <c r="E3" s="136"/>
      <c r="F3" s="136"/>
      <c r="G3" s="136"/>
      <c r="H3" s="136"/>
      <c r="I3" s="136"/>
      <c r="J3" s="136"/>
      <c r="K3" s="136"/>
      <c r="L3" s="136"/>
      <c r="M3" s="136"/>
      <c r="N3" s="136"/>
      <c r="O3" s="137"/>
    </row>
    <row r="4" spans="1:15" ht="14.45" x14ac:dyDescent="0.3">
      <c r="A4" s="138"/>
      <c r="B4" s="175">
        <v>2010</v>
      </c>
      <c r="C4" s="175">
        <v>2011</v>
      </c>
      <c r="D4" s="175">
        <v>2012</v>
      </c>
      <c r="E4" s="175">
        <v>2013</v>
      </c>
      <c r="F4" s="175">
        <v>2014</v>
      </c>
      <c r="G4" s="175">
        <v>2015</v>
      </c>
      <c r="H4" s="175">
        <v>2016</v>
      </c>
      <c r="I4" s="175">
        <v>2017</v>
      </c>
      <c r="J4" s="175">
        <v>2018</v>
      </c>
      <c r="K4" s="175">
        <v>2019</v>
      </c>
      <c r="L4" s="175">
        <v>2020</v>
      </c>
      <c r="M4" s="175">
        <v>2021</v>
      </c>
      <c r="N4" s="176">
        <v>2022</v>
      </c>
      <c r="O4" s="177">
        <v>2023</v>
      </c>
    </row>
    <row r="5" spans="1:15" ht="15.6" x14ac:dyDescent="0.3">
      <c r="A5" s="142"/>
      <c r="B5" s="143"/>
      <c r="C5" s="143"/>
      <c r="D5" s="143"/>
      <c r="E5" s="143"/>
      <c r="F5" s="143"/>
      <c r="G5" s="143"/>
      <c r="H5" s="143"/>
      <c r="I5" s="143"/>
      <c r="J5" s="143"/>
      <c r="K5" s="143"/>
      <c r="L5" s="143"/>
      <c r="M5" s="143"/>
      <c r="N5" s="144"/>
      <c r="O5" s="145"/>
    </row>
    <row r="6" spans="1:15" ht="14.45" x14ac:dyDescent="0.3">
      <c r="A6" s="146" t="s">
        <v>73</v>
      </c>
      <c r="B6" s="147">
        <v>463</v>
      </c>
      <c r="C6" s="148"/>
      <c r="D6" s="148"/>
      <c r="F6" s="148"/>
      <c r="G6" s="149" t="s">
        <v>89</v>
      </c>
      <c r="H6" s="148"/>
      <c r="I6" s="148"/>
      <c r="K6" s="178">
        <v>2016</v>
      </c>
      <c r="L6" s="148"/>
      <c r="M6" s="179" t="s">
        <v>75</v>
      </c>
      <c r="O6" s="180">
        <v>2016</v>
      </c>
    </row>
    <row r="7" spans="1:15" ht="14.45" x14ac:dyDescent="0.3">
      <c r="A7" s="146" t="s">
        <v>76</v>
      </c>
      <c r="B7" s="148"/>
      <c r="C7" s="147">
        <v>932</v>
      </c>
      <c r="D7" s="148"/>
      <c r="E7" s="148"/>
      <c r="F7" s="148"/>
      <c r="G7" s="148"/>
      <c r="H7" s="148"/>
      <c r="I7" s="148"/>
      <c r="J7" s="148"/>
      <c r="L7" s="178">
        <v>2016</v>
      </c>
      <c r="M7" s="148"/>
      <c r="N7" s="155"/>
      <c r="O7" s="145"/>
    </row>
    <row r="8" spans="1:15" ht="14.45" x14ac:dyDescent="0.3">
      <c r="A8" s="146" t="s">
        <v>77</v>
      </c>
      <c r="B8" s="148"/>
      <c r="C8" s="148"/>
      <c r="D8" s="147">
        <v>891</v>
      </c>
      <c r="E8" s="148"/>
      <c r="F8" s="148"/>
      <c r="G8" s="148"/>
      <c r="H8" s="148"/>
      <c r="I8" s="148"/>
      <c r="J8" s="148"/>
      <c r="K8" s="148"/>
      <c r="M8" s="178">
        <v>2016</v>
      </c>
      <c r="N8" s="155"/>
      <c r="O8" s="145"/>
    </row>
    <row r="9" spans="1:15" ht="14.45" x14ac:dyDescent="0.3">
      <c r="A9" s="146" t="s">
        <v>78</v>
      </c>
      <c r="B9" s="148"/>
      <c r="C9" s="148"/>
      <c r="D9" s="148"/>
      <c r="E9" s="147">
        <v>826</v>
      </c>
      <c r="F9" s="148"/>
      <c r="G9" s="148"/>
      <c r="H9" s="148"/>
      <c r="I9" s="148"/>
      <c r="J9" s="148"/>
      <c r="K9" s="148"/>
      <c r="L9" s="148"/>
      <c r="N9" s="178">
        <v>2016</v>
      </c>
      <c r="O9" s="145"/>
    </row>
    <row r="10" spans="1:15" ht="14.45" x14ac:dyDescent="0.3">
      <c r="A10" s="146" t="s">
        <v>79</v>
      </c>
      <c r="B10" s="148"/>
      <c r="C10" s="148"/>
      <c r="D10" s="148"/>
      <c r="E10" s="148"/>
      <c r="F10" s="147">
        <v>1008</v>
      </c>
      <c r="G10" s="148"/>
      <c r="H10" s="148"/>
      <c r="I10" s="148"/>
      <c r="J10" s="181"/>
      <c r="K10" s="148"/>
      <c r="L10" s="148"/>
      <c r="M10" s="148"/>
      <c r="N10" s="155"/>
      <c r="O10" s="145"/>
    </row>
    <row r="11" spans="1:15" ht="14.45" x14ac:dyDescent="0.3">
      <c r="A11" s="146" t="s">
        <v>80</v>
      </c>
      <c r="B11" s="148"/>
      <c r="C11" s="148"/>
      <c r="D11" s="148"/>
      <c r="E11" s="148"/>
      <c r="F11" s="148"/>
      <c r="G11" s="147">
        <v>987</v>
      </c>
      <c r="H11" s="148"/>
      <c r="I11" s="148"/>
      <c r="J11" s="148"/>
      <c r="K11" s="148"/>
      <c r="L11" s="148"/>
      <c r="M11" s="148"/>
      <c r="N11" s="155"/>
      <c r="O11" s="145"/>
    </row>
    <row r="12" spans="1:15" ht="14.45" x14ac:dyDescent="0.3">
      <c r="A12" s="146" t="s">
        <v>81</v>
      </c>
      <c r="B12" s="148"/>
      <c r="C12" s="148"/>
      <c r="D12" s="148"/>
      <c r="E12" s="148"/>
      <c r="F12" s="148"/>
      <c r="G12" s="148"/>
      <c r="H12" s="147">
        <v>986</v>
      </c>
      <c r="I12" s="148"/>
      <c r="J12" s="148"/>
      <c r="K12" s="148"/>
      <c r="L12" s="148"/>
      <c r="M12" s="148"/>
      <c r="N12" s="155"/>
      <c r="O12" s="145"/>
    </row>
    <row r="13" spans="1:15" ht="14.45" x14ac:dyDescent="0.3">
      <c r="A13" s="146" t="s">
        <v>82</v>
      </c>
      <c r="B13" s="148"/>
      <c r="C13" s="148"/>
      <c r="D13" s="148"/>
      <c r="E13" s="148"/>
      <c r="F13" s="148"/>
      <c r="G13" s="148"/>
      <c r="H13" s="148"/>
      <c r="I13" s="147">
        <v>986</v>
      </c>
      <c r="J13" s="148"/>
      <c r="K13" s="148"/>
      <c r="L13" s="148"/>
      <c r="M13" s="148"/>
      <c r="N13" s="155"/>
      <c r="O13" s="145"/>
    </row>
    <row r="14" spans="1:15" thickBot="1" x14ac:dyDescent="0.35">
      <c r="A14" s="158" t="s">
        <v>83</v>
      </c>
      <c r="B14" s="159"/>
      <c r="C14" s="159"/>
      <c r="D14" s="159"/>
      <c r="E14" s="159"/>
      <c r="F14" s="159"/>
      <c r="G14" s="159"/>
      <c r="H14" s="159"/>
      <c r="I14" s="159"/>
      <c r="J14" s="160">
        <v>986</v>
      </c>
      <c r="K14" s="159"/>
      <c r="L14" s="159"/>
      <c r="M14" s="159"/>
      <c r="N14" s="161"/>
      <c r="O14" s="162"/>
    </row>
    <row r="15" spans="1:15" thickTop="1" x14ac:dyDescent="0.3">
      <c r="A15" s="163" t="s">
        <v>84</v>
      </c>
      <c r="B15" s="164">
        <f>SUM(B6:B14)</f>
        <v>463</v>
      </c>
      <c r="C15" s="164">
        <f t="shared" ref="C15:N15" si="0">SUM(C6:C14)</f>
        <v>932</v>
      </c>
      <c r="D15" s="164">
        <f t="shared" si="0"/>
        <v>891</v>
      </c>
      <c r="E15" s="164">
        <f t="shared" si="0"/>
        <v>826</v>
      </c>
      <c r="F15" s="164">
        <f t="shared" si="0"/>
        <v>1008</v>
      </c>
      <c r="G15" s="164">
        <f>SUM(G6:G14)</f>
        <v>987</v>
      </c>
      <c r="H15" s="164">
        <f t="shared" si="0"/>
        <v>986</v>
      </c>
      <c r="I15" s="164">
        <f t="shared" si="0"/>
        <v>986</v>
      </c>
      <c r="J15" s="164">
        <f t="shared" si="0"/>
        <v>986</v>
      </c>
      <c r="K15" s="164">
        <f>SUM(K6:K14)</f>
        <v>2016</v>
      </c>
      <c r="L15" s="164">
        <f t="shared" si="0"/>
        <v>2016</v>
      </c>
      <c r="M15" s="164">
        <f t="shared" si="0"/>
        <v>2016</v>
      </c>
      <c r="N15" s="165">
        <f t="shared" si="0"/>
        <v>2016</v>
      </c>
      <c r="O15" s="166">
        <v>2016</v>
      </c>
    </row>
    <row r="16" spans="1:15" ht="14.45" x14ac:dyDescent="0.3">
      <c r="A16" s="167"/>
      <c r="B16" s="168"/>
      <c r="C16" s="168"/>
      <c r="D16" s="168"/>
      <c r="E16" s="168"/>
      <c r="F16" s="168"/>
      <c r="G16" s="168"/>
      <c r="H16" s="168"/>
      <c r="I16" s="168"/>
      <c r="J16" s="168"/>
      <c r="K16" s="168"/>
      <c r="L16" s="168"/>
      <c r="M16" s="168"/>
      <c r="N16" s="168"/>
      <c r="O16" s="182"/>
    </row>
    <row r="17" spans="1:15" ht="14.45" x14ac:dyDescent="0.3">
      <c r="A17" s="167"/>
      <c r="B17" s="168"/>
      <c r="C17" s="183"/>
      <c r="D17" s="233" t="s">
        <v>85</v>
      </c>
      <c r="E17" s="234"/>
      <c r="F17" s="234"/>
      <c r="G17" s="234"/>
      <c r="H17" s="234"/>
      <c r="I17" s="234"/>
      <c r="J17" s="234"/>
      <c r="K17" s="234"/>
      <c r="L17" s="234"/>
      <c r="M17" s="234"/>
      <c r="N17" s="234"/>
      <c r="O17" s="238"/>
    </row>
    <row r="18" spans="1:15" ht="14.45" x14ac:dyDescent="0.3">
      <c r="A18" s="167"/>
      <c r="B18" s="168"/>
      <c r="C18" s="184"/>
      <c r="D18" s="233" t="s">
        <v>90</v>
      </c>
      <c r="E18" s="234"/>
      <c r="F18" s="234"/>
      <c r="G18" s="234"/>
      <c r="H18" s="234"/>
      <c r="I18" s="234"/>
      <c r="J18" s="234"/>
      <c r="K18" s="234"/>
      <c r="L18" s="234"/>
      <c r="M18" s="234"/>
      <c r="N18" s="234"/>
      <c r="O18" s="238"/>
    </row>
    <row r="19" spans="1:15" thickBot="1" x14ac:dyDescent="0.35">
      <c r="A19" s="172"/>
      <c r="B19" s="173"/>
      <c r="C19" s="174"/>
      <c r="D19" s="239" t="s">
        <v>87</v>
      </c>
      <c r="E19" s="240"/>
      <c r="F19" s="240"/>
      <c r="G19" s="240"/>
      <c r="H19" s="240"/>
      <c r="I19" s="240"/>
      <c r="J19" s="240"/>
      <c r="K19" s="240"/>
      <c r="L19" s="240"/>
      <c r="M19" s="240"/>
      <c r="N19" s="240"/>
      <c r="O19" s="241"/>
    </row>
    <row r="20" spans="1:15" thickTop="1" x14ac:dyDescent="0.3"/>
    <row r="21" spans="1:15" thickBot="1" x14ac:dyDescent="0.35"/>
    <row r="22" spans="1:15" ht="23.45" thickTop="1" x14ac:dyDescent="0.4">
      <c r="A22" s="235" t="s">
        <v>72</v>
      </c>
      <c r="B22" s="236"/>
      <c r="C22" s="236"/>
      <c r="D22" s="236"/>
      <c r="E22" s="236"/>
      <c r="F22" s="236"/>
      <c r="G22" s="236"/>
      <c r="H22" s="236"/>
      <c r="I22" s="236"/>
      <c r="J22" s="236"/>
      <c r="K22" s="236"/>
      <c r="L22" s="236"/>
      <c r="M22" s="236"/>
      <c r="N22" s="236"/>
      <c r="O22" s="237"/>
    </row>
    <row r="23" spans="1:15" ht="12" customHeight="1" thickBot="1" x14ac:dyDescent="0.45">
      <c r="A23" s="135"/>
      <c r="B23" s="136"/>
      <c r="C23" s="136"/>
      <c r="D23" s="136"/>
      <c r="E23" s="136"/>
      <c r="F23" s="136"/>
      <c r="G23" s="136"/>
      <c r="H23" s="136"/>
      <c r="I23" s="136"/>
      <c r="J23" s="136"/>
      <c r="K23" s="136"/>
      <c r="L23" s="136"/>
      <c r="M23" s="136"/>
      <c r="N23" s="136"/>
      <c r="O23" s="137"/>
    </row>
    <row r="24" spans="1:15" ht="15.6" x14ac:dyDescent="0.3">
      <c r="A24" s="138"/>
      <c r="B24" s="139">
        <v>2010</v>
      </c>
      <c r="C24" s="139">
        <v>2011</v>
      </c>
      <c r="D24" s="139">
        <v>2012</v>
      </c>
      <c r="E24" s="139">
        <v>2013</v>
      </c>
      <c r="F24" s="139">
        <v>2014</v>
      </c>
      <c r="G24" s="139">
        <v>2015</v>
      </c>
      <c r="H24" s="139">
        <v>2016</v>
      </c>
      <c r="I24" s="139">
        <v>2017</v>
      </c>
      <c r="J24" s="139">
        <v>2018</v>
      </c>
      <c r="K24" s="139">
        <v>2019</v>
      </c>
      <c r="L24" s="139">
        <v>2020</v>
      </c>
      <c r="M24" s="139">
        <v>2021</v>
      </c>
      <c r="N24" s="140">
        <v>2022</v>
      </c>
      <c r="O24" s="141">
        <v>2023</v>
      </c>
    </row>
    <row r="25" spans="1:15" ht="15.6" x14ac:dyDescent="0.3">
      <c r="A25" s="142"/>
      <c r="B25" s="143"/>
      <c r="C25" s="143"/>
      <c r="D25" s="143"/>
      <c r="E25" s="143"/>
      <c r="F25" s="143"/>
      <c r="G25" s="143"/>
      <c r="H25" s="143"/>
      <c r="I25" s="143"/>
      <c r="J25" s="143"/>
      <c r="K25" s="143"/>
      <c r="L25" s="143"/>
      <c r="M25" s="143"/>
      <c r="N25" s="144"/>
      <c r="O25" s="145"/>
    </row>
    <row r="26" spans="1:15" ht="14.45" x14ac:dyDescent="0.3">
      <c r="A26" s="146" t="s">
        <v>73</v>
      </c>
      <c r="B26" s="147">
        <v>463</v>
      </c>
      <c r="C26" s="148"/>
      <c r="D26" s="149" t="s">
        <v>74</v>
      </c>
      <c r="E26" s="148"/>
      <c r="F26" s="148"/>
      <c r="G26" s="150">
        <v>741</v>
      </c>
      <c r="H26" s="151"/>
      <c r="I26" s="152" t="s">
        <v>75</v>
      </c>
      <c r="J26" s="148"/>
      <c r="K26" s="153">
        <v>2016</v>
      </c>
      <c r="L26" s="148"/>
      <c r="M26" s="154" t="s">
        <v>75</v>
      </c>
      <c r="N26" s="155"/>
      <c r="O26" s="156">
        <v>2016</v>
      </c>
    </row>
    <row r="27" spans="1:15" ht="14.45" x14ac:dyDescent="0.3">
      <c r="A27" s="146" t="s">
        <v>76</v>
      </c>
      <c r="B27" s="148"/>
      <c r="C27" s="147">
        <v>932</v>
      </c>
      <c r="D27" s="148"/>
      <c r="E27" s="148"/>
      <c r="F27" s="148"/>
      <c r="G27" s="148"/>
      <c r="H27" s="150">
        <v>771</v>
      </c>
      <c r="I27" s="148"/>
      <c r="J27" s="148"/>
      <c r="K27" s="148"/>
      <c r="L27" s="153">
        <v>2016</v>
      </c>
      <c r="M27" s="148"/>
      <c r="N27" s="155"/>
      <c r="O27" s="145"/>
    </row>
    <row r="28" spans="1:15" ht="14.45" x14ac:dyDescent="0.3">
      <c r="A28" s="146" t="s">
        <v>77</v>
      </c>
      <c r="B28" s="148"/>
      <c r="C28" s="148"/>
      <c r="D28" s="147">
        <v>891</v>
      </c>
      <c r="E28" s="148"/>
      <c r="F28" s="148"/>
      <c r="G28" s="148"/>
      <c r="H28" s="148"/>
      <c r="I28" s="150">
        <v>788</v>
      </c>
      <c r="J28" s="148"/>
      <c r="K28" s="148"/>
      <c r="L28" s="148"/>
      <c r="M28" s="153">
        <v>2016</v>
      </c>
      <c r="N28" s="155"/>
      <c r="O28" s="145"/>
    </row>
    <row r="29" spans="1:15" ht="14.45" x14ac:dyDescent="0.3">
      <c r="A29" s="146" t="s">
        <v>78</v>
      </c>
      <c r="B29" s="148"/>
      <c r="C29" s="148"/>
      <c r="D29" s="148"/>
      <c r="E29" s="147">
        <v>826</v>
      </c>
      <c r="F29" s="148"/>
      <c r="G29" s="148"/>
      <c r="H29" s="148"/>
      <c r="I29" s="148"/>
      <c r="J29" s="150">
        <v>812</v>
      </c>
      <c r="K29" s="148"/>
      <c r="L29" s="148"/>
      <c r="M29" s="148"/>
      <c r="N29" s="157">
        <v>2016</v>
      </c>
      <c r="O29" s="145"/>
    </row>
    <row r="30" spans="1:15" ht="14.45" x14ac:dyDescent="0.3">
      <c r="A30" s="146" t="s">
        <v>79</v>
      </c>
      <c r="B30" s="148"/>
      <c r="C30" s="148"/>
      <c r="D30" s="148"/>
      <c r="E30" s="148"/>
      <c r="F30" s="147">
        <v>1008</v>
      </c>
      <c r="G30" s="148"/>
      <c r="H30" s="148"/>
      <c r="I30" s="148"/>
      <c r="J30" s="148"/>
      <c r="L30" s="148"/>
      <c r="M30" s="148"/>
      <c r="N30" s="155"/>
      <c r="O30" s="145"/>
    </row>
    <row r="31" spans="1:15" ht="14.45" x14ac:dyDescent="0.3">
      <c r="A31" s="146" t="s">
        <v>80</v>
      </c>
      <c r="B31" s="148"/>
      <c r="C31" s="148"/>
      <c r="D31" s="148"/>
      <c r="E31" s="148"/>
      <c r="F31" s="148"/>
      <c r="G31" s="147">
        <v>987</v>
      </c>
      <c r="H31" s="148"/>
      <c r="I31" s="148"/>
      <c r="J31" s="148"/>
      <c r="K31" s="148"/>
      <c r="L31" s="148"/>
      <c r="M31" s="148"/>
      <c r="N31" s="155"/>
      <c r="O31" s="145"/>
    </row>
    <row r="32" spans="1:15" ht="14.45" x14ac:dyDescent="0.3">
      <c r="A32" s="146" t="s">
        <v>81</v>
      </c>
      <c r="B32" s="148"/>
      <c r="C32" s="148"/>
      <c r="D32" s="148"/>
      <c r="E32" s="148"/>
      <c r="F32" s="148"/>
      <c r="G32" s="148"/>
      <c r="H32" s="147">
        <v>986</v>
      </c>
      <c r="I32" s="148"/>
      <c r="J32" s="148"/>
      <c r="K32" s="148"/>
      <c r="L32" s="148"/>
      <c r="M32" s="148"/>
      <c r="N32" s="155"/>
      <c r="O32" s="145"/>
    </row>
    <row r="33" spans="1:15" ht="14.45" x14ac:dyDescent="0.3">
      <c r="A33" s="146" t="s">
        <v>82</v>
      </c>
      <c r="B33" s="148"/>
      <c r="C33" s="148"/>
      <c r="D33" s="148"/>
      <c r="E33" s="148"/>
      <c r="F33" s="148"/>
      <c r="G33" s="148"/>
      <c r="H33" s="148"/>
      <c r="I33" s="147">
        <v>986</v>
      </c>
      <c r="J33" s="148"/>
      <c r="K33" s="148"/>
      <c r="L33" s="148"/>
      <c r="M33" s="148"/>
      <c r="N33" s="155"/>
      <c r="O33" s="145"/>
    </row>
    <row r="34" spans="1:15" thickBot="1" x14ac:dyDescent="0.35">
      <c r="A34" s="158" t="s">
        <v>83</v>
      </c>
      <c r="B34" s="159"/>
      <c r="C34" s="159"/>
      <c r="D34" s="159"/>
      <c r="E34" s="159"/>
      <c r="F34" s="159"/>
      <c r="G34" s="159"/>
      <c r="H34" s="159"/>
      <c r="I34" s="159"/>
      <c r="J34" s="160">
        <v>986</v>
      </c>
      <c r="K34" s="159"/>
      <c r="L34" s="159"/>
      <c r="M34" s="159"/>
      <c r="N34" s="161"/>
      <c r="O34" s="162"/>
    </row>
    <row r="35" spans="1:15" thickTop="1" x14ac:dyDescent="0.3">
      <c r="A35" s="163" t="s">
        <v>84</v>
      </c>
      <c r="B35" s="164">
        <f t="shared" ref="B35:O35" si="1">SUM(B26:B34)</f>
        <v>463</v>
      </c>
      <c r="C35" s="164">
        <f t="shared" si="1"/>
        <v>932</v>
      </c>
      <c r="D35" s="164">
        <f t="shared" si="1"/>
        <v>891</v>
      </c>
      <c r="E35" s="164">
        <f t="shared" si="1"/>
        <v>826</v>
      </c>
      <c r="F35" s="164">
        <f t="shared" si="1"/>
        <v>1008</v>
      </c>
      <c r="G35" s="164">
        <f t="shared" si="1"/>
        <v>1728</v>
      </c>
      <c r="H35" s="164">
        <f t="shared" si="1"/>
        <v>1757</v>
      </c>
      <c r="I35" s="164">
        <f t="shared" si="1"/>
        <v>1774</v>
      </c>
      <c r="J35" s="164">
        <f t="shared" si="1"/>
        <v>1798</v>
      </c>
      <c r="K35" s="164">
        <f>SUM(K26:K34)</f>
        <v>2016</v>
      </c>
      <c r="L35" s="164">
        <f t="shared" si="1"/>
        <v>2016</v>
      </c>
      <c r="M35" s="164">
        <f t="shared" si="1"/>
        <v>2016</v>
      </c>
      <c r="N35" s="165">
        <f t="shared" si="1"/>
        <v>2016</v>
      </c>
      <c r="O35" s="166">
        <f t="shared" si="1"/>
        <v>2016</v>
      </c>
    </row>
    <row r="36" spans="1:15" ht="14.45" x14ac:dyDescent="0.3">
      <c r="A36" s="167"/>
      <c r="B36" s="168"/>
      <c r="C36" s="168"/>
      <c r="D36" s="168"/>
      <c r="E36" s="168"/>
      <c r="F36" s="168"/>
      <c r="G36" s="168"/>
      <c r="H36" s="168"/>
      <c r="I36" s="168"/>
      <c r="J36" s="168"/>
      <c r="K36" s="168"/>
      <c r="L36" s="168"/>
      <c r="M36" s="168"/>
      <c r="N36" s="168"/>
      <c r="O36" s="169"/>
    </row>
    <row r="37" spans="1:15" ht="14.45" x14ac:dyDescent="0.3">
      <c r="A37" s="167"/>
      <c r="B37" s="168"/>
      <c r="C37" s="170"/>
      <c r="D37" s="233" t="s">
        <v>85</v>
      </c>
      <c r="E37" s="234"/>
      <c r="F37" s="234"/>
      <c r="G37" s="234"/>
      <c r="H37" s="234"/>
      <c r="I37" s="234"/>
      <c r="J37" s="234"/>
      <c r="K37" s="234"/>
      <c r="L37" s="234"/>
      <c r="M37" s="234"/>
      <c r="N37" s="234"/>
      <c r="O37" s="238"/>
    </row>
    <row r="38" spans="1:15" ht="14.45" x14ac:dyDescent="0.3">
      <c r="A38" s="167"/>
      <c r="B38" s="168"/>
      <c r="C38" s="171"/>
      <c r="D38" s="233" t="s">
        <v>86</v>
      </c>
      <c r="E38" s="234"/>
      <c r="F38" s="234"/>
      <c r="G38" s="234"/>
      <c r="H38" s="234"/>
      <c r="I38" s="234"/>
      <c r="J38" s="234"/>
      <c r="K38" s="234"/>
      <c r="L38" s="234"/>
      <c r="M38" s="234"/>
      <c r="N38" s="234"/>
      <c r="O38" s="238"/>
    </row>
    <row r="39" spans="1:15" thickBot="1" x14ac:dyDescent="0.35">
      <c r="A39" s="172"/>
      <c r="B39" s="173"/>
      <c r="C39" s="174"/>
      <c r="D39" s="239" t="s">
        <v>87</v>
      </c>
      <c r="E39" s="240"/>
      <c r="F39" s="240"/>
      <c r="G39" s="240"/>
      <c r="H39" s="240"/>
      <c r="I39" s="240"/>
      <c r="J39" s="240"/>
      <c r="K39" s="240"/>
      <c r="L39" s="240"/>
      <c r="M39" s="240"/>
      <c r="N39" s="240"/>
      <c r="O39" s="241"/>
    </row>
    <row r="40" spans="1:15" thickTop="1" x14ac:dyDescent="0.3"/>
    <row r="41" spans="1:15" thickBot="1" x14ac:dyDescent="0.35"/>
    <row r="42" spans="1:15" ht="26.45" customHeight="1" thickTop="1" x14ac:dyDescent="0.4">
      <c r="A42" s="235" t="s">
        <v>91</v>
      </c>
      <c r="B42" s="242"/>
      <c r="C42" s="242"/>
      <c r="D42" s="242"/>
      <c r="E42" s="242"/>
      <c r="F42" s="242"/>
      <c r="G42" s="242"/>
      <c r="H42" s="242"/>
      <c r="I42" s="242"/>
      <c r="J42" s="242"/>
      <c r="K42" s="242"/>
      <c r="L42" s="242"/>
      <c r="M42" s="242"/>
      <c r="N42" s="242"/>
      <c r="O42" s="243"/>
    </row>
    <row r="43" spans="1:15" ht="12" customHeight="1" thickBot="1" x14ac:dyDescent="0.45">
      <c r="A43" s="135"/>
      <c r="B43" s="136"/>
      <c r="C43" s="136"/>
      <c r="D43" s="136"/>
      <c r="E43" s="136"/>
      <c r="F43" s="136"/>
      <c r="G43" s="136"/>
      <c r="H43" s="136"/>
      <c r="I43" s="136"/>
      <c r="J43" s="136"/>
      <c r="K43" s="136"/>
      <c r="L43" s="136"/>
      <c r="M43" s="136"/>
      <c r="N43" s="136"/>
      <c r="O43" s="182"/>
    </row>
    <row r="44" spans="1:15" ht="15.6" x14ac:dyDescent="0.3">
      <c r="A44" s="138"/>
      <c r="B44" s="139">
        <v>2010</v>
      </c>
      <c r="C44" s="139">
        <v>2011</v>
      </c>
      <c r="D44" s="139">
        <v>2012</v>
      </c>
      <c r="E44" s="139">
        <v>2013</v>
      </c>
      <c r="F44" s="139">
        <v>2014</v>
      </c>
      <c r="G44" s="139">
        <v>2015</v>
      </c>
      <c r="H44" s="139">
        <v>2016</v>
      </c>
      <c r="I44" s="139">
        <v>2017</v>
      </c>
      <c r="J44" s="139">
        <v>2018</v>
      </c>
      <c r="K44" s="139">
        <v>2019</v>
      </c>
      <c r="L44" s="139">
        <v>2020</v>
      </c>
      <c r="M44" s="139">
        <v>2021</v>
      </c>
      <c r="N44" s="140">
        <v>2022</v>
      </c>
      <c r="O44" s="141">
        <v>2023</v>
      </c>
    </row>
    <row r="45" spans="1:15" ht="15.6" x14ac:dyDescent="0.3">
      <c r="A45" s="142"/>
      <c r="B45" s="143"/>
      <c r="C45" s="143"/>
      <c r="D45" s="143"/>
      <c r="E45" s="143"/>
      <c r="F45" s="143"/>
      <c r="G45" s="143"/>
      <c r="H45" s="143"/>
      <c r="I45" s="143"/>
      <c r="J45" s="143"/>
      <c r="K45" s="143"/>
      <c r="L45" s="143"/>
      <c r="M45" s="143"/>
      <c r="N45" s="144"/>
      <c r="O45" s="145"/>
    </row>
    <row r="46" spans="1:15" ht="14.45" x14ac:dyDescent="0.3">
      <c r="A46" s="146" t="s">
        <v>73</v>
      </c>
      <c r="B46" s="147">
        <v>463</v>
      </c>
      <c r="C46" s="148"/>
      <c r="D46" s="148"/>
      <c r="E46" s="148"/>
      <c r="F46" s="149" t="s">
        <v>92</v>
      </c>
      <c r="G46" s="185"/>
      <c r="H46" s="148"/>
      <c r="I46" s="178">
        <v>1039</v>
      </c>
      <c r="J46" s="185"/>
      <c r="K46" s="186" t="s">
        <v>75</v>
      </c>
      <c r="M46" s="153">
        <v>1227</v>
      </c>
      <c r="N46" s="187"/>
      <c r="O46" s="145"/>
    </row>
    <row r="47" spans="1:15" ht="14.45" x14ac:dyDescent="0.3">
      <c r="A47" s="146" t="s">
        <v>76</v>
      </c>
      <c r="B47" s="148"/>
      <c r="C47" s="147">
        <v>932</v>
      </c>
      <c r="D47" s="148"/>
      <c r="E47" s="148"/>
      <c r="F47" s="148"/>
      <c r="G47" s="148"/>
      <c r="H47" s="185"/>
      <c r="I47" s="148"/>
      <c r="J47" s="188">
        <v>2079</v>
      </c>
      <c r="K47" s="185"/>
      <c r="L47" s="185"/>
      <c r="M47" s="185"/>
      <c r="N47" s="157">
        <v>2016</v>
      </c>
      <c r="O47" s="189"/>
    </row>
    <row r="48" spans="1:15" ht="14.45" x14ac:dyDescent="0.3">
      <c r="A48" s="146" t="s">
        <v>77</v>
      </c>
      <c r="B48" s="148"/>
      <c r="C48" s="148"/>
      <c r="D48" s="147">
        <v>891</v>
      </c>
      <c r="E48" s="148"/>
      <c r="F48" s="148"/>
      <c r="G48" s="148"/>
      <c r="H48" s="148"/>
      <c r="I48" s="185"/>
      <c r="J48" s="148"/>
      <c r="K48" s="178">
        <v>2079</v>
      </c>
      <c r="L48" s="185"/>
      <c r="M48" s="185"/>
      <c r="N48" s="187"/>
      <c r="O48" s="156">
        <v>2016</v>
      </c>
    </row>
    <row r="49" spans="1:15" ht="14.45" x14ac:dyDescent="0.3">
      <c r="A49" s="146" t="s">
        <v>78</v>
      </c>
      <c r="B49" s="148"/>
      <c r="C49" s="148"/>
      <c r="D49" s="148"/>
      <c r="E49" s="147">
        <v>826</v>
      </c>
      <c r="F49" s="148"/>
      <c r="G49" s="148"/>
      <c r="H49" s="148"/>
      <c r="I49" s="148"/>
      <c r="J49" s="185"/>
      <c r="K49" s="185"/>
      <c r="L49" s="178">
        <v>2079</v>
      </c>
      <c r="M49" s="185"/>
      <c r="N49" s="187"/>
      <c r="O49" s="145"/>
    </row>
    <row r="50" spans="1:15" ht="14.45" x14ac:dyDescent="0.3">
      <c r="A50" s="146" t="s">
        <v>79</v>
      </c>
      <c r="B50" s="148"/>
      <c r="C50" s="148"/>
      <c r="D50" s="148"/>
      <c r="E50" s="148"/>
      <c r="F50" s="147">
        <v>1008</v>
      </c>
      <c r="G50" s="148"/>
      <c r="H50" s="148"/>
      <c r="I50" s="148"/>
      <c r="J50" s="148"/>
      <c r="K50" s="148"/>
      <c r="L50" s="148"/>
      <c r="M50" s="178">
        <v>789</v>
      </c>
      <c r="N50" s="155"/>
      <c r="O50" s="145"/>
    </row>
    <row r="51" spans="1:15" ht="14.45" x14ac:dyDescent="0.3">
      <c r="A51" s="146" t="s">
        <v>80</v>
      </c>
      <c r="B51" s="148"/>
      <c r="C51" s="148"/>
      <c r="D51" s="148"/>
      <c r="E51" s="148"/>
      <c r="F51" s="148"/>
      <c r="G51" s="147">
        <v>1578</v>
      </c>
      <c r="H51" s="148"/>
      <c r="I51" s="148"/>
      <c r="J51" s="148"/>
      <c r="K51" s="148"/>
      <c r="L51" s="148"/>
      <c r="M51" s="148"/>
      <c r="N51" s="155"/>
      <c r="O51" s="145"/>
    </row>
    <row r="52" spans="1:15" ht="14.45" x14ac:dyDescent="0.3">
      <c r="A52" s="146" t="s">
        <v>81</v>
      </c>
      <c r="B52" s="148"/>
      <c r="C52" s="148"/>
      <c r="D52" s="148"/>
      <c r="E52" s="148"/>
      <c r="F52" s="148"/>
      <c r="G52" s="148"/>
      <c r="H52" s="147">
        <v>1578</v>
      </c>
      <c r="I52" s="148"/>
      <c r="J52" s="148"/>
      <c r="K52" s="148"/>
      <c r="L52" s="148"/>
      <c r="M52" s="148"/>
      <c r="N52" s="155"/>
      <c r="O52" s="145"/>
    </row>
    <row r="53" spans="1:15" thickBot="1" x14ac:dyDescent="0.35">
      <c r="A53" s="146" t="s">
        <v>82</v>
      </c>
      <c r="B53" s="148"/>
      <c r="C53" s="148"/>
      <c r="D53" s="148"/>
      <c r="E53" s="148"/>
      <c r="F53" s="148"/>
      <c r="G53" s="148"/>
      <c r="H53" s="148"/>
      <c r="I53" s="147">
        <v>789</v>
      </c>
      <c r="J53" s="148"/>
      <c r="K53" s="148"/>
      <c r="L53" s="148"/>
      <c r="M53" s="148"/>
      <c r="N53" s="155"/>
      <c r="O53" s="145"/>
    </row>
    <row r="54" spans="1:15" thickTop="1" x14ac:dyDescent="0.3">
      <c r="A54" s="163" t="s">
        <v>84</v>
      </c>
      <c r="B54" s="190">
        <f t="shared" ref="B54:O54" si="2">SUM(B46:B53)</f>
        <v>463</v>
      </c>
      <c r="C54" s="164">
        <f t="shared" si="2"/>
        <v>932</v>
      </c>
      <c r="D54" s="164">
        <f t="shared" si="2"/>
        <v>891</v>
      </c>
      <c r="E54" s="164">
        <f t="shared" si="2"/>
        <v>826</v>
      </c>
      <c r="F54" s="164">
        <f t="shared" si="2"/>
        <v>1008</v>
      </c>
      <c r="G54" s="164">
        <f t="shared" si="2"/>
        <v>1578</v>
      </c>
      <c r="H54" s="164">
        <f t="shared" si="2"/>
        <v>1578</v>
      </c>
      <c r="I54" s="164">
        <f t="shared" si="2"/>
        <v>1828</v>
      </c>
      <c r="J54" s="164">
        <f t="shared" si="2"/>
        <v>2079</v>
      </c>
      <c r="K54" s="164">
        <f>SUM(K46:K53)</f>
        <v>2079</v>
      </c>
      <c r="L54" s="164">
        <f t="shared" si="2"/>
        <v>2079</v>
      </c>
      <c r="M54" s="164">
        <f t="shared" si="2"/>
        <v>2016</v>
      </c>
      <c r="N54" s="165">
        <f t="shared" si="2"/>
        <v>2016</v>
      </c>
      <c r="O54" s="166">
        <f t="shared" si="2"/>
        <v>2016</v>
      </c>
    </row>
    <row r="55" spans="1:15" ht="14.45" x14ac:dyDescent="0.3">
      <c r="A55" s="167"/>
      <c r="B55" s="168"/>
      <c r="C55" s="168"/>
      <c r="D55" s="168"/>
      <c r="E55" s="168"/>
      <c r="F55" s="168"/>
      <c r="G55" s="168"/>
      <c r="H55" s="168"/>
      <c r="I55" s="168"/>
      <c r="J55" s="168"/>
      <c r="K55" s="168"/>
      <c r="L55" s="168"/>
      <c r="M55" s="168"/>
      <c r="N55" s="168"/>
      <c r="O55" s="191"/>
    </row>
    <row r="56" spans="1:15" ht="14.45" x14ac:dyDescent="0.3">
      <c r="A56" s="167"/>
      <c r="B56" s="170"/>
      <c r="C56" s="233" t="s">
        <v>85</v>
      </c>
      <c r="D56" s="234"/>
      <c r="E56" s="234"/>
      <c r="F56" s="234"/>
      <c r="G56" s="234"/>
      <c r="H56" s="234"/>
      <c r="I56" s="234"/>
      <c r="J56" s="234"/>
      <c r="K56" s="234"/>
      <c r="L56" s="234"/>
      <c r="M56" s="234"/>
      <c r="N56" s="234"/>
      <c r="O56" s="191"/>
    </row>
    <row r="57" spans="1:15" ht="14.45" x14ac:dyDescent="0.3">
      <c r="A57" s="167"/>
      <c r="B57" s="192"/>
      <c r="C57" s="193" t="s">
        <v>93</v>
      </c>
      <c r="D57" s="194"/>
      <c r="E57" s="195"/>
      <c r="F57" s="195"/>
      <c r="G57" s="195"/>
      <c r="H57" s="195"/>
      <c r="I57" s="195"/>
      <c r="J57" s="195"/>
      <c r="K57" s="195"/>
      <c r="L57" s="195"/>
      <c r="M57" s="195"/>
      <c r="N57" s="196"/>
      <c r="O57" s="191"/>
    </row>
    <row r="58" spans="1:15" thickBot="1" x14ac:dyDescent="0.35">
      <c r="A58" s="172"/>
      <c r="B58" s="174"/>
      <c r="C58" s="197" t="s">
        <v>87</v>
      </c>
      <c r="D58" s="198"/>
      <c r="E58" s="199"/>
      <c r="F58" s="199"/>
      <c r="G58" s="199"/>
      <c r="H58" s="199"/>
      <c r="I58" s="199"/>
      <c r="J58" s="199"/>
      <c r="K58" s="199"/>
      <c r="L58" s="199"/>
      <c r="M58" s="199"/>
      <c r="N58" s="200"/>
      <c r="O58" s="201"/>
    </row>
    <row r="59" spans="1:15" thickTop="1" x14ac:dyDescent="0.3"/>
    <row r="60" spans="1:15" thickBot="1" x14ac:dyDescent="0.35"/>
    <row r="61" spans="1:15" ht="22.9" customHeight="1" thickTop="1" x14ac:dyDescent="0.4">
      <c r="A61" s="235" t="s">
        <v>94</v>
      </c>
      <c r="B61" s="242"/>
      <c r="C61" s="242"/>
      <c r="D61" s="242"/>
      <c r="E61" s="242"/>
      <c r="F61" s="242"/>
      <c r="G61" s="242"/>
      <c r="H61" s="242"/>
      <c r="I61" s="242"/>
      <c r="J61" s="242"/>
      <c r="K61" s="242"/>
      <c r="L61" s="242"/>
      <c r="M61" s="242"/>
      <c r="N61" s="242"/>
      <c r="O61" s="243"/>
    </row>
    <row r="62" spans="1:15" ht="10.15" customHeight="1" thickBot="1" x14ac:dyDescent="0.45">
      <c r="A62" s="135"/>
      <c r="B62" s="136"/>
      <c r="C62" s="136"/>
      <c r="D62" s="136"/>
      <c r="E62" s="136"/>
      <c r="F62" s="136"/>
      <c r="G62" s="136"/>
      <c r="H62" s="136"/>
      <c r="I62" s="136"/>
      <c r="J62" s="136"/>
      <c r="K62" s="136"/>
      <c r="L62" s="136"/>
      <c r="M62" s="136"/>
      <c r="N62" s="136"/>
      <c r="O62" s="182"/>
    </row>
    <row r="63" spans="1:15" ht="15.6" x14ac:dyDescent="0.3">
      <c r="A63" s="138"/>
      <c r="B63" s="139">
        <v>2010</v>
      </c>
      <c r="C63" s="139">
        <v>2011</v>
      </c>
      <c r="D63" s="139">
        <v>2012</v>
      </c>
      <c r="E63" s="139">
        <v>2013</v>
      </c>
      <c r="F63" s="139">
        <v>2014</v>
      </c>
      <c r="G63" s="139">
        <v>2015</v>
      </c>
      <c r="H63" s="139">
        <v>2016</v>
      </c>
      <c r="I63" s="139">
        <v>2017</v>
      </c>
      <c r="J63" s="139">
        <v>2018</v>
      </c>
      <c r="K63" s="139">
        <v>2019</v>
      </c>
      <c r="L63" s="139">
        <v>2020</v>
      </c>
      <c r="M63" s="139">
        <v>2021</v>
      </c>
      <c r="N63" s="140">
        <v>2022</v>
      </c>
      <c r="O63" s="141">
        <v>2023</v>
      </c>
    </row>
    <row r="64" spans="1:15" ht="15.6" x14ac:dyDescent="0.3">
      <c r="A64" s="142"/>
      <c r="B64" s="143"/>
      <c r="C64" s="143"/>
      <c r="D64" s="143"/>
      <c r="E64" s="143"/>
      <c r="F64" s="143"/>
      <c r="G64" s="143"/>
      <c r="H64" s="143"/>
      <c r="I64" s="143"/>
      <c r="J64" s="143"/>
      <c r="K64" s="143"/>
      <c r="L64" s="143"/>
      <c r="M64" s="143"/>
      <c r="N64" s="144"/>
      <c r="O64" s="145"/>
    </row>
    <row r="65" spans="1:15" ht="14.45" x14ac:dyDescent="0.3">
      <c r="A65" s="146" t="s">
        <v>73</v>
      </c>
      <c r="B65" s="147">
        <v>463</v>
      </c>
      <c r="C65" s="148"/>
      <c r="D65" s="149" t="s">
        <v>95</v>
      </c>
      <c r="E65" s="148"/>
      <c r="G65" s="202">
        <v>663</v>
      </c>
      <c r="H65" s="148"/>
      <c r="I65" s="153">
        <v>1008</v>
      </c>
      <c r="J65" s="185"/>
      <c r="K65" s="203" t="s">
        <v>75</v>
      </c>
      <c r="M65" s="153">
        <v>2016</v>
      </c>
      <c r="N65" s="187"/>
      <c r="O65" s="145"/>
    </row>
    <row r="66" spans="1:15" ht="14.45" x14ac:dyDescent="0.3">
      <c r="A66" s="146" t="s">
        <v>76</v>
      </c>
      <c r="B66" s="148"/>
      <c r="C66" s="147">
        <v>932</v>
      </c>
      <c r="D66" s="148"/>
      <c r="E66" s="148"/>
      <c r="F66" s="148"/>
      <c r="H66" s="150">
        <v>732</v>
      </c>
      <c r="I66" s="148"/>
      <c r="J66" s="204">
        <v>2016</v>
      </c>
      <c r="K66" s="185"/>
      <c r="L66" s="185"/>
      <c r="M66" s="185"/>
      <c r="N66" s="157">
        <v>2016</v>
      </c>
      <c r="O66" s="189"/>
    </row>
    <row r="67" spans="1:15" ht="14.45" x14ac:dyDescent="0.3">
      <c r="A67" s="146" t="s">
        <v>77</v>
      </c>
      <c r="B67" s="148"/>
      <c r="C67" s="148"/>
      <c r="D67" s="147">
        <v>891</v>
      </c>
      <c r="E67" s="148"/>
      <c r="F67" s="148"/>
      <c r="G67" s="148"/>
      <c r="I67" s="150">
        <v>219</v>
      </c>
      <c r="J67" s="148"/>
      <c r="K67" s="153">
        <v>2016</v>
      </c>
      <c r="L67" s="185"/>
      <c r="M67" s="185"/>
      <c r="N67" s="187"/>
      <c r="O67" s="156">
        <v>2016</v>
      </c>
    </row>
    <row r="68" spans="1:15" ht="14.45" x14ac:dyDescent="0.3">
      <c r="A68" s="146" t="s">
        <v>78</v>
      </c>
      <c r="B68" s="148"/>
      <c r="C68" s="148"/>
      <c r="D68" s="148"/>
      <c r="E68" s="147">
        <v>826</v>
      </c>
      <c r="F68" s="148"/>
      <c r="G68" s="148"/>
      <c r="H68" s="148"/>
      <c r="I68" s="148"/>
      <c r="J68" s="185"/>
      <c r="K68" s="185"/>
      <c r="L68" s="153">
        <v>2016</v>
      </c>
      <c r="M68" s="185"/>
      <c r="N68" s="187"/>
      <c r="O68" s="145"/>
    </row>
    <row r="69" spans="1:15" ht="14.45" x14ac:dyDescent="0.3">
      <c r="A69" s="146" t="s">
        <v>79</v>
      </c>
      <c r="B69" s="148"/>
      <c r="C69" s="148"/>
      <c r="D69" s="148"/>
      <c r="E69" s="148"/>
      <c r="F69" s="147">
        <v>1008</v>
      </c>
      <c r="G69" s="148"/>
      <c r="H69" s="148"/>
      <c r="I69" s="148"/>
      <c r="J69" s="148"/>
      <c r="K69" s="148"/>
      <c r="L69" s="148"/>
      <c r="M69" s="185"/>
      <c r="N69" s="155"/>
      <c r="O69" s="145"/>
    </row>
    <row r="70" spans="1:15" ht="14.45" x14ac:dyDescent="0.3">
      <c r="A70" s="146" t="s">
        <v>80</v>
      </c>
      <c r="B70" s="148"/>
      <c r="C70" s="148"/>
      <c r="D70" s="148"/>
      <c r="E70" s="148"/>
      <c r="F70" s="148"/>
      <c r="G70" s="147">
        <v>1578</v>
      </c>
      <c r="H70" s="148"/>
      <c r="I70" s="148"/>
      <c r="J70" s="148"/>
      <c r="K70" s="148"/>
      <c r="L70" s="148"/>
      <c r="M70" s="148"/>
      <c r="N70" s="155"/>
      <c r="O70" s="145"/>
    </row>
    <row r="71" spans="1:15" ht="14.45" x14ac:dyDescent="0.3">
      <c r="A71" s="146" t="s">
        <v>81</v>
      </c>
      <c r="B71" s="148"/>
      <c r="C71" s="148"/>
      <c r="D71" s="148"/>
      <c r="E71" s="148"/>
      <c r="F71" s="148"/>
      <c r="G71" s="148"/>
      <c r="H71" s="147">
        <v>1578</v>
      </c>
      <c r="I71" s="148"/>
      <c r="J71" s="148"/>
      <c r="K71" s="148"/>
      <c r="L71" s="148"/>
      <c r="M71" s="148"/>
      <c r="N71" s="155"/>
      <c r="O71" s="145"/>
    </row>
    <row r="72" spans="1:15" thickBot="1" x14ac:dyDescent="0.35">
      <c r="A72" s="146" t="s">
        <v>82</v>
      </c>
      <c r="B72" s="148"/>
      <c r="C72" s="148"/>
      <c r="D72" s="148"/>
      <c r="E72" s="148"/>
      <c r="F72" s="148"/>
      <c r="G72" s="148"/>
      <c r="H72" s="148"/>
      <c r="I72" s="147">
        <v>789</v>
      </c>
      <c r="J72" s="148"/>
      <c r="K72" s="148"/>
      <c r="L72" s="148"/>
      <c r="M72" s="148"/>
      <c r="N72" s="155"/>
      <c r="O72" s="145"/>
    </row>
    <row r="73" spans="1:15" thickTop="1" x14ac:dyDescent="0.3">
      <c r="A73" s="163" t="s">
        <v>84</v>
      </c>
      <c r="B73" s="190">
        <f t="shared" ref="B73:J73" si="3">SUM(B65:B72)</f>
        <v>463</v>
      </c>
      <c r="C73" s="164">
        <f t="shared" si="3"/>
        <v>932</v>
      </c>
      <c r="D73" s="164">
        <f t="shared" si="3"/>
        <v>891</v>
      </c>
      <c r="E73" s="164">
        <f t="shared" si="3"/>
        <v>826</v>
      </c>
      <c r="F73" s="164">
        <f t="shared" si="3"/>
        <v>1008</v>
      </c>
      <c r="G73" s="164">
        <f>SUM(G65:G72)</f>
        <v>2241</v>
      </c>
      <c r="H73" s="164">
        <f t="shared" si="3"/>
        <v>2310</v>
      </c>
      <c r="I73" s="164">
        <f t="shared" si="3"/>
        <v>2016</v>
      </c>
      <c r="J73" s="164">
        <f t="shared" si="3"/>
        <v>2016</v>
      </c>
      <c r="K73" s="164">
        <f>SUM(K65:K72)</f>
        <v>2016</v>
      </c>
      <c r="L73" s="164">
        <f>SUM(L65:L72)</f>
        <v>2016</v>
      </c>
      <c r="M73" s="164">
        <f>SUM(M65:M72)</f>
        <v>2016</v>
      </c>
      <c r="N73" s="165">
        <f>SUM(N65:N72)</f>
        <v>2016</v>
      </c>
      <c r="O73" s="166">
        <f>SUM(O65:O72)</f>
        <v>2016</v>
      </c>
    </row>
    <row r="74" spans="1:15" ht="14.45" x14ac:dyDescent="0.3">
      <c r="A74" s="167"/>
      <c r="B74" s="168"/>
      <c r="C74" s="168"/>
      <c r="D74" s="168"/>
      <c r="E74" s="168"/>
      <c r="F74" s="168"/>
      <c r="G74" s="168"/>
      <c r="H74" s="168"/>
      <c r="I74" s="168"/>
      <c r="J74" s="168"/>
      <c r="K74" s="168"/>
      <c r="L74" s="168"/>
      <c r="M74" s="168"/>
      <c r="N74" s="168"/>
      <c r="O74" s="191"/>
    </row>
    <row r="75" spans="1:15" ht="14.45" x14ac:dyDescent="0.3">
      <c r="A75" s="167"/>
      <c r="B75" s="170"/>
      <c r="C75" s="233" t="s">
        <v>85</v>
      </c>
      <c r="D75" s="234"/>
      <c r="E75" s="234"/>
      <c r="F75" s="234"/>
      <c r="G75" s="234"/>
      <c r="H75" s="234"/>
      <c r="I75" s="234"/>
      <c r="J75" s="234"/>
      <c r="K75" s="234"/>
      <c r="L75" s="234"/>
      <c r="M75" s="234"/>
      <c r="N75" s="234"/>
      <c r="O75" s="191"/>
    </row>
    <row r="76" spans="1:15" ht="14.45" x14ac:dyDescent="0.3">
      <c r="A76" s="167"/>
      <c r="B76" s="205"/>
      <c r="C76" s="193" t="s">
        <v>86</v>
      </c>
      <c r="D76" s="194"/>
      <c r="E76" s="195"/>
      <c r="F76" s="195"/>
      <c r="G76" s="195"/>
      <c r="H76" s="195"/>
      <c r="I76" s="195"/>
      <c r="J76" s="195"/>
      <c r="K76" s="195"/>
      <c r="L76" s="195"/>
      <c r="M76" s="195"/>
      <c r="N76" s="196"/>
      <c r="O76" s="191"/>
    </row>
    <row r="77" spans="1:15" thickBot="1" x14ac:dyDescent="0.35">
      <c r="A77" s="172"/>
      <c r="B77" s="174"/>
      <c r="C77" s="197" t="s">
        <v>87</v>
      </c>
      <c r="D77" s="198"/>
      <c r="E77" s="199"/>
      <c r="F77" s="199"/>
      <c r="G77" s="199"/>
      <c r="H77" s="199"/>
      <c r="I77" s="199"/>
      <c r="J77" s="199"/>
      <c r="K77" s="199"/>
      <c r="L77" s="199"/>
      <c r="M77" s="199"/>
      <c r="N77" s="200"/>
      <c r="O77" s="201"/>
    </row>
    <row r="78" spans="1:15" thickTop="1" x14ac:dyDescent="0.3"/>
  </sheetData>
  <mergeCells count="12">
    <mergeCell ref="C75:N75"/>
    <mergeCell ref="A2:O2"/>
    <mergeCell ref="D17:O17"/>
    <mergeCell ref="D18:O18"/>
    <mergeCell ref="D19:O19"/>
    <mergeCell ref="A22:O22"/>
    <mergeCell ref="D37:O37"/>
    <mergeCell ref="D38:O38"/>
    <mergeCell ref="D39:O39"/>
    <mergeCell ref="A42:O42"/>
    <mergeCell ref="C56:N56"/>
    <mergeCell ref="A61:O61"/>
  </mergeCells>
  <pageMargins left="0.7" right="0.7" top="0.75" bottom="0.75" header="0.3" footer="0.3"/>
  <pageSetup scale="45" orientation="landscape" r:id="rId1"/>
  <headerFooter>
    <oddHeader>&amp;RKPSC Case No. 2014-00396
Commission Staff's Second Set of Data Requests
Date January 29, 2015
Item No. 5m
Attachment 1
Page &amp;P of &amp;N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57"/>
  <sheetViews>
    <sheetView topLeftCell="C1" zoomScale="90" zoomScaleNormal="90" workbookViewId="0">
      <pane ySplit="1" topLeftCell="A23" activePane="bottomLeft" state="frozen"/>
      <selection activeCell="C23" sqref="C23"/>
      <selection pane="bottomLeft" activeCell="C23" sqref="C23"/>
    </sheetView>
  </sheetViews>
  <sheetFormatPr defaultColWidth="8.85546875" defaultRowHeight="15.75" x14ac:dyDescent="0.25"/>
  <cols>
    <col min="1" max="1" width="17" style="12" bestFit="1" customWidth="1"/>
    <col min="2" max="2" width="7.7109375" style="12" customWidth="1"/>
    <col min="3" max="3" width="9.42578125" style="12" bestFit="1" customWidth="1"/>
    <col min="4" max="4" width="10.5703125" style="12" bestFit="1" customWidth="1"/>
    <col min="5" max="11" width="9.42578125" style="12" bestFit="1" customWidth="1"/>
    <col min="12" max="19" width="7.28515625" style="12" bestFit="1" customWidth="1"/>
    <col min="20" max="16384" width="8.85546875" style="12"/>
  </cols>
  <sheetData>
    <row r="1" spans="1:20" s="13" customFormat="1" ht="15.6" x14ac:dyDescent="0.3">
      <c r="C1" s="13">
        <v>2010</v>
      </c>
      <c r="D1" s="13">
        <v>2011</v>
      </c>
      <c r="E1" s="13">
        <v>2012</v>
      </c>
      <c r="F1" s="13">
        <v>2013</v>
      </c>
      <c r="G1" s="13">
        <v>2014</v>
      </c>
      <c r="H1" s="13">
        <v>2015</v>
      </c>
      <c r="I1" s="13">
        <v>2016</v>
      </c>
      <c r="J1" s="13">
        <v>2017</v>
      </c>
      <c r="K1" s="13">
        <v>2018</v>
      </c>
      <c r="L1" s="13">
        <v>2019</v>
      </c>
      <c r="M1" s="13">
        <v>2020</v>
      </c>
      <c r="N1" s="13">
        <v>2021</v>
      </c>
      <c r="O1" s="13">
        <v>2022</v>
      </c>
      <c r="P1" s="13">
        <v>2023</v>
      </c>
      <c r="Q1" s="13">
        <v>2024</v>
      </c>
      <c r="R1" s="13">
        <v>2025</v>
      </c>
      <c r="S1" s="13">
        <v>2026</v>
      </c>
    </row>
    <row r="2" spans="1:20" s="13" customFormat="1" ht="15.6" x14ac:dyDescent="0.3">
      <c r="C2" s="14" t="s">
        <v>37</v>
      </c>
      <c r="H2" s="15" t="s">
        <v>46</v>
      </c>
      <c r="I2" s="16"/>
      <c r="J2" s="16"/>
      <c r="K2" s="16"/>
      <c r="L2" s="13" t="s">
        <v>38</v>
      </c>
      <c r="P2" s="13" t="s">
        <v>38</v>
      </c>
    </row>
    <row r="3" spans="1:20" s="13" customFormat="1" ht="15.6" x14ac:dyDescent="0.3">
      <c r="D3" s="14" t="s">
        <v>37</v>
      </c>
      <c r="H3" s="16"/>
      <c r="I3" s="15" t="s">
        <v>46</v>
      </c>
      <c r="J3" s="16"/>
      <c r="K3" s="16"/>
      <c r="M3" s="13" t="s">
        <v>38</v>
      </c>
      <c r="Q3" s="13" t="s">
        <v>38</v>
      </c>
    </row>
    <row r="4" spans="1:20" s="13" customFormat="1" ht="15.6" x14ac:dyDescent="0.3">
      <c r="E4" s="14" t="s">
        <v>37</v>
      </c>
      <c r="H4" s="16"/>
      <c r="I4" s="16"/>
      <c r="J4" s="15" t="s">
        <v>46</v>
      </c>
      <c r="K4" s="16"/>
      <c r="N4" s="13" t="s">
        <v>38</v>
      </c>
      <c r="R4" s="13" t="s">
        <v>38</v>
      </c>
    </row>
    <row r="5" spans="1:20" s="13" customFormat="1" ht="15.6" x14ac:dyDescent="0.3">
      <c r="F5" s="14" t="s">
        <v>37</v>
      </c>
      <c r="H5" s="16"/>
      <c r="I5" s="16"/>
      <c r="J5" s="16"/>
      <c r="K5" s="15" t="s">
        <v>46</v>
      </c>
      <c r="O5" s="13" t="s">
        <v>38</v>
      </c>
      <c r="S5" s="13" t="s">
        <v>38</v>
      </c>
    </row>
    <row r="6" spans="1:20" s="13" customFormat="1" ht="15.6" x14ac:dyDescent="0.3">
      <c r="G6" s="14" t="s">
        <v>37</v>
      </c>
      <c r="L6" s="14" t="s">
        <v>38</v>
      </c>
      <c r="P6" s="13" t="s">
        <v>38</v>
      </c>
    </row>
    <row r="7" spans="1:20" s="13" customFormat="1" ht="15.6" x14ac:dyDescent="0.3">
      <c r="H7" s="14" t="s">
        <v>37</v>
      </c>
      <c r="M7" s="14" t="s">
        <v>38</v>
      </c>
      <c r="Q7" s="13" t="s">
        <v>38</v>
      </c>
    </row>
    <row r="8" spans="1:20" s="13" customFormat="1" ht="15.6" x14ac:dyDescent="0.3">
      <c r="I8" s="14" t="s">
        <v>37</v>
      </c>
      <c r="N8" s="14" t="s">
        <v>38</v>
      </c>
      <c r="R8" s="13" t="s">
        <v>38</v>
      </c>
    </row>
    <row r="9" spans="1:20" s="13" customFormat="1" ht="15.6" x14ac:dyDescent="0.3">
      <c r="J9" s="14" t="s">
        <v>37</v>
      </c>
      <c r="O9" s="14" t="s">
        <v>38</v>
      </c>
      <c r="S9" s="13" t="s">
        <v>38</v>
      </c>
    </row>
    <row r="10" spans="1:20" s="13" customFormat="1" ht="15.6" x14ac:dyDescent="0.3">
      <c r="K10" s="14" t="s">
        <v>37</v>
      </c>
      <c r="P10" s="14" t="s">
        <v>38</v>
      </c>
      <c r="T10" s="13" t="s">
        <v>38</v>
      </c>
    </row>
    <row r="11" spans="1:20" s="17" customFormat="1" ht="15.6" x14ac:dyDescent="0.3"/>
    <row r="12" spans="1:20" s="13" customFormat="1" ht="15.6" x14ac:dyDescent="0.3">
      <c r="A12" s="13" t="s">
        <v>39</v>
      </c>
      <c r="C12" s="18">
        <v>463</v>
      </c>
      <c r="D12" s="18"/>
      <c r="E12" s="18"/>
      <c r="F12" s="18"/>
      <c r="G12" s="19"/>
      <c r="H12" s="18"/>
      <c r="I12" s="18"/>
      <c r="J12" s="18"/>
      <c r="K12" s="18"/>
      <c r="L12" s="20">
        <v>2016</v>
      </c>
      <c r="M12" s="20"/>
      <c r="N12" s="20"/>
      <c r="P12" s="20">
        <f>L12</f>
        <v>2016</v>
      </c>
      <c r="Q12" s="20"/>
      <c r="R12" s="20"/>
      <c r="S12" s="20"/>
      <c r="T12" s="20">
        <f>P12</f>
        <v>2016</v>
      </c>
    </row>
    <row r="13" spans="1:20" s="13" customFormat="1" ht="15.6" x14ac:dyDescent="0.3">
      <c r="A13" s="13" t="s">
        <v>40</v>
      </c>
      <c r="B13" s="13">
        <v>8065</v>
      </c>
      <c r="C13" s="18"/>
      <c r="D13" s="18">
        <v>932</v>
      </c>
      <c r="E13" s="18"/>
      <c r="F13" s="18"/>
      <c r="G13" s="19"/>
      <c r="H13" s="18"/>
      <c r="I13" s="18"/>
      <c r="J13" s="18"/>
      <c r="K13" s="18"/>
      <c r="L13" s="20"/>
      <c r="M13" s="20">
        <v>2016</v>
      </c>
      <c r="N13" s="20"/>
      <c r="P13" s="20"/>
      <c r="Q13" s="20">
        <f>M13</f>
        <v>2016</v>
      </c>
      <c r="R13" s="20"/>
      <c r="S13" s="20"/>
      <c r="T13" s="20"/>
    </row>
    <row r="14" spans="1:20" s="13" customFormat="1" ht="15.6" x14ac:dyDescent="0.3">
      <c r="A14" s="13" t="s">
        <v>41</v>
      </c>
      <c r="B14" s="13">
        <v>2867</v>
      </c>
      <c r="C14" s="18"/>
      <c r="D14" s="18"/>
      <c r="E14" s="18">
        <v>891</v>
      </c>
      <c r="F14" s="18"/>
      <c r="G14" s="19"/>
      <c r="H14" s="18"/>
      <c r="I14" s="18"/>
      <c r="J14" s="18"/>
      <c r="K14" s="18"/>
      <c r="M14" s="20"/>
      <c r="N14" s="20">
        <v>2016</v>
      </c>
      <c r="O14" s="20"/>
      <c r="Q14" s="20"/>
      <c r="R14" s="20">
        <f>N14</f>
        <v>2016</v>
      </c>
      <c r="S14" s="20"/>
      <c r="T14" s="20"/>
    </row>
    <row r="15" spans="1:20" s="13" customFormat="1" ht="15.6" x14ac:dyDescent="0.3">
      <c r="A15" s="13" t="s">
        <v>42</v>
      </c>
      <c r="B15" s="13">
        <v>5199</v>
      </c>
      <c r="C15" s="18"/>
      <c r="D15" s="18"/>
      <c r="E15" s="18"/>
      <c r="F15" s="18">
        <v>826</v>
      </c>
      <c r="G15" s="19"/>
      <c r="H15" s="18"/>
      <c r="I15" s="18"/>
      <c r="J15" s="18"/>
      <c r="K15" s="18"/>
      <c r="L15" s="19"/>
      <c r="M15" s="18"/>
      <c r="N15" s="18"/>
      <c r="O15" s="20">
        <v>2016</v>
      </c>
      <c r="Q15" s="20"/>
      <c r="R15" s="20"/>
      <c r="S15" s="20">
        <f>O15</f>
        <v>2016</v>
      </c>
      <c r="T15" s="20"/>
    </row>
    <row r="16" spans="1:20" s="13" customFormat="1" ht="15.6" x14ac:dyDescent="0.3">
      <c r="C16" s="18"/>
      <c r="D16" s="18"/>
      <c r="E16" s="18"/>
      <c r="F16" s="18"/>
      <c r="G16" s="18">
        <v>1008</v>
      </c>
      <c r="H16" s="18"/>
      <c r="I16" s="18"/>
      <c r="J16" s="18"/>
      <c r="K16" s="19"/>
      <c r="L16" s="18"/>
      <c r="M16" s="19"/>
      <c r="N16" s="18"/>
      <c r="O16" s="20"/>
      <c r="P16" s="20">
        <f>L16</f>
        <v>0</v>
      </c>
      <c r="Q16" s="20"/>
      <c r="R16" s="20"/>
      <c r="T16" s="20">
        <f>P16</f>
        <v>0</v>
      </c>
    </row>
    <row r="17" spans="1:21" s="13" customFormat="1" ht="15.6" x14ac:dyDescent="0.3">
      <c r="C17" s="18"/>
      <c r="D17" s="18"/>
      <c r="E17" s="18"/>
      <c r="F17" s="18"/>
      <c r="G17" s="18"/>
      <c r="H17" s="18">
        <v>987</v>
      </c>
      <c r="I17" s="18"/>
      <c r="J17" s="18"/>
      <c r="K17" s="19"/>
      <c r="L17" s="18"/>
      <c r="M17" s="18"/>
      <c r="N17" s="18"/>
      <c r="O17" s="20"/>
      <c r="Q17" s="20">
        <f>M17</f>
        <v>0</v>
      </c>
      <c r="R17" s="20"/>
      <c r="S17" s="20"/>
      <c r="T17" s="20"/>
    </row>
    <row r="18" spans="1:21" s="13" customFormat="1" ht="15.6" x14ac:dyDescent="0.3">
      <c r="C18" s="20"/>
      <c r="D18" s="20"/>
      <c r="E18" s="20"/>
      <c r="F18" s="20"/>
      <c r="G18" s="20"/>
      <c r="H18" s="18"/>
      <c r="I18" s="18">
        <v>986</v>
      </c>
      <c r="J18" s="18"/>
      <c r="K18" s="19"/>
      <c r="L18" s="18"/>
      <c r="M18" s="18"/>
      <c r="N18" s="18"/>
      <c r="O18" s="18"/>
      <c r="P18" s="19"/>
      <c r="Q18" s="20"/>
      <c r="R18" s="20">
        <f>N18</f>
        <v>0</v>
      </c>
      <c r="S18" s="20"/>
      <c r="T18" s="20"/>
    </row>
    <row r="19" spans="1:21" s="13" customFormat="1" ht="15.6" x14ac:dyDescent="0.3">
      <c r="C19" s="20"/>
      <c r="D19" s="20"/>
      <c r="E19" s="20"/>
      <c r="F19" s="20"/>
      <c r="G19" s="20"/>
      <c r="H19" s="18"/>
      <c r="I19" s="18"/>
      <c r="J19" s="18">
        <v>986</v>
      </c>
      <c r="K19" s="19"/>
      <c r="L19" s="18"/>
      <c r="M19" s="18"/>
      <c r="N19" s="18"/>
      <c r="O19" s="18"/>
      <c r="P19" s="19"/>
      <c r="Q19" s="20"/>
      <c r="R19" s="20"/>
      <c r="S19" s="20">
        <f>O19</f>
        <v>0</v>
      </c>
      <c r="T19" s="20"/>
    </row>
    <row r="20" spans="1:21" s="13" customFormat="1" ht="15.6" x14ac:dyDescent="0.3">
      <c r="C20" s="20"/>
      <c r="D20" s="20"/>
      <c r="E20" s="20"/>
      <c r="F20" s="20"/>
      <c r="G20" s="20"/>
      <c r="H20" s="18"/>
      <c r="I20" s="18"/>
      <c r="J20" s="18"/>
      <c r="K20" s="19">
        <v>986</v>
      </c>
      <c r="L20" s="20"/>
      <c r="M20" s="20"/>
      <c r="N20" s="20"/>
      <c r="O20" s="18"/>
      <c r="P20" s="19"/>
      <c r="Q20" s="20"/>
      <c r="R20" s="20"/>
      <c r="S20" s="20"/>
      <c r="T20" s="20">
        <f>P20</f>
        <v>0</v>
      </c>
    </row>
    <row r="21" spans="1:21" s="13" customFormat="1" ht="15.6" x14ac:dyDescent="0.3">
      <c r="C21" s="20"/>
      <c r="D21" s="20"/>
      <c r="E21" s="20"/>
      <c r="F21" s="20"/>
      <c r="G21" s="20"/>
      <c r="H21" s="20">
        <f>SUM(H12:H20)</f>
        <v>987</v>
      </c>
      <c r="I21" s="20">
        <f t="shared" ref="I21:T21" si="0">SUM(I12:I20)</f>
        <v>986</v>
      </c>
      <c r="J21" s="20">
        <f t="shared" si="0"/>
        <v>986</v>
      </c>
      <c r="K21" s="20">
        <f t="shared" si="0"/>
        <v>986</v>
      </c>
      <c r="L21" s="20">
        <f t="shared" si="0"/>
        <v>2016</v>
      </c>
      <c r="M21" s="20">
        <f t="shared" si="0"/>
        <v>2016</v>
      </c>
      <c r="N21" s="20">
        <f t="shared" si="0"/>
        <v>2016</v>
      </c>
      <c r="O21" s="20">
        <f t="shared" si="0"/>
        <v>2016</v>
      </c>
      <c r="P21" s="20">
        <f t="shared" si="0"/>
        <v>2016</v>
      </c>
      <c r="Q21" s="20">
        <f t="shared" si="0"/>
        <v>2016</v>
      </c>
      <c r="R21" s="20">
        <f t="shared" si="0"/>
        <v>2016</v>
      </c>
      <c r="S21" s="20">
        <f t="shared" si="0"/>
        <v>2016</v>
      </c>
      <c r="T21" s="20">
        <f t="shared" si="0"/>
        <v>2016</v>
      </c>
      <c r="U21" s="20"/>
    </row>
    <row r="22" spans="1:21" s="17" customFormat="1" ht="15.6" x14ac:dyDescent="0.3"/>
    <row r="23" spans="1:21" s="13" customFormat="1" ht="15.6" x14ac:dyDescent="0.3">
      <c r="A23" s="13" t="s">
        <v>43</v>
      </c>
      <c r="C23" s="18">
        <f>C12</f>
        <v>463</v>
      </c>
      <c r="D23" s="18"/>
      <c r="E23" s="18"/>
      <c r="F23" s="18"/>
      <c r="G23" s="19"/>
      <c r="H23" s="18">
        <v>741</v>
      </c>
      <c r="I23" s="18"/>
      <c r="J23" s="18"/>
      <c r="K23" s="18"/>
      <c r="L23" s="18">
        <v>2016</v>
      </c>
      <c r="M23" s="18"/>
      <c r="N23" s="18"/>
      <c r="O23" s="18"/>
      <c r="P23" s="18">
        <v>2016</v>
      </c>
      <c r="Q23" s="18"/>
      <c r="R23" s="18"/>
      <c r="S23" s="18"/>
      <c r="T23" s="20"/>
    </row>
    <row r="24" spans="1:21" s="13" customFormat="1" ht="15.6" x14ac:dyDescent="0.3">
      <c r="A24" s="13" t="s">
        <v>40</v>
      </c>
      <c r="B24" s="13">
        <v>8065</v>
      </c>
      <c r="C24" s="18"/>
      <c r="D24" s="18">
        <f>D13</f>
        <v>932</v>
      </c>
      <c r="E24" s="18"/>
      <c r="F24" s="18"/>
      <c r="G24" s="19"/>
      <c r="H24" s="18"/>
      <c r="I24" s="18">
        <v>771</v>
      </c>
      <c r="J24" s="18"/>
      <c r="K24" s="18"/>
      <c r="L24" s="18"/>
      <c r="M24" s="18">
        <v>2016</v>
      </c>
      <c r="N24" s="18"/>
      <c r="O24" s="18"/>
      <c r="P24" s="18"/>
      <c r="Q24" s="18">
        <f>M24</f>
        <v>2016</v>
      </c>
      <c r="R24" s="18"/>
      <c r="S24" s="18"/>
    </row>
    <row r="25" spans="1:21" s="13" customFormat="1" ht="15.6" x14ac:dyDescent="0.3">
      <c r="A25" s="13" t="s">
        <v>41</v>
      </c>
      <c r="B25" s="13">
        <v>2867</v>
      </c>
      <c r="C25" s="18"/>
      <c r="D25" s="18"/>
      <c r="E25" s="18">
        <f>E14</f>
        <v>891</v>
      </c>
      <c r="F25" s="18"/>
      <c r="G25" s="19"/>
      <c r="H25" s="18"/>
      <c r="I25" s="18"/>
      <c r="J25" s="18">
        <v>788</v>
      </c>
      <c r="K25" s="18"/>
      <c r="L25" s="18"/>
      <c r="M25" s="18"/>
      <c r="N25" s="18">
        <v>2016</v>
      </c>
      <c r="O25" s="18"/>
      <c r="P25" s="18"/>
      <c r="Q25" s="18"/>
      <c r="R25" s="18">
        <f>N25</f>
        <v>2016</v>
      </c>
      <c r="S25" s="18"/>
    </row>
    <row r="26" spans="1:21" s="13" customFormat="1" ht="15.6" x14ac:dyDescent="0.3">
      <c r="A26" s="13" t="s">
        <v>42</v>
      </c>
      <c r="B26" s="13">
        <v>5199</v>
      </c>
      <c r="C26" s="18"/>
      <c r="D26" s="18"/>
      <c r="E26" s="18"/>
      <c r="F26" s="18">
        <f>F15</f>
        <v>826</v>
      </c>
      <c r="G26" s="19"/>
      <c r="H26" s="18"/>
      <c r="I26" s="18"/>
      <c r="J26" s="18"/>
      <c r="K26" s="18">
        <v>812</v>
      </c>
      <c r="L26" s="18"/>
      <c r="M26" s="18"/>
      <c r="N26" s="18"/>
      <c r="O26" s="18">
        <v>2016</v>
      </c>
      <c r="P26" s="18"/>
      <c r="Q26" s="18"/>
      <c r="R26" s="18"/>
      <c r="S26" s="18">
        <f>O26</f>
        <v>2016</v>
      </c>
    </row>
    <row r="27" spans="1:21" s="13" customFormat="1" ht="15.6" x14ac:dyDescent="0.3">
      <c r="C27" s="18"/>
      <c r="D27" s="18"/>
      <c r="E27" s="18"/>
      <c r="F27" s="18"/>
      <c r="G27" s="18">
        <f>G16</f>
        <v>1008</v>
      </c>
      <c r="H27" s="18"/>
      <c r="I27" s="18"/>
      <c r="J27" s="18"/>
      <c r="K27" s="19"/>
      <c r="L27" s="18"/>
      <c r="M27" s="18"/>
      <c r="N27" s="18"/>
      <c r="O27" s="18"/>
      <c r="P27" s="18"/>
      <c r="Q27" s="18"/>
      <c r="R27" s="18"/>
      <c r="S27" s="18"/>
      <c r="T27" s="20"/>
    </row>
    <row r="28" spans="1:21" s="13" customFormat="1" ht="15.6" x14ac:dyDescent="0.3">
      <c r="C28" s="18"/>
      <c r="D28" s="18"/>
      <c r="E28" s="18"/>
      <c r="F28" s="18"/>
      <c r="G28" s="18"/>
      <c r="H28" s="18">
        <v>987</v>
      </c>
      <c r="I28" s="18"/>
      <c r="J28" s="18"/>
      <c r="K28" s="19"/>
      <c r="L28" s="18"/>
      <c r="M28" s="18"/>
      <c r="N28" s="18"/>
      <c r="O28" s="18"/>
      <c r="P28" s="18"/>
      <c r="Q28" s="18"/>
      <c r="R28" s="18"/>
      <c r="S28" s="18"/>
    </row>
    <row r="29" spans="1:21" s="13" customFormat="1" ht="15.6" x14ac:dyDescent="0.3">
      <c r="C29" s="20"/>
      <c r="D29" s="20"/>
      <c r="E29" s="20"/>
      <c r="F29" s="20"/>
      <c r="G29" s="18"/>
      <c r="H29" s="18"/>
      <c r="I29" s="18">
        <v>986</v>
      </c>
      <c r="J29" s="18"/>
      <c r="K29" s="19"/>
      <c r="L29" s="18"/>
      <c r="M29" s="18"/>
      <c r="N29" s="18"/>
      <c r="O29" s="18"/>
      <c r="P29" s="18"/>
      <c r="Q29" s="18"/>
      <c r="R29" s="18"/>
      <c r="S29" s="18"/>
    </row>
    <row r="30" spans="1:21" s="13" customFormat="1" ht="15.6" x14ac:dyDescent="0.3">
      <c r="C30" s="20"/>
      <c r="D30" s="20"/>
      <c r="E30" s="20"/>
      <c r="F30" s="20"/>
      <c r="G30" s="18"/>
      <c r="H30" s="18"/>
      <c r="I30" s="18"/>
      <c r="J30" s="18">
        <v>986</v>
      </c>
      <c r="K30" s="19"/>
      <c r="L30" s="18"/>
      <c r="M30" s="18"/>
      <c r="N30" s="18"/>
      <c r="O30" s="18"/>
      <c r="P30" s="18"/>
      <c r="Q30" s="18"/>
      <c r="R30" s="18"/>
      <c r="S30" s="18"/>
    </row>
    <row r="31" spans="1:21" s="13" customFormat="1" ht="15.6" x14ac:dyDescent="0.3">
      <c r="C31" s="20"/>
      <c r="D31" s="20"/>
      <c r="E31" s="20"/>
      <c r="F31" s="20"/>
      <c r="G31" s="18"/>
      <c r="H31" s="18"/>
      <c r="I31" s="18"/>
      <c r="J31" s="18"/>
      <c r="K31" s="18">
        <v>986</v>
      </c>
      <c r="L31" s="18"/>
      <c r="M31" s="18"/>
      <c r="N31" s="18"/>
      <c r="O31" s="18"/>
      <c r="P31" s="18"/>
      <c r="Q31" s="18"/>
      <c r="R31" s="18"/>
      <c r="S31" s="18"/>
      <c r="T31" s="20"/>
    </row>
    <row r="32" spans="1:21" s="13" customFormat="1" ht="15.6" x14ac:dyDescent="0.3">
      <c r="C32" s="20"/>
      <c r="D32" s="20"/>
      <c r="E32" s="20"/>
      <c r="F32" s="20"/>
      <c r="G32" s="20"/>
      <c r="H32" s="20">
        <f>SUM(H23:H31)</f>
        <v>1728</v>
      </c>
      <c r="I32" s="20">
        <f>SUM(I23:I31)</f>
        <v>1757</v>
      </c>
      <c r="J32" s="20">
        <f t="shared" ref="J32:S32" si="1">SUM(J23:J31)</f>
        <v>1774</v>
      </c>
      <c r="K32" s="20">
        <f t="shared" si="1"/>
        <v>1798</v>
      </c>
      <c r="L32" s="20">
        <f t="shared" si="1"/>
        <v>2016</v>
      </c>
      <c r="M32" s="20">
        <f t="shared" si="1"/>
        <v>2016</v>
      </c>
      <c r="N32" s="20">
        <f t="shared" si="1"/>
        <v>2016</v>
      </c>
      <c r="O32" s="20">
        <f t="shared" si="1"/>
        <v>2016</v>
      </c>
      <c r="P32" s="20">
        <f t="shared" si="1"/>
        <v>2016</v>
      </c>
      <c r="Q32" s="20">
        <f t="shared" si="1"/>
        <v>2016</v>
      </c>
      <c r="R32" s="20">
        <f t="shared" si="1"/>
        <v>2016</v>
      </c>
      <c r="S32" s="20">
        <f t="shared" si="1"/>
        <v>2016</v>
      </c>
      <c r="T32" s="20"/>
      <c r="U32" s="20"/>
    </row>
    <row r="33" spans="1:21" s="17" customFormat="1" ht="15.6" x14ac:dyDescent="0.3"/>
    <row r="34" spans="1:21" s="13" customFormat="1" ht="15.6" x14ac:dyDescent="0.3">
      <c r="A34" s="13" t="s">
        <v>44</v>
      </c>
      <c r="C34" s="18">
        <f>C12</f>
        <v>463</v>
      </c>
      <c r="D34" s="18"/>
      <c r="E34" s="18"/>
      <c r="F34" s="18"/>
      <c r="G34" s="19"/>
      <c r="H34" s="18"/>
      <c r="I34" s="18"/>
      <c r="J34" s="18"/>
      <c r="K34" s="18"/>
      <c r="L34" s="18"/>
      <c r="M34" s="18"/>
      <c r="N34" s="18">
        <v>789</v>
      </c>
      <c r="O34" s="18"/>
      <c r="P34" s="18"/>
      <c r="Q34" s="18"/>
      <c r="R34" s="20"/>
      <c r="S34" s="20"/>
      <c r="T34" s="20">
        <f>P34</f>
        <v>0</v>
      </c>
    </row>
    <row r="35" spans="1:21" s="13" customFormat="1" ht="15.6" x14ac:dyDescent="0.3">
      <c r="A35" s="13" t="s">
        <v>40</v>
      </c>
      <c r="B35" s="13">
        <v>8065</v>
      </c>
      <c r="C35" s="18"/>
      <c r="D35" s="18">
        <f>D13</f>
        <v>932</v>
      </c>
      <c r="E35" s="18"/>
      <c r="F35" s="18"/>
      <c r="G35" s="19"/>
      <c r="H35" s="18"/>
      <c r="I35" s="18"/>
      <c r="J35" s="18"/>
      <c r="K35" s="18"/>
      <c r="L35" s="18"/>
      <c r="M35" s="18"/>
      <c r="N35" s="18"/>
      <c r="O35" s="18"/>
      <c r="P35" s="18"/>
      <c r="Q35" s="18"/>
      <c r="R35" s="20"/>
      <c r="S35" s="20"/>
    </row>
    <row r="36" spans="1:21" s="13" customFormat="1" ht="15.6" x14ac:dyDescent="0.3">
      <c r="A36" s="13" t="s">
        <v>41</v>
      </c>
      <c r="B36" s="13">
        <v>2867</v>
      </c>
      <c r="C36" s="18"/>
      <c r="D36" s="18"/>
      <c r="E36" s="18">
        <f>E14</f>
        <v>891</v>
      </c>
      <c r="F36" s="18"/>
      <c r="G36" s="19"/>
      <c r="H36" s="18"/>
      <c r="I36" s="18"/>
      <c r="J36" s="18">
        <v>1039</v>
      </c>
      <c r="K36" s="18"/>
      <c r="L36" s="18"/>
      <c r="M36" s="18"/>
      <c r="N36" s="18">
        <v>1227</v>
      </c>
      <c r="O36" s="18"/>
      <c r="P36" s="18"/>
      <c r="Q36" s="18"/>
      <c r="R36" s="20">
        <v>2016</v>
      </c>
      <c r="S36" s="20"/>
    </row>
    <row r="37" spans="1:21" s="13" customFormat="1" ht="15.6" x14ac:dyDescent="0.3">
      <c r="A37" s="13" t="s">
        <v>42</v>
      </c>
      <c r="B37" s="13">
        <v>5199</v>
      </c>
      <c r="C37" s="18"/>
      <c r="D37" s="18"/>
      <c r="E37" s="18"/>
      <c r="F37" s="18">
        <f>F15</f>
        <v>826</v>
      </c>
      <c r="G37" s="19"/>
      <c r="H37" s="18"/>
      <c r="I37" s="18"/>
      <c r="J37" s="18"/>
      <c r="K37" s="18">
        <v>2079</v>
      </c>
      <c r="L37" s="18"/>
      <c r="M37" s="18"/>
      <c r="N37" s="18"/>
      <c r="O37" s="18">
        <f>$B$13/4</f>
        <v>2016.25</v>
      </c>
      <c r="P37" s="18"/>
      <c r="Q37" s="18"/>
      <c r="R37" s="20"/>
      <c r="S37" s="20">
        <v>2016</v>
      </c>
    </row>
    <row r="38" spans="1:21" s="13" customFormat="1" ht="15.6" x14ac:dyDescent="0.3">
      <c r="C38" s="18"/>
      <c r="D38" s="18"/>
      <c r="E38" s="18"/>
      <c r="F38" s="18"/>
      <c r="G38" s="18">
        <f>G16</f>
        <v>1008</v>
      </c>
      <c r="H38" s="18"/>
      <c r="I38" s="18"/>
      <c r="J38" s="18"/>
      <c r="K38" s="19"/>
      <c r="L38" s="18">
        <v>2079</v>
      </c>
      <c r="M38" s="18"/>
      <c r="N38" s="18"/>
      <c r="O38" s="18"/>
      <c r="P38" s="18">
        <f>$B$13/4</f>
        <v>2016.25</v>
      </c>
      <c r="Q38" s="18"/>
      <c r="R38" s="20"/>
      <c r="S38" s="20"/>
      <c r="T38" s="20">
        <v>2016</v>
      </c>
    </row>
    <row r="39" spans="1:21" s="13" customFormat="1" ht="15.6" x14ac:dyDescent="0.3">
      <c r="C39" s="18"/>
      <c r="D39" s="18"/>
      <c r="E39" s="18"/>
      <c r="F39" s="18"/>
      <c r="G39" s="18"/>
      <c r="H39" s="18">
        <v>1578</v>
      </c>
      <c r="I39" s="18"/>
      <c r="J39" s="18"/>
      <c r="K39" s="19"/>
      <c r="L39" s="18"/>
      <c r="M39" s="18">
        <v>2079</v>
      </c>
      <c r="N39" s="18"/>
      <c r="O39" s="18"/>
      <c r="P39" s="18"/>
      <c r="Q39" s="18">
        <f>$B$13/4</f>
        <v>2016.25</v>
      </c>
      <c r="R39" s="20"/>
      <c r="S39" s="20"/>
    </row>
    <row r="40" spans="1:21" s="13" customFormat="1" ht="15.6" x14ac:dyDescent="0.3">
      <c r="C40" s="20"/>
      <c r="D40" s="20"/>
      <c r="E40" s="20"/>
      <c r="F40" s="20"/>
      <c r="G40" s="18"/>
      <c r="H40" s="18"/>
      <c r="I40" s="18">
        <v>1578</v>
      </c>
      <c r="J40" s="18"/>
      <c r="K40" s="19"/>
      <c r="L40" s="18"/>
      <c r="M40" s="18"/>
      <c r="N40" s="18"/>
      <c r="O40" s="18"/>
      <c r="P40" s="18"/>
      <c r="Q40" s="18"/>
      <c r="R40" s="20"/>
      <c r="S40" s="20"/>
    </row>
    <row r="41" spans="1:21" s="13" customFormat="1" ht="15.6" x14ac:dyDescent="0.3">
      <c r="C41" s="20"/>
      <c r="D41" s="20"/>
      <c r="E41" s="20"/>
      <c r="F41" s="20"/>
      <c r="G41" s="18"/>
      <c r="H41" s="18"/>
      <c r="I41" s="18"/>
      <c r="J41" s="18">
        <v>789</v>
      </c>
      <c r="K41" s="19"/>
      <c r="L41" s="18"/>
      <c r="M41" s="18"/>
      <c r="N41" s="18"/>
      <c r="O41" s="18"/>
      <c r="P41" s="18"/>
      <c r="Q41" s="18"/>
      <c r="R41" s="20"/>
      <c r="S41" s="20"/>
    </row>
    <row r="42" spans="1:21" s="13" customFormat="1" ht="15.6" x14ac:dyDescent="0.3">
      <c r="C42" s="20"/>
      <c r="D42" s="20"/>
      <c r="E42" s="20"/>
      <c r="F42" s="20"/>
      <c r="G42" s="18"/>
      <c r="H42" s="18"/>
      <c r="I42" s="18"/>
      <c r="J42" s="18"/>
      <c r="K42" s="18"/>
      <c r="L42" s="18"/>
      <c r="M42" s="18"/>
      <c r="N42" s="18"/>
      <c r="O42" s="18"/>
      <c r="P42" s="18"/>
      <c r="Q42" s="18"/>
      <c r="R42" s="20"/>
      <c r="S42" s="20"/>
      <c r="T42" s="20"/>
    </row>
    <row r="43" spans="1:21" s="13" customFormat="1" ht="15.6" x14ac:dyDescent="0.3">
      <c r="C43" s="20">
        <f t="shared" ref="C43:T43" si="2">SUM(C34:C42)</f>
        <v>463</v>
      </c>
      <c r="D43" s="20">
        <f t="shared" si="2"/>
        <v>932</v>
      </c>
      <c r="E43" s="20">
        <f t="shared" si="2"/>
        <v>891</v>
      </c>
      <c r="F43" s="20">
        <f t="shared" si="2"/>
        <v>826</v>
      </c>
      <c r="G43" s="18">
        <f t="shared" si="2"/>
        <v>1008</v>
      </c>
      <c r="H43" s="18">
        <f t="shared" si="2"/>
        <v>1578</v>
      </c>
      <c r="I43" s="18">
        <f t="shared" si="2"/>
        <v>1578</v>
      </c>
      <c r="J43" s="18">
        <f t="shared" si="2"/>
        <v>1828</v>
      </c>
      <c r="K43" s="18">
        <f t="shared" si="2"/>
        <v>2079</v>
      </c>
      <c r="L43" s="18">
        <f t="shared" si="2"/>
        <v>2079</v>
      </c>
      <c r="M43" s="18">
        <f t="shared" si="2"/>
        <v>2079</v>
      </c>
      <c r="N43" s="18">
        <f t="shared" si="2"/>
        <v>2016</v>
      </c>
      <c r="O43" s="18">
        <f t="shared" si="2"/>
        <v>2016.25</v>
      </c>
      <c r="P43" s="18">
        <f t="shared" si="2"/>
        <v>2016.25</v>
      </c>
      <c r="Q43" s="18">
        <f t="shared" si="2"/>
        <v>2016.25</v>
      </c>
      <c r="R43" s="20">
        <f t="shared" si="2"/>
        <v>2016</v>
      </c>
      <c r="S43" s="20">
        <f t="shared" si="2"/>
        <v>2016</v>
      </c>
      <c r="T43" s="20">
        <f t="shared" si="2"/>
        <v>2016</v>
      </c>
      <c r="U43" s="20"/>
    </row>
    <row r="44" spans="1:21" s="17" customFormat="1" ht="15.6" x14ac:dyDescent="0.3"/>
    <row r="45" spans="1:21" s="13" customFormat="1" ht="15.6" x14ac:dyDescent="0.3">
      <c r="A45" s="13" t="s">
        <v>45</v>
      </c>
      <c r="C45" s="18">
        <f>C23</f>
        <v>463</v>
      </c>
      <c r="D45" s="18"/>
      <c r="E45" s="18"/>
      <c r="F45" s="18"/>
      <c r="G45" s="19"/>
      <c r="H45" s="18">
        <v>663</v>
      </c>
      <c r="I45" s="18"/>
      <c r="J45" s="18"/>
      <c r="K45" s="18"/>
      <c r="L45" s="18">
        <v>2016</v>
      </c>
      <c r="M45" s="18"/>
      <c r="N45" s="18"/>
      <c r="O45" s="18"/>
      <c r="P45" s="18">
        <v>2016</v>
      </c>
      <c r="Q45" s="18"/>
      <c r="R45" s="18"/>
      <c r="S45" s="18"/>
      <c r="T45" s="18">
        <f>P45</f>
        <v>2016</v>
      </c>
      <c r="U45" s="19"/>
    </row>
    <row r="46" spans="1:21" s="13" customFormat="1" ht="15.6" x14ac:dyDescent="0.3">
      <c r="A46" s="13" t="s">
        <v>40</v>
      </c>
      <c r="B46" s="13">
        <v>8065</v>
      </c>
      <c r="C46" s="18"/>
      <c r="D46" s="18">
        <f>D24</f>
        <v>932</v>
      </c>
      <c r="E46" s="18"/>
      <c r="F46" s="18"/>
      <c r="G46" s="19"/>
      <c r="H46" s="18"/>
      <c r="I46" s="18">
        <v>732</v>
      </c>
      <c r="J46" s="18"/>
      <c r="K46" s="18"/>
      <c r="L46" s="18"/>
      <c r="M46" s="18">
        <v>2016</v>
      </c>
      <c r="N46" s="18"/>
      <c r="O46" s="18"/>
      <c r="P46" s="18"/>
      <c r="Q46" s="18">
        <v>2016</v>
      </c>
      <c r="R46" s="18"/>
      <c r="S46" s="18"/>
      <c r="T46" s="19"/>
      <c r="U46" s="19"/>
    </row>
    <row r="47" spans="1:21" s="13" customFormat="1" ht="15.6" x14ac:dyDescent="0.3">
      <c r="A47" s="13" t="s">
        <v>41</v>
      </c>
      <c r="B47" s="13">
        <v>2867</v>
      </c>
      <c r="C47" s="18"/>
      <c r="D47" s="18"/>
      <c r="E47" s="18">
        <f>E25</f>
        <v>891</v>
      </c>
      <c r="F47" s="18"/>
      <c r="G47" s="19"/>
      <c r="H47" s="18"/>
      <c r="I47" s="18"/>
      <c r="J47" s="18">
        <v>1227</v>
      </c>
      <c r="K47" s="18"/>
      <c r="L47" s="18"/>
      <c r="M47" s="18"/>
      <c r="N47" s="18">
        <v>2016</v>
      </c>
      <c r="O47" s="18"/>
      <c r="P47" s="18"/>
      <c r="Q47" s="18"/>
      <c r="R47" s="18">
        <v>2016</v>
      </c>
      <c r="S47" s="18"/>
      <c r="T47" s="19"/>
      <c r="U47" s="19"/>
    </row>
    <row r="48" spans="1:21" s="13" customFormat="1" ht="15.6" x14ac:dyDescent="0.3">
      <c r="A48" s="13" t="s">
        <v>42</v>
      </c>
      <c r="B48" s="13">
        <v>5199</v>
      </c>
      <c r="C48" s="18"/>
      <c r="D48" s="18"/>
      <c r="E48" s="18"/>
      <c r="F48" s="18">
        <f>F26</f>
        <v>826</v>
      </c>
      <c r="G48" s="19"/>
      <c r="H48" s="18"/>
      <c r="I48" s="18"/>
      <c r="J48" s="18"/>
      <c r="K48" s="18">
        <v>2016</v>
      </c>
      <c r="L48" s="18"/>
      <c r="M48" s="18"/>
      <c r="N48" s="18"/>
      <c r="O48" s="18">
        <f>$B$13/4</f>
        <v>2016.25</v>
      </c>
      <c r="P48" s="18"/>
      <c r="Q48" s="18"/>
      <c r="R48" s="18"/>
      <c r="S48" s="18">
        <v>2016</v>
      </c>
      <c r="T48" s="19"/>
      <c r="U48" s="19"/>
    </row>
    <row r="49" spans="3:21" s="13" customFormat="1" ht="15.6" x14ac:dyDescent="0.3">
      <c r="C49" s="18"/>
      <c r="D49" s="18"/>
      <c r="E49" s="18"/>
      <c r="F49" s="18"/>
      <c r="G49" s="18">
        <f>G27</f>
        <v>1008</v>
      </c>
      <c r="H49" s="18"/>
      <c r="I49" s="18"/>
      <c r="J49" s="18"/>
      <c r="K49" s="19"/>
      <c r="L49" s="18"/>
      <c r="M49" s="18"/>
      <c r="N49" s="18"/>
      <c r="O49" s="18"/>
      <c r="P49" s="18"/>
      <c r="Q49" s="18"/>
      <c r="R49" s="18"/>
      <c r="S49" s="18"/>
      <c r="T49" s="18"/>
      <c r="U49" s="19"/>
    </row>
    <row r="50" spans="3:21" s="13" customFormat="1" ht="15.6" x14ac:dyDescent="0.3">
      <c r="C50" s="18"/>
      <c r="D50" s="18"/>
      <c r="E50" s="18"/>
      <c r="F50" s="18"/>
      <c r="G50" s="18"/>
      <c r="H50" s="18">
        <v>1578</v>
      </c>
      <c r="I50" s="18"/>
      <c r="J50" s="18"/>
      <c r="K50" s="19"/>
      <c r="L50" s="18"/>
      <c r="M50" s="18"/>
      <c r="N50" s="18"/>
      <c r="O50" s="18"/>
      <c r="P50" s="18"/>
      <c r="Q50" s="18"/>
      <c r="R50" s="18"/>
      <c r="S50" s="18"/>
      <c r="T50" s="19"/>
      <c r="U50" s="19"/>
    </row>
    <row r="51" spans="3:21" s="13" customFormat="1" x14ac:dyDescent="0.25">
      <c r="C51" s="20"/>
      <c r="D51" s="20"/>
      <c r="E51" s="20"/>
      <c r="F51" s="18"/>
      <c r="G51" s="18"/>
      <c r="H51" s="18"/>
      <c r="I51" s="18">
        <v>1578</v>
      </c>
      <c r="J51" s="18"/>
      <c r="K51" s="19"/>
      <c r="L51" s="18"/>
      <c r="M51" s="18"/>
      <c r="N51" s="18"/>
      <c r="O51" s="18"/>
      <c r="P51" s="18"/>
      <c r="Q51" s="18"/>
      <c r="R51" s="18"/>
      <c r="S51" s="18"/>
      <c r="T51" s="19"/>
      <c r="U51" s="19"/>
    </row>
    <row r="52" spans="3:21" s="13" customFormat="1" x14ac:dyDescent="0.25">
      <c r="C52" s="20"/>
      <c r="D52" s="20"/>
      <c r="E52" s="20"/>
      <c r="F52" s="18"/>
      <c r="G52" s="18"/>
      <c r="H52" s="18"/>
      <c r="I52" s="18"/>
      <c r="J52" s="18">
        <v>789</v>
      </c>
      <c r="K52" s="19"/>
      <c r="L52" s="18"/>
      <c r="M52" s="18"/>
      <c r="N52" s="18"/>
      <c r="O52" s="18"/>
      <c r="P52" s="18"/>
      <c r="Q52" s="18"/>
      <c r="R52" s="18"/>
      <c r="S52" s="18"/>
      <c r="T52" s="19"/>
      <c r="U52" s="19"/>
    </row>
    <row r="53" spans="3:21" s="13" customFormat="1" x14ac:dyDescent="0.25">
      <c r="C53" s="20"/>
      <c r="D53" s="20"/>
      <c r="E53" s="20"/>
      <c r="F53" s="18"/>
      <c r="G53" s="18"/>
      <c r="H53" s="18"/>
      <c r="I53" s="18"/>
      <c r="J53" s="18"/>
      <c r="K53" s="18"/>
      <c r="L53" s="18"/>
      <c r="M53" s="18"/>
      <c r="N53" s="18"/>
      <c r="O53" s="18"/>
      <c r="P53" s="18"/>
      <c r="Q53" s="18"/>
      <c r="R53" s="18"/>
      <c r="S53" s="18"/>
      <c r="T53" s="18"/>
      <c r="U53" s="19"/>
    </row>
    <row r="54" spans="3:21" s="13" customFormat="1" x14ac:dyDescent="0.25">
      <c r="C54" s="20">
        <f t="shared" ref="C54:T54" si="3">SUM(C45:C53)</f>
        <v>463</v>
      </c>
      <c r="D54" s="20">
        <f t="shared" si="3"/>
        <v>932</v>
      </c>
      <c r="E54" s="20">
        <f t="shared" si="3"/>
        <v>891</v>
      </c>
      <c r="F54" s="20">
        <f t="shared" si="3"/>
        <v>826</v>
      </c>
      <c r="G54" s="20">
        <f t="shared" si="3"/>
        <v>1008</v>
      </c>
      <c r="H54" s="20">
        <f t="shared" si="3"/>
        <v>2241</v>
      </c>
      <c r="I54" s="20">
        <f t="shared" si="3"/>
        <v>2310</v>
      </c>
      <c r="J54" s="20">
        <f t="shared" si="3"/>
        <v>2016</v>
      </c>
      <c r="K54" s="20">
        <f t="shared" si="3"/>
        <v>2016</v>
      </c>
      <c r="L54" s="20">
        <f t="shared" si="3"/>
        <v>2016</v>
      </c>
      <c r="M54" s="20">
        <f t="shared" si="3"/>
        <v>2016</v>
      </c>
      <c r="N54" s="20">
        <f t="shared" si="3"/>
        <v>2016</v>
      </c>
      <c r="O54" s="20">
        <f t="shared" si="3"/>
        <v>2016.25</v>
      </c>
      <c r="P54" s="20">
        <f t="shared" si="3"/>
        <v>2016</v>
      </c>
      <c r="Q54" s="20">
        <f t="shared" si="3"/>
        <v>2016</v>
      </c>
      <c r="R54" s="20">
        <f t="shared" si="3"/>
        <v>2016</v>
      </c>
      <c r="S54" s="20">
        <f t="shared" si="3"/>
        <v>2016</v>
      </c>
      <c r="T54" s="20">
        <f t="shared" si="3"/>
        <v>2016</v>
      </c>
      <c r="U54" s="20"/>
    </row>
    <row r="55" spans="3:21" s="17" customFormat="1" x14ac:dyDescent="0.25"/>
    <row r="56" spans="3:21" s="13" customFormat="1" x14ac:dyDescent="0.25"/>
    <row r="57" spans="3:21" s="13" customFormat="1" x14ac:dyDescent="0.25"/>
  </sheetData>
  <pageMargins left="0.7" right="0.7" top="0.75" bottom="0.75" header="0.3" footer="0.3"/>
  <pageSetup scale="62" orientation="landscape" r:id="rId1"/>
  <headerFooter>
    <oddHeader>&amp;RKPSC Case No. 2014-00396
Commission Staff's Second Set of Data Requests
Date January 29, 2015
Item No. 5m
Attachment 1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51"/>
  <sheetViews>
    <sheetView zoomScale="85" zoomScaleNormal="85" workbookViewId="0">
      <pane xSplit="2" ySplit="15" topLeftCell="C16" activePane="bottomRight" state="frozen"/>
      <selection activeCell="C23" sqref="C23"/>
      <selection pane="topRight" activeCell="C23" sqref="C23"/>
      <selection pane="bottomLeft" activeCell="C23" sqref="C23"/>
      <selection pane="bottomRight" activeCell="C23" sqref="C23"/>
    </sheetView>
  </sheetViews>
  <sheetFormatPr defaultColWidth="8.85546875" defaultRowHeight="15.75" x14ac:dyDescent="0.25"/>
  <cols>
    <col min="1" max="1" width="12.42578125" style="13" customWidth="1"/>
    <col min="2" max="2" width="13.28515625" style="16" customWidth="1"/>
    <col min="3" max="3" width="6" style="13" customWidth="1"/>
    <col min="4" max="4" width="6.28515625" style="13" customWidth="1"/>
    <col min="5" max="5" width="8.28515625" style="13" customWidth="1"/>
    <col min="6" max="6" width="9.7109375" style="16" customWidth="1"/>
    <col min="7" max="7" width="12.5703125" style="13" customWidth="1"/>
    <col min="8" max="10" width="12.28515625" style="13" customWidth="1"/>
    <col min="11" max="11" width="11.7109375" style="13" customWidth="1"/>
    <col min="12" max="12" width="11.140625" style="13" customWidth="1"/>
    <col min="13" max="14" width="11.28515625" style="13" customWidth="1"/>
    <col min="15" max="15" width="12.42578125" style="13" customWidth="1"/>
    <col min="16" max="16" width="16.7109375" style="13" bestFit="1" customWidth="1"/>
    <col min="17" max="17" width="15" style="13" bestFit="1" customWidth="1"/>
    <col min="18" max="18" width="8.42578125" style="13" customWidth="1"/>
    <col min="19" max="19" width="8.28515625" style="13" customWidth="1"/>
    <col min="20" max="20" width="6.7109375" style="13" customWidth="1"/>
    <col min="21" max="21" width="8" style="13" customWidth="1"/>
    <col min="22" max="23" width="6.7109375" style="13" customWidth="1"/>
    <col min="24" max="16384" width="8.85546875" style="13"/>
  </cols>
  <sheetData>
    <row r="1" spans="1:31" s="46" customFormat="1" ht="15.6" x14ac:dyDescent="0.3">
      <c r="A1" s="46" t="s">
        <v>11</v>
      </c>
      <c r="B1" s="36" t="s">
        <v>12</v>
      </c>
      <c r="F1" s="36"/>
    </row>
    <row r="2" spans="1:31" s="46" customFormat="1" ht="15.6" x14ac:dyDescent="0.3">
      <c r="A2" s="46" t="s">
        <v>13</v>
      </c>
      <c r="B2" s="36" t="s">
        <v>14</v>
      </c>
      <c r="F2" s="36"/>
    </row>
    <row r="3" spans="1:31" s="46" customFormat="1" ht="15.6" x14ac:dyDescent="0.3">
      <c r="A3" s="46" t="s">
        <v>15</v>
      </c>
      <c r="B3" s="36"/>
      <c r="C3" s="76" t="s">
        <v>16</v>
      </c>
      <c r="D3" s="76" t="s">
        <v>16</v>
      </c>
      <c r="E3" s="76" t="s">
        <v>16</v>
      </c>
      <c r="F3" s="76" t="s">
        <v>17</v>
      </c>
      <c r="G3" s="76" t="s">
        <v>18</v>
      </c>
      <c r="H3" s="76" t="s">
        <v>19</v>
      </c>
      <c r="I3" s="76" t="s">
        <v>20</v>
      </c>
      <c r="J3" s="76" t="s">
        <v>21</v>
      </c>
      <c r="K3" s="76" t="s">
        <v>18</v>
      </c>
      <c r="L3" s="76" t="s">
        <v>19</v>
      </c>
      <c r="M3" s="76" t="s">
        <v>20</v>
      </c>
      <c r="N3" s="76" t="s">
        <v>21</v>
      </c>
      <c r="O3" s="76" t="s">
        <v>18</v>
      </c>
      <c r="P3" s="76" t="s">
        <v>22</v>
      </c>
      <c r="Q3" s="76" t="s">
        <v>22</v>
      </c>
      <c r="R3" s="76"/>
      <c r="S3" s="77"/>
    </row>
    <row r="4" spans="1:31" s="78" customFormat="1" ht="28.15" customHeight="1" x14ac:dyDescent="0.3">
      <c r="A4" s="78" t="s">
        <v>23</v>
      </c>
      <c r="B4" s="78" t="s">
        <v>24</v>
      </c>
      <c r="C4" s="78" t="s">
        <v>25</v>
      </c>
      <c r="D4" s="78" t="s">
        <v>26</v>
      </c>
      <c r="E4" s="78" t="s">
        <v>27</v>
      </c>
      <c r="F4" s="79" t="s">
        <v>28</v>
      </c>
      <c r="G4" s="78" t="s">
        <v>25</v>
      </c>
      <c r="H4" s="78" t="s">
        <v>25</v>
      </c>
      <c r="I4" s="78" t="s">
        <v>25</v>
      </c>
      <c r="J4" s="78" t="s">
        <v>25</v>
      </c>
      <c r="K4" s="78" t="s">
        <v>26</v>
      </c>
      <c r="L4" s="78" t="s">
        <v>26</v>
      </c>
      <c r="M4" s="78" t="s">
        <v>26</v>
      </c>
      <c r="N4" s="78" t="s">
        <v>26</v>
      </c>
      <c r="O4" s="79" t="s">
        <v>27</v>
      </c>
      <c r="P4" s="78" t="s">
        <v>25</v>
      </c>
      <c r="Q4" s="78" t="s">
        <v>26</v>
      </c>
    </row>
    <row r="5" spans="1:31" ht="15.6" x14ac:dyDescent="0.3">
      <c r="A5" s="13" t="s">
        <v>29</v>
      </c>
      <c r="B5" s="80">
        <v>38168</v>
      </c>
      <c r="C5" s="81">
        <v>94.22</v>
      </c>
      <c r="D5" s="81">
        <v>219.69</v>
      </c>
      <c r="E5" s="81">
        <v>313.90999999999997</v>
      </c>
      <c r="F5" s="82">
        <v>172965</v>
      </c>
      <c r="G5" s="83">
        <f t="shared" ref="G5:G10" si="0">$F5*C5</f>
        <v>16296762.299999999</v>
      </c>
      <c r="H5" s="83"/>
      <c r="I5" s="83"/>
      <c r="J5" s="83"/>
      <c r="K5" s="83">
        <f t="shared" ref="K5:K10" si="1">$F5*D5</f>
        <v>37998680.850000001</v>
      </c>
      <c r="L5" s="83"/>
      <c r="M5" s="83"/>
      <c r="N5" s="83"/>
      <c r="O5" s="83">
        <f t="shared" ref="O5:O10" si="2">$F5*E5</f>
        <v>54295443.149999991</v>
      </c>
      <c r="P5" s="84">
        <f t="shared" ref="P5:P10" si="3">G5/O5</f>
        <v>0.30014972444331178</v>
      </c>
      <c r="Q5" s="84">
        <f t="shared" ref="Q5:Q10" si="4">K5/O5</f>
        <v>0.69985027555668833</v>
      </c>
    </row>
    <row r="6" spans="1:31" ht="15.6" x14ac:dyDescent="0.3">
      <c r="B6" s="80">
        <v>38533</v>
      </c>
      <c r="C6" s="81">
        <v>106.97</v>
      </c>
      <c r="D6" s="81">
        <v>99.41</v>
      </c>
      <c r="E6" s="81">
        <v>206.38</v>
      </c>
      <c r="F6" s="82">
        <v>173330</v>
      </c>
      <c r="G6" s="83">
        <f t="shared" si="0"/>
        <v>18541110.100000001</v>
      </c>
      <c r="H6" s="83"/>
      <c r="I6" s="83"/>
      <c r="J6" s="83"/>
      <c r="K6" s="83">
        <f t="shared" si="1"/>
        <v>17230735.300000001</v>
      </c>
      <c r="L6" s="83"/>
      <c r="M6" s="83"/>
      <c r="N6" s="83"/>
      <c r="O6" s="83">
        <f t="shared" si="2"/>
        <v>35771845.399999999</v>
      </c>
      <c r="P6" s="84">
        <f t="shared" si="3"/>
        <v>0.51831572826824313</v>
      </c>
      <c r="Q6" s="84">
        <f t="shared" si="4"/>
        <v>0.48168427173175699</v>
      </c>
      <c r="R6" s="85">
        <f t="shared" ref="R6:R15" si="5">(G5-G6)/G5</f>
        <v>-0.13771740414965755</v>
      </c>
    </row>
    <row r="7" spans="1:31" ht="15.6" x14ac:dyDescent="0.3">
      <c r="B7" s="80">
        <v>38898</v>
      </c>
      <c r="C7" s="81">
        <v>120.71</v>
      </c>
      <c r="D7" s="81">
        <v>68.569999999999993</v>
      </c>
      <c r="E7" s="81">
        <v>189.27999999999997</v>
      </c>
      <c r="F7" s="82">
        <v>173607</v>
      </c>
      <c r="G7" s="83">
        <f t="shared" si="0"/>
        <v>20956100.969999999</v>
      </c>
      <c r="H7" s="83"/>
      <c r="I7" s="83"/>
      <c r="J7" s="83"/>
      <c r="K7" s="83">
        <f t="shared" si="1"/>
        <v>11904231.989999998</v>
      </c>
      <c r="L7" s="83"/>
      <c r="M7" s="83"/>
      <c r="N7" s="83"/>
      <c r="O7" s="83">
        <f t="shared" si="2"/>
        <v>32860332.959999993</v>
      </c>
      <c r="P7" s="84">
        <f t="shared" si="3"/>
        <v>0.63773245984784455</v>
      </c>
      <c r="Q7" s="84">
        <f t="shared" si="4"/>
        <v>0.36226754015215556</v>
      </c>
      <c r="R7" s="85">
        <f t="shared" si="5"/>
        <v>-0.13025060834949667</v>
      </c>
    </row>
    <row r="8" spans="1:31" ht="15.6" x14ac:dyDescent="0.3">
      <c r="B8" s="80">
        <v>39263</v>
      </c>
      <c r="C8" s="81">
        <v>146.05000000000001</v>
      </c>
      <c r="D8" s="81">
        <v>51.88</v>
      </c>
      <c r="E8" s="81">
        <v>197.93</v>
      </c>
      <c r="F8" s="82">
        <v>174005</v>
      </c>
      <c r="G8" s="83">
        <f t="shared" si="0"/>
        <v>25413430.250000004</v>
      </c>
      <c r="H8" s="83"/>
      <c r="I8" s="83"/>
      <c r="J8" s="83"/>
      <c r="K8" s="83">
        <f t="shared" si="1"/>
        <v>9027379.4000000004</v>
      </c>
      <c r="L8" s="83"/>
      <c r="M8" s="83"/>
      <c r="N8" s="83"/>
      <c r="O8" s="83">
        <f t="shared" si="2"/>
        <v>34440809.649999999</v>
      </c>
      <c r="P8" s="84">
        <f t="shared" si="3"/>
        <v>0.7378871318142779</v>
      </c>
      <c r="Q8" s="84">
        <f t="shared" si="4"/>
        <v>0.26211286818572227</v>
      </c>
      <c r="R8" s="85">
        <f t="shared" si="5"/>
        <v>-0.21269840636771875</v>
      </c>
    </row>
    <row r="9" spans="1:31" ht="15.6" x14ac:dyDescent="0.3">
      <c r="B9" s="80">
        <v>39629</v>
      </c>
      <c r="C9" s="81">
        <v>165.82</v>
      </c>
      <c r="D9" s="81">
        <v>65.19</v>
      </c>
      <c r="E9" s="81">
        <v>231.01</v>
      </c>
      <c r="F9" s="82">
        <v>174307</v>
      </c>
      <c r="G9" s="83">
        <f t="shared" si="0"/>
        <v>28903586.739999998</v>
      </c>
      <c r="H9" s="83"/>
      <c r="I9" s="83"/>
      <c r="J9" s="83"/>
      <c r="K9" s="83">
        <f t="shared" si="1"/>
        <v>11363073.33</v>
      </c>
      <c r="L9" s="83"/>
      <c r="M9" s="83"/>
      <c r="N9" s="83"/>
      <c r="O9" s="83">
        <f t="shared" si="2"/>
        <v>40266660.07</v>
      </c>
      <c r="P9" s="84">
        <f t="shared" si="3"/>
        <v>0.71780442405090683</v>
      </c>
      <c r="Q9" s="84">
        <f t="shared" si="4"/>
        <v>0.28219557594909311</v>
      </c>
      <c r="R9" s="85">
        <f t="shared" si="5"/>
        <v>-0.13733511988213373</v>
      </c>
      <c r="S9" s="83"/>
      <c r="T9" s="83"/>
    </row>
    <row r="10" spans="1:31" ht="15.6" x14ac:dyDescent="0.3">
      <c r="A10" s="13" t="s">
        <v>29</v>
      </c>
      <c r="B10" s="80">
        <v>39994</v>
      </c>
      <c r="C10" s="81">
        <v>175.88</v>
      </c>
      <c r="D10" s="81">
        <v>83.99</v>
      </c>
      <c r="E10" s="81">
        <v>259.87</v>
      </c>
      <c r="F10" s="82">
        <v>173756</v>
      </c>
      <c r="G10" s="83">
        <f t="shared" si="0"/>
        <v>30560205.279999997</v>
      </c>
      <c r="H10" s="83"/>
      <c r="I10" s="83"/>
      <c r="J10" s="83"/>
      <c r="K10" s="83">
        <f t="shared" si="1"/>
        <v>14593766.439999999</v>
      </c>
      <c r="L10" s="83"/>
      <c r="M10" s="83"/>
      <c r="N10" s="83"/>
      <c r="O10" s="83">
        <f t="shared" si="2"/>
        <v>45153971.719999999</v>
      </c>
      <c r="P10" s="84">
        <f t="shared" si="3"/>
        <v>0.67679993843075381</v>
      </c>
      <c r="Q10" s="84">
        <f t="shared" si="4"/>
        <v>0.32320006156924613</v>
      </c>
      <c r="R10" s="85">
        <f t="shared" si="5"/>
        <v>-5.7315327502499409E-2</v>
      </c>
      <c r="S10" s="83"/>
      <c r="T10" s="83"/>
    </row>
    <row r="11" spans="1:31" s="86" customFormat="1" ht="15.6" x14ac:dyDescent="0.3">
      <c r="B11" s="87">
        <v>40359</v>
      </c>
      <c r="C11" s="88">
        <v>123.69</v>
      </c>
      <c r="D11" s="88">
        <v>78.63</v>
      </c>
      <c r="E11" s="88">
        <v>202.32</v>
      </c>
      <c r="F11" s="89">
        <v>173286</v>
      </c>
      <c r="G11" s="90">
        <f>F11*C11</f>
        <v>21433745.34</v>
      </c>
      <c r="H11" s="90"/>
      <c r="I11" s="90"/>
      <c r="J11" s="90"/>
      <c r="K11" s="90">
        <f>F11*D11</f>
        <v>13625478.18</v>
      </c>
      <c r="L11" s="90"/>
      <c r="M11" s="90"/>
      <c r="N11" s="90"/>
      <c r="O11" s="90">
        <f>K11+G11</f>
        <v>35059223.519999996</v>
      </c>
      <c r="P11" s="85">
        <f>G11/O11</f>
        <v>0.6113582443653619</v>
      </c>
      <c r="Q11" s="85">
        <f>K11/O11</f>
        <v>0.38864175563463821</v>
      </c>
      <c r="R11" s="85">
        <f t="shared" si="5"/>
        <v>0.29863869880392369</v>
      </c>
      <c r="S11" s="83"/>
      <c r="T11" s="83"/>
    </row>
    <row r="12" spans="1:31" s="86" customFormat="1" ht="15.6" x14ac:dyDescent="0.3">
      <c r="B12" s="87">
        <v>40724</v>
      </c>
      <c r="C12" s="88">
        <v>218.82</v>
      </c>
      <c r="D12" s="88">
        <v>80.89</v>
      </c>
      <c r="E12" s="88">
        <v>299.70999999999998</v>
      </c>
      <c r="F12" s="89">
        <v>171933</v>
      </c>
      <c r="G12" s="90">
        <f>F12*C12</f>
        <v>37622379.060000002</v>
      </c>
      <c r="H12" s="90"/>
      <c r="I12" s="90"/>
      <c r="J12" s="90"/>
      <c r="K12" s="90">
        <f>F12*D12</f>
        <v>13907660.369999999</v>
      </c>
      <c r="L12" s="90"/>
      <c r="M12" s="90"/>
      <c r="N12" s="90"/>
      <c r="O12" s="90">
        <f>K12+G12</f>
        <v>51530039.43</v>
      </c>
      <c r="P12" s="85">
        <f>G12/O12</f>
        <v>0.73010576890994638</v>
      </c>
      <c r="Q12" s="85">
        <f>K12/O12</f>
        <v>0.26989423109005373</v>
      </c>
      <c r="R12" s="85">
        <f t="shared" si="5"/>
        <v>-0.75528721010734945</v>
      </c>
      <c r="S12" s="83"/>
      <c r="T12" s="83"/>
    </row>
    <row r="13" spans="1:31" s="86" customFormat="1" ht="15.6" x14ac:dyDescent="0.3">
      <c r="B13" s="87">
        <v>41090</v>
      </c>
      <c r="C13" s="88">
        <v>102.6</v>
      </c>
      <c r="D13" s="88">
        <v>63.01</v>
      </c>
      <c r="E13" s="88">
        <v>165.60999999999999</v>
      </c>
      <c r="F13" s="89">
        <v>171473</v>
      </c>
      <c r="G13" s="90">
        <f>F13*C13</f>
        <v>17593129.800000001</v>
      </c>
      <c r="H13" s="90"/>
      <c r="I13" s="90"/>
      <c r="J13" s="90"/>
      <c r="K13" s="90">
        <f>F13*D13</f>
        <v>10804513.73</v>
      </c>
      <c r="L13" s="90"/>
      <c r="M13" s="90"/>
      <c r="N13" s="90"/>
      <c r="O13" s="90">
        <f>K13+G13</f>
        <v>28397643.530000001</v>
      </c>
      <c r="P13" s="85">
        <f>G13/O13</f>
        <v>0.61952780629189064</v>
      </c>
      <c r="Q13" s="85">
        <f>K13/O13</f>
        <v>0.38047219370810942</v>
      </c>
      <c r="R13" s="85">
        <f t="shared" si="5"/>
        <v>0.5323759358241924</v>
      </c>
      <c r="S13" s="83"/>
      <c r="T13" s="83"/>
    </row>
    <row r="14" spans="1:31" s="86" customFormat="1" ht="15.6" x14ac:dyDescent="0.3">
      <c r="B14" s="87">
        <v>41455</v>
      </c>
      <c r="C14" s="88">
        <v>147.31</v>
      </c>
      <c r="D14" s="88">
        <v>55.21</v>
      </c>
      <c r="E14" s="88">
        <v>202.52</v>
      </c>
      <c r="F14" s="89">
        <v>170896</v>
      </c>
      <c r="G14" s="90">
        <f>F14*C14</f>
        <v>25174689.760000002</v>
      </c>
      <c r="H14" s="90"/>
      <c r="I14" s="90"/>
      <c r="J14" s="90"/>
      <c r="K14" s="90">
        <f>F14*D14</f>
        <v>9435168.1600000001</v>
      </c>
      <c r="L14" s="90"/>
      <c r="M14" s="90"/>
      <c r="N14" s="90"/>
      <c r="O14" s="90">
        <f>K14+G14</f>
        <v>34609857.920000002</v>
      </c>
      <c r="P14" s="85">
        <f>G14/O14</f>
        <v>0.72738494963460398</v>
      </c>
      <c r="Q14" s="85">
        <f>K14/O14</f>
        <v>0.27261505036539602</v>
      </c>
      <c r="R14" s="85">
        <f t="shared" si="5"/>
        <v>-0.43093867016203113</v>
      </c>
      <c r="S14" s="83"/>
      <c r="T14" s="83"/>
    </row>
    <row r="15" spans="1:31" s="86" customFormat="1" ht="16.149999999999999" thickBot="1" x14ac:dyDescent="0.35">
      <c r="A15" s="91"/>
      <c r="B15" s="87">
        <v>41820</v>
      </c>
      <c r="C15" s="88">
        <v>163.13999999999999</v>
      </c>
      <c r="D15" s="88">
        <v>52.08</v>
      </c>
      <c r="E15" s="88">
        <v>215.21999999999997</v>
      </c>
      <c r="F15" s="89">
        <f>TREND($F$5:$F$14,$B$5:$B$14,B15)</f>
        <v>171532.54560445994</v>
      </c>
      <c r="G15" s="90">
        <f>F15*C15</f>
        <v>27983819.489911593</v>
      </c>
      <c r="H15" s="89">
        <f>0.689*G15</f>
        <v>19280851.628549088</v>
      </c>
      <c r="I15" s="89">
        <f>0.311*G15</f>
        <v>8702967.8613625057</v>
      </c>
      <c r="J15" s="89">
        <f>H15+I15</f>
        <v>27983819.489911593</v>
      </c>
      <c r="K15" s="90">
        <f>F15*D15</f>
        <v>8933414.975080274</v>
      </c>
      <c r="L15" s="89">
        <f>0.786*K15</f>
        <v>7021664.1704130955</v>
      </c>
      <c r="M15" s="89">
        <f>0.214*K15</f>
        <v>1911750.8046671785</v>
      </c>
      <c r="N15" s="89">
        <f>M15+L15</f>
        <v>8933414.975080274</v>
      </c>
      <c r="O15" s="90">
        <f>K15+G15</f>
        <v>36917234.464991868</v>
      </c>
      <c r="P15" s="85">
        <f>J15/O15</f>
        <v>0.75801505436297745</v>
      </c>
      <c r="Q15" s="85">
        <f>N15/O15</f>
        <v>0.24198494563702261</v>
      </c>
      <c r="R15" s="85">
        <f t="shared" si="5"/>
        <v>-0.11158547559839291</v>
      </c>
      <c r="S15" s="92"/>
      <c r="T15" s="92"/>
      <c r="U15" s="92"/>
      <c r="V15" s="92"/>
      <c r="W15" s="92"/>
    </row>
    <row r="16" spans="1:31" s="86" customFormat="1" ht="14.45" customHeight="1" x14ac:dyDescent="0.25">
      <c r="A16" s="244" t="s">
        <v>30</v>
      </c>
      <c r="B16" s="93">
        <v>42185</v>
      </c>
      <c r="C16" s="94"/>
      <c r="D16" s="94"/>
      <c r="E16" s="94"/>
      <c r="F16" s="95">
        <f t="shared" ref="F16:F24" si="6">TREND($F$5:$F$14,$B$5:$B$14,B16)</f>
        <v>171273.92666964035</v>
      </c>
      <c r="G16" s="96"/>
      <c r="H16" s="95">
        <f>0.689*J16</f>
        <v>21230638.948549088</v>
      </c>
      <c r="I16" s="95">
        <f>0.311*J16</f>
        <v>9583060.5413625054</v>
      </c>
      <c r="J16" s="95">
        <f>(5659760/2)+J15</f>
        <v>30813699.489911593</v>
      </c>
      <c r="K16" s="96"/>
      <c r="L16" s="95">
        <f>0.689*N16</f>
        <v>5171475.8573303083</v>
      </c>
      <c r="M16" s="95">
        <f>0.311*N16</f>
        <v>2334294.6177499653</v>
      </c>
      <c r="N16" s="95">
        <f>N15-(2855289/2)</f>
        <v>7505770.475080274</v>
      </c>
      <c r="O16" s="96">
        <f>J16+N16</f>
        <v>38319469.964991868</v>
      </c>
      <c r="P16" s="97">
        <f t="shared" ref="P16:P32" si="7">J16/O16</f>
        <v>0.80412645368170699</v>
      </c>
      <c r="Q16" s="97">
        <f t="shared" ref="Q16:Q32" si="8">N16/O16</f>
        <v>0.19587354631829304</v>
      </c>
      <c r="R16" s="250" t="s">
        <v>49</v>
      </c>
      <c r="S16" s="250"/>
      <c r="T16" s="250"/>
      <c r="U16" s="250"/>
      <c r="V16" s="250"/>
      <c r="W16" s="251"/>
      <c r="X16" s="98"/>
      <c r="Y16" s="98"/>
      <c r="Z16" s="98"/>
      <c r="AA16" s="98"/>
      <c r="AB16" s="98"/>
      <c r="AC16" s="98"/>
      <c r="AD16" s="98"/>
      <c r="AE16" s="98"/>
    </row>
    <row r="17" spans="1:31" s="86" customFormat="1" x14ac:dyDescent="0.25">
      <c r="A17" s="245"/>
      <c r="B17" s="99">
        <v>42551</v>
      </c>
      <c r="C17" s="100"/>
      <c r="D17" s="100"/>
      <c r="E17" s="100"/>
      <c r="F17" s="101">
        <f t="shared" si="6"/>
        <v>171014.59918979384</v>
      </c>
      <c r="G17" s="102"/>
      <c r="H17" s="101">
        <f>0.689*J17</f>
        <v>23180426.268549085</v>
      </c>
      <c r="I17" s="101">
        <f>0.311*J17</f>
        <v>10463153.221362505</v>
      </c>
      <c r="J17" s="101">
        <f>(5659760/2)+J16</f>
        <v>33643579.489911593</v>
      </c>
      <c r="K17" s="102"/>
      <c r="L17" s="101">
        <f>0.689*N17</f>
        <v>4187828.7968303086</v>
      </c>
      <c r="M17" s="101">
        <f>0.311*N17</f>
        <v>1890297.1782499652</v>
      </c>
      <c r="N17" s="101">
        <f>N16-(2855289/2)</f>
        <v>6078125.975080274</v>
      </c>
      <c r="O17" s="102">
        <f t="shared" ref="O17:O23" si="9">J17+N17</f>
        <v>39721705.464991868</v>
      </c>
      <c r="P17" s="103">
        <f t="shared" si="7"/>
        <v>0.84698225053712406</v>
      </c>
      <c r="Q17" s="103">
        <f t="shared" si="8"/>
        <v>0.15301774946287591</v>
      </c>
      <c r="R17" s="252"/>
      <c r="S17" s="252"/>
      <c r="T17" s="252"/>
      <c r="U17" s="252"/>
      <c r="V17" s="252"/>
      <c r="W17" s="253"/>
      <c r="X17" s="98"/>
      <c r="Y17" s="98"/>
      <c r="Z17" s="98"/>
      <c r="AA17" s="98"/>
      <c r="AB17" s="98"/>
      <c r="AC17" s="98"/>
      <c r="AD17" s="98"/>
      <c r="AE17" s="98"/>
    </row>
    <row r="18" spans="1:31" s="86" customFormat="1" x14ac:dyDescent="0.25">
      <c r="A18" s="245"/>
      <c r="B18" s="99">
        <v>42916</v>
      </c>
      <c r="C18" s="100"/>
      <c r="D18" s="100"/>
      <c r="E18" s="100"/>
      <c r="F18" s="101">
        <f t="shared" si="6"/>
        <v>170755.98025497425</v>
      </c>
      <c r="G18" s="102"/>
      <c r="H18" s="101">
        <f>0.689*J18</f>
        <v>25130213.588549085</v>
      </c>
      <c r="I18" s="101">
        <f>0.311*J18</f>
        <v>11343245.901362505</v>
      </c>
      <c r="J18" s="101">
        <f>(5659760/2)+J17</f>
        <v>36473459.489911593</v>
      </c>
      <c r="K18" s="102"/>
      <c r="L18" s="101">
        <f>0.689*N18</f>
        <v>3204181.7363303085</v>
      </c>
      <c r="M18" s="101">
        <f>0.311*N18</f>
        <v>1446299.7387499653</v>
      </c>
      <c r="N18" s="101">
        <f>N17-(2855289/2)</f>
        <v>4650481.475080274</v>
      </c>
      <c r="O18" s="102">
        <f t="shared" si="9"/>
        <v>41123940.964991868</v>
      </c>
      <c r="P18" s="103">
        <f t="shared" si="7"/>
        <v>0.88691547147586969</v>
      </c>
      <c r="Q18" s="103">
        <f t="shared" si="8"/>
        <v>0.11308452852413031</v>
      </c>
      <c r="R18" s="252"/>
      <c r="S18" s="252"/>
      <c r="T18" s="252"/>
      <c r="U18" s="252"/>
      <c r="V18" s="252"/>
      <c r="W18" s="253"/>
    </row>
    <row r="19" spans="1:31" s="86" customFormat="1" x14ac:dyDescent="0.25">
      <c r="A19" s="245"/>
      <c r="B19" s="99">
        <v>43281</v>
      </c>
      <c r="C19" s="100"/>
      <c r="D19" s="100"/>
      <c r="E19" s="100"/>
      <c r="F19" s="101">
        <f t="shared" si="6"/>
        <v>170497.36132015465</v>
      </c>
      <c r="G19" s="102"/>
      <c r="H19" s="101">
        <f>0.689*J19</f>
        <v>27080000.908549085</v>
      </c>
      <c r="I19" s="101">
        <f>0.311*J19</f>
        <v>12223338.581362506</v>
      </c>
      <c r="J19" s="101">
        <f>(5659760/2)+J18</f>
        <v>39303339.489911593</v>
      </c>
      <c r="K19" s="102"/>
      <c r="L19" s="101">
        <f>0.689*N19</f>
        <v>2220534.6758303088</v>
      </c>
      <c r="M19" s="101">
        <f>0.311*N19</f>
        <v>1002302.2992499652</v>
      </c>
      <c r="N19" s="101">
        <f>N18-(2855289/2)</f>
        <v>3222836.975080274</v>
      </c>
      <c r="O19" s="102">
        <f t="shared" si="9"/>
        <v>42526176.464991868</v>
      </c>
      <c r="P19" s="103">
        <f t="shared" si="7"/>
        <v>0.92421521888445912</v>
      </c>
      <c r="Q19" s="103">
        <f t="shared" si="8"/>
        <v>7.5784781115540864E-2</v>
      </c>
      <c r="R19" s="252"/>
      <c r="S19" s="252"/>
      <c r="T19" s="252"/>
      <c r="U19" s="252"/>
      <c r="V19" s="252"/>
      <c r="W19" s="253"/>
    </row>
    <row r="20" spans="1:31" s="86" customFormat="1" x14ac:dyDescent="0.25">
      <c r="A20" s="245"/>
      <c r="B20" s="99">
        <v>43646</v>
      </c>
      <c r="C20" s="100"/>
      <c r="D20" s="100"/>
      <c r="E20" s="100"/>
      <c r="F20" s="101">
        <f t="shared" si="6"/>
        <v>170238.74238533506</v>
      </c>
      <c r="G20" s="102"/>
      <c r="H20" s="101">
        <f>H19-(H19*0.271)*((0.36*Strategy!L21)/Strategy!$B$14)</f>
        <v>25222267.886053689</v>
      </c>
      <c r="I20" s="101">
        <f>I19-(I19*0.271)*((0.64*Strategy!L21)/Strategy!$B$15)</f>
        <v>11401266.655876866</v>
      </c>
      <c r="J20" s="101">
        <f>H20+I20</f>
        <v>36623534.541930556</v>
      </c>
      <c r="K20" s="102"/>
      <c r="L20" s="101">
        <f>L19-(L19*0.601)*((0.36*Strategy!L21)/Strategy!$B$14)</f>
        <v>1882705.3339940014</v>
      </c>
      <c r="M20" s="101">
        <f>M19-(M19*0.601)*((0.64*Strategy!L21)/Strategy!$B$15)</f>
        <v>852808.25776715134</v>
      </c>
      <c r="N20" s="101">
        <f>M20+L20</f>
        <v>2735513.5917611527</v>
      </c>
      <c r="O20" s="102">
        <f t="shared" si="9"/>
        <v>39359048.133691706</v>
      </c>
      <c r="P20" s="103">
        <f t="shared" si="7"/>
        <v>0.93049848201436747</v>
      </c>
      <c r="Q20" s="103">
        <f t="shared" si="8"/>
        <v>6.9501517985632588E-2</v>
      </c>
      <c r="R20" s="252"/>
      <c r="S20" s="252"/>
      <c r="T20" s="252"/>
      <c r="U20" s="252"/>
      <c r="V20" s="252"/>
      <c r="W20" s="253"/>
    </row>
    <row r="21" spans="1:31" s="86" customFormat="1" x14ac:dyDescent="0.25">
      <c r="A21" s="245"/>
      <c r="B21" s="99">
        <v>44012</v>
      </c>
      <c r="C21" s="100"/>
      <c r="D21" s="100"/>
      <c r="E21" s="100"/>
      <c r="F21" s="101">
        <f t="shared" si="6"/>
        <v>169979.41490548855</v>
      </c>
      <c r="G21" s="102"/>
      <c r="H21" s="101">
        <f>H20-(H20*0.271)*((0.36*Strategy!M21)/Strategy!$B$14)</f>
        <v>23491978.433243711</v>
      </c>
      <c r="I21" s="101">
        <f>I20-(I20*0.271)*((0.64*Strategy!M21)/Strategy!$B$15)</f>
        <v>10634482.591900852</v>
      </c>
      <c r="J21" s="101">
        <f>H21+I21</f>
        <v>34126461.025144562</v>
      </c>
      <c r="K21" s="102"/>
      <c r="L21" s="101">
        <f>L20-(L20*0.601)*((0.36*Strategy!M21)/Strategy!$B$14)</f>
        <v>1596272.9216665193</v>
      </c>
      <c r="M21" s="101">
        <f>M20-(M20*0.601)*((0.64*Strategy!M21)/Strategy!$B$15)</f>
        <v>725611.3500488603</v>
      </c>
      <c r="N21" s="101">
        <f>M21+L21</f>
        <v>2321884.2717153793</v>
      </c>
      <c r="O21" s="102">
        <f t="shared" si="9"/>
        <v>36448345.296859942</v>
      </c>
      <c r="P21" s="103">
        <f t="shared" si="7"/>
        <v>0.93629657936994437</v>
      </c>
      <c r="Q21" s="103">
        <f t="shared" si="8"/>
        <v>6.3703420630055643E-2</v>
      </c>
      <c r="R21" s="252"/>
      <c r="S21" s="252"/>
      <c r="T21" s="252"/>
      <c r="U21" s="252"/>
      <c r="V21" s="252"/>
      <c r="W21" s="253"/>
    </row>
    <row r="22" spans="1:31" s="91" customFormat="1" x14ac:dyDescent="0.25">
      <c r="A22" s="245"/>
      <c r="B22" s="99">
        <v>44377</v>
      </c>
      <c r="C22" s="100"/>
      <c r="D22" s="100"/>
      <c r="E22" s="100"/>
      <c r="F22" s="101">
        <f t="shared" si="6"/>
        <v>169720.79597066896</v>
      </c>
      <c r="G22" s="102"/>
      <c r="H22" s="101">
        <f>H21-(H21*0.271)*((0.36*Strategy!N21)/Strategy!$B$14)</f>
        <v>21880389.709647734</v>
      </c>
      <c r="I22" s="101">
        <f>I21-(I21*0.271)*((0.64*Strategy!N21)/Strategy!$B$15)</f>
        <v>9919268.0437088162</v>
      </c>
      <c r="J22" s="101">
        <f>H22+I22</f>
        <v>31799657.75335655</v>
      </c>
      <c r="K22" s="102"/>
      <c r="L22" s="101">
        <f>L21-(L21*0.601)*((0.36*Strategy!N21)/Strategy!$B$14)</f>
        <v>1353417.9748884081</v>
      </c>
      <c r="M22" s="101">
        <f>M21-(M21*0.601)*((0.64*Strategy!N21)/Strategy!$B$15)</f>
        <v>617385.9440553016</v>
      </c>
      <c r="N22" s="101">
        <f>M22+L22</f>
        <v>1970803.9189437097</v>
      </c>
      <c r="O22" s="102">
        <f t="shared" si="9"/>
        <v>33770461.672300257</v>
      </c>
      <c r="P22" s="103">
        <f t="shared" si="7"/>
        <v>0.94164119110754618</v>
      </c>
      <c r="Q22" s="103">
        <f t="shared" si="8"/>
        <v>5.8358808892453894E-2</v>
      </c>
      <c r="R22" s="252"/>
      <c r="S22" s="252"/>
      <c r="T22" s="252"/>
      <c r="U22" s="252"/>
      <c r="V22" s="252"/>
      <c r="W22" s="253"/>
    </row>
    <row r="23" spans="1:31" s="91" customFormat="1" x14ac:dyDescent="0.25">
      <c r="A23" s="245"/>
      <c r="B23" s="99">
        <v>44742</v>
      </c>
      <c r="C23" s="100"/>
      <c r="D23" s="100"/>
      <c r="E23" s="100"/>
      <c r="F23" s="101">
        <f t="shared" si="6"/>
        <v>169462.17703584937</v>
      </c>
      <c r="G23" s="102"/>
      <c r="H23" s="101">
        <f>H22-(H22*0.271)*((0.36*Strategy!O21)/Strategy!$B$14)</f>
        <v>20379358.648166172</v>
      </c>
      <c r="I23" s="101">
        <f>I22-(I22*0.271)*((0.64*Strategy!O21)/Strategy!$B$15)</f>
        <v>9252154.7402670532</v>
      </c>
      <c r="J23" s="101">
        <f t="shared" ref="J23:J51" si="10">H23+I23</f>
        <v>29631513.388433225</v>
      </c>
      <c r="K23" s="102"/>
      <c r="L23" s="101">
        <f>L22-(L22*0.601)*((0.36*Strategy!O21)/Strategy!$B$14)</f>
        <v>1147510.6730738068</v>
      </c>
      <c r="M23" s="101">
        <f>M22-(M22*0.601)*((0.64*Strategy!O21)/Strategy!$B$15)</f>
        <v>525302.42793389258</v>
      </c>
      <c r="N23" s="101">
        <f>M23+L23</f>
        <v>1672813.1010076995</v>
      </c>
      <c r="O23" s="102">
        <f t="shared" si="9"/>
        <v>31304326.489440925</v>
      </c>
      <c r="P23" s="103">
        <f t="shared" si="7"/>
        <v>0.94656287840685704</v>
      </c>
      <c r="Q23" s="103">
        <f t="shared" si="8"/>
        <v>5.3437121593142921E-2</v>
      </c>
      <c r="R23" s="252"/>
      <c r="S23" s="252"/>
      <c r="T23" s="252"/>
      <c r="U23" s="252"/>
      <c r="V23" s="252"/>
      <c r="W23" s="253"/>
    </row>
    <row r="24" spans="1:31" s="86" customFormat="1" ht="16.5" thickBot="1" x14ac:dyDescent="0.3">
      <c r="A24" s="104"/>
      <c r="B24" s="105">
        <v>45107</v>
      </c>
      <c r="C24" s="106"/>
      <c r="D24" s="106"/>
      <c r="E24" s="106"/>
      <c r="F24" s="107">
        <f t="shared" si="6"/>
        <v>169203.55810102978</v>
      </c>
      <c r="G24" s="108"/>
      <c r="H24" s="107">
        <f>H23-(H23*0.271)*((0.36*Strategy!P21)/Strategy!$B$14)</f>
        <v>18981300.80962218</v>
      </c>
      <c r="I24" s="107">
        <f>I23-(I23*0.271)*((0.64*Strategy!P21)/Strategy!$B$15)</f>
        <v>8629907.6666386127</v>
      </c>
      <c r="J24" s="107">
        <f>H24+I24</f>
        <v>27611208.476260792</v>
      </c>
      <c r="K24" s="108"/>
      <c r="L24" s="107">
        <f>L23-(L23*0.601)*((0.36*Strategy!P21)/Strategy!$B$14)</f>
        <v>972929.84816968488</v>
      </c>
      <c r="M24" s="107">
        <f>M23-(M23*0.601)*((0.64*Strategy!P21)/Strategy!$B$15)</f>
        <v>446953.22828490764</v>
      </c>
      <c r="N24" s="107">
        <f>M24+L24</f>
        <v>1419883.0764545924</v>
      </c>
      <c r="O24" s="108">
        <f>J24+N24</f>
        <v>29031091.552715383</v>
      </c>
      <c r="P24" s="109">
        <f>J24/O24</f>
        <v>0.95109095109715969</v>
      </c>
      <c r="Q24" s="109">
        <f>N24/O24</f>
        <v>4.8909048902840362E-2</v>
      </c>
      <c r="R24" s="254"/>
      <c r="S24" s="254"/>
      <c r="T24" s="254"/>
      <c r="U24" s="254"/>
      <c r="V24" s="254"/>
      <c r="W24" s="255"/>
    </row>
    <row r="25" spans="1:31" s="86" customFormat="1" ht="14.45" customHeight="1" x14ac:dyDescent="0.25">
      <c r="A25" s="244" t="s">
        <v>31</v>
      </c>
      <c r="B25" s="93">
        <v>42185</v>
      </c>
      <c r="C25" s="110"/>
      <c r="D25" s="110"/>
      <c r="E25" s="110"/>
      <c r="F25" s="95">
        <v>171273.92666964035</v>
      </c>
      <c r="G25" s="96"/>
      <c r="H25" s="95">
        <f>H15-(H15*0.271)*(0.36*Strategy!H$32/Strategy!$B$25)</f>
        <v>18147110.114396736</v>
      </c>
      <c r="I25" s="95">
        <f>I15-(I15*0.271)*(0.64*Strategy!H32/Strategy!$B$26)</f>
        <v>8201271.945826536</v>
      </c>
      <c r="J25" s="95">
        <f>H25+I25</f>
        <v>26348382.060223274</v>
      </c>
      <c r="K25" s="96"/>
      <c r="L25" s="95">
        <f>L15-(L15*0.601)*(0.36*Strategy!H32/Strategy!$B$25)</f>
        <v>6106006.6381056393</v>
      </c>
      <c r="M25" s="95">
        <f>M15-(M15*0.601)*(0.64*Strategy!H32/Strategy!$B$26)</f>
        <v>1667346.0511783513</v>
      </c>
      <c r="N25" s="95">
        <f t="shared" ref="N25:N31" si="11">M25+L25</f>
        <v>7773352.6892839903</v>
      </c>
      <c r="O25" s="96">
        <f>J25+N25</f>
        <v>34121734.749507263</v>
      </c>
      <c r="P25" s="97">
        <f t="shared" si="7"/>
        <v>0.77218764677853191</v>
      </c>
      <c r="Q25" s="97">
        <f t="shared" si="8"/>
        <v>0.22781235322146809</v>
      </c>
      <c r="R25" s="246" t="s">
        <v>32</v>
      </c>
      <c r="S25" s="246"/>
      <c r="T25" s="246"/>
      <c r="U25" s="246"/>
      <c r="V25" s="246"/>
      <c r="W25" s="247"/>
    </row>
    <row r="26" spans="1:31" s="86" customFormat="1" x14ac:dyDescent="0.25">
      <c r="A26" s="245"/>
      <c r="B26" s="99">
        <v>42551</v>
      </c>
      <c r="C26" s="100"/>
      <c r="D26" s="100"/>
      <c r="E26" s="100"/>
      <c r="F26" s="101">
        <v>171014.59918979384</v>
      </c>
      <c r="G26" s="102"/>
      <c r="H26" s="101">
        <f>H25-(H25*0.271)*(0.36*Strategy!I32/Strategy!$B$25)</f>
        <v>17062126.112209685</v>
      </c>
      <c r="I26" s="101">
        <f>I25-(I25*0.271)*(0.64*Strategy!I32/Strategy!$B$26)</f>
        <v>7720562.7592057902</v>
      </c>
      <c r="J26" s="101">
        <f>H26+I26</f>
        <v>24782688.871415474</v>
      </c>
      <c r="K26" s="102"/>
      <c r="L26" s="101">
        <f>L25-(L25*0.601)*(0.36*Strategy!I32/Strategy!$B$25)</f>
        <v>5296392.0714647323</v>
      </c>
      <c r="M26" s="101">
        <f>M25-(M25*0.601)*(0.64*Strategy!I32/Strategy!$B$26)</f>
        <v>1450609.5114851317</v>
      </c>
      <c r="N26" s="101">
        <f t="shared" si="11"/>
        <v>6747001.5829498637</v>
      </c>
      <c r="O26" s="102">
        <f t="shared" ref="O26:O33" si="12">J26+N26</f>
        <v>31529690.454365335</v>
      </c>
      <c r="P26" s="103">
        <f t="shared" si="7"/>
        <v>0.78601116960805018</v>
      </c>
      <c r="Q26" s="103">
        <f t="shared" si="8"/>
        <v>0.21398883039194985</v>
      </c>
      <c r="R26" s="248"/>
      <c r="S26" s="248"/>
      <c r="T26" s="248"/>
      <c r="U26" s="248"/>
      <c r="V26" s="248"/>
      <c r="W26" s="249"/>
    </row>
    <row r="27" spans="1:31" s="86" customFormat="1" x14ac:dyDescent="0.25">
      <c r="A27" s="245"/>
      <c r="B27" s="99">
        <v>42916</v>
      </c>
      <c r="C27" s="100"/>
      <c r="D27" s="100"/>
      <c r="E27" s="100"/>
      <c r="F27" s="101">
        <v>170755.98025497425</v>
      </c>
      <c r="G27" s="102"/>
      <c r="H27" s="101">
        <f>H26-(H26*0.271)*(0.36*Strategy!J32/Strategy!$B$25)</f>
        <v>16032141.202652052</v>
      </c>
      <c r="I27" s="101">
        <f>I26-(I26*0.271)*(0.64*Strategy!J32/Strategy!$B$26)</f>
        <v>7263651.3311632629</v>
      </c>
      <c r="J27" s="101">
        <f t="shared" si="10"/>
        <v>23295792.533815317</v>
      </c>
      <c r="K27" s="102"/>
      <c r="L27" s="101">
        <f>L17-(L17*0.601)*(0.36*Strategy!J32/Strategy!$B$25)</f>
        <v>3627178.8126421561</v>
      </c>
      <c r="M27" s="101">
        <f>M26-(M26*0.601)*(0.64*Strategy!J32/Strategy!$B$26)</f>
        <v>1260221.8652087678</v>
      </c>
      <c r="N27" s="101">
        <f t="shared" si="11"/>
        <v>4887400.6778509244</v>
      </c>
      <c r="O27" s="102">
        <f t="shared" si="12"/>
        <v>28183193.211666241</v>
      </c>
      <c r="P27" s="103">
        <f t="shared" si="7"/>
        <v>0.82658456615810949</v>
      </c>
      <c r="Q27" s="103">
        <f t="shared" si="8"/>
        <v>0.17341543384189051</v>
      </c>
      <c r="R27" s="248"/>
      <c r="S27" s="248"/>
      <c r="T27" s="248"/>
      <c r="U27" s="248"/>
      <c r="V27" s="248"/>
      <c r="W27" s="249"/>
    </row>
    <row r="28" spans="1:31" s="86" customFormat="1" x14ac:dyDescent="0.25">
      <c r="A28" s="245"/>
      <c r="B28" s="99">
        <v>43281</v>
      </c>
      <c r="C28" s="100"/>
      <c r="D28" s="100"/>
      <c r="E28" s="100"/>
      <c r="F28" s="101">
        <v>170497.36132015465</v>
      </c>
      <c r="G28" s="102"/>
      <c r="H28" s="101">
        <f>H27-(H27*0.271)*(0.36*Strategy!K32/Strategy!$B$25)</f>
        <v>15051239.890854403</v>
      </c>
      <c r="I28" s="101">
        <f>I27-(I27*0.271)*(0.64*Strategy!K32/Strategy!$B$26)</f>
        <v>6827964.8104852922</v>
      </c>
      <c r="J28" s="101">
        <f t="shared" si="10"/>
        <v>21879204.701339696</v>
      </c>
      <c r="K28" s="102"/>
      <c r="L28" s="101">
        <f>L27-(L27*0.601)*(0.36*Strategy!J32/Strategy!$B$25)</f>
        <v>3141586.4346789969</v>
      </c>
      <c r="M28" s="101">
        <f>M27-(M27*0.601)*(0.64*Strategy!K32/Strategy!$B$26)</f>
        <v>1092584.3069582286</v>
      </c>
      <c r="N28" s="101">
        <f t="shared" si="11"/>
        <v>4234170.7416372253</v>
      </c>
      <c r="O28" s="102">
        <f t="shared" si="12"/>
        <v>26113375.442976922</v>
      </c>
      <c r="P28" s="103">
        <f t="shared" si="7"/>
        <v>0.83785433059455405</v>
      </c>
      <c r="Q28" s="103">
        <f t="shared" si="8"/>
        <v>0.16214566940544589</v>
      </c>
      <c r="R28" s="248"/>
      <c r="S28" s="248"/>
      <c r="T28" s="248"/>
      <c r="U28" s="248"/>
      <c r="V28" s="248"/>
      <c r="W28" s="249"/>
    </row>
    <row r="29" spans="1:31" s="86" customFormat="1" x14ac:dyDescent="0.25">
      <c r="A29" s="245"/>
      <c r="B29" s="99">
        <v>43646</v>
      </c>
      <c r="C29" s="100"/>
      <c r="D29" s="100"/>
      <c r="E29" s="100"/>
      <c r="F29" s="101">
        <v>170238.74238533506</v>
      </c>
      <c r="G29" s="102"/>
      <c r="H29" s="101">
        <f>H28-(H28*0.271)*(0.36*Strategy!L32/Strategy!$B$25)</f>
        <v>14018699.845188711</v>
      </c>
      <c r="I29" s="101">
        <f>I28-(I28*0.271)*(0.64*Strategy!L32/Strategy!$B$26)</f>
        <v>6368754.903016774</v>
      </c>
      <c r="J29" s="101">
        <f t="shared" si="10"/>
        <v>20387454.748205483</v>
      </c>
      <c r="K29" s="102"/>
      <c r="L29" s="101">
        <f>L28-(L28*0.601)*(0.36*Strategy!J32/Strategy!$B$25)</f>
        <v>2721003.246975237</v>
      </c>
      <c r="M29" s="101">
        <f>M28-(M28*0.601)*(0.64*Strategy!L32/Strategy!$B$26)</f>
        <v>929624.64515748213</v>
      </c>
      <c r="N29" s="101">
        <f t="shared" si="11"/>
        <v>3650627.892132719</v>
      </c>
      <c r="O29" s="102">
        <f t="shared" si="12"/>
        <v>24038082.640338201</v>
      </c>
      <c r="P29" s="103">
        <f t="shared" si="7"/>
        <v>0.84813148591116772</v>
      </c>
      <c r="Q29" s="103">
        <f t="shared" si="8"/>
        <v>0.15186851408883237</v>
      </c>
      <c r="R29" s="248"/>
      <c r="S29" s="248"/>
      <c r="T29" s="248"/>
      <c r="U29" s="248"/>
      <c r="V29" s="248"/>
      <c r="W29" s="249"/>
    </row>
    <row r="30" spans="1:31" s="86" customFormat="1" x14ac:dyDescent="0.25">
      <c r="A30" s="245"/>
      <c r="B30" s="99">
        <v>44012</v>
      </c>
      <c r="C30" s="100"/>
      <c r="D30" s="100"/>
      <c r="E30" s="100"/>
      <c r="F30" s="101">
        <v>169979.41490548855</v>
      </c>
      <c r="G30" s="102"/>
      <c r="H30" s="101">
        <f>H29-(H29*0.271)*(0.36*Strategy!M32/Strategy!$B$25)</f>
        <v>13056993.760953076</v>
      </c>
      <c r="I30" s="101">
        <f>I29-(I29*0.271)*(0.64*Strategy!M32/Strategy!$B$26)</f>
        <v>5940428.8306250591</v>
      </c>
      <c r="J30" s="101">
        <f t="shared" si="10"/>
        <v>18997422.591578133</v>
      </c>
      <c r="K30" s="102"/>
      <c r="L30" s="101">
        <f>L29-(L29*0.601)*(0.36*Strategy!M32/Strategy!$B$25)</f>
        <v>2307033.2486385182</v>
      </c>
      <c r="M30" s="101">
        <f>M29-(M29*0.601)*(0.64*Strategy!M32/Strategy!$B$26)</f>
        <v>790970.52317191532</v>
      </c>
      <c r="N30" s="101">
        <f t="shared" si="11"/>
        <v>3098003.7718104334</v>
      </c>
      <c r="O30" s="102">
        <f t="shared" si="12"/>
        <v>22095426.363388568</v>
      </c>
      <c r="P30" s="103">
        <f t="shared" si="7"/>
        <v>0.85978981709338131</v>
      </c>
      <c r="Q30" s="103">
        <f t="shared" si="8"/>
        <v>0.14021018290661857</v>
      </c>
      <c r="R30" s="248"/>
      <c r="S30" s="248"/>
      <c r="T30" s="248"/>
      <c r="U30" s="248"/>
      <c r="V30" s="248"/>
      <c r="W30" s="249"/>
    </row>
    <row r="31" spans="1:31" s="86" customFormat="1" x14ac:dyDescent="0.25">
      <c r="A31" s="245"/>
      <c r="B31" s="99">
        <v>44377</v>
      </c>
      <c r="C31" s="100"/>
      <c r="D31" s="100"/>
      <c r="E31" s="100"/>
      <c r="F31" s="101">
        <v>169720.79597066896</v>
      </c>
      <c r="G31" s="102"/>
      <c r="H31" s="101">
        <f>H30-(H30*0.271)*(0.36*Strategy!N32/Strategy!$B$25)</f>
        <v>12161262.310789749</v>
      </c>
      <c r="I31" s="101">
        <f>I30-(I30*0.271)*(0.64*Strategy!N32/Strategy!$B$26)</f>
        <v>5540909.5229910221</v>
      </c>
      <c r="J31" s="101">
        <f t="shared" si="10"/>
        <v>17702171.833780773</v>
      </c>
      <c r="K31" s="102"/>
      <c r="L31" s="101">
        <f>L30-(L30*0.601)*(0.36*Strategy!N32/Strategy!$B$25)</f>
        <v>1956044.1231520632</v>
      </c>
      <c r="M31" s="101">
        <f>M30-(M30*0.601)*(0.64*Strategy!N32/Strategy!$B$26)</f>
        <v>672996.75388970401</v>
      </c>
      <c r="N31" s="101">
        <f t="shared" si="11"/>
        <v>2629040.8770417674</v>
      </c>
      <c r="O31" s="102">
        <f t="shared" si="12"/>
        <v>20331212.710822541</v>
      </c>
      <c r="P31" s="103">
        <f t="shared" si="7"/>
        <v>0.87068942150989848</v>
      </c>
      <c r="Q31" s="103">
        <f t="shared" si="8"/>
        <v>0.1293105784901015</v>
      </c>
      <c r="R31" s="248"/>
      <c r="S31" s="248"/>
      <c r="T31" s="248"/>
      <c r="U31" s="248"/>
      <c r="V31" s="248"/>
      <c r="W31" s="249"/>
    </row>
    <row r="32" spans="1:31" s="91" customFormat="1" x14ac:dyDescent="0.25">
      <c r="A32" s="245"/>
      <c r="B32" s="99">
        <v>44742</v>
      </c>
      <c r="C32" s="100"/>
      <c r="D32" s="100"/>
      <c r="E32" s="100"/>
      <c r="F32" s="101">
        <v>169462</v>
      </c>
      <c r="G32" s="102"/>
      <c r="H32" s="101">
        <f>H31-(H31*0.271)*(0.36*Strategy!O32/Strategy!$B$25)</f>
        <v>11326979.525265526</v>
      </c>
      <c r="I32" s="101">
        <f>I31-(I31*0.271)*(0.64*Strategy!O32/Strategy!$B$26)</f>
        <v>5168259.6016796529</v>
      </c>
      <c r="J32" s="101">
        <f t="shared" si="10"/>
        <v>16495239.126945179</v>
      </c>
      <c r="K32" s="102"/>
      <c r="L32" s="101">
        <f>L31-(L31*0.601)*(0.36*Strategy!O32/Strategy!$B$25)</f>
        <v>1658454.0400428467</v>
      </c>
      <c r="M32" s="101">
        <f>M31-(M31*0.601)*(0.64*Strategy!O32/Strategy!$B$26)</f>
        <v>572618.84922055039</v>
      </c>
      <c r="N32" s="101">
        <f>M32+L32</f>
        <v>2231072.8892633971</v>
      </c>
      <c r="O32" s="102">
        <f t="shared" si="12"/>
        <v>18726312.016208574</v>
      </c>
      <c r="P32" s="103">
        <f t="shared" si="7"/>
        <v>0.8808589279441521</v>
      </c>
      <c r="Q32" s="103">
        <f t="shared" si="8"/>
        <v>0.11914107205584795</v>
      </c>
      <c r="R32" s="248"/>
      <c r="S32" s="248"/>
      <c r="T32" s="248"/>
      <c r="U32" s="248"/>
      <c r="V32" s="248"/>
      <c r="W32" s="249"/>
    </row>
    <row r="33" spans="1:23" s="91" customFormat="1" ht="16.5" thickBot="1" x14ac:dyDescent="0.3">
      <c r="A33" s="104"/>
      <c r="B33" s="105">
        <v>45107</v>
      </c>
      <c r="C33" s="106"/>
      <c r="D33" s="106"/>
      <c r="E33" s="106"/>
      <c r="F33" s="107">
        <v>169204</v>
      </c>
      <c r="G33" s="108"/>
      <c r="H33" s="107">
        <f>H32-(H32*0.271)*(0.36*Strategy!P32/Strategy!$B$25)</f>
        <v>10549929.923964664</v>
      </c>
      <c r="I33" s="107">
        <f>I32-(I32*0.271)*(0.64*Strategy!P32/Strategy!$B$26)</f>
        <v>4820671.9852619413</v>
      </c>
      <c r="J33" s="107">
        <f t="shared" si="10"/>
        <v>15370601.909226606</v>
      </c>
      <c r="K33" s="108"/>
      <c r="L33" s="107">
        <f>L32-(L32*0.601)*(0.36*Strategy!P32/Strategy!$B$25)</f>
        <v>1406138.9364275697</v>
      </c>
      <c r="M33" s="107">
        <f>M32-(M32*0.601)*(0.64*Strategy!P32/Strategy!$B$26)</f>
        <v>487212.37448406027</v>
      </c>
      <c r="N33" s="107">
        <f>M33+L33</f>
        <v>1893351.31091163</v>
      </c>
      <c r="O33" s="108">
        <f t="shared" si="12"/>
        <v>17263953.220138237</v>
      </c>
      <c r="P33" s="109">
        <f>J33/O33</f>
        <v>0.89032921447545077</v>
      </c>
      <c r="Q33" s="109">
        <f>N33/O33</f>
        <v>0.10967078552454913</v>
      </c>
      <c r="R33" s="256"/>
      <c r="S33" s="256"/>
      <c r="T33" s="256"/>
      <c r="U33" s="256"/>
      <c r="V33" s="256"/>
      <c r="W33" s="257"/>
    </row>
    <row r="34" spans="1:23" s="91" customFormat="1" ht="14.45" customHeight="1" x14ac:dyDescent="0.25">
      <c r="A34" s="244" t="s">
        <v>33</v>
      </c>
      <c r="B34" s="93">
        <v>42185</v>
      </c>
      <c r="C34" s="110"/>
      <c r="D34" s="110"/>
      <c r="E34" s="110"/>
      <c r="F34" s="95">
        <v>171273.92666964035</v>
      </c>
      <c r="G34" s="111"/>
      <c r="H34" s="95">
        <f>H15-(H15*0.271)*(0.36*Strategy!H$43/Strategy!$B$36)</f>
        <v>18245525.176389124</v>
      </c>
      <c r="I34" s="95">
        <f>I15-(I15*0.271)*(0.64*Strategy!H$43/Strategy!$B$37)</f>
        <v>8244821.9384945892</v>
      </c>
      <c r="J34" s="95">
        <f>H34+I34</f>
        <v>26490347.114883713</v>
      </c>
      <c r="K34" s="112"/>
      <c r="L34" s="95">
        <f>L15-(L15*0.601)*(0.36*Strategy!H$43/Strategy!$B$36)</f>
        <v>6185490.7988962168</v>
      </c>
      <c r="M34" s="95">
        <f>M15-(M15*0.601)*(0.64*Strategy!H$43/Strategy!$B$37)</f>
        <v>1688561.7415853674</v>
      </c>
      <c r="N34" s="95">
        <f>L34+M34</f>
        <v>7874052.5404815841</v>
      </c>
      <c r="O34" s="96">
        <f t="shared" ref="O34:O42" si="13">N34+J34</f>
        <v>34364399.655365296</v>
      </c>
      <c r="P34" s="97">
        <f>J34/O34</f>
        <v>0.77086599447541315</v>
      </c>
      <c r="Q34" s="97">
        <f>N34/O34</f>
        <v>0.2291340055245869</v>
      </c>
      <c r="R34" s="246" t="s">
        <v>34</v>
      </c>
      <c r="S34" s="246"/>
      <c r="T34" s="246"/>
      <c r="U34" s="246"/>
      <c r="V34" s="246"/>
      <c r="W34" s="247"/>
    </row>
    <row r="35" spans="1:23" s="86" customFormat="1" x14ac:dyDescent="0.25">
      <c r="A35" s="245"/>
      <c r="B35" s="99">
        <v>42551</v>
      </c>
      <c r="C35" s="100"/>
      <c r="D35" s="100"/>
      <c r="E35" s="100"/>
      <c r="F35" s="101">
        <v>171014.59918979384</v>
      </c>
      <c r="G35" s="91"/>
      <c r="H35" s="101">
        <f>H34-(H34*0.271)*(0.36*Strategy!I$43/Strategy!$B$36)</f>
        <v>17265792.786316905</v>
      </c>
      <c r="I35" s="101">
        <f>I34-(I34*0.271)*(0.64*Strategy!I$43/Strategy!$B$37)</f>
        <v>7810793.959066675</v>
      </c>
      <c r="J35" s="101">
        <f>H35+I35</f>
        <v>25076586.745383579</v>
      </c>
      <c r="K35" s="113"/>
      <c r="L35" s="101">
        <f>L34-(L34*0.601)*(0.36*Strategy!I$43/Strategy!$B$36)</f>
        <v>5448892.9539589258</v>
      </c>
      <c r="M35" s="101">
        <f>M34-(M34*0.601)*(0.64*Strategy!I$43/Strategy!$B$37)</f>
        <v>1491429.085937897</v>
      </c>
      <c r="N35" s="101">
        <f t="shared" ref="N35:N42" si="14">L35+M35</f>
        <v>6940322.0398968225</v>
      </c>
      <c r="O35" s="102">
        <f t="shared" si="13"/>
        <v>32016908.785280403</v>
      </c>
      <c r="P35" s="103">
        <f t="shared" ref="P35:P41" si="15">J35/O35</f>
        <v>0.78322947769749718</v>
      </c>
      <c r="Q35" s="103">
        <f t="shared" ref="Q35:Q41" si="16">N35/O35</f>
        <v>0.21677052230250277</v>
      </c>
      <c r="R35" s="248"/>
      <c r="S35" s="248"/>
      <c r="T35" s="248"/>
      <c r="U35" s="248"/>
      <c r="V35" s="248"/>
      <c r="W35" s="249"/>
    </row>
    <row r="36" spans="1:23" s="86" customFormat="1" x14ac:dyDescent="0.25">
      <c r="A36" s="245"/>
      <c r="B36" s="99">
        <v>42916</v>
      </c>
      <c r="C36" s="100"/>
      <c r="D36" s="100"/>
      <c r="E36" s="100"/>
      <c r="F36" s="101">
        <v>170755.98025497425</v>
      </c>
      <c r="G36" s="91"/>
      <c r="H36" s="101">
        <f>H35-(H35*0.271)*(0.36*Strategy!J$43/Strategy!$B$36)</f>
        <v>16191786.521769272</v>
      </c>
      <c r="I36" s="101">
        <f>I35-(I35*0.271)*(0.64*Strategy!J$43/Strategy!$B$37)</f>
        <v>7334471.7619925765</v>
      </c>
      <c r="J36" s="101">
        <f t="shared" si="10"/>
        <v>23526258.283761848</v>
      </c>
      <c r="K36" s="113"/>
      <c r="L36" s="101">
        <f>L35-(L35*0.601)*(0.36*Strategy!J$43/Strategy!$B$36)</f>
        <v>4697211.6520545259</v>
      </c>
      <c r="M36" s="101">
        <f>M35-(M35*0.601)*(0.64*Strategy!J$43/Strategy!$B$37)</f>
        <v>1289725.5886406284</v>
      </c>
      <c r="N36" s="101">
        <f t="shared" si="14"/>
        <v>5986937.2406951543</v>
      </c>
      <c r="O36" s="102">
        <f t="shared" si="13"/>
        <v>29513195.524457</v>
      </c>
      <c r="P36" s="103">
        <f t="shared" si="15"/>
        <v>0.79714371370819892</v>
      </c>
      <c r="Q36" s="103">
        <f t="shared" si="16"/>
        <v>0.20285628629180116</v>
      </c>
      <c r="R36" s="248"/>
      <c r="S36" s="248"/>
      <c r="T36" s="248"/>
      <c r="U36" s="248"/>
      <c r="V36" s="248"/>
      <c r="W36" s="249"/>
    </row>
    <row r="37" spans="1:23" s="86" customFormat="1" x14ac:dyDescent="0.25">
      <c r="A37" s="245"/>
      <c r="B37" s="99">
        <v>43281</v>
      </c>
      <c r="C37" s="100"/>
      <c r="D37" s="100"/>
      <c r="E37" s="100"/>
      <c r="F37" s="101">
        <v>170497.36132015465</v>
      </c>
      <c r="G37" s="91"/>
      <c r="H37" s="101">
        <f>H36-(H36*0.271)*(0.36*Strategy!K$43/Strategy!$B$36)</f>
        <v>15046291.101162484</v>
      </c>
      <c r="I37" s="101">
        <f>I36-(I36*0.271)*(0.64*Strategy!K$43/Strategy!$B$37)</f>
        <v>6825782.2569705369</v>
      </c>
      <c r="J37" s="101">
        <f t="shared" si="10"/>
        <v>21872073.358133022</v>
      </c>
      <c r="K37" s="113"/>
      <c r="L37" s="101">
        <f>L36-(L36*0.601)*(0.36*Strategy!K$43/Strategy!$B$36)</f>
        <v>3960251.6819090508</v>
      </c>
      <c r="M37" s="101">
        <f>M36-(M36*0.601)*(0.64*Strategy!K$43/Strategy!$B$37)</f>
        <v>1091350.8194903636</v>
      </c>
      <c r="N37" s="101">
        <f t="shared" si="14"/>
        <v>5051602.5013994146</v>
      </c>
      <c r="O37" s="102">
        <f t="shared" si="13"/>
        <v>26923675.859532438</v>
      </c>
      <c r="P37" s="103">
        <f t="shared" si="15"/>
        <v>0.81237322393290978</v>
      </c>
      <c r="Q37" s="103">
        <f t="shared" si="16"/>
        <v>0.18762677606709019</v>
      </c>
      <c r="R37" s="248"/>
      <c r="S37" s="248"/>
      <c r="T37" s="248"/>
      <c r="U37" s="248"/>
      <c r="V37" s="248"/>
      <c r="W37" s="249"/>
    </row>
    <row r="38" spans="1:23" s="86" customFormat="1" x14ac:dyDescent="0.25">
      <c r="A38" s="245"/>
      <c r="B38" s="99">
        <v>43646</v>
      </c>
      <c r="C38" s="100"/>
      <c r="D38" s="100"/>
      <c r="E38" s="100"/>
      <c r="F38" s="101">
        <v>170238.74238533506</v>
      </c>
      <c r="G38" s="91"/>
      <c r="H38" s="101">
        <f>H37-(H37*0.271)*(0.36*Strategy!L$43/Strategy!$B$36)</f>
        <v>13981834.283483604</v>
      </c>
      <c r="I38" s="101">
        <f>I37-(I37*0.271)*(0.64*Strategy!L$43/Strategy!$B$37)</f>
        <v>6352373.413039933</v>
      </c>
      <c r="J38" s="101">
        <f t="shared" si="10"/>
        <v>20334207.696523536</v>
      </c>
      <c r="K38" s="113"/>
      <c r="L38" s="101">
        <f>L37-(L37*0.601)*(0.36*Strategy!L$43/Strategy!$B$36)</f>
        <v>3338915.626082886</v>
      </c>
      <c r="M38" s="101">
        <f>M37-(M37*0.601)*(0.64*Strategy!L$43/Strategy!$B$37)</f>
        <v>923488.39295159839</v>
      </c>
      <c r="N38" s="101">
        <f t="shared" si="14"/>
        <v>4262404.0190344844</v>
      </c>
      <c r="O38" s="102">
        <f t="shared" si="13"/>
        <v>24596611.715558022</v>
      </c>
      <c r="P38" s="103">
        <f t="shared" si="15"/>
        <v>0.82670767549912572</v>
      </c>
      <c r="Q38" s="103">
        <f t="shared" si="16"/>
        <v>0.17329232450087417</v>
      </c>
      <c r="R38" s="248"/>
      <c r="S38" s="248"/>
      <c r="T38" s="248"/>
      <c r="U38" s="248"/>
      <c r="V38" s="248"/>
      <c r="W38" s="249"/>
    </row>
    <row r="39" spans="1:23" s="86" customFormat="1" x14ac:dyDescent="0.25">
      <c r="A39" s="245"/>
      <c r="B39" s="99">
        <v>44012</v>
      </c>
      <c r="C39" s="100"/>
      <c r="D39" s="100"/>
      <c r="E39" s="100"/>
      <c r="F39" s="101">
        <v>169979.41490548855</v>
      </c>
      <c r="G39" s="91"/>
      <c r="H39" s="101">
        <f>H38-(H38*0.271)*(0.36*Strategy!M$43/Strategy!$B$36)</f>
        <v>12992682.955316057</v>
      </c>
      <c r="I39" s="101">
        <f>I38-(I38*0.271)*(0.64*Strategy!M$43/Strategy!$B$37)</f>
        <v>5911798.3052401356</v>
      </c>
      <c r="J39" s="101">
        <f t="shared" si="10"/>
        <v>18904481.260556191</v>
      </c>
      <c r="K39" s="113"/>
      <c r="L39" s="101">
        <f>L38-(L38*0.601)*(0.36*Strategy!M$43/Strategy!$B$36)</f>
        <v>2815062.8933579223</v>
      </c>
      <c r="M39" s="101">
        <f>M38-(M38*0.601)*(0.64*Strategy!M$43/Strategy!$B$37)</f>
        <v>781445.15648467536</v>
      </c>
      <c r="N39" s="101">
        <f t="shared" si="14"/>
        <v>3596508.0498425979</v>
      </c>
      <c r="O39" s="102">
        <f t="shared" si="13"/>
        <v>22500989.310398787</v>
      </c>
      <c r="P39" s="103">
        <f t="shared" si="15"/>
        <v>0.84016222574798183</v>
      </c>
      <c r="Q39" s="103">
        <f t="shared" si="16"/>
        <v>0.15983777425201828</v>
      </c>
      <c r="R39" s="248"/>
      <c r="S39" s="248"/>
      <c r="T39" s="248"/>
      <c r="U39" s="248"/>
      <c r="V39" s="248"/>
      <c r="W39" s="249"/>
    </row>
    <row r="40" spans="1:23" s="86" customFormat="1" x14ac:dyDescent="0.25">
      <c r="A40" s="245"/>
      <c r="B40" s="99">
        <v>44377</v>
      </c>
      <c r="C40" s="100"/>
      <c r="D40" s="100"/>
      <c r="E40" s="100"/>
      <c r="F40" s="101">
        <v>169720.79597066896</v>
      </c>
      <c r="G40" s="91"/>
      <c r="H40" s="101">
        <f>H39-(H39*0.271)*(0.36*Strategy!N$43/Strategy!$B$36)</f>
        <v>12101363.333192863</v>
      </c>
      <c r="I40" s="101">
        <f>I39-(I39*0.271)*(0.64*Strategy!N$43/Strategy!$B$37)</f>
        <v>5514204.5231876886</v>
      </c>
      <c r="J40" s="101">
        <f t="shared" si="10"/>
        <v>17615567.856380552</v>
      </c>
      <c r="K40" s="113"/>
      <c r="L40" s="101">
        <f>L39-(L39*0.601)*(0.36*Strategy!N$43/Strategy!$B$36)</f>
        <v>2386782.7791843782</v>
      </c>
      <c r="M40" s="101">
        <f>M39-(M39*0.601)*(0.64*Strategy!N$43/Strategy!$B$37)</f>
        <v>664892.10185486672</v>
      </c>
      <c r="N40" s="101">
        <f t="shared" si="14"/>
        <v>3051674.8810392451</v>
      </c>
      <c r="O40" s="102">
        <f t="shared" si="13"/>
        <v>20667242.737419799</v>
      </c>
      <c r="P40" s="103">
        <f t="shared" si="15"/>
        <v>0.85234242807271376</v>
      </c>
      <c r="Q40" s="103">
        <f t="shared" si="16"/>
        <v>0.1476575719272861</v>
      </c>
      <c r="R40" s="248"/>
      <c r="S40" s="248"/>
      <c r="T40" s="248"/>
      <c r="U40" s="248"/>
      <c r="V40" s="248"/>
      <c r="W40" s="249"/>
    </row>
    <row r="41" spans="1:23" s="91" customFormat="1" x14ac:dyDescent="0.25">
      <c r="A41" s="245"/>
      <c r="B41" s="99">
        <v>44742</v>
      </c>
      <c r="C41" s="100"/>
      <c r="D41" s="100"/>
      <c r="E41" s="100"/>
      <c r="F41" s="101">
        <v>169462</v>
      </c>
      <c r="H41" s="101">
        <f>H40-(H40*0.271)*(0.36*Strategy!O$43/Strategy!$B$36)</f>
        <v>11271086.768863296</v>
      </c>
      <c r="I41" s="101">
        <f>I40-(I40*0.271)*(0.64*Strategy!O$43/Strategy!$B$37)</f>
        <v>5143304.6387807839</v>
      </c>
      <c r="J41" s="101">
        <f t="shared" si="10"/>
        <v>16414391.40764408</v>
      </c>
      <c r="K41" s="113"/>
      <c r="L41" s="101">
        <f>L40-(L40*0.601)*(0.36*Strategy!O$43/Strategy!$B$36)</f>
        <v>2023615.6307913335</v>
      </c>
      <c r="M41" s="101">
        <f>M40-(M40*0.601)*(0.64*Strategy!O$43/Strategy!$B$37)</f>
        <v>565710.71356705262</v>
      </c>
      <c r="N41" s="101">
        <f t="shared" si="14"/>
        <v>2589326.344358386</v>
      </c>
      <c r="O41" s="102">
        <f t="shared" si="13"/>
        <v>19003717.752002466</v>
      </c>
      <c r="P41" s="103">
        <f t="shared" si="15"/>
        <v>0.86374632700038168</v>
      </c>
      <c r="Q41" s="103">
        <f t="shared" si="16"/>
        <v>0.13625367299961832</v>
      </c>
      <c r="R41" s="248"/>
      <c r="S41" s="248"/>
      <c r="T41" s="248"/>
      <c r="U41" s="248"/>
      <c r="V41" s="248"/>
      <c r="W41" s="249"/>
    </row>
    <row r="42" spans="1:23" s="117" customFormat="1" ht="16.149999999999999" thickBot="1" x14ac:dyDescent="0.35">
      <c r="A42" s="114"/>
      <c r="B42" s="99">
        <v>45107</v>
      </c>
      <c r="C42" s="100"/>
      <c r="D42" s="100"/>
      <c r="E42" s="100"/>
      <c r="F42" s="101">
        <v>169204</v>
      </c>
      <c r="G42" s="91"/>
      <c r="H42" s="101">
        <f>H41-(H41*0.271)*(0.36*Strategy!P$43/Strategy!$B$36)</f>
        <v>10497775.618619271</v>
      </c>
      <c r="I42" s="101">
        <f>I41-(I41*0.271)*(0.64*Strategy!P$43/Strategy!$B$37)</f>
        <v>4797352.455111959</v>
      </c>
      <c r="J42" s="101">
        <f t="shared" si="10"/>
        <v>15295128.073731229</v>
      </c>
      <c r="K42" s="113"/>
      <c r="L42" s="101">
        <f>L41-(L41*0.601)*(0.36*Strategy!P$43/Strategy!$B$36)</f>
        <v>1715707.1254646704</v>
      </c>
      <c r="M42" s="101">
        <f>M41-(M41*0.601)*(0.64*Strategy!P$43/Strategy!$B$37)</f>
        <v>481324.12845896609</v>
      </c>
      <c r="N42" s="101">
        <f t="shared" si="14"/>
        <v>2197031.2539236364</v>
      </c>
      <c r="O42" s="102">
        <f t="shared" si="13"/>
        <v>17492159.327654865</v>
      </c>
      <c r="P42" s="103"/>
      <c r="Q42" s="103"/>
      <c r="R42" s="115"/>
      <c r="S42" s="115"/>
      <c r="T42" s="115"/>
      <c r="U42" s="115"/>
      <c r="V42" s="115"/>
      <c r="W42" s="116"/>
    </row>
    <row r="43" spans="1:23" s="91" customFormat="1" ht="14.45" customHeight="1" x14ac:dyDescent="0.25">
      <c r="A43" s="244" t="s">
        <v>35</v>
      </c>
      <c r="B43" s="93">
        <v>42185</v>
      </c>
      <c r="C43" s="110"/>
      <c r="D43" s="110"/>
      <c r="E43" s="110"/>
      <c r="F43" s="95">
        <v>171273.92666964035</v>
      </c>
      <c r="G43" s="111"/>
      <c r="H43" s="95">
        <f>H15-(H15*0.271)*(0.36*Strategy!H$54/Strategy!$B$36)</f>
        <v>17810530.602382753</v>
      </c>
      <c r="I43" s="95">
        <f>I15-(I15*0.271)*(0.64*Strategy!H$54/Strategy!$B$37)</f>
        <v>8052330.9709017957</v>
      </c>
      <c r="J43" s="95">
        <f t="shared" si="10"/>
        <v>25862861.573284548</v>
      </c>
      <c r="K43" s="112"/>
      <c r="L43" s="95">
        <f>L15-(L15*0.601)*(0.36*Strategy!H$54/Strategy!$B$36)</f>
        <v>5834170.8082018625</v>
      </c>
      <c r="M43" s="95">
        <f>M15-(M15*0.601)*(0.64*Strategy!H$54/Strategy!$B$37)</f>
        <v>1594788.3899863556</v>
      </c>
      <c r="N43" s="95">
        <f>L43+M43</f>
        <v>7428959.1981882183</v>
      </c>
      <c r="O43" s="96">
        <f>N43+J43</f>
        <v>33291820.771472767</v>
      </c>
      <c r="P43" s="97">
        <f>J43/O43</f>
        <v>0.77685332234655136</v>
      </c>
      <c r="Q43" s="97">
        <f>N43/O43</f>
        <v>0.22314667765344862</v>
      </c>
      <c r="R43" s="246" t="s">
        <v>36</v>
      </c>
      <c r="S43" s="246"/>
      <c r="T43" s="246"/>
      <c r="U43" s="246"/>
      <c r="V43" s="246"/>
      <c r="W43" s="247"/>
    </row>
    <row r="44" spans="1:23" s="86" customFormat="1" x14ac:dyDescent="0.25">
      <c r="A44" s="245"/>
      <c r="B44" s="99">
        <v>42551</v>
      </c>
      <c r="C44" s="100"/>
      <c r="D44" s="100"/>
      <c r="E44" s="100"/>
      <c r="F44" s="101">
        <v>171014.59918979384</v>
      </c>
      <c r="G44" s="91"/>
      <c r="H44" s="101">
        <f>H43-(H43*0.271)*(0.36*Strategy!I$54/Strategy!$B$36)</f>
        <v>16410514.803825675</v>
      </c>
      <c r="I44" s="101">
        <f>I43-(I43*0.271)*(0.64*Strategy!I$54/Strategy!$B$37)</f>
        <v>7431800.5967720961</v>
      </c>
      <c r="J44" s="101">
        <f t="shared" si="10"/>
        <v>23842315.40059777</v>
      </c>
      <c r="K44" s="113"/>
      <c r="L44" s="101">
        <f>L43-(L43*0.601)*(0.36*Strategy!I$54/Strategy!$B$36)</f>
        <v>4817125.2682979554</v>
      </c>
      <c r="M44" s="101">
        <f>M43-(M43*0.601)*(0.64*Strategy!I$54/Strategy!$B$37)</f>
        <v>1322236.2013713811</v>
      </c>
      <c r="N44" s="101">
        <f t="shared" ref="N44:N51" si="17">L44+M44</f>
        <v>6139361.4696693365</v>
      </c>
      <c r="O44" s="102">
        <f t="shared" ref="O44:O51" si="18">N44+J44</f>
        <v>29981676.870267108</v>
      </c>
      <c r="P44" s="103">
        <f t="shared" ref="P44:P50" si="19">J44/O44</f>
        <v>0.7952295498268892</v>
      </c>
      <c r="Q44" s="103">
        <f t="shared" ref="Q44:Q50" si="20">N44/O44</f>
        <v>0.20477045017311071</v>
      </c>
      <c r="R44" s="248"/>
      <c r="S44" s="248"/>
      <c r="T44" s="248"/>
      <c r="U44" s="248"/>
      <c r="V44" s="248"/>
      <c r="W44" s="249"/>
    </row>
    <row r="45" spans="1:23" s="86" customFormat="1" x14ac:dyDescent="0.25">
      <c r="A45" s="245"/>
      <c r="B45" s="99">
        <v>42916</v>
      </c>
      <c r="C45" s="100"/>
      <c r="D45" s="100"/>
      <c r="E45" s="100"/>
      <c r="F45" s="101">
        <v>170755.98025497425</v>
      </c>
      <c r="G45" s="91"/>
      <c r="H45" s="101">
        <f>H44-(H44*0.271)*(0.36*Strategy!J$54/Strategy!$B$36)</f>
        <v>15284726.242363991</v>
      </c>
      <c r="I45" s="101">
        <f>I44-(I44*0.271)*(0.64*Strategy!J$54/Strategy!$B$37)</f>
        <v>6931980.1438126098</v>
      </c>
      <c r="J45" s="101">
        <f t="shared" si="10"/>
        <v>22216706.386176601</v>
      </c>
      <c r="K45" s="113"/>
      <c r="L45" s="101">
        <f>L44-(L44*0.601)*(0.36*Strategy!J$54/Strategy!$B$36)</f>
        <v>4084253.9122928372</v>
      </c>
      <c r="M45" s="101">
        <f>M44-(M44*0.601)*(0.64*Strategy!J$54/Strategy!$B$37)</f>
        <v>1125023.8097747464</v>
      </c>
      <c r="N45" s="101">
        <f t="shared" si="17"/>
        <v>5209277.7220675834</v>
      </c>
      <c r="O45" s="102">
        <f t="shared" si="18"/>
        <v>27425984.108244184</v>
      </c>
      <c r="P45" s="103">
        <f t="shared" si="19"/>
        <v>0.8100604995063172</v>
      </c>
      <c r="Q45" s="103">
        <f t="shared" si="20"/>
        <v>0.18993950049368283</v>
      </c>
      <c r="R45" s="248"/>
      <c r="S45" s="248"/>
      <c r="T45" s="248"/>
      <c r="U45" s="248"/>
      <c r="V45" s="248"/>
      <c r="W45" s="249"/>
    </row>
    <row r="46" spans="1:23" s="86" customFormat="1" x14ac:dyDescent="0.25">
      <c r="A46" s="245"/>
      <c r="B46" s="99">
        <v>43281</v>
      </c>
      <c r="C46" s="100"/>
      <c r="D46" s="100"/>
      <c r="E46" s="100"/>
      <c r="F46" s="101">
        <v>170497.36132015465</v>
      </c>
      <c r="G46" s="91"/>
      <c r="H46" s="101">
        <f>H45-(H45*0.271)*(0.36*Strategy!K$54/Strategy!$B$36)</f>
        <v>14236168.645333875</v>
      </c>
      <c r="I46" s="101">
        <f>I45-(I45*0.271)*(0.64*Strategy!K$54/Strategy!$B$37)</f>
        <v>6465774.7592263427</v>
      </c>
      <c r="J46" s="101">
        <f t="shared" si="10"/>
        <v>20701943.404560216</v>
      </c>
      <c r="K46" s="113"/>
      <c r="L46" s="101">
        <f>L45-(L45*0.601)*(0.36*Strategy!K$54/Strategy!$B$36)</f>
        <v>3462880.6790348059</v>
      </c>
      <c r="M46" s="101">
        <f>M45-(M45*0.601)*(0.64*Strategy!K$54/Strategy!$B$37)</f>
        <v>957225.77497678809</v>
      </c>
      <c r="N46" s="101">
        <f t="shared" si="17"/>
        <v>4420106.4540115939</v>
      </c>
      <c r="O46" s="102">
        <f t="shared" si="18"/>
        <v>25122049.858571809</v>
      </c>
      <c r="P46" s="103">
        <f t="shared" si="19"/>
        <v>0.82405470577061912</v>
      </c>
      <c r="Q46" s="103">
        <f t="shared" si="20"/>
        <v>0.17594529422938091</v>
      </c>
      <c r="R46" s="248"/>
      <c r="S46" s="248"/>
      <c r="T46" s="248"/>
      <c r="U46" s="248"/>
      <c r="V46" s="248"/>
      <c r="W46" s="249"/>
    </row>
    <row r="47" spans="1:23" s="86" customFormat="1" x14ac:dyDescent="0.25">
      <c r="A47" s="245"/>
      <c r="B47" s="99">
        <v>43646</v>
      </c>
      <c r="C47" s="100"/>
      <c r="D47" s="100"/>
      <c r="E47" s="100"/>
      <c r="F47" s="101">
        <v>170238.74238533506</v>
      </c>
      <c r="G47" s="91"/>
      <c r="H47" s="101">
        <f>H46-(H46*0.271)*(0.36*Strategy!L$54/Strategy!$B$36)</f>
        <v>13259543.840350907</v>
      </c>
      <c r="I47" s="101">
        <f>I46-(I46*0.271)*(0.64*Strategy!L$54/Strategy!$B$37)</f>
        <v>6030923.6855451968</v>
      </c>
      <c r="J47" s="101">
        <f t="shared" si="10"/>
        <v>19290467.525896102</v>
      </c>
      <c r="K47" s="113"/>
      <c r="L47" s="101">
        <f>L46-(L46*0.601)*(0.36*Strategy!L$54/Strategy!$B$36)</f>
        <v>2936042.3849115423</v>
      </c>
      <c r="M47" s="101">
        <f>M46-(M46*0.601)*(0.64*Strategy!L$54/Strategy!$B$37)</f>
        <v>814454.92648139736</v>
      </c>
      <c r="N47" s="101">
        <f t="shared" si="17"/>
        <v>3750497.3113929396</v>
      </c>
      <c r="O47" s="102">
        <f t="shared" si="18"/>
        <v>23040964.837289043</v>
      </c>
      <c r="P47" s="103">
        <f t="shared" si="19"/>
        <v>0.8372248151117696</v>
      </c>
      <c r="Q47" s="103">
        <f t="shared" si="20"/>
        <v>0.16277518488823042</v>
      </c>
      <c r="R47" s="248"/>
      <c r="S47" s="248"/>
      <c r="T47" s="248"/>
      <c r="U47" s="248"/>
      <c r="V47" s="248"/>
      <c r="W47" s="249"/>
    </row>
    <row r="48" spans="1:23" s="86" customFormat="1" x14ac:dyDescent="0.25">
      <c r="A48" s="245"/>
      <c r="B48" s="99">
        <v>44012</v>
      </c>
      <c r="C48" s="100"/>
      <c r="D48" s="100"/>
      <c r="E48" s="100"/>
      <c r="F48" s="101">
        <v>169979.41490548855</v>
      </c>
      <c r="G48" s="91"/>
      <c r="H48" s="101">
        <f>H47-(H47*0.271)*(0.36*Strategy!M$54/Strategy!$B$36)</f>
        <v>12349917.11845265</v>
      </c>
      <c r="I48" s="101">
        <f>I47-(I47*0.271)*(0.64*Strategy!M$54/Strategy!$B$37)</f>
        <v>5625318.2109334916</v>
      </c>
      <c r="J48" s="101">
        <f t="shared" si="10"/>
        <v>17975235.329386141</v>
      </c>
      <c r="K48" s="113"/>
      <c r="L48" s="101">
        <f>L47-(L47*0.601)*(0.36*Strategy!M$43/Strategy!$B$36)</f>
        <v>2475397.6729825293</v>
      </c>
      <c r="M48" s="101">
        <f>M47-(M47*0.601)*(0.64*Strategy!M$54/Strategy!$B$37)</f>
        <v>692978.4431326075</v>
      </c>
      <c r="N48" s="101">
        <f t="shared" si="17"/>
        <v>3168376.116115137</v>
      </c>
      <c r="O48" s="102">
        <f t="shared" si="18"/>
        <v>21143611.445501279</v>
      </c>
      <c r="P48" s="103">
        <f t="shared" si="19"/>
        <v>0.85014971901646097</v>
      </c>
      <c r="Q48" s="103">
        <f t="shared" si="20"/>
        <v>0.14985028098353895</v>
      </c>
      <c r="R48" s="248"/>
      <c r="S48" s="248"/>
      <c r="T48" s="248"/>
      <c r="U48" s="248"/>
      <c r="V48" s="248"/>
      <c r="W48" s="249"/>
    </row>
    <row r="49" spans="1:23" s="86" customFormat="1" x14ac:dyDescent="0.25">
      <c r="A49" s="245"/>
      <c r="B49" s="99">
        <v>44377</v>
      </c>
      <c r="C49" s="100"/>
      <c r="D49" s="100"/>
      <c r="E49" s="100"/>
      <c r="F49" s="101">
        <v>169720.79597066896</v>
      </c>
      <c r="G49" s="91"/>
      <c r="H49" s="101">
        <f>H48-(H48*0.271)*(0.36*Strategy!N$54/Strategy!$B$36)</f>
        <v>11502692.299904445</v>
      </c>
      <c r="I49" s="101">
        <f>I48-(I48*0.271)*(0.64*Strategy!N$54/Strategy!$B$37)</f>
        <v>5246991.4434673097</v>
      </c>
      <c r="J49" s="101">
        <f t="shared" si="10"/>
        <v>16749683.743371755</v>
      </c>
      <c r="K49" s="113"/>
      <c r="L49" s="101">
        <f>L48-(L48*0.601)*(0.36*Strategy!N$54/Strategy!$B$36)</f>
        <v>2098793.7965606861</v>
      </c>
      <c r="M49" s="101">
        <f>M48-(M48*0.601)*(0.64*Strategy!N$54/Strategy!$B$37)</f>
        <v>589620.25648384495</v>
      </c>
      <c r="N49" s="101">
        <f t="shared" si="17"/>
        <v>2688414.053044531</v>
      </c>
      <c r="O49" s="102">
        <f t="shared" si="18"/>
        <v>19438097.796416286</v>
      </c>
      <c r="P49" s="103">
        <f t="shared" si="19"/>
        <v>0.86169356275488118</v>
      </c>
      <c r="Q49" s="103">
        <f t="shared" si="20"/>
        <v>0.13830643724511879</v>
      </c>
      <c r="R49" s="248"/>
      <c r="S49" s="248"/>
      <c r="T49" s="248"/>
      <c r="U49" s="248"/>
      <c r="V49" s="248"/>
      <c r="W49" s="249"/>
    </row>
    <row r="50" spans="1:23" s="91" customFormat="1" x14ac:dyDescent="0.25">
      <c r="A50" s="245"/>
      <c r="B50" s="99">
        <v>44742</v>
      </c>
      <c r="C50" s="100"/>
      <c r="D50" s="100"/>
      <c r="E50" s="100"/>
      <c r="F50" s="101">
        <v>169462</v>
      </c>
      <c r="H50" s="101">
        <f>H49-(H49*0.271)*(0.36*Strategy!O$54/Strategy!$B$36)</f>
        <v>10713490.655399732</v>
      </c>
      <c r="I50" s="101">
        <f>I49-(I49*0.271)*(0.64*Strategy!O$54/Strategy!$B$37)</f>
        <v>4894065.012885619</v>
      </c>
      <c r="J50" s="101">
        <f t="shared" si="10"/>
        <v>15607555.668285351</v>
      </c>
      <c r="K50" s="113"/>
      <c r="L50" s="101">
        <f>L49-(L49*0.601)*(0.36*Strategy!O$54/Strategy!$B$36)</f>
        <v>1779446.3616749595</v>
      </c>
      <c r="M50" s="101">
        <f>M49-(M49*0.601)*(0.64*Strategy!O$54/Strategy!$B$37)</f>
        <v>501667.10523186979</v>
      </c>
      <c r="N50" s="101">
        <f t="shared" si="17"/>
        <v>2281113.4669068293</v>
      </c>
      <c r="O50" s="102">
        <f t="shared" si="18"/>
        <v>17888669.135192182</v>
      </c>
      <c r="P50" s="103">
        <f t="shared" si="19"/>
        <v>0.87248277389069595</v>
      </c>
      <c r="Q50" s="103">
        <f t="shared" si="20"/>
        <v>0.12751722610930402</v>
      </c>
      <c r="R50" s="248"/>
      <c r="S50" s="248"/>
      <c r="T50" s="248"/>
      <c r="U50" s="248"/>
      <c r="V50" s="248"/>
      <c r="W50" s="249"/>
    </row>
    <row r="51" spans="1:23" s="117" customFormat="1" ht="16.5" thickBot="1" x14ac:dyDescent="0.3">
      <c r="A51" s="104"/>
      <c r="B51" s="105">
        <v>45107</v>
      </c>
      <c r="C51" s="106"/>
      <c r="D51" s="106"/>
      <c r="E51" s="106"/>
      <c r="F51" s="107">
        <v>169204</v>
      </c>
      <c r="H51" s="107">
        <f>H50-(H50*0.271)*(0.36*Strategy!P$54/Strategy!$B$36)</f>
        <v>9978527.4091300946</v>
      </c>
      <c r="I51" s="107">
        <f>I50-(I50*0.271)*(0.64*Strategy!P$54/Strategy!$B$37)</f>
        <v>4564918.1581360288</v>
      </c>
      <c r="J51" s="107">
        <f t="shared" si="10"/>
        <v>14543445.567266123</v>
      </c>
      <c r="K51" s="118"/>
      <c r="L51" s="107">
        <f>L50-(L50*0.601)*(0.36*Strategy!P$54/Strategy!$B$36)</f>
        <v>1508723.6390167871</v>
      </c>
      <c r="M51" s="107">
        <f>M50-(M50*0.601)*(0.64*Strategy!P$54/Strategy!$B$37)</f>
        <v>426843.12937526754</v>
      </c>
      <c r="N51" s="107">
        <f t="shared" si="17"/>
        <v>1935566.7683920546</v>
      </c>
      <c r="O51" s="108">
        <f t="shared" si="18"/>
        <v>16479012.335658178</v>
      </c>
      <c r="P51" s="109"/>
      <c r="Q51" s="109"/>
      <c r="R51" s="119"/>
      <c r="S51" s="119"/>
      <c r="T51" s="119"/>
      <c r="U51" s="119"/>
      <c r="V51" s="119"/>
      <c r="W51" s="120"/>
    </row>
  </sheetData>
  <mergeCells count="8">
    <mergeCell ref="A43:A50"/>
    <mergeCell ref="R43:W50"/>
    <mergeCell ref="A16:A23"/>
    <mergeCell ref="R16:W24"/>
    <mergeCell ref="A25:A32"/>
    <mergeCell ref="R25:W33"/>
    <mergeCell ref="A34:A41"/>
    <mergeCell ref="R34:W41"/>
  </mergeCells>
  <pageMargins left="0.7" right="0.7" top="0.75" bottom="0.75" header="0.3" footer="0.3"/>
  <pageSetup scale="50" orientation="landscape" r:id="rId1"/>
  <headerFooter>
    <oddHeader>&amp;RKPSC Case No. 2014-00396
Commission Staff's Second Set of Data Requests
Date January 29, 2015
Item No. 5m
Attachment 1
Page &amp;P of &amp;N</oddHeader>
  </headerFooter>
  <colBreaks count="2" manualBreakCount="2">
    <brk id="10" max="50" man="1"/>
    <brk id="23"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Scenario Comparison 4yr</vt:lpstr>
      <vt:lpstr>2014 Cost Per Mile thru Sept</vt:lpstr>
      <vt:lpstr>Scenario Mileage Table 4yr</vt:lpstr>
      <vt:lpstr>Strategy</vt:lpstr>
      <vt:lpstr>CMI Calculations</vt:lpstr>
      <vt:lpstr>'CMI Calculations'!Print_Area</vt:lpstr>
      <vt:lpstr>Strategy!Print_Area</vt:lpstr>
    </vt:vector>
  </TitlesOfParts>
  <Company>American Electric Power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AEP</dc:creator>
  <cp:lastModifiedBy>AEP</cp:lastModifiedBy>
  <cp:lastPrinted>2015-02-06T21:40:38Z</cp:lastPrinted>
  <dcterms:created xsi:type="dcterms:W3CDTF">2014-10-26T10:48:37Z</dcterms:created>
  <dcterms:modified xsi:type="dcterms:W3CDTF">2015-02-11T16:22:02Z</dcterms:modified>
</cp:coreProperties>
</file>