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22692" windowHeight="11376" activeTab="2"/>
  </bookViews>
  <sheets>
    <sheet name="Pg 1- Payroll Adj" sheetId="1" r:id="rId1"/>
    <sheet name="Pg 2-Taxes Adj" sheetId="2" r:id="rId2"/>
    <sheet name="Pg 3 Adj by Account" sheetId="3" r:id="rId3"/>
  </sheets>
  <definedNames>
    <definedName name="_xlnm.Print_Area" localSheetId="0">'Pg 1- Payroll Adj'!$A$1:$O$56</definedName>
    <definedName name="_xlnm.Print_Area" localSheetId="1">'Pg 2-Taxes Adj'!$A$1:$N$57</definedName>
    <definedName name="_xlnm.Print_Area" localSheetId="2">'Pg 3 Adj by Account'!$A$1:$J$71</definedName>
  </definedNames>
  <calcPr fullCalcOnLoad="1"/>
</workbook>
</file>

<file path=xl/sharedStrings.xml><?xml version="1.0" encoding="utf-8"?>
<sst xmlns="http://schemas.openxmlformats.org/spreadsheetml/2006/main" count="194" uniqueCount="144">
  <si>
    <t>Kentucky Power Company</t>
  </si>
  <si>
    <t>Payroll and Savings Plan</t>
  </si>
  <si>
    <t>Transmission</t>
  </si>
  <si>
    <t>Distribution</t>
  </si>
  <si>
    <t>T&amp;D Amount</t>
  </si>
  <si>
    <t>Changes to Base Payroll:</t>
  </si>
  <si>
    <t xml:space="preserve"> (Excluding overtime, severance payments, incentive payments and other remunerations)</t>
  </si>
  <si>
    <t xml:space="preserve">Annualized Payroll Costs </t>
  </si>
  <si>
    <t>Exempt</t>
  </si>
  <si>
    <t>Nonexempt</t>
  </si>
  <si>
    <t>Salaried Nonexempt</t>
  </si>
  <si>
    <t>Total Single Pay Period</t>
  </si>
  <si>
    <t>Annual Pay Periods</t>
  </si>
  <si>
    <t>Total Annualized Payroll</t>
  </si>
  <si>
    <t>Test Period Payroll</t>
  </si>
  <si>
    <t>Total Test Period Payroll</t>
  </si>
  <si>
    <t>Annualization Adjustment of Base Payroll</t>
  </si>
  <si>
    <t xml:space="preserve">KPCo O&amp;M% </t>
  </si>
  <si>
    <t>Adjustment for Annualized Payroll Expense</t>
  </si>
  <si>
    <t>Changes to Savings Plan Expenses:</t>
  </si>
  <si>
    <t>Savings Plan Loading Rate</t>
  </si>
  <si>
    <t>Change in Savings Plan Cost</t>
  </si>
  <si>
    <t>Adjustment for Changes to Savings Plan Expenses</t>
  </si>
  <si>
    <t>408 Payroll Taxes Related to the Payroll Adjustment</t>
  </si>
  <si>
    <t>To Recognize the Effect of Social Security Taxes on Salary Adjustment</t>
  </si>
  <si>
    <t>Remove Amount of Salaries Not Subject to Social Security Tax:</t>
  </si>
  <si>
    <t>Salaries in Excess of Social Security Taxes</t>
  </si>
  <si>
    <t>Salaries, Paid Overtime and Incentives</t>
  </si>
  <si>
    <t>Percentage Not Subject to Social Security Tax</t>
  </si>
  <si>
    <t>Percentage of Salaries Subject to Social Security Tax</t>
  </si>
  <si>
    <t>Adjustment to Payroll Subject to Social Security Tax</t>
  </si>
  <si>
    <t>Social Security Tax Rate</t>
  </si>
  <si>
    <t>Total Social Security Tax Adjustment</t>
  </si>
  <si>
    <t>Adjustment for Social Security Tax Expenses</t>
  </si>
  <si>
    <t>To Recognize the Effect of Medicare Taxes on Salary Adjustment</t>
  </si>
  <si>
    <t>Total Adjustment to Payroll subject to Medicare</t>
  </si>
  <si>
    <t>Medicare Tax Rate</t>
  </si>
  <si>
    <t>Increase/(Reduction) in Medicare Tax</t>
  </si>
  <si>
    <t>To Recognize the Effect of the Increase in the FICA Base</t>
  </si>
  <si>
    <t>Employees earning more than FICA limit in test year</t>
  </si>
  <si>
    <t>Increase in FICA Base</t>
  </si>
  <si>
    <t>Adjustment to FICA Base</t>
  </si>
  <si>
    <t>Increase in FICA due to Increase in Base</t>
  </si>
  <si>
    <t>Adjustment for FICA Tax Base Expenses</t>
  </si>
  <si>
    <t>Payroll and Savings Plan Adjustment by Account</t>
  </si>
  <si>
    <t>Annualized Payroll</t>
  </si>
  <si>
    <t>Savings Plan</t>
  </si>
  <si>
    <t>Account</t>
  </si>
  <si>
    <t>Amount</t>
  </si>
  <si>
    <t>Total</t>
  </si>
  <si>
    <t>5600</t>
  </si>
  <si>
    <t>5620</t>
  </si>
  <si>
    <t>5630</t>
  </si>
  <si>
    <t>5660</t>
  </si>
  <si>
    <t>5680</t>
  </si>
  <si>
    <t>5690</t>
  </si>
  <si>
    <t>5700</t>
  </si>
  <si>
    <t>5710</t>
  </si>
  <si>
    <t>5730</t>
  </si>
  <si>
    <t>5800</t>
  </si>
  <si>
    <t>5820</t>
  </si>
  <si>
    <t>5830</t>
  </si>
  <si>
    <t>5840</t>
  </si>
  <si>
    <t>5850</t>
  </si>
  <si>
    <t>5860</t>
  </si>
  <si>
    <t>5870</t>
  </si>
  <si>
    <t>5880</t>
  </si>
  <si>
    <t>5900</t>
  </si>
  <si>
    <t>5910</t>
  </si>
  <si>
    <t>5920</t>
  </si>
  <si>
    <t>5930</t>
  </si>
  <si>
    <t>5940</t>
  </si>
  <si>
    <t>5950</t>
  </si>
  <si>
    <t>5960</t>
  </si>
  <si>
    <t>5970</t>
  </si>
  <si>
    <t>5980</t>
  </si>
  <si>
    <t>9010</t>
  </si>
  <si>
    <t>9020</t>
  </si>
  <si>
    <t>9030</t>
  </si>
  <si>
    <t>9050</t>
  </si>
  <si>
    <t>9070</t>
  </si>
  <si>
    <t>9080</t>
  </si>
  <si>
    <t>9100</t>
  </si>
  <si>
    <t>Adminstrative and General</t>
  </si>
  <si>
    <t>9200</t>
  </si>
  <si>
    <t>9210</t>
  </si>
  <si>
    <t>9220</t>
  </si>
  <si>
    <t>9230</t>
  </si>
  <si>
    <t>9250</t>
  </si>
  <si>
    <t>9260</t>
  </si>
  <si>
    <t>9280</t>
  </si>
  <si>
    <t>9301</t>
  </si>
  <si>
    <t>9302</t>
  </si>
  <si>
    <t>9350</t>
  </si>
  <si>
    <t>Trans</t>
  </si>
  <si>
    <t>Dist</t>
  </si>
  <si>
    <t>A&amp;G</t>
  </si>
  <si>
    <t>For the Test Year Ended September 30, 2014</t>
  </si>
  <si>
    <t>Pay Period Ending September 26, 2014</t>
  </si>
  <si>
    <t>KYJurisdictional Factor - OLM</t>
  </si>
  <si>
    <t>2013</t>
  </si>
  <si>
    <t>FICA Tax Base for 2015</t>
  </si>
  <si>
    <t>FICA Tax Base for 2013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</si>
  <si>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</si>
  <si>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</si>
  <si>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</si>
  <si>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</si>
  <si>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</si>
  <si>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</si>
  <si>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</si>
  <si>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</si>
  <si>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</si>
  <si>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</si>
  <si>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</si>
  <si>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</si>
  <si>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</si>
  <si>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</si>
  <si>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</si>
  <si>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</si>
  <si>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</si>
  <si>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</si>
  <si>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</si>
  <si>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</si>
  <si>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</si>
  <si>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</si>
  <si>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</si>
  <si>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</si>
  <si>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</si>
  <si>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</si>
  <si>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</si>
  <si>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</si>
  <si>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</si>
  <si>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</si>
  <si>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</si>
  <si>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</si>
  <si>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</si>
  <si>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</si>
  <si>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SECTION V
WORKPAPER s-4
PAG 26 &amp; 27</t>
  </si>
  <si>
    <t>(26) Annualized Payroll Expense Adjustment</t>
  </si>
  <si>
    <t>(27) Changes to Savings Plan Expenses Adjustment</t>
  </si>
  <si>
    <t>(28) Social Security Tax Expenses Adjustment (Acct. 408)</t>
  </si>
  <si>
    <t>(29) Medicare Tax Expenses Adjustment (Acct. 408)</t>
  </si>
  <si>
    <t>(30) FICA Tax Expenses Adjustment (Acct. 408)</t>
  </si>
  <si>
    <t>SECTION V
WORKPAPER s-4
PAGE 28-30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</si>
</sst>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000%"/>
    <numFmt numFmtId="166" formatCode="mmm\-yy_)"/>
    <numFmt numFmtId="167" formatCode="_(&quot;$&quot;* #,##0_);_(&quot;$&quot;* \(#,##0\);_(&quot;$&quot;* &quot;-&quot;??_);_(@_)"/>
    <numFmt numFmtId="168" formatCode="0.000%"/>
    <numFmt numFmtId="169" formatCode="_(* #,##0.00000_);_(* \(#,##0.00000\);_(* &quot;-&quot;??_);_(@_)"/>
    <numFmt numFmtId="170" formatCode="_(* #,##0.0000_);_(* \(#,##0.0000\);_(* &quot;-&quot;??_);_(@_)"/>
    <numFmt numFmtId="171" formatCode="_(* #,##0.000_);_(* \(#,##0.000\);_(* &quot;-&quot;??_);_(@_)"/>
    <numFmt numFmtId="172" formatCode="_(* #,##0.0000000_);_(* \(#,##0.0000000\);_(* &quot;-&quot;??_);_(@_)"/>
    <numFmt numFmtId="173" formatCode="_(* #,##0.00000000_);_(* \(#,##0.00000000\);_(* &quot;-&quot;??_);_(@_)"/>
  </numFmts>
  <fonts count="54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6.5"/>
      <name val="MS Sans Serif"/>
      <family val="2"/>
    </font>
    <font>
      <b/>
      <sz val="6.5"/>
      <name val="Arial"/>
      <family val="2"/>
    </font>
    <font>
      <sz val="6.5"/>
      <name val="Arial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8.5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/>
      <bottom style="thick"/>
    </border>
    <border>
      <left/>
      <right/>
      <top style="thin">
        <color theme="1"/>
      </top>
      <bottom/>
    </border>
    <border>
      <left/>
      <right/>
      <top style="medium">
        <color theme="1"/>
      </top>
      <bottom/>
    </border>
  </borders>
  <cellStyleXfs count="9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5" fillId="31" borderId="0">
      <alignment/>
      <protection/>
    </xf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33" borderId="7" applyNumberFormat="0" applyFont="0" applyAlignment="0" applyProtection="0"/>
    <xf numFmtId="0" fontId="50" fillId="27" borderId="8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34" borderId="0" applyNumberFormat="0" applyFon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37" fontId="2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38" fontId="2" fillId="0" borderId="0" xfId="0" applyNumberFormat="1" applyFont="1" applyFill="1" applyAlignment="1" applyProtection="1">
      <alignment/>
      <protection/>
    </xf>
    <xf numFmtId="5" fontId="2" fillId="0" borderId="0" xfId="0" applyNumberFormat="1" applyFont="1" applyFill="1" applyAlignment="1" applyProtection="1">
      <alignment/>
      <protection/>
    </xf>
    <xf numFmtId="38" fontId="2" fillId="0" borderId="0" xfId="0" applyNumberFormat="1" applyFont="1" applyFill="1" applyAlignment="1">
      <alignment/>
    </xf>
    <xf numFmtId="37" fontId="2" fillId="0" borderId="0" xfId="0" applyNumberFormat="1" applyFont="1" applyAlignment="1">
      <alignment/>
    </xf>
    <xf numFmtId="10" fontId="2" fillId="0" borderId="12" xfId="0" applyNumberFormat="1" applyFont="1" applyBorder="1" applyAlignment="1" applyProtection="1">
      <alignment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/>
    </xf>
    <xf numFmtId="164" fontId="2" fillId="0" borderId="0" xfId="42" applyNumberFormat="1" applyFont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37" fontId="4" fillId="0" borderId="13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38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/>
    </xf>
    <xf numFmtId="10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>
      <alignment/>
    </xf>
    <xf numFmtId="5" fontId="2" fillId="0" borderId="0" xfId="0" applyNumberFormat="1" applyFont="1" applyBorder="1" applyAlignment="1" applyProtection="1">
      <alignment/>
      <protection/>
    </xf>
    <xf numFmtId="167" fontId="2" fillId="0" borderId="0" xfId="49" applyNumberFormat="1" applyFont="1" applyBorder="1" applyAlignment="1">
      <alignment/>
    </xf>
    <xf numFmtId="37" fontId="2" fillId="0" borderId="11" xfId="0" applyNumberFormat="1" applyFont="1" applyBorder="1" applyAlignment="1" applyProtection="1">
      <alignment/>
      <protection/>
    </xf>
    <xf numFmtId="167" fontId="2" fillId="0" borderId="0" xfId="49" applyNumberFormat="1" applyFont="1" applyFill="1" applyBorder="1" applyAlignment="1">
      <alignment/>
    </xf>
    <xf numFmtId="167" fontId="2" fillId="0" borderId="0" xfId="49" applyNumberFormat="1" applyFont="1" applyAlignment="1" applyProtection="1">
      <alignment/>
      <protection/>
    </xf>
    <xf numFmtId="167" fontId="2" fillId="0" borderId="12" xfId="49" applyNumberFormat="1" applyFont="1" applyBorder="1" applyAlignment="1" applyProtection="1">
      <alignment/>
      <protection/>
    </xf>
    <xf numFmtId="0" fontId="9" fillId="0" borderId="0" xfId="70">
      <alignment/>
      <protection/>
    </xf>
    <xf numFmtId="0" fontId="9" fillId="0" borderId="0" xfId="70" applyFill="1">
      <alignment/>
      <protection/>
    </xf>
    <xf numFmtId="40" fontId="9" fillId="0" borderId="0" xfId="48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41" fontId="5" fillId="0" borderId="0" xfId="0" applyNumberFormat="1" applyFont="1" applyAlignment="1">
      <alignment vertical="top"/>
    </xf>
    <xf numFmtId="0" fontId="10" fillId="0" borderId="0" xfId="70" applyFont="1">
      <alignment/>
      <protection/>
    </xf>
    <xf numFmtId="0" fontId="10" fillId="0" borderId="0" xfId="70" applyFont="1" applyFill="1" applyAlignment="1">
      <alignment horizontal="center"/>
      <protection/>
    </xf>
    <xf numFmtId="0" fontId="11" fillId="0" borderId="0" xfId="70" applyFont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center"/>
      <protection/>
    </xf>
    <xf numFmtId="0" fontId="12" fillId="0" borderId="0" xfId="0" applyNumberFormat="1" applyFont="1" applyAlignment="1" applyProtection="1">
      <alignment horizontal="center"/>
      <protection/>
    </xf>
    <xf numFmtId="41" fontId="13" fillId="0" borderId="0" xfId="0" applyNumberFormat="1" applyFont="1" applyAlignment="1">
      <alignment vertical="top"/>
    </xf>
    <xf numFmtId="0" fontId="11" fillId="0" borderId="0" xfId="70" applyFont="1" applyFill="1" applyAlignment="1">
      <alignment horizontal="center"/>
      <protection/>
    </xf>
    <xf numFmtId="0" fontId="9" fillId="35" borderId="0" xfId="70" applyFill="1">
      <alignment/>
      <protection/>
    </xf>
    <xf numFmtId="40" fontId="9" fillId="0" borderId="0" xfId="48" applyFont="1" applyAlignment="1">
      <alignment horizontal="center"/>
    </xf>
    <xf numFmtId="40" fontId="9" fillId="35" borderId="0" xfId="48" applyFill="1" applyAlignment="1">
      <alignment horizontal="center"/>
    </xf>
    <xf numFmtId="41" fontId="5" fillId="0" borderId="0" xfId="0" applyNumberFormat="1" applyFont="1" applyAlignment="1">
      <alignment vertical="top" wrapText="1"/>
    </xf>
    <xf numFmtId="40" fontId="14" fillId="0" borderId="0" xfId="48" applyFont="1" applyBorder="1" applyAlignment="1">
      <alignment horizontal="center"/>
    </xf>
    <xf numFmtId="40" fontId="9" fillId="35" borderId="0" xfId="48" applyFill="1" applyAlignment="1">
      <alignment/>
    </xf>
    <xf numFmtId="0" fontId="14" fillId="0" borderId="14" xfId="82" applyBorder="1" applyAlignment="1">
      <alignment horizontal="center" wrapText="1"/>
      <protection/>
    </xf>
    <xf numFmtId="0" fontId="14" fillId="0" borderId="14" xfId="82" applyFont="1" applyBorder="1" applyAlignment="1">
      <alignment horizontal="center" wrapText="1"/>
      <protection/>
    </xf>
    <xf numFmtId="0" fontId="14" fillId="0" borderId="14" xfId="82" applyFill="1" applyBorder="1" applyAlignment="1">
      <alignment horizontal="center" wrapText="1"/>
      <protection/>
    </xf>
    <xf numFmtId="40" fontId="14" fillId="0" borderId="0" xfId="48" applyFont="1" applyFill="1" applyBorder="1" applyAlignment="1">
      <alignment horizontal="center"/>
    </xf>
    <xf numFmtId="0" fontId="15" fillId="0" borderId="0" xfId="82" applyFont="1" applyBorder="1" applyAlignment="1">
      <alignment horizontal="left" vertical="center"/>
      <protection/>
    </xf>
    <xf numFmtId="4" fontId="15" fillId="0" borderId="0" xfId="80" applyFont="1" applyAlignment="1">
      <alignment/>
    </xf>
    <xf numFmtId="4" fontId="15" fillId="0" borderId="0" xfId="80" applyFont="1" applyFill="1" applyAlignment="1">
      <alignment/>
    </xf>
    <xf numFmtId="165" fontId="15" fillId="0" borderId="0" xfId="73" applyNumberFormat="1" applyFont="1" applyAlignment="1">
      <alignment/>
    </xf>
    <xf numFmtId="4" fontId="15" fillId="35" borderId="0" xfId="80" applyFont="1" applyFill="1" applyAlignment="1">
      <alignment/>
    </xf>
    <xf numFmtId="39" fontId="15" fillId="0" borderId="0" xfId="48" applyNumberFormat="1" applyFont="1" applyAlignment="1">
      <alignment/>
    </xf>
    <xf numFmtId="40" fontId="15" fillId="35" borderId="0" xfId="48" applyFont="1" applyFill="1" applyBorder="1" applyAlignment="1">
      <alignment horizontal="center"/>
    </xf>
    <xf numFmtId="41" fontId="16" fillId="0" borderId="0" xfId="0" applyNumberFormat="1" applyFont="1" applyBorder="1" applyAlignment="1">
      <alignment vertical="top" wrapText="1"/>
    </xf>
    <xf numFmtId="0" fontId="15" fillId="0" borderId="0" xfId="70" applyFont="1" applyBorder="1">
      <alignment/>
      <protection/>
    </xf>
    <xf numFmtId="0" fontId="17" fillId="0" borderId="0" xfId="70" applyFont="1" applyFill="1">
      <alignment/>
      <protection/>
    </xf>
    <xf numFmtId="0" fontId="15" fillId="0" borderId="0" xfId="70" applyFont="1" applyAlignment="1">
      <alignment/>
      <protection/>
    </xf>
    <xf numFmtId="0" fontId="15" fillId="0" borderId="0" xfId="70" applyFont="1">
      <alignment/>
      <protection/>
    </xf>
    <xf numFmtId="0" fontId="17" fillId="0" borderId="0" xfId="76" applyFont="1" applyAlignment="1">
      <alignment/>
    </xf>
    <xf numFmtId="4" fontId="17" fillId="0" borderId="0" xfId="80" applyFont="1" applyAlignment="1">
      <alignment/>
    </xf>
    <xf numFmtId="4" fontId="17" fillId="0" borderId="0" xfId="80" applyFont="1" applyFill="1" applyAlignment="1">
      <alignment/>
    </xf>
    <xf numFmtId="165" fontId="17" fillId="0" borderId="0" xfId="73" applyNumberFormat="1" applyFont="1" applyAlignment="1">
      <alignment/>
    </xf>
    <xf numFmtId="4" fontId="17" fillId="35" borderId="0" xfId="80" applyFont="1" applyFill="1" applyAlignment="1">
      <alignment/>
    </xf>
    <xf numFmtId="39" fontId="17" fillId="0" borderId="0" xfId="48" applyNumberFormat="1" applyFont="1" applyBorder="1" applyAlignment="1">
      <alignment/>
    </xf>
    <xf numFmtId="0" fontId="17" fillId="0" borderId="0" xfId="70" applyFont="1" applyAlignment="1">
      <alignment/>
      <protection/>
    </xf>
    <xf numFmtId="0" fontId="17" fillId="0" borderId="0" xfId="70" applyFont="1">
      <alignment/>
      <protection/>
    </xf>
    <xf numFmtId="43" fontId="17" fillId="0" borderId="0" xfId="42" applyFont="1" applyFill="1" applyAlignment="1">
      <alignment/>
    </xf>
    <xf numFmtId="40" fontId="17" fillId="0" borderId="0" xfId="48" applyFont="1" applyFill="1" applyAlignment="1">
      <alignment/>
    </xf>
    <xf numFmtId="40" fontId="17" fillId="0" borderId="0" xfId="48" applyFont="1" applyAlignment="1">
      <alignment/>
    </xf>
    <xf numFmtId="0" fontId="18" fillId="0" borderId="0" xfId="70" applyFont="1">
      <alignment/>
      <protection/>
    </xf>
    <xf numFmtId="0" fontId="19" fillId="0" borderId="0" xfId="82" applyFont="1" applyBorder="1" applyAlignment="1">
      <alignment horizontal="center" wrapText="1"/>
      <protection/>
    </xf>
    <xf numFmtId="0" fontId="19" fillId="0" borderId="0" xfId="82" applyFont="1" applyFill="1" applyBorder="1" applyAlignment="1">
      <alignment horizontal="center" wrapText="1"/>
      <protection/>
    </xf>
    <xf numFmtId="0" fontId="19" fillId="35" borderId="0" xfId="82" applyFont="1" applyFill="1" applyBorder="1" applyAlignment="1">
      <alignment horizontal="center" wrapText="1"/>
      <protection/>
    </xf>
    <xf numFmtId="38" fontId="19" fillId="0" borderId="0" xfId="48" applyNumberFormat="1" applyFont="1" applyBorder="1" applyAlignment="1">
      <alignment/>
    </xf>
    <xf numFmtId="40" fontId="19" fillId="35" borderId="0" xfId="48" applyFont="1" applyFill="1" applyBorder="1" applyAlignment="1">
      <alignment horizontal="center"/>
    </xf>
    <xf numFmtId="40" fontId="18" fillId="0" borderId="0" xfId="48" applyFont="1" applyFill="1" applyAlignment="1">
      <alignment/>
    </xf>
    <xf numFmtId="40" fontId="18" fillId="0" borderId="0" xfId="48" applyFont="1" applyAlignment="1">
      <alignment/>
    </xf>
    <xf numFmtId="4" fontId="17" fillId="0" borderId="15" xfId="80" applyFont="1" applyBorder="1" applyAlignment="1">
      <alignment/>
    </xf>
    <xf numFmtId="4" fontId="17" fillId="0" borderId="15" xfId="80" applyFont="1" applyFill="1" applyBorder="1" applyAlignment="1">
      <alignment/>
    </xf>
    <xf numFmtId="165" fontId="17" fillId="0" borderId="15" xfId="73" applyNumberFormat="1" applyFont="1" applyBorder="1" applyAlignment="1">
      <alignment/>
    </xf>
    <xf numFmtId="39" fontId="17" fillId="0" borderId="15" xfId="48" applyNumberFormat="1" applyFont="1" applyBorder="1" applyAlignment="1">
      <alignment/>
    </xf>
    <xf numFmtId="4" fontId="9" fillId="0" borderId="0" xfId="70" applyNumberFormat="1" applyFill="1">
      <alignment/>
      <protection/>
    </xf>
    <xf numFmtId="168" fontId="9" fillId="0" borderId="0" xfId="73" applyNumberFormat="1" applyFont="1" applyFill="1" applyAlignment="1">
      <alignment/>
    </xf>
    <xf numFmtId="4" fontId="9" fillId="35" borderId="0" xfId="70" applyNumberFormat="1" applyFill="1">
      <alignment/>
      <protection/>
    </xf>
    <xf numFmtId="39" fontId="9" fillId="0" borderId="0" xfId="48" applyNumberFormat="1" applyAlignment="1">
      <alignment/>
    </xf>
    <xf numFmtId="43" fontId="17" fillId="35" borderId="0" xfId="48" applyNumberFormat="1" applyFont="1" applyFill="1" applyAlignment="1">
      <alignment/>
    </xf>
    <xf numFmtId="43" fontId="17" fillId="0" borderId="0" xfId="48" applyNumberFormat="1" applyFont="1" applyFill="1" applyAlignment="1">
      <alignment/>
    </xf>
    <xf numFmtId="40" fontId="9" fillId="0" borderId="0" xfId="48" applyFill="1" applyAlignment="1">
      <alignment/>
    </xf>
    <xf numFmtId="0" fontId="9" fillId="0" borderId="0" xfId="70" applyFont="1" applyBorder="1">
      <alignment/>
      <protection/>
    </xf>
    <xf numFmtId="4" fontId="9" fillId="0" borderId="0" xfId="70" applyNumberFormat="1" applyBorder="1">
      <alignment/>
      <protection/>
    </xf>
    <xf numFmtId="4" fontId="9" fillId="0" borderId="0" xfId="70" applyNumberFormat="1" applyFill="1" applyBorder="1">
      <alignment/>
      <protection/>
    </xf>
    <xf numFmtId="165" fontId="9" fillId="0" borderId="0" xfId="73" applyNumberFormat="1" applyFont="1" applyBorder="1" applyAlignment="1">
      <alignment/>
    </xf>
    <xf numFmtId="4" fontId="9" fillId="35" borderId="0" xfId="70" applyNumberFormat="1" applyFill="1" applyBorder="1">
      <alignment/>
      <protection/>
    </xf>
    <xf numFmtId="0" fontId="10" fillId="0" borderId="0" xfId="70" applyFont="1" applyFill="1" applyAlignment="1">
      <alignment/>
      <protection/>
    </xf>
    <xf numFmtId="0" fontId="9" fillId="0" borderId="0" xfId="70" applyFont="1" applyFill="1">
      <alignment/>
      <protection/>
    </xf>
    <xf numFmtId="49" fontId="9" fillId="0" borderId="0" xfId="73" applyNumberFormat="1" applyFont="1" applyFill="1" applyAlignment="1">
      <alignment vertical="top"/>
    </xf>
    <xf numFmtId="4" fontId="9" fillId="0" borderId="16" xfId="70" applyNumberFormat="1" applyFill="1" applyBorder="1">
      <alignment/>
      <protection/>
    </xf>
    <xf numFmtId="0" fontId="11" fillId="0" borderId="0" xfId="70" applyFont="1" applyFill="1">
      <alignment/>
      <protection/>
    </xf>
    <xf numFmtId="0" fontId="11" fillId="35" borderId="0" xfId="70" applyFont="1" applyFill="1">
      <alignment/>
      <protection/>
    </xf>
    <xf numFmtId="41" fontId="13" fillId="0" borderId="0" xfId="0" applyNumberFormat="1" applyFont="1" applyAlignment="1">
      <alignment/>
    </xf>
    <xf numFmtId="40" fontId="11" fillId="35" borderId="0" xfId="48" applyFont="1" applyFill="1" applyAlignment="1">
      <alignment/>
    </xf>
    <xf numFmtId="40" fontId="11" fillId="0" borderId="0" xfId="48" applyFont="1" applyFill="1" applyAlignment="1">
      <alignment/>
    </xf>
    <xf numFmtId="41" fontId="13" fillId="0" borderId="0" xfId="0" applyNumberFormat="1" applyFont="1" applyAlignment="1">
      <alignment vertical="top" wrapText="1"/>
    </xf>
    <xf numFmtId="40" fontId="9" fillId="0" borderId="0" xfId="48" applyAlignment="1">
      <alignment/>
    </xf>
    <xf numFmtId="40" fontId="9" fillId="0" borderId="0" xfId="48" applyAlignment="1">
      <alignment/>
    </xf>
    <xf numFmtId="171" fontId="2" fillId="0" borderId="0" xfId="42" applyNumberFormat="1" applyFont="1" applyBorder="1" applyAlignment="1" applyProtection="1">
      <alignment/>
      <protection/>
    </xf>
    <xf numFmtId="49" fontId="2" fillId="0" borderId="0" xfId="0" applyNumberFormat="1" applyFont="1" applyAlignment="1">
      <alignment horizontal="right" inden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_Payroll Split" xfId="48"/>
    <cellStyle name="Currency" xfId="49"/>
    <cellStyle name="Currency [0]" xfId="50"/>
    <cellStyle name="Currency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es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rmal_Payroll Split" xfId="70"/>
    <cellStyle name="Note" xfId="71"/>
    <cellStyle name="Output" xfId="72"/>
    <cellStyle name="Percent" xfId="73"/>
    <cellStyle name="Percent 2" xfId="74"/>
    <cellStyle name="Percent 3" xfId="75"/>
    <cellStyle name="PSChar" xfId="76"/>
    <cellStyle name="PSChar 2" xfId="77"/>
    <cellStyle name="PSChar 3" xfId="78"/>
    <cellStyle name="PSDate" xfId="79"/>
    <cellStyle name="PSDec" xfId="80"/>
    <cellStyle name="PSDec 2" xfId="81"/>
    <cellStyle name="PSHeading" xfId="82"/>
    <cellStyle name="PSHeading 2" xfId="83"/>
    <cellStyle name="PSHeading 3" xfId="84"/>
    <cellStyle name="PSInt" xfId="85"/>
    <cellStyle name="PSInt 2" xfId="86"/>
    <cellStyle name="PSSpacer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4"/>
  <sheetViews>
    <sheetView defaultGridColor="0" zoomScale="87" zoomScaleNormal="87" zoomScalePageLayoutView="0" colorId="22" workbookViewId="0" topLeftCell="A1">
      <pane ySplit="6" topLeftCell="A10" activePane="bottomLeft" state="frozen"/>
      <selection pane="topLeft" activeCell="M19" sqref="M19"/>
      <selection pane="bottomLeft" activeCell="F39" sqref="F39"/>
    </sheetView>
  </sheetViews>
  <sheetFormatPr defaultColWidth="9.77734375" defaultRowHeight="15"/>
  <cols>
    <col min="1" max="1" width="4.10546875" style="133" bestFit="1" customWidth="1"/>
    <col min="2" max="5" width="2.10546875" style="1" customWidth="1"/>
    <col min="6" max="6" width="17.6640625" style="1" customWidth="1"/>
    <col min="7" max="7" width="10.10546875" style="1" customWidth="1"/>
    <col min="8" max="8" width="8.77734375" style="1" bestFit="1" customWidth="1"/>
    <col min="9" max="9" width="9.99609375" style="1" bestFit="1" customWidth="1"/>
    <col min="10" max="10" width="9.4453125" style="1" bestFit="1" customWidth="1"/>
    <col min="11" max="11" width="10.4453125" style="1" customWidth="1"/>
    <col min="12" max="12" width="8.10546875" style="1" bestFit="1" customWidth="1"/>
    <col min="13" max="13" width="7.5546875" style="1" bestFit="1" customWidth="1"/>
    <col min="14" max="14" width="1.66796875" style="1" customWidth="1"/>
    <col min="15" max="15" width="11.99609375" style="1" customWidth="1"/>
    <col min="16" max="16" width="9.99609375" style="1" bestFit="1" customWidth="1"/>
    <col min="17" max="16384" width="9.77734375" style="1" customWidth="1"/>
  </cols>
  <sheetData>
    <row r="1" spans="12:15" ht="12.75" customHeight="1">
      <c r="L1" s="2"/>
      <c r="M1" s="2"/>
      <c r="O1" s="134" t="s">
        <v>137</v>
      </c>
    </row>
    <row r="2" spans="2:15" ht="15" customHeight="1"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134"/>
    </row>
    <row r="3" spans="2:15" ht="15" customHeight="1"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2"/>
      <c r="O3" s="134"/>
    </row>
    <row r="4" spans="2:15" ht="15" customHeight="1">
      <c r="B4" s="136" t="s">
        <v>97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5"/>
      <c r="O4" s="5"/>
    </row>
    <row r="5" spans="12:15" ht="12.75">
      <c r="L5" s="3"/>
      <c r="M5" s="3"/>
      <c r="N5" s="5"/>
      <c r="O5" s="5"/>
    </row>
    <row r="6" spans="6:13" ht="12.75">
      <c r="F6" s="4"/>
      <c r="G6" s="4"/>
      <c r="H6" s="137" t="s">
        <v>2</v>
      </c>
      <c r="I6" s="137"/>
      <c r="J6" s="137" t="s">
        <v>3</v>
      </c>
      <c r="K6" s="137"/>
      <c r="L6" s="135" t="s">
        <v>4</v>
      </c>
      <c r="M6" s="135"/>
    </row>
    <row r="7" spans="1:9" ht="13.5">
      <c r="A7" s="133" t="s">
        <v>103</v>
      </c>
      <c r="B7" s="6" t="s">
        <v>5</v>
      </c>
      <c r="C7" s="7"/>
      <c r="D7" s="7"/>
      <c r="E7" s="7"/>
      <c r="F7" s="3"/>
      <c r="G7" s="3"/>
      <c r="H7" s="3"/>
      <c r="I7" s="3"/>
    </row>
    <row r="8" spans="1:9" ht="12.75">
      <c r="A8" s="133" t="s">
        <v>104</v>
      </c>
      <c r="B8" s="1" t="s">
        <v>6</v>
      </c>
      <c r="C8" s="7"/>
      <c r="D8" s="7"/>
      <c r="E8" s="7"/>
      <c r="F8" s="3"/>
      <c r="G8" s="3"/>
      <c r="H8" s="3"/>
      <c r="I8" s="3"/>
    </row>
    <row r="9" spans="1:9" ht="13.5">
      <c r="A9" s="133" t="s">
        <v>105</v>
      </c>
      <c r="C9" s="8" t="s">
        <v>7</v>
      </c>
      <c r="D9" s="9"/>
      <c r="E9" s="9"/>
      <c r="G9" s="9"/>
      <c r="H9" s="9"/>
      <c r="I9" s="10"/>
    </row>
    <row r="10" spans="1:8" ht="12.75">
      <c r="A10" s="133" t="s">
        <v>106</v>
      </c>
      <c r="C10" s="9"/>
      <c r="D10" s="1" t="s">
        <v>98</v>
      </c>
      <c r="G10" s="9"/>
      <c r="H10" s="9"/>
    </row>
    <row r="11" spans="1:10" ht="12.75">
      <c r="A11" s="133" t="s">
        <v>107</v>
      </c>
      <c r="C11" s="9"/>
      <c r="D11" s="9"/>
      <c r="E11" s="1" t="s">
        <v>8</v>
      </c>
      <c r="G11" s="9"/>
      <c r="H11" s="11">
        <v>8845</v>
      </c>
      <c r="I11" s="10"/>
      <c r="J11" s="11">
        <v>222390</v>
      </c>
    </row>
    <row r="12" spans="1:10" ht="12.75">
      <c r="A12" s="133" t="s">
        <v>108</v>
      </c>
      <c r="C12" s="9"/>
      <c r="D12" s="9"/>
      <c r="E12" s="1" t="s">
        <v>9</v>
      </c>
      <c r="G12" s="9"/>
      <c r="H12" s="10">
        <v>49241</v>
      </c>
      <c r="I12" s="10"/>
      <c r="J12" s="10">
        <v>267358</v>
      </c>
    </row>
    <row r="13" spans="1:10" ht="12.75">
      <c r="A13" s="133" t="s">
        <v>109</v>
      </c>
      <c r="C13" s="9"/>
      <c r="D13" s="9"/>
      <c r="E13" s="1" t="s">
        <v>10</v>
      </c>
      <c r="G13" s="9"/>
      <c r="H13" s="10">
        <v>28254</v>
      </c>
      <c r="I13" s="10"/>
      <c r="J13" s="10">
        <v>179263</v>
      </c>
    </row>
    <row r="14" spans="1:11" ht="12.75">
      <c r="A14" s="133" t="s">
        <v>110</v>
      </c>
      <c r="C14" s="9"/>
      <c r="D14" s="9" t="s">
        <v>11</v>
      </c>
      <c r="E14" s="9"/>
      <c r="G14" s="9"/>
      <c r="H14" s="12"/>
      <c r="I14" s="10">
        <f>SUM(H11:H13)</f>
        <v>86340</v>
      </c>
      <c r="J14" s="13"/>
      <c r="K14" s="10">
        <f>SUM(J11:J13)</f>
        <v>669011</v>
      </c>
    </row>
    <row r="15" spans="1:11" ht="12.75">
      <c r="A15" s="133" t="s">
        <v>111</v>
      </c>
      <c r="C15" s="9"/>
      <c r="D15" s="9"/>
      <c r="E15" s="1" t="s">
        <v>12</v>
      </c>
      <c r="G15" s="9"/>
      <c r="H15" s="9"/>
      <c r="I15" s="14">
        <v>26</v>
      </c>
      <c r="K15" s="15">
        <v>26</v>
      </c>
    </row>
    <row r="16" spans="1:11" ht="12.75">
      <c r="A16" s="133" t="s">
        <v>112</v>
      </c>
      <c r="C16" s="9"/>
      <c r="D16" s="1" t="s">
        <v>13</v>
      </c>
      <c r="G16" s="9"/>
      <c r="H16" s="9"/>
      <c r="I16" s="10">
        <f>+I14*I15</f>
        <v>2244840</v>
      </c>
      <c r="J16" s="10"/>
      <c r="K16" s="10">
        <f>+K14*K15</f>
        <v>17394286</v>
      </c>
    </row>
    <row r="17" spans="1:9" ht="12.75">
      <c r="A17" s="133" t="s">
        <v>113</v>
      </c>
      <c r="C17" s="9"/>
      <c r="D17" s="9"/>
      <c r="E17" s="1" t="s">
        <v>14</v>
      </c>
      <c r="G17" s="9"/>
      <c r="H17" s="9"/>
      <c r="I17" s="11"/>
    </row>
    <row r="18" spans="1:10" s="16" customFormat="1" ht="12.75">
      <c r="A18" s="133" t="s">
        <v>114</v>
      </c>
      <c r="C18" s="17"/>
      <c r="D18" s="17"/>
      <c r="E18" s="17"/>
      <c r="F18" s="16" t="s">
        <v>8</v>
      </c>
      <c r="G18" s="17"/>
      <c r="H18" s="18">
        <v>370850</v>
      </c>
      <c r="I18" s="19"/>
      <c r="J18" s="20">
        <v>5846909</v>
      </c>
    </row>
    <row r="19" spans="1:10" s="16" customFormat="1" ht="12.75">
      <c r="A19" s="133" t="s">
        <v>115</v>
      </c>
      <c r="C19" s="17"/>
      <c r="D19" s="17"/>
      <c r="E19" s="17"/>
      <c r="F19" s="16" t="s">
        <v>9</v>
      </c>
      <c r="G19" s="17"/>
      <c r="H19" s="18">
        <v>1262459</v>
      </c>
      <c r="I19" s="19"/>
      <c r="J19" s="20">
        <v>6777681</v>
      </c>
    </row>
    <row r="20" spans="1:10" s="16" customFormat="1" ht="12.75">
      <c r="A20" s="133" t="s">
        <v>116</v>
      </c>
      <c r="C20" s="17"/>
      <c r="D20" s="17"/>
      <c r="E20" s="17"/>
      <c r="F20" s="16" t="s">
        <v>10</v>
      </c>
      <c r="G20" s="17"/>
      <c r="H20" s="18">
        <v>775704</v>
      </c>
      <c r="I20" s="19"/>
      <c r="J20" s="20">
        <v>4565205</v>
      </c>
    </row>
    <row r="21" spans="1:11" ht="12.75">
      <c r="A21" s="133" t="s">
        <v>117</v>
      </c>
      <c r="C21" s="9"/>
      <c r="D21" s="9"/>
      <c r="E21" s="9" t="s">
        <v>15</v>
      </c>
      <c r="G21" s="9"/>
      <c r="H21" s="12"/>
      <c r="I21" s="14">
        <f>SUM(H18:H20)</f>
        <v>2409013</v>
      </c>
      <c r="K21" s="14">
        <f>SUM(J18:J20)</f>
        <v>17189795</v>
      </c>
    </row>
    <row r="22" spans="1:13" ht="12.75">
      <c r="A22" s="133" t="s">
        <v>118</v>
      </c>
      <c r="D22" s="1" t="s">
        <v>16</v>
      </c>
      <c r="F22" s="9"/>
      <c r="G22" s="9"/>
      <c r="H22" s="9"/>
      <c r="I22" s="10">
        <f>I16-I21</f>
        <v>-164173</v>
      </c>
      <c r="J22" s="10"/>
      <c r="K22" s="10">
        <f>K16-K21</f>
        <v>204491</v>
      </c>
      <c r="L22" s="21">
        <f>SUM(I22:K22)</f>
        <v>40318</v>
      </c>
      <c r="M22" s="21"/>
    </row>
    <row r="23" spans="1:13" ht="12.75">
      <c r="A23" s="133" t="s">
        <v>119</v>
      </c>
      <c r="E23" s="1" t="s">
        <v>17</v>
      </c>
      <c r="L23" s="22">
        <v>0.7111</v>
      </c>
      <c r="M23" s="23"/>
    </row>
    <row r="24" spans="1:13" ht="12.75">
      <c r="A24" s="133" t="s">
        <v>120</v>
      </c>
      <c r="D24" s="9" t="s">
        <v>18</v>
      </c>
      <c r="G24" s="9"/>
      <c r="H24" s="9"/>
      <c r="I24" s="9"/>
      <c r="J24" s="9"/>
      <c r="K24" s="9"/>
      <c r="L24" s="10">
        <f>ROUND(L23*L22,2)</f>
        <v>28670.13</v>
      </c>
      <c r="M24" s="10"/>
    </row>
    <row r="25" spans="1:16" ht="12.75">
      <c r="A25" s="133" t="s">
        <v>121</v>
      </c>
      <c r="B25" s="24"/>
      <c r="C25" s="9"/>
      <c r="E25" s="9" t="s">
        <v>99</v>
      </c>
      <c r="F25" s="9"/>
      <c r="G25" s="9"/>
      <c r="H25" s="9"/>
      <c r="I25" s="9"/>
      <c r="J25" s="9"/>
      <c r="K25" s="9"/>
      <c r="L25" s="132">
        <v>0.99</v>
      </c>
      <c r="M25" s="25"/>
      <c r="O25" s="26"/>
      <c r="P25" s="27"/>
    </row>
    <row r="26" spans="1:16" ht="14.25" thickBot="1">
      <c r="A26" s="133" t="s">
        <v>122</v>
      </c>
      <c r="E26" s="24"/>
      <c r="F26" s="8" t="s">
        <v>138</v>
      </c>
      <c r="G26" s="9"/>
      <c r="H26" s="9"/>
      <c r="I26" s="9"/>
      <c r="J26" s="9"/>
      <c r="K26" s="9"/>
      <c r="L26" s="12"/>
      <c r="M26" s="28">
        <f>ROUND(L24*L25,0)</f>
        <v>28383</v>
      </c>
      <c r="P26" s="27"/>
    </row>
    <row r="27" spans="4:13" ht="13.5" thickTop="1">
      <c r="D27" s="9"/>
      <c r="G27" s="9"/>
      <c r="H27" s="9"/>
      <c r="I27" s="9"/>
      <c r="J27" s="9"/>
      <c r="K27" s="9"/>
      <c r="L27" s="27"/>
      <c r="M27" s="27"/>
    </row>
    <row r="28" spans="4:13" ht="12.75">
      <c r="D28" s="9"/>
      <c r="G28" s="9"/>
      <c r="H28" s="9"/>
      <c r="I28" s="9"/>
      <c r="J28" s="9"/>
      <c r="K28" s="9"/>
      <c r="L28" s="27"/>
      <c r="M28" s="27"/>
    </row>
    <row r="29" spans="4:13" ht="12.75">
      <c r="D29" s="9"/>
      <c r="G29" s="9"/>
      <c r="H29" s="9"/>
      <c r="I29" s="9"/>
      <c r="J29" s="9"/>
      <c r="K29" s="9"/>
      <c r="L29" s="10"/>
      <c r="M29" s="10"/>
    </row>
    <row r="30" spans="4:13" ht="12.75">
      <c r="D30" s="9"/>
      <c r="F30" s="9"/>
      <c r="G30" s="9"/>
      <c r="H30" s="9"/>
      <c r="L30" s="27"/>
      <c r="M30" s="27"/>
    </row>
    <row r="31" spans="5:8" ht="12.75">
      <c r="E31" s="29"/>
      <c r="H31" s="9"/>
    </row>
    <row r="32" spans="1:5" ht="13.5">
      <c r="A32" s="133" t="s">
        <v>123</v>
      </c>
      <c r="B32" s="6" t="s">
        <v>19</v>
      </c>
      <c r="C32" s="7"/>
      <c r="D32" s="7"/>
      <c r="E32" s="7"/>
    </row>
    <row r="33" spans="1:11" ht="12.75">
      <c r="A33" s="133" t="s">
        <v>124</v>
      </c>
      <c r="C33" s="9" t="str">
        <f>+$D$22</f>
        <v>Annualization Adjustment of Base Payroll</v>
      </c>
      <c r="G33" s="9"/>
      <c r="I33" s="10">
        <f>+I22</f>
        <v>-164173</v>
      </c>
      <c r="K33" s="10">
        <f>+K22</f>
        <v>204491</v>
      </c>
    </row>
    <row r="34" spans="1:11" ht="12.75">
      <c r="A34" s="133" t="s">
        <v>125</v>
      </c>
      <c r="D34" s="9" t="s">
        <v>20</v>
      </c>
      <c r="G34" s="9"/>
      <c r="H34" s="9"/>
      <c r="I34" s="22">
        <v>0.042</v>
      </c>
      <c r="K34" s="22">
        <v>0.042</v>
      </c>
    </row>
    <row r="35" spans="1:13" ht="12.75">
      <c r="A35" s="133" t="s">
        <v>126</v>
      </c>
      <c r="D35" s="1" t="s">
        <v>21</v>
      </c>
      <c r="I35" s="10">
        <f>ROUND(I34*I33,0)</f>
        <v>-6895</v>
      </c>
      <c r="J35" s="30"/>
      <c r="K35" s="10">
        <f>ROUND(K34*K33,0)</f>
        <v>8589</v>
      </c>
      <c r="L35" s="21">
        <f>SUM(I35:K35)</f>
        <v>1694</v>
      </c>
      <c r="M35" s="21"/>
    </row>
    <row r="36" spans="1:13" ht="12.75">
      <c r="A36" s="133" t="s">
        <v>127</v>
      </c>
      <c r="E36" s="31" t="str">
        <f>E23</f>
        <v>KPCo O&amp;M% </v>
      </c>
      <c r="G36" s="9"/>
      <c r="H36" s="9"/>
      <c r="K36" s="10"/>
      <c r="L36" s="22">
        <v>0.7111</v>
      </c>
      <c r="M36" s="23"/>
    </row>
    <row r="37" spans="1:13" ht="12.75">
      <c r="A37" s="133" t="s">
        <v>128</v>
      </c>
      <c r="D37" s="9" t="s">
        <v>22</v>
      </c>
      <c r="G37" s="9"/>
      <c r="H37" s="9"/>
      <c r="I37" s="9"/>
      <c r="J37" s="9"/>
      <c r="K37" s="9"/>
      <c r="L37" s="10">
        <f>ROUND(L36*L35,2)</f>
        <v>1204.6</v>
      </c>
      <c r="M37" s="10"/>
    </row>
    <row r="38" spans="1:16" ht="12.75">
      <c r="A38" s="133" t="s">
        <v>129</v>
      </c>
      <c r="B38" s="24"/>
      <c r="C38" s="9"/>
      <c r="E38" s="9" t="s">
        <v>99</v>
      </c>
      <c r="F38" s="9"/>
      <c r="G38" s="9"/>
      <c r="H38" s="9"/>
      <c r="I38" s="9"/>
      <c r="J38" s="9"/>
      <c r="K38" s="9"/>
      <c r="L38" s="132">
        <v>0.99</v>
      </c>
      <c r="M38" s="25"/>
      <c r="O38" s="26"/>
      <c r="P38" s="27"/>
    </row>
    <row r="39" spans="1:16" ht="14.25" thickBot="1">
      <c r="A39" s="133" t="s">
        <v>130</v>
      </c>
      <c r="E39" s="24"/>
      <c r="F39" s="8" t="s">
        <v>139</v>
      </c>
      <c r="G39" s="9"/>
      <c r="H39" s="9"/>
      <c r="I39" s="9"/>
      <c r="J39" s="9"/>
      <c r="K39" s="9"/>
      <c r="L39" s="12"/>
      <c r="M39" s="28">
        <f>ROUND(L37*L38,0)</f>
        <v>1193</v>
      </c>
      <c r="P39" s="27"/>
    </row>
    <row r="40" spans="4:13" ht="13.5" thickTop="1">
      <c r="D40" s="9"/>
      <c r="F40" s="9"/>
      <c r="G40" s="9"/>
      <c r="H40" s="9"/>
      <c r="L40" s="10"/>
      <c r="M40" s="10"/>
    </row>
    <row r="53" spans="6:14" ht="12.75">
      <c r="F53" s="32"/>
      <c r="G53" s="32"/>
      <c r="H53" s="32"/>
      <c r="I53" s="10"/>
      <c r="J53" s="33"/>
      <c r="K53" s="9"/>
      <c r="L53" s="10"/>
      <c r="M53" s="10"/>
      <c r="N53" s="10"/>
    </row>
    <row r="54" spans="6:15" ht="12.75">
      <c r="F54" s="9"/>
      <c r="G54" s="9"/>
      <c r="H54" s="9"/>
      <c r="I54" s="9"/>
      <c r="J54" s="9"/>
      <c r="K54" s="9"/>
      <c r="L54" s="10"/>
      <c r="M54" s="10"/>
      <c r="N54" s="10"/>
      <c r="O54" s="10"/>
    </row>
  </sheetData>
  <sheetProtection/>
  <mergeCells count="7">
    <mergeCell ref="O1:O3"/>
    <mergeCell ref="B2:M2"/>
    <mergeCell ref="B3:M3"/>
    <mergeCell ref="B4:M4"/>
    <mergeCell ref="H6:I6"/>
    <mergeCell ref="J6:K6"/>
    <mergeCell ref="L6:M6"/>
  </mergeCells>
  <printOptions/>
  <pageMargins left="0.65" right="0.4" top="0.5" bottom="0.5" header="0.18" footer="0.16"/>
  <pageSetup fitToHeight="0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53"/>
  <sheetViews>
    <sheetView defaultGridColor="0" zoomScale="87" zoomScaleNormal="87" zoomScalePageLayoutView="0" colorId="22" workbookViewId="0" topLeftCell="A1">
      <pane ySplit="7" topLeftCell="A17" activePane="bottomLeft" state="frozen"/>
      <selection pane="topLeft" activeCell="A1" sqref="A1"/>
      <selection pane="bottomLeft" activeCell="N1" sqref="N1:N3"/>
    </sheetView>
  </sheetViews>
  <sheetFormatPr defaultColWidth="9.77734375" defaultRowHeight="15"/>
  <cols>
    <col min="1" max="1" width="4.10546875" style="133" bestFit="1" customWidth="1"/>
    <col min="2" max="4" width="1.4375" style="1" customWidth="1"/>
    <col min="5" max="5" width="25.88671875" style="1" customWidth="1"/>
    <col min="6" max="6" width="8.6640625" style="1" bestFit="1" customWidth="1"/>
    <col min="7" max="7" width="10.88671875" style="1" bestFit="1" customWidth="1"/>
    <col min="8" max="8" width="7.21484375" style="1" bestFit="1" customWidth="1"/>
    <col min="9" max="9" width="9.6640625" style="1" bestFit="1" customWidth="1"/>
    <col min="10" max="10" width="8.21484375" style="1" customWidth="1"/>
    <col min="11" max="11" width="6.88671875" style="1" customWidth="1"/>
    <col min="12" max="12" width="7.4453125" style="1" customWidth="1"/>
    <col min="13" max="13" width="1.77734375" style="1" customWidth="1"/>
    <col min="14" max="14" width="12.88671875" style="1" customWidth="1"/>
    <col min="15" max="16384" width="9.77734375" style="1" customWidth="1"/>
  </cols>
  <sheetData>
    <row r="1" spans="11:14" ht="12.75" customHeight="1">
      <c r="K1" s="34"/>
      <c r="L1" s="34"/>
      <c r="M1" s="34"/>
      <c r="N1" s="134" t="s">
        <v>143</v>
      </c>
    </row>
    <row r="2" spans="10:14" ht="12.75">
      <c r="J2" s="3"/>
      <c r="K2" s="34"/>
      <c r="L2" s="34"/>
      <c r="M2" s="34"/>
      <c r="N2" s="134"/>
    </row>
    <row r="3" spans="2:14" ht="15" customHeight="1">
      <c r="B3" s="135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34"/>
      <c r="N3" s="134"/>
    </row>
    <row r="4" spans="2:14" ht="15" customHeight="1">
      <c r="B4" s="135" t="s">
        <v>23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34"/>
      <c r="N4" s="5"/>
    </row>
    <row r="5" spans="5:13" ht="12.75">
      <c r="E5" s="9"/>
      <c r="F5" s="9"/>
      <c r="K5" s="34"/>
      <c r="L5" s="34"/>
      <c r="M5" s="34"/>
    </row>
    <row r="6" spans="5:13" ht="12.75">
      <c r="E6" s="9"/>
      <c r="F6" s="9"/>
      <c r="L6" s="3"/>
      <c r="M6" s="35"/>
    </row>
    <row r="7" spans="5:13" ht="12.75">
      <c r="E7" s="9"/>
      <c r="F7" s="9"/>
      <c r="G7" s="135" t="s">
        <v>2</v>
      </c>
      <c r="H7" s="135"/>
      <c r="I7" s="135" t="s">
        <v>3</v>
      </c>
      <c r="J7" s="135"/>
      <c r="K7" s="135" t="s">
        <v>4</v>
      </c>
      <c r="L7" s="135"/>
      <c r="M7" s="35"/>
    </row>
    <row r="8" spans="1:13" ht="12.75">
      <c r="A8" s="133" t="s">
        <v>103</v>
      </c>
      <c r="B8" s="36" t="s">
        <v>24</v>
      </c>
      <c r="C8" s="36"/>
      <c r="D8" s="36"/>
      <c r="M8" s="35"/>
    </row>
    <row r="9" spans="1:14" ht="12.75">
      <c r="A9" s="133" t="s">
        <v>104</v>
      </c>
      <c r="C9" s="9" t="str">
        <f>+'Pg 1- Payroll Adj'!D22</f>
        <v>Annualization Adjustment of Base Payroll</v>
      </c>
      <c r="F9" s="9"/>
      <c r="H9" s="37">
        <f>+'Pg 1- Payroll Adj'!I22</f>
        <v>-164173</v>
      </c>
      <c r="I9" s="37"/>
      <c r="J9" s="37">
        <f>+'Pg 1- Payroll Adj'!K22</f>
        <v>204491</v>
      </c>
      <c r="K9" s="9"/>
      <c r="L9" s="9"/>
      <c r="M9" s="35"/>
      <c r="N9" s="38"/>
    </row>
    <row r="10" spans="5:14" ht="12.75">
      <c r="E10" s="9"/>
      <c r="F10" s="9"/>
      <c r="G10" s="9"/>
      <c r="H10" s="9"/>
      <c r="I10" s="9"/>
      <c r="J10" s="9"/>
      <c r="K10" s="9"/>
      <c r="L10" s="9"/>
      <c r="M10" s="35"/>
      <c r="N10" s="38"/>
    </row>
    <row r="11" spans="1:14" ht="12.75">
      <c r="A11" s="133" t="s">
        <v>105</v>
      </c>
      <c r="C11" s="1" t="s">
        <v>25</v>
      </c>
      <c r="E11" s="9"/>
      <c r="F11" s="9"/>
      <c r="G11" s="9"/>
      <c r="H11" s="9"/>
      <c r="I11" s="9"/>
      <c r="J11" s="9"/>
      <c r="K11" s="9"/>
      <c r="L11" s="9"/>
      <c r="M11" s="11"/>
      <c r="N11" s="38"/>
    </row>
    <row r="12" spans="1:14" ht="12.75">
      <c r="A12" s="133" t="s">
        <v>106</v>
      </c>
      <c r="D12" s="39" t="s">
        <v>100</v>
      </c>
      <c r="E12" s="9" t="s">
        <v>26</v>
      </c>
      <c r="F12" s="9"/>
      <c r="G12" s="40">
        <v>1193</v>
      </c>
      <c r="H12" s="40"/>
      <c r="I12" s="40">
        <v>842409</v>
      </c>
      <c r="J12" s="40"/>
      <c r="K12" s="40"/>
      <c r="L12" s="40"/>
      <c r="M12" s="11"/>
      <c r="N12" s="38"/>
    </row>
    <row r="13" spans="1:14" ht="12.75">
      <c r="A13" s="133" t="s">
        <v>107</v>
      </c>
      <c r="D13" s="39" t="s">
        <v>100</v>
      </c>
      <c r="E13" s="1" t="s">
        <v>27</v>
      </c>
      <c r="F13" s="9"/>
      <c r="G13" s="18">
        <v>3605392</v>
      </c>
      <c r="H13" s="18"/>
      <c r="I13" s="18">
        <v>21606263</v>
      </c>
      <c r="J13" s="30"/>
      <c r="K13" s="30"/>
      <c r="L13" s="30"/>
      <c r="M13" s="11"/>
      <c r="N13" s="38"/>
    </row>
    <row r="14" spans="1:14" ht="12.75">
      <c r="A14" s="133" t="s">
        <v>108</v>
      </c>
      <c r="E14" s="9" t="s">
        <v>28</v>
      </c>
      <c r="G14" s="41">
        <f>ROUND(G12/G13,4)</f>
        <v>0.0003</v>
      </c>
      <c r="H14" s="41"/>
      <c r="I14" s="41">
        <f>ROUND(I12/I13,4)</f>
        <v>0.039</v>
      </c>
      <c r="J14" s="41"/>
      <c r="K14" s="41"/>
      <c r="L14" s="41"/>
      <c r="N14" s="38"/>
    </row>
    <row r="15" spans="1:14" ht="12.75">
      <c r="A15" s="133" t="s">
        <v>109</v>
      </c>
      <c r="D15" s="1" t="s">
        <v>29</v>
      </c>
      <c r="E15" s="9"/>
      <c r="G15" s="41"/>
      <c r="H15" s="42">
        <f>1-G14</f>
        <v>0.9997</v>
      </c>
      <c r="I15" s="41"/>
      <c r="J15" s="42">
        <f>1-I14</f>
        <v>0.961</v>
      </c>
      <c r="K15" s="41"/>
      <c r="L15" s="41"/>
      <c r="N15" s="38"/>
    </row>
    <row r="16" spans="5:14" ht="12.75">
      <c r="E16" s="9"/>
      <c r="F16" s="9"/>
      <c r="G16" s="9"/>
      <c r="H16" s="12"/>
      <c r="I16" s="10"/>
      <c r="J16" s="13"/>
      <c r="K16" s="9"/>
      <c r="L16" s="9"/>
      <c r="M16" s="11"/>
      <c r="N16" s="38"/>
    </row>
    <row r="17" spans="1:15" ht="12.75">
      <c r="A17" s="133" t="s">
        <v>110</v>
      </c>
      <c r="C17" s="9" t="s">
        <v>30</v>
      </c>
      <c r="E17" s="9"/>
      <c r="G17" s="41"/>
      <c r="H17" s="10">
        <f>ROUND(H9*H15,0)</f>
        <v>-164124</v>
      </c>
      <c r="I17" s="41"/>
      <c r="J17" s="10">
        <f>ROUND(J9*J15,0)</f>
        <v>196516</v>
      </c>
      <c r="K17" s="41"/>
      <c r="L17" s="41"/>
      <c r="M17" s="10"/>
      <c r="O17" s="21"/>
    </row>
    <row r="18" spans="1:14" ht="12.75">
      <c r="A18" s="133" t="s">
        <v>111</v>
      </c>
      <c r="C18" s="9" t="s">
        <v>31</v>
      </c>
      <c r="D18" s="9"/>
      <c r="E18" s="9"/>
      <c r="F18" s="9"/>
      <c r="G18" s="9"/>
      <c r="H18" s="41">
        <v>0.062</v>
      </c>
      <c r="I18" s="9"/>
      <c r="J18" s="41">
        <v>0.062</v>
      </c>
      <c r="K18" s="9"/>
      <c r="L18" s="9"/>
      <c r="N18" s="42"/>
    </row>
    <row r="19" spans="5:11" ht="12.75">
      <c r="E19" s="9"/>
      <c r="H19" s="12"/>
      <c r="I19" s="10"/>
      <c r="J19" s="13"/>
      <c r="K19" s="10"/>
    </row>
    <row r="20" spans="1:11" ht="12.75">
      <c r="A20" s="133" t="s">
        <v>112</v>
      </c>
      <c r="C20" s="9" t="s">
        <v>32</v>
      </c>
      <c r="D20" s="9"/>
      <c r="E20" s="9"/>
      <c r="F20" s="9"/>
      <c r="G20" s="9"/>
      <c r="H20" s="10">
        <f>ROUND(H17*H18,0)</f>
        <v>-10176</v>
      </c>
      <c r="I20" s="9"/>
      <c r="J20" s="10">
        <f>ROUND(J17*J18,0)</f>
        <v>12184</v>
      </c>
      <c r="K20" s="10">
        <f>SUM(H20:J20)</f>
        <v>2008</v>
      </c>
    </row>
    <row r="21" spans="1:14" ht="12.75">
      <c r="A21" s="133" t="s">
        <v>113</v>
      </c>
      <c r="D21" s="31" t="str">
        <f>+'Pg 1- Payroll Adj'!E23</f>
        <v>KPCo O&amp;M% </v>
      </c>
      <c r="F21" s="9"/>
      <c r="G21" s="9"/>
      <c r="H21" s="9"/>
      <c r="I21" s="9"/>
      <c r="J21" s="9"/>
      <c r="K21" s="22">
        <v>0.7111</v>
      </c>
      <c r="M21" s="43"/>
      <c r="N21" s="27"/>
    </row>
    <row r="22" spans="1:14" ht="12.75">
      <c r="A22" s="133" t="s">
        <v>114</v>
      </c>
      <c r="C22" s="9" t="s">
        <v>33</v>
      </c>
      <c r="E22" s="9"/>
      <c r="F22" s="9"/>
      <c r="G22" s="9"/>
      <c r="H22" s="9"/>
      <c r="I22" s="9"/>
      <c r="J22" s="9"/>
      <c r="K22" s="10">
        <f>ROUND(K20*K21,0)</f>
        <v>1428</v>
      </c>
      <c r="M22" s="43"/>
      <c r="N22" s="27"/>
    </row>
    <row r="23" spans="1:14" ht="12.75">
      <c r="A23" s="133" t="s">
        <v>115</v>
      </c>
      <c r="C23" s="9"/>
      <c r="D23" s="9" t="s">
        <v>99</v>
      </c>
      <c r="E23" s="29"/>
      <c r="F23" s="9"/>
      <c r="G23" s="9"/>
      <c r="H23" s="9"/>
      <c r="I23" s="9"/>
      <c r="J23" s="9"/>
      <c r="K23" s="132">
        <v>0.99</v>
      </c>
      <c r="M23" s="43"/>
      <c r="N23" s="27"/>
    </row>
    <row r="24" spans="1:14" ht="14.25" thickBot="1">
      <c r="A24" s="133" t="s">
        <v>116</v>
      </c>
      <c r="E24" s="8" t="s">
        <v>140</v>
      </c>
      <c r="F24" s="9"/>
      <c r="G24" s="9"/>
      <c r="H24" s="9"/>
      <c r="I24" s="9"/>
      <c r="J24" s="9"/>
      <c r="K24" s="13"/>
      <c r="L24" s="28">
        <f>ROUND(K22*K23,0)</f>
        <v>1414</v>
      </c>
      <c r="M24" s="43"/>
      <c r="N24" s="27"/>
    </row>
    <row r="25" spans="5:14" ht="13.5" thickTop="1">
      <c r="E25" s="9"/>
      <c r="F25" s="9"/>
      <c r="G25" s="9"/>
      <c r="H25" s="9"/>
      <c r="I25" s="9"/>
      <c r="J25" s="9"/>
      <c r="L25" s="27"/>
      <c r="M25" s="43"/>
      <c r="N25" s="27"/>
    </row>
    <row r="26" spans="5:14" ht="12.75">
      <c r="E26" s="9"/>
      <c r="F26" s="9"/>
      <c r="G26" s="9"/>
      <c r="L26" s="27"/>
      <c r="M26" s="43"/>
      <c r="N26" s="27"/>
    </row>
    <row r="27" spans="6:14" ht="12.75">
      <c r="F27" s="9"/>
      <c r="G27" s="9"/>
      <c r="H27" s="9"/>
      <c r="I27" s="9"/>
      <c r="J27" s="9"/>
      <c r="K27" s="9"/>
      <c r="L27" s="9"/>
      <c r="M27" s="44"/>
      <c r="N27" s="27"/>
    </row>
    <row r="28" spans="1:13" ht="12.75">
      <c r="A28" s="133" t="s">
        <v>117</v>
      </c>
      <c r="B28" s="36" t="s">
        <v>34</v>
      </c>
      <c r="M28" s="44"/>
    </row>
    <row r="29" spans="1:13" ht="12.75">
      <c r="A29" s="133" t="s">
        <v>118</v>
      </c>
      <c r="C29" s="9" t="s">
        <v>35</v>
      </c>
      <c r="D29" s="9"/>
      <c r="E29" s="9"/>
      <c r="F29" s="9"/>
      <c r="G29" s="10">
        <f>+H9</f>
        <v>-164173</v>
      </c>
      <c r="H29" s="9"/>
      <c r="I29" s="10">
        <f>+J9</f>
        <v>204491</v>
      </c>
      <c r="K29" s="9"/>
      <c r="L29" s="9"/>
      <c r="M29" s="44"/>
    </row>
    <row r="30" spans="1:13" ht="12.75">
      <c r="A30" s="133" t="s">
        <v>119</v>
      </c>
      <c r="C30" s="9" t="s">
        <v>36</v>
      </c>
      <c r="D30" s="9"/>
      <c r="E30" s="9"/>
      <c r="F30" s="9"/>
      <c r="G30" s="41">
        <v>0.0145</v>
      </c>
      <c r="H30" s="9"/>
      <c r="I30" s="41">
        <v>0.0145</v>
      </c>
      <c r="K30" s="9"/>
      <c r="L30" s="9"/>
      <c r="M30" s="44"/>
    </row>
    <row r="31" spans="1:13" ht="12.75">
      <c r="A31" s="133" t="s">
        <v>120</v>
      </c>
      <c r="C31" s="9" t="s">
        <v>37</v>
      </c>
      <c r="D31" s="9"/>
      <c r="E31" s="9"/>
      <c r="H31" s="10">
        <f>ROUND(G30*G29,0)</f>
        <v>-2381</v>
      </c>
      <c r="J31" s="10">
        <f>ROUND(I30*I29,0)</f>
        <v>2965</v>
      </c>
      <c r="K31" s="21">
        <f>+H31+J31</f>
        <v>584</v>
      </c>
      <c r="L31" s="21"/>
      <c r="M31" s="44"/>
    </row>
    <row r="32" spans="1:14" ht="12.75">
      <c r="A32" s="133" t="s">
        <v>121</v>
      </c>
      <c r="D32" s="31" t="str">
        <f>+'Pg 1- Payroll Adj'!E23</f>
        <v>KPCo O&amp;M% </v>
      </c>
      <c r="F32" s="9"/>
      <c r="G32" s="9"/>
      <c r="H32" s="9"/>
      <c r="I32" s="9"/>
      <c r="J32" s="9"/>
      <c r="K32" s="22">
        <v>0.7111</v>
      </c>
      <c r="M32" s="43"/>
      <c r="N32" s="27"/>
    </row>
    <row r="33" spans="1:14" ht="12.75">
      <c r="A33" s="133" t="s">
        <v>122</v>
      </c>
      <c r="C33" s="9" t="s">
        <v>33</v>
      </c>
      <c r="E33" s="9"/>
      <c r="F33" s="9"/>
      <c r="G33" s="9"/>
      <c r="H33" s="9"/>
      <c r="I33" s="9"/>
      <c r="J33" s="9"/>
      <c r="K33" s="10">
        <f>ROUND(K31*K32,0)</f>
        <v>415</v>
      </c>
      <c r="M33" s="43"/>
      <c r="N33" s="27"/>
    </row>
    <row r="34" spans="1:14" ht="12.75">
      <c r="A34" s="133" t="s">
        <v>123</v>
      </c>
      <c r="C34" s="9"/>
      <c r="D34" s="9" t="s">
        <v>99</v>
      </c>
      <c r="E34" s="29"/>
      <c r="G34" s="9"/>
      <c r="H34" s="9"/>
      <c r="I34" s="9"/>
      <c r="J34" s="9"/>
      <c r="K34" s="132">
        <v>0.99</v>
      </c>
      <c r="M34" s="43"/>
      <c r="N34" s="27"/>
    </row>
    <row r="35" spans="1:14" ht="14.25" thickBot="1">
      <c r="A35" s="133" t="s">
        <v>124</v>
      </c>
      <c r="E35" s="8" t="s">
        <v>141</v>
      </c>
      <c r="F35" s="9"/>
      <c r="G35" s="9"/>
      <c r="H35" s="9"/>
      <c r="I35" s="9"/>
      <c r="J35" s="9"/>
      <c r="K35" s="13"/>
      <c r="L35" s="28">
        <f>ROUND(K33*K34,0)</f>
        <v>411</v>
      </c>
      <c r="M35" s="43"/>
      <c r="N35" s="27"/>
    </row>
    <row r="36" spans="3:14" ht="13.5" thickTop="1">
      <c r="C36" s="9"/>
      <c r="E36" s="9"/>
      <c r="F36" s="9"/>
      <c r="G36" s="9"/>
      <c r="H36" s="9"/>
      <c r="I36" s="9"/>
      <c r="J36" s="9"/>
      <c r="K36" s="9"/>
      <c r="L36" s="45"/>
      <c r="M36" s="44"/>
      <c r="N36" s="27"/>
    </row>
    <row r="37" spans="3:14" ht="12.75">
      <c r="C37" s="9"/>
      <c r="F37" s="9"/>
      <c r="G37" s="9"/>
      <c r="K37" s="9"/>
      <c r="L37" s="10"/>
      <c r="M37" s="44"/>
      <c r="N37" s="27"/>
    </row>
    <row r="38" spans="3:14" ht="12.75">
      <c r="C38" s="9"/>
      <c r="F38" s="9"/>
      <c r="G38" s="9"/>
      <c r="H38" s="9"/>
      <c r="I38" s="9"/>
      <c r="J38" s="9"/>
      <c r="K38" s="9"/>
      <c r="L38" s="10"/>
      <c r="M38" s="44"/>
      <c r="N38" s="27"/>
    </row>
    <row r="39" spans="5:14" ht="12.75">
      <c r="E39" s="9"/>
      <c r="F39" s="9"/>
      <c r="G39" s="9"/>
      <c r="L39" s="27"/>
      <c r="M39" s="46"/>
      <c r="N39" s="27"/>
    </row>
    <row r="40" spans="3:13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46"/>
    </row>
    <row r="41" spans="1:13" ht="12.75">
      <c r="A41" s="133" t="s">
        <v>125</v>
      </c>
      <c r="B41" s="36" t="s">
        <v>38</v>
      </c>
      <c r="M41" s="46"/>
    </row>
    <row r="42" spans="1:13" ht="12.75">
      <c r="A42" s="133" t="s">
        <v>126</v>
      </c>
      <c r="C42" s="1" t="s">
        <v>39</v>
      </c>
      <c r="G42" s="21"/>
      <c r="H42" s="21">
        <v>1</v>
      </c>
      <c r="I42" s="21"/>
      <c r="J42" s="21">
        <v>21</v>
      </c>
      <c r="K42" s="21"/>
      <c r="L42" s="21"/>
      <c r="M42" s="46"/>
    </row>
    <row r="43" spans="1:13" ht="12.75">
      <c r="A43" s="133" t="s">
        <v>127</v>
      </c>
      <c r="C43" s="9" t="s">
        <v>101</v>
      </c>
      <c r="F43" s="47">
        <v>119100</v>
      </c>
      <c r="H43" s="47"/>
      <c r="I43" s="47"/>
      <c r="J43" s="47"/>
      <c r="K43" s="47"/>
      <c r="L43" s="47"/>
      <c r="M43" s="46"/>
    </row>
    <row r="44" spans="1:13" ht="12.75">
      <c r="A44" s="133" t="s">
        <v>128</v>
      </c>
      <c r="C44" s="9" t="s">
        <v>102</v>
      </c>
      <c r="F44" s="14">
        <v>113700</v>
      </c>
      <c r="H44" s="37"/>
      <c r="I44" s="37"/>
      <c r="J44" s="37"/>
      <c r="K44" s="37"/>
      <c r="L44" s="37"/>
      <c r="M44" s="46"/>
    </row>
    <row r="45" spans="1:13" ht="12.75">
      <c r="A45" s="133" t="s">
        <v>129</v>
      </c>
      <c r="D45" s="9" t="s">
        <v>40</v>
      </c>
      <c r="F45" s="9"/>
      <c r="H45" s="48">
        <f>$F43-$F44</f>
        <v>5400</v>
      </c>
      <c r="J45" s="48">
        <f>$F43-$F44</f>
        <v>5400</v>
      </c>
      <c r="M45" s="46"/>
    </row>
    <row r="46" spans="1:13" ht="12.75">
      <c r="A46" s="133" t="s">
        <v>130</v>
      </c>
      <c r="C46" s="9" t="s">
        <v>41</v>
      </c>
      <c r="F46" s="9"/>
      <c r="H46" s="10">
        <f>ROUND(H45*H42,0)</f>
        <v>5400</v>
      </c>
      <c r="J46" s="10">
        <f>ROUND(J45*J42,0)</f>
        <v>113400</v>
      </c>
      <c r="M46" s="46"/>
    </row>
    <row r="47" spans="1:13" ht="12.75">
      <c r="A47" s="133" t="s">
        <v>131</v>
      </c>
      <c r="C47" s="9" t="s">
        <v>31</v>
      </c>
      <c r="F47" s="9"/>
      <c r="H47" s="41">
        <v>0.062</v>
      </c>
      <c r="J47" s="41">
        <v>0.062</v>
      </c>
      <c r="M47" s="46"/>
    </row>
    <row r="48" spans="1:13" ht="12.75">
      <c r="A48" s="133" t="s">
        <v>132</v>
      </c>
      <c r="D48" s="9" t="s">
        <v>42</v>
      </c>
      <c r="F48" s="9"/>
      <c r="H48" s="10">
        <f>ROUND(H46*H47,0)</f>
        <v>335</v>
      </c>
      <c r="J48" s="10">
        <f>ROUND(J46*J47,0)</f>
        <v>7031</v>
      </c>
      <c r="K48" s="21">
        <f>SUM(H48:J48)</f>
        <v>7366</v>
      </c>
      <c r="M48" s="46"/>
    </row>
    <row r="49" spans="1:13" ht="12.75">
      <c r="A49" s="133" t="s">
        <v>133</v>
      </c>
      <c r="D49" s="31" t="str">
        <f>+'Pg 1- Payroll Adj'!E23</f>
        <v>KPCo O&amp;M% </v>
      </c>
      <c r="F49" s="9"/>
      <c r="G49" s="9"/>
      <c r="H49" s="9"/>
      <c r="I49" s="9"/>
      <c r="J49" s="9"/>
      <c r="K49" s="42">
        <v>0.7111</v>
      </c>
      <c r="M49" s="46"/>
    </row>
    <row r="50" spans="1:14" ht="12.75">
      <c r="A50" s="133" t="s">
        <v>134</v>
      </c>
      <c r="C50" s="9" t="s">
        <v>43</v>
      </c>
      <c r="E50" s="9"/>
      <c r="F50" s="9"/>
      <c r="G50" s="9"/>
      <c r="H50" s="9"/>
      <c r="I50" s="9"/>
      <c r="J50" s="9"/>
      <c r="K50" s="45">
        <f>ROUND(K48*K49,0)</f>
        <v>5238</v>
      </c>
      <c r="M50" s="46"/>
      <c r="N50" s="27"/>
    </row>
    <row r="51" spans="1:14" ht="12.75">
      <c r="A51" s="133" t="s">
        <v>135</v>
      </c>
      <c r="C51" s="9"/>
      <c r="D51" s="9" t="s">
        <v>99</v>
      </c>
      <c r="E51" s="29"/>
      <c r="F51" s="9"/>
      <c r="G51" s="9"/>
      <c r="H51" s="9"/>
      <c r="I51" s="9"/>
      <c r="J51" s="9"/>
      <c r="K51" s="132">
        <v>0.99</v>
      </c>
      <c r="M51" s="46"/>
      <c r="N51" s="27"/>
    </row>
    <row r="52" spans="1:14" ht="14.25" thickBot="1">
      <c r="A52" s="133" t="s">
        <v>136</v>
      </c>
      <c r="E52" s="8" t="s">
        <v>142</v>
      </c>
      <c r="F52" s="9"/>
      <c r="G52" s="9"/>
      <c r="H52" s="9"/>
      <c r="I52" s="9"/>
      <c r="J52" s="9"/>
      <c r="K52" s="13"/>
      <c r="L52" s="28">
        <f>ROUND(K50*K51,0)</f>
        <v>5186</v>
      </c>
      <c r="M52" s="46"/>
      <c r="N52" s="27"/>
    </row>
    <row r="53" spans="3:14" ht="13.5" thickTop="1">
      <c r="C53" s="9"/>
      <c r="E53" s="9"/>
      <c r="F53" s="9"/>
      <c r="G53" s="9"/>
      <c r="H53" s="9"/>
      <c r="I53" s="9"/>
      <c r="J53" s="9"/>
      <c r="K53" s="9"/>
      <c r="L53" s="45"/>
      <c r="M53" s="46"/>
      <c r="N53" s="27"/>
    </row>
  </sheetData>
  <sheetProtection/>
  <mergeCells count="6">
    <mergeCell ref="N1:N3"/>
    <mergeCell ref="B3:L3"/>
    <mergeCell ref="B4:L4"/>
    <mergeCell ref="G7:H7"/>
    <mergeCell ref="I7:J7"/>
    <mergeCell ref="K7:L7"/>
  </mergeCells>
  <printOptions/>
  <pageMargins left="0.7" right="0.4" top="0.5" bottom="0.48" header="0.2" footer="0.16"/>
  <pageSetup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7.10546875" defaultRowHeight="15"/>
  <cols>
    <col min="1" max="1" width="6.88671875" style="49" customWidth="1"/>
    <col min="2" max="2" width="11.21484375" style="49" customWidth="1"/>
    <col min="3" max="3" width="1.33203125" style="50" customWidth="1"/>
    <col min="4" max="4" width="8.6640625" style="49" customWidth="1"/>
    <col min="5" max="5" width="1.1171875" style="63" customWidth="1"/>
    <col min="6" max="6" width="13.21484375" style="130" bestFit="1" customWidth="1"/>
    <col min="7" max="7" width="1.33203125" style="68" customWidth="1"/>
    <col min="8" max="8" width="15.77734375" style="130" bestFit="1" customWidth="1"/>
    <col min="9" max="9" width="33.10546875" style="51" customWidth="1"/>
    <col min="10" max="10" width="13.77734375" style="131" customWidth="1"/>
    <col min="11" max="11" width="3.5546875" style="49" bestFit="1" customWidth="1"/>
    <col min="12" max="12" width="7.5546875" style="49" customWidth="1"/>
    <col min="13" max="36" width="21.99609375" style="49" customWidth="1"/>
    <col min="37" max="16384" width="7.10546875" style="49" customWidth="1"/>
  </cols>
  <sheetData>
    <row r="1" spans="4:10" ht="9" customHeight="1">
      <c r="D1" s="50"/>
      <c r="E1" s="50"/>
      <c r="F1" s="51"/>
      <c r="G1" s="51"/>
      <c r="H1" s="51"/>
      <c r="J1" s="134"/>
    </row>
    <row r="2" spans="2:10" ht="12.75">
      <c r="B2" s="3"/>
      <c r="C2" s="52"/>
      <c r="D2" s="136" t="s">
        <v>0</v>
      </c>
      <c r="E2" s="136"/>
      <c r="F2" s="136"/>
      <c r="G2" s="136"/>
      <c r="H2" s="136"/>
      <c r="I2" s="53"/>
      <c r="J2" s="134"/>
    </row>
    <row r="3" spans="2:10" s="54" customFormat="1" ht="15">
      <c r="B3" s="3"/>
      <c r="C3" s="52"/>
      <c r="D3" s="136" t="s">
        <v>44</v>
      </c>
      <c r="E3" s="136"/>
      <c r="F3" s="136"/>
      <c r="G3" s="136"/>
      <c r="H3" s="136"/>
      <c r="I3" s="53"/>
      <c r="J3" s="134"/>
    </row>
    <row r="4" spans="2:10" s="54" customFormat="1" ht="15">
      <c r="B4" s="3"/>
      <c r="C4" s="52"/>
      <c r="D4" s="136" t="s">
        <v>97</v>
      </c>
      <c r="E4" s="138"/>
      <c r="F4" s="138"/>
      <c r="G4" s="138"/>
      <c r="H4" s="138"/>
      <c r="I4" s="53"/>
      <c r="J4" s="55"/>
    </row>
    <row r="5" spans="2:10" s="56" customFormat="1" ht="8.25">
      <c r="B5" s="57"/>
      <c r="C5" s="58"/>
      <c r="D5" s="59"/>
      <c r="E5" s="60"/>
      <c r="F5" s="60"/>
      <c r="G5" s="60"/>
      <c r="H5" s="60"/>
      <c r="I5" s="61"/>
      <c r="J5" s="62"/>
    </row>
    <row r="6" spans="6:10" ht="12">
      <c r="F6" s="64" t="s">
        <v>45</v>
      </c>
      <c r="G6" s="65"/>
      <c r="H6" s="64" t="s">
        <v>46</v>
      </c>
      <c r="J6" s="66"/>
    </row>
    <row r="7" spans="6:10" ht="12">
      <c r="F7" s="67"/>
      <c r="H7" s="67"/>
      <c r="J7" s="66"/>
    </row>
    <row r="8" spans="1:10" ht="15.75" customHeight="1" thickBot="1">
      <c r="A8" s="69" t="s">
        <v>47</v>
      </c>
      <c r="B8" s="70" t="s">
        <v>48</v>
      </c>
      <c r="C8" s="71"/>
      <c r="D8" s="70"/>
      <c r="F8" s="67">
        <f>'Pg 1- Payroll Adj'!M26</f>
        <v>28383</v>
      </c>
      <c r="H8" s="67">
        <f>+'Pg 1- Payroll Adj'!M39</f>
        <v>1193</v>
      </c>
      <c r="I8" s="72"/>
      <c r="J8" s="66"/>
    </row>
    <row r="9" spans="1:9" s="81" customFormat="1" ht="15.75" customHeight="1" thickTop="1">
      <c r="A9" s="73"/>
      <c r="B9" s="74"/>
      <c r="C9" s="75"/>
      <c r="D9" s="76"/>
      <c r="E9" s="77"/>
      <c r="F9" s="78"/>
      <c r="G9" s="79"/>
      <c r="H9" s="78"/>
      <c r="I9" s="80"/>
    </row>
    <row r="10" spans="1:9" s="84" customFormat="1" ht="9.75">
      <c r="A10" s="73" t="s">
        <v>2</v>
      </c>
      <c r="B10" s="74"/>
      <c r="C10" s="75"/>
      <c r="D10" s="76"/>
      <c r="E10" s="77"/>
      <c r="F10" s="78">
        <f>SUM(F11:F20)</f>
        <v>2806.1502415245673</v>
      </c>
      <c r="G10" s="79"/>
      <c r="H10" s="78">
        <f>SUM(H11:H20)</f>
        <v>117.94867484546415</v>
      </c>
      <c r="I10" s="83"/>
    </row>
    <row r="11" spans="1:10" s="92" customFormat="1" ht="9.75">
      <c r="A11" s="85" t="s">
        <v>50</v>
      </c>
      <c r="B11" s="86">
        <v>12636.9</v>
      </c>
      <c r="C11" s="87"/>
      <c r="D11" s="88">
        <f aca="true" t="shared" si="0" ref="D11:D19">B11/$B$64</f>
        <v>0.0009883231692833087</v>
      </c>
      <c r="E11" s="89"/>
      <c r="F11" s="90">
        <f aca="true" t="shared" si="1" ref="F11:F19">$F$8*D11</f>
        <v>28.05157651376815</v>
      </c>
      <c r="G11" s="79"/>
      <c r="H11" s="90">
        <f aca="true" t="shared" si="2" ref="H11:H19">$H$8*$D11</f>
        <v>1.1790695409549872</v>
      </c>
      <c r="I11" s="82"/>
      <c r="J11" s="91"/>
    </row>
    <row r="12" spans="1:10" s="92" customFormat="1" ht="9.75">
      <c r="A12" s="85" t="s">
        <v>51</v>
      </c>
      <c r="B12" s="86">
        <v>100200.88</v>
      </c>
      <c r="C12" s="87"/>
      <c r="D12" s="88">
        <f t="shared" si="0"/>
        <v>0.007836641208411597</v>
      </c>
      <c r="E12" s="89"/>
      <c r="F12" s="90">
        <f t="shared" si="1"/>
        <v>222.42738741834637</v>
      </c>
      <c r="G12" s="79"/>
      <c r="H12" s="90">
        <f t="shared" si="2"/>
        <v>9.349112961635035</v>
      </c>
      <c r="I12" s="82"/>
      <c r="J12" s="91"/>
    </row>
    <row r="13" spans="1:10" s="92" customFormat="1" ht="9.75">
      <c r="A13" s="85" t="s">
        <v>52</v>
      </c>
      <c r="B13" s="86">
        <v>21011.1</v>
      </c>
      <c r="C13" s="87"/>
      <c r="D13" s="88">
        <f t="shared" si="0"/>
        <v>0.0016432635331551666</v>
      </c>
      <c r="E13" s="89"/>
      <c r="F13" s="90">
        <f t="shared" si="1"/>
        <v>46.640748861543095</v>
      </c>
      <c r="G13" s="79"/>
      <c r="H13" s="90">
        <f t="shared" si="2"/>
        <v>1.9604133950541136</v>
      </c>
      <c r="I13" s="82"/>
      <c r="J13" s="91"/>
    </row>
    <row r="14" spans="1:10" s="92" customFormat="1" ht="9.75">
      <c r="A14" s="85" t="s">
        <v>53</v>
      </c>
      <c r="B14" s="86">
        <v>171619.3</v>
      </c>
      <c r="C14" s="87"/>
      <c r="D14" s="88">
        <f t="shared" si="0"/>
        <v>0.013422226217362084</v>
      </c>
      <c r="E14" s="89"/>
      <c r="F14" s="90">
        <f t="shared" si="1"/>
        <v>380.963046727388</v>
      </c>
      <c r="G14" s="79"/>
      <c r="H14" s="90">
        <f t="shared" si="2"/>
        <v>16.012715877312967</v>
      </c>
      <c r="I14" s="82"/>
      <c r="J14" s="91"/>
    </row>
    <row r="15" spans="1:10" s="92" customFormat="1" ht="9.75">
      <c r="A15" s="85" t="s">
        <v>54</v>
      </c>
      <c r="B15" s="86">
        <v>1783.69</v>
      </c>
      <c r="C15" s="87"/>
      <c r="D15" s="88">
        <f t="shared" si="0"/>
        <v>0.0001395011556488494</v>
      </c>
      <c r="E15" s="89"/>
      <c r="F15" s="90">
        <f t="shared" si="1"/>
        <v>3.959461300781293</v>
      </c>
      <c r="G15" s="79"/>
      <c r="H15" s="90">
        <f t="shared" si="2"/>
        <v>0.16642487868907735</v>
      </c>
      <c r="I15" s="82"/>
      <c r="J15" s="91"/>
    </row>
    <row r="16" spans="1:10" s="92" customFormat="1" ht="9.75">
      <c r="A16" s="85" t="s">
        <v>55</v>
      </c>
      <c r="B16" s="86">
        <v>1862.25</v>
      </c>
      <c r="C16" s="87"/>
      <c r="D16" s="88">
        <f t="shared" si="0"/>
        <v>0.00014564527866785696</v>
      </c>
      <c r="E16" s="89"/>
      <c r="F16" s="90">
        <f t="shared" si="1"/>
        <v>4.133849944429784</v>
      </c>
      <c r="G16" s="79"/>
      <c r="H16" s="90">
        <f t="shared" si="2"/>
        <v>0.17375481745075336</v>
      </c>
      <c r="I16" s="82"/>
      <c r="J16" s="91"/>
    </row>
    <row r="17" spans="1:10" s="92" customFormat="1" ht="9.75">
      <c r="A17" s="85" t="s">
        <v>56</v>
      </c>
      <c r="B17" s="86">
        <v>366743.84</v>
      </c>
      <c r="C17" s="87"/>
      <c r="D17" s="88">
        <f t="shared" si="0"/>
        <v>0.028682780924430096</v>
      </c>
      <c r="E17" s="89"/>
      <c r="F17" s="90">
        <f t="shared" si="1"/>
        <v>814.1033709780994</v>
      </c>
      <c r="G17" s="79"/>
      <c r="H17" s="90">
        <f t="shared" si="2"/>
        <v>34.218557642845106</v>
      </c>
      <c r="I17" s="82"/>
      <c r="J17" s="91"/>
    </row>
    <row r="18" spans="1:10" s="92" customFormat="1" ht="9.75">
      <c r="A18" s="85" t="s">
        <v>57</v>
      </c>
      <c r="B18" s="86">
        <v>447457.13</v>
      </c>
      <c r="C18" s="87"/>
      <c r="D18" s="88">
        <f t="shared" si="0"/>
        <v>0.034995311258300174</v>
      </c>
      <c r="E18" s="89"/>
      <c r="F18" s="90">
        <f t="shared" si="1"/>
        <v>993.2719194443339</v>
      </c>
      <c r="G18" s="79"/>
      <c r="H18" s="90">
        <f t="shared" si="2"/>
        <v>41.74940633115211</v>
      </c>
      <c r="I18" s="82"/>
      <c r="J18" s="91"/>
    </row>
    <row r="19" spans="1:10" s="92" customFormat="1" ht="9.75">
      <c r="A19" s="85" t="s">
        <v>58</v>
      </c>
      <c r="B19" s="86">
        <v>140822.06</v>
      </c>
      <c r="C19" s="87"/>
      <c r="D19" s="88">
        <f t="shared" si="0"/>
        <v>0.01101359547390612</v>
      </c>
      <c r="E19" s="89"/>
      <c r="F19" s="90">
        <f t="shared" si="1"/>
        <v>312.5988803358774</v>
      </c>
      <c r="G19" s="79"/>
      <c r="H19" s="90">
        <f t="shared" si="2"/>
        <v>13.139219400370001</v>
      </c>
      <c r="I19" s="82"/>
      <c r="J19" s="91"/>
    </row>
    <row r="20" spans="1:10" s="92" customFormat="1" ht="9.75">
      <c r="A20" s="85"/>
      <c r="B20" s="86"/>
      <c r="C20" s="87"/>
      <c r="D20" s="88"/>
      <c r="E20" s="89"/>
      <c r="F20" s="90"/>
      <c r="G20" s="79"/>
      <c r="H20" s="90"/>
      <c r="I20" s="82"/>
      <c r="J20" s="91"/>
    </row>
    <row r="21" spans="1:10" s="92" customFormat="1" ht="9.75">
      <c r="A21" s="85"/>
      <c r="B21" s="86"/>
      <c r="C21" s="87"/>
      <c r="D21" s="88"/>
      <c r="E21" s="89"/>
      <c r="F21" s="90"/>
      <c r="G21" s="79"/>
      <c r="H21" s="90"/>
      <c r="I21" s="82"/>
      <c r="J21" s="91"/>
    </row>
    <row r="22" spans="1:9" s="92" customFormat="1" ht="9.75">
      <c r="A22" s="73" t="s">
        <v>3</v>
      </c>
      <c r="B22" s="74"/>
      <c r="C22" s="75"/>
      <c r="D22" s="76"/>
      <c r="E22" s="77"/>
      <c r="F22" s="78">
        <f>SUM(F23:F50)</f>
        <v>22365.62339995961</v>
      </c>
      <c r="G22" s="79"/>
      <c r="H22" s="78">
        <f>SUM(H23:H50)</f>
        <v>940.0764089825535</v>
      </c>
      <c r="I22" s="91"/>
    </row>
    <row r="23" spans="1:10" s="92" customFormat="1" ht="9.75">
      <c r="A23" s="85" t="s">
        <v>59</v>
      </c>
      <c r="B23" s="93">
        <v>119932.57</v>
      </c>
      <c r="C23" s="87"/>
      <c r="D23" s="88">
        <f aca="true" t="shared" si="3" ref="D23:D49">B23/$B$64</f>
        <v>0.009379842974360189</v>
      </c>
      <c r="E23" s="89"/>
      <c r="F23" s="90">
        <f aca="true" t="shared" si="4" ref="F23:F49">$F$8*D23</f>
        <v>266.22808314126524</v>
      </c>
      <c r="G23" s="79"/>
      <c r="H23" s="90">
        <f aca="true" t="shared" si="5" ref="H23:H49">$H$8*$D23</f>
        <v>11.190152668411706</v>
      </c>
      <c r="I23" s="82"/>
      <c r="J23" s="91"/>
    </row>
    <row r="24" spans="1:10" s="92" customFormat="1" ht="9.75">
      <c r="A24" s="85" t="s">
        <v>60</v>
      </c>
      <c r="B24" s="93">
        <v>127017.4</v>
      </c>
      <c r="C24" s="87"/>
      <c r="D24" s="88">
        <f t="shared" si="3"/>
        <v>0.009933942606345364</v>
      </c>
      <c r="E24" s="89"/>
      <c r="F24" s="90">
        <f t="shared" si="4"/>
        <v>281.9550929959005</v>
      </c>
      <c r="G24" s="79"/>
      <c r="H24" s="90">
        <f t="shared" si="5"/>
        <v>11.851193529370018</v>
      </c>
      <c r="I24" s="82"/>
      <c r="J24" s="91"/>
    </row>
    <row r="25" spans="1:10" s="92" customFormat="1" ht="9.75">
      <c r="A25" s="85" t="s">
        <v>61</v>
      </c>
      <c r="B25" s="93">
        <v>306373.47</v>
      </c>
      <c r="C25" s="87"/>
      <c r="D25" s="88">
        <f t="shared" si="3"/>
        <v>0.02396125623014542</v>
      </c>
      <c r="E25" s="89"/>
      <c r="F25" s="90">
        <f t="shared" si="4"/>
        <v>680.0923355802174</v>
      </c>
      <c r="G25" s="79"/>
      <c r="H25" s="90">
        <f t="shared" si="5"/>
        <v>28.585778682563486</v>
      </c>
      <c r="I25" s="82"/>
      <c r="J25" s="91"/>
    </row>
    <row r="26" spans="1:10" s="92" customFormat="1" ht="9.75">
      <c r="A26" s="85" t="s">
        <v>62</v>
      </c>
      <c r="B26" s="93">
        <v>14825.87</v>
      </c>
      <c r="C26" s="87"/>
      <c r="D26" s="88">
        <f t="shared" si="3"/>
        <v>0.0011595209921564885</v>
      </c>
      <c r="E26" s="89"/>
      <c r="F26" s="90">
        <f t="shared" si="4"/>
        <v>32.91068432037761</v>
      </c>
      <c r="G26" s="79"/>
      <c r="H26" s="90">
        <f t="shared" si="5"/>
        <v>1.3833085436426908</v>
      </c>
      <c r="I26" s="82"/>
      <c r="J26" s="91"/>
    </row>
    <row r="27" spans="1:10" s="92" customFormat="1" ht="9.75">
      <c r="A27" s="85" t="s">
        <v>63</v>
      </c>
      <c r="B27" s="93">
        <v>7952.68</v>
      </c>
      <c r="C27" s="87"/>
      <c r="D27" s="88">
        <f t="shared" si="3"/>
        <v>0.0006219735775305639</v>
      </c>
      <c r="E27" s="89"/>
      <c r="F27" s="90">
        <f t="shared" si="4"/>
        <v>17.653476051049996</v>
      </c>
      <c r="G27" s="79"/>
      <c r="H27" s="90">
        <f t="shared" si="5"/>
        <v>0.7420144779939627</v>
      </c>
      <c r="I27" s="82"/>
      <c r="J27" s="91"/>
    </row>
    <row r="28" spans="1:10" s="92" customFormat="1" ht="9.75">
      <c r="A28" s="85" t="s">
        <v>64</v>
      </c>
      <c r="B28" s="93">
        <v>391285.06</v>
      </c>
      <c r="C28" s="87"/>
      <c r="D28" s="88">
        <f t="shared" si="3"/>
        <v>0.030602132690170026</v>
      </c>
      <c r="E28" s="89"/>
      <c r="F28" s="90">
        <f t="shared" si="4"/>
        <v>868.5803321450959</v>
      </c>
      <c r="G28" s="79"/>
      <c r="H28" s="90">
        <f t="shared" si="5"/>
        <v>36.508344299372844</v>
      </c>
      <c r="I28" s="82"/>
      <c r="J28" s="91"/>
    </row>
    <row r="29" spans="1:10" s="92" customFormat="1" ht="9.75">
      <c r="A29" s="85" t="s">
        <v>65</v>
      </c>
      <c r="B29" s="93">
        <v>133325.57</v>
      </c>
      <c r="C29" s="87"/>
      <c r="D29" s="88">
        <f t="shared" si="3"/>
        <v>0.010427300199329236</v>
      </c>
      <c r="E29" s="89"/>
      <c r="F29" s="90">
        <f t="shared" si="4"/>
        <v>295.9580615575617</v>
      </c>
      <c r="G29" s="79"/>
      <c r="H29" s="90">
        <f t="shared" si="5"/>
        <v>12.439769137799779</v>
      </c>
      <c r="I29" s="82"/>
      <c r="J29" s="91"/>
    </row>
    <row r="30" spans="1:10" s="92" customFormat="1" ht="9.75">
      <c r="A30" s="85" t="s">
        <v>66</v>
      </c>
      <c r="B30" s="93">
        <v>2106168.26</v>
      </c>
      <c r="C30" s="87"/>
      <c r="D30" s="88">
        <f t="shared" si="3"/>
        <v>0.1647219563157983</v>
      </c>
      <c r="E30" s="89"/>
      <c r="F30" s="90">
        <f t="shared" si="4"/>
        <v>4675.303286111303</v>
      </c>
      <c r="G30" s="79"/>
      <c r="H30" s="90">
        <f t="shared" si="5"/>
        <v>196.51329388474738</v>
      </c>
      <c r="I30" s="94"/>
      <c r="J30" s="95"/>
    </row>
    <row r="31" spans="1:10" s="92" customFormat="1" ht="9.75">
      <c r="A31" s="85" t="s">
        <v>67</v>
      </c>
      <c r="B31" s="93">
        <v>142.9</v>
      </c>
      <c r="C31" s="87"/>
      <c r="D31" s="88">
        <f t="shared" si="3"/>
        <v>1.1176109717619417E-05</v>
      </c>
      <c r="E31" s="89"/>
      <c r="F31" s="90">
        <f t="shared" si="4"/>
        <v>0.31721152211519194</v>
      </c>
      <c r="G31" s="79"/>
      <c r="H31" s="90">
        <f t="shared" si="5"/>
        <v>0.013333098893119965</v>
      </c>
      <c r="I31" s="94"/>
      <c r="J31" s="95"/>
    </row>
    <row r="32" spans="1:10" s="92" customFormat="1" ht="9.75">
      <c r="A32" s="85" t="s">
        <v>68</v>
      </c>
      <c r="B32" s="93">
        <v>221.7</v>
      </c>
      <c r="C32" s="87"/>
      <c r="D32" s="88">
        <f t="shared" si="3"/>
        <v>1.7339002969882608E-05</v>
      </c>
      <c r="E32" s="89"/>
      <c r="F32" s="90">
        <f t="shared" si="4"/>
        <v>0.49213292129417807</v>
      </c>
      <c r="G32" s="79"/>
      <c r="H32" s="90">
        <f t="shared" si="5"/>
        <v>0.02068543054306995</v>
      </c>
      <c r="I32" s="94"/>
      <c r="J32" s="95"/>
    </row>
    <row r="33" spans="1:10" s="92" customFormat="1" ht="9.75">
      <c r="A33" s="85" t="s">
        <v>69</v>
      </c>
      <c r="B33" s="93">
        <v>350683.91</v>
      </c>
      <c r="C33" s="87"/>
      <c r="D33" s="88">
        <f t="shared" si="3"/>
        <v>0.027426744957059292</v>
      </c>
      <c r="E33" s="89"/>
      <c r="F33" s="90">
        <f t="shared" si="4"/>
        <v>778.4533021162139</v>
      </c>
      <c r="G33" s="79"/>
      <c r="H33" s="90">
        <f t="shared" si="5"/>
        <v>32.720106733771736</v>
      </c>
      <c r="I33" s="94"/>
      <c r="J33" s="95"/>
    </row>
    <row r="34" spans="1:10" s="92" customFormat="1" ht="9.75">
      <c r="A34" s="85" t="s">
        <v>70</v>
      </c>
      <c r="B34" s="93">
        <v>3967615.06</v>
      </c>
      <c r="C34" s="87"/>
      <c r="D34" s="88">
        <f t="shared" si="3"/>
        <v>0.3103044172696931</v>
      </c>
      <c r="E34" s="89"/>
      <c r="F34" s="90">
        <f t="shared" si="4"/>
        <v>8807.3702753657</v>
      </c>
      <c r="G34" s="79"/>
      <c r="H34" s="90">
        <f t="shared" si="5"/>
        <v>370.19316980274385</v>
      </c>
      <c r="I34" s="94"/>
      <c r="J34" s="95"/>
    </row>
    <row r="35" spans="1:10" s="92" customFormat="1" ht="9.75">
      <c r="A35" s="85" t="s">
        <v>70</v>
      </c>
      <c r="B35" s="93">
        <v>313938.83</v>
      </c>
      <c r="C35" s="87"/>
      <c r="D35" s="88">
        <f t="shared" si="3"/>
        <v>0.02455293777957362</v>
      </c>
      <c r="E35" s="89"/>
      <c r="F35" s="90">
        <f t="shared" si="4"/>
        <v>696.886032997638</v>
      </c>
      <c r="G35" s="79"/>
      <c r="H35" s="90">
        <f t="shared" si="5"/>
        <v>29.29165477103133</v>
      </c>
      <c r="I35" s="94"/>
      <c r="J35" s="95"/>
    </row>
    <row r="36" spans="1:10" s="92" customFormat="1" ht="9.75">
      <c r="A36" s="85" t="s">
        <v>70</v>
      </c>
      <c r="B36" s="93">
        <v>1139.98</v>
      </c>
      <c r="C36" s="87"/>
      <c r="D36" s="88">
        <f t="shared" si="3"/>
        <v>8.915704377810905E-05</v>
      </c>
      <c r="E36" s="89"/>
      <c r="F36" s="90">
        <f t="shared" si="4"/>
        <v>2.5305443735540694</v>
      </c>
      <c r="G36" s="79"/>
      <c r="H36" s="90">
        <f t="shared" si="5"/>
        <v>0.1063643532272841</v>
      </c>
      <c r="I36" s="94"/>
      <c r="J36" s="95"/>
    </row>
    <row r="37" spans="1:10" s="92" customFormat="1" ht="9.75">
      <c r="A37" s="85" t="s">
        <v>71</v>
      </c>
      <c r="B37" s="93">
        <v>7782.7</v>
      </c>
      <c r="C37" s="87"/>
      <c r="D37" s="88">
        <f t="shared" si="3"/>
        <v>0.0006086795598272683</v>
      </c>
      <c r="E37" s="89"/>
      <c r="F37" s="90">
        <f t="shared" si="4"/>
        <v>17.276151946577357</v>
      </c>
      <c r="G37" s="79"/>
      <c r="H37" s="90">
        <f t="shared" si="5"/>
        <v>0.7261547148739311</v>
      </c>
      <c r="I37" s="94"/>
      <c r="J37" s="95"/>
    </row>
    <row r="38" spans="1:10" s="92" customFormat="1" ht="9.75">
      <c r="A38" s="85" t="s">
        <v>72</v>
      </c>
      <c r="B38" s="93">
        <v>39720.02</v>
      </c>
      <c r="C38" s="87"/>
      <c r="D38" s="88">
        <f t="shared" si="3"/>
        <v>0.0031064751679918652</v>
      </c>
      <c r="E38" s="89"/>
      <c r="F38" s="90">
        <f t="shared" si="4"/>
        <v>88.17108469311312</v>
      </c>
      <c r="G38" s="79"/>
      <c r="H38" s="90">
        <f t="shared" si="5"/>
        <v>3.706024875414295</v>
      </c>
      <c r="I38" s="94"/>
      <c r="J38" s="95"/>
    </row>
    <row r="39" spans="1:10" s="92" customFormat="1" ht="9.75">
      <c r="A39" s="85" t="s">
        <v>73</v>
      </c>
      <c r="B39" s="93">
        <v>35171.86</v>
      </c>
      <c r="C39" s="87"/>
      <c r="D39" s="88">
        <f t="shared" si="3"/>
        <v>0.002750766734308955</v>
      </c>
      <c r="E39" s="89"/>
      <c r="F39" s="90">
        <f t="shared" si="4"/>
        <v>78.07501221989108</v>
      </c>
      <c r="G39" s="79"/>
      <c r="H39" s="90">
        <f t="shared" si="5"/>
        <v>3.2816647140305837</v>
      </c>
      <c r="I39" s="94"/>
      <c r="J39" s="95"/>
    </row>
    <row r="40" spans="1:10" s="92" customFormat="1" ht="9.75">
      <c r="A40" s="85" t="s">
        <v>74</v>
      </c>
      <c r="B40" s="93">
        <v>50982.97</v>
      </c>
      <c r="C40" s="87"/>
      <c r="D40" s="88">
        <f t="shared" si="3"/>
        <v>0.003987342662351989</v>
      </c>
      <c r="E40" s="89"/>
      <c r="F40" s="90">
        <f t="shared" si="4"/>
        <v>113.1727467855365</v>
      </c>
      <c r="G40" s="79"/>
      <c r="H40" s="90">
        <f t="shared" si="5"/>
        <v>4.756899796185922</v>
      </c>
      <c r="I40" s="94"/>
      <c r="J40" s="95"/>
    </row>
    <row r="41" spans="1:10" s="92" customFormat="1" ht="9.75">
      <c r="A41" s="85" t="s">
        <v>75</v>
      </c>
      <c r="B41" s="93">
        <v>105226.42</v>
      </c>
      <c r="C41" s="87"/>
      <c r="D41" s="88">
        <f t="shared" si="3"/>
        <v>0.008229685200226048</v>
      </c>
      <c r="E41" s="89"/>
      <c r="F41" s="90">
        <f t="shared" si="4"/>
        <v>233.58315503801592</v>
      </c>
      <c r="G41" s="79"/>
      <c r="H41" s="90">
        <f t="shared" si="5"/>
        <v>9.818014443869675</v>
      </c>
      <c r="I41" s="94"/>
      <c r="J41" s="95"/>
    </row>
    <row r="42" spans="1:10" s="92" customFormat="1" ht="9.75">
      <c r="A42" s="85" t="s">
        <v>76</v>
      </c>
      <c r="B42" s="93">
        <v>226402.56</v>
      </c>
      <c r="C42" s="87"/>
      <c r="D42" s="88">
        <f t="shared" si="3"/>
        <v>0.017706786920293302</v>
      </c>
      <c r="E42" s="89"/>
      <c r="F42" s="90">
        <f t="shared" si="4"/>
        <v>502.57173315868476</v>
      </c>
      <c r="G42" s="79"/>
      <c r="H42" s="90">
        <f t="shared" si="5"/>
        <v>21.12419679590991</v>
      </c>
      <c r="I42" s="94"/>
      <c r="J42" s="95"/>
    </row>
    <row r="43" spans="1:10" s="92" customFormat="1" ht="9.75">
      <c r="A43" s="85" t="s">
        <v>77</v>
      </c>
      <c r="B43" s="93">
        <v>364200.5900000001</v>
      </c>
      <c r="C43" s="87"/>
      <c r="D43" s="88">
        <f t="shared" si="3"/>
        <v>0.028483875108899413</v>
      </c>
      <c r="E43" s="89"/>
      <c r="F43" s="90">
        <f t="shared" si="4"/>
        <v>808.457827215892</v>
      </c>
      <c r="G43" s="79"/>
      <c r="H43" s="90">
        <f t="shared" si="5"/>
        <v>33.981263004917</v>
      </c>
      <c r="I43" s="94"/>
      <c r="J43" s="95"/>
    </row>
    <row r="44" spans="1:10" s="92" customFormat="1" ht="9.75">
      <c r="A44" s="85" t="s">
        <v>78</v>
      </c>
      <c r="B44" s="93">
        <v>742539.8099999999</v>
      </c>
      <c r="C44" s="87"/>
      <c r="D44" s="88">
        <f t="shared" si="3"/>
        <v>0.058073522647027816</v>
      </c>
      <c r="E44" s="89"/>
      <c r="F44" s="90">
        <f t="shared" si="4"/>
        <v>1648.3007932905905</v>
      </c>
      <c r="G44" s="79"/>
      <c r="H44" s="90">
        <f t="shared" si="5"/>
        <v>69.28171251790418</v>
      </c>
      <c r="I44" s="94"/>
      <c r="J44" s="95"/>
    </row>
    <row r="45" spans="1:10" s="92" customFormat="1" ht="9.75">
      <c r="A45" s="85" t="s">
        <v>79</v>
      </c>
      <c r="B45" s="93">
        <v>6306.28</v>
      </c>
      <c r="C45" s="87"/>
      <c r="D45" s="88">
        <f t="shared" si="3"/>
        <v>0.0004932097773969837</v>
      </c>
      <c r="E45" s="89"/>
      <c r="F45" s="90">
        <f t="shared" si="4"/>
        <v>13.998773111858588</v>
      </c>
      <c r="G45" s="79"/>
      <c r="H45" s="90">
        <f t="shared" si="5"/>
        <v>0.5883992644346016</v>
      </c>
      <c r="I45" s="94"/>
      <c r="J45" s="95"/>
    </row>
    <row r="46" spans="1:10" s="92" customFormat="1" ht="9.75">
      <c r="A46" s="85" t="s">
        <v>80</v>
      </c>
      <c r="B46" s="93">
        <v>68749.44</v>
      </c>
      <c r="C46" s="87"/>
      <c r="D46" s="88">
        <f t="shared" si="3"/>
        <v>0.00537684593747301</v>
      </c>
      <c r="E46" s="89"/>
      <c r="F46" s="90">
        <f t="shared" si="4"/>
        <v>152.61101824329643</v>
      </c>
      <c r="G46" s="79"/>
      <c r="H46" s="90">
        <f t="shared" si="5"/>
        <v>6.4145772034053</v>
      </c>
      <c r="I46" s="94"/>
      <c r="J46" s="95"/>
    </row>
    <row r="47" spans="1:10" s="92" customFormat="1" ht="9.75">
      <c r="A47" s="85" t="s">
        <v>81</v>
      </c>
      <c r="B47" s="86">
        <v>204743.46</v>
      </c>
      <c r="C47" s="87"/>
      <c r="D47" s="88">
        <f t="shared" si="3"/>
        <v>0.01601284375734795</v>
      </c>
      <c r="E47" s="89"/>
      <c r="F47" s="90">
        <f t="shared" si="4"/>
        <v>454.49254436480686</v>
      </c>
      <c r="G47" s="79"/>
      <c r="H47" s="90">
        <f t="shared" si="5"/>
        <v>19.103322602516105</v>
      </c>
      <c r="I47" s="94"/>
      <c r="J47" s="95"/>
    </row>
    <row r="48" spans="1:10" s="92" customFormat="1" ht="9.75">
      <c r="A48" s="85" t="s">
        <v>81</v>
      </c>
      <c r="B48" s="86">
        <v>382450.57</v>
      </c>
      <c r="C48" s="87"/>
      <c r="D48" s="88">
        <f t="shared" si="3"/>
        <v>0.029911193365193038</v>
      </c>
      <c r="E48" s="89"/>
      <c r="F48" s="90">
        <f t="shared" si="4"/>
        <v>848.969401284274</v>
      </c>
      <c r="G48" s="79"/>
      <c r="H48" s="90">
        <f t="shared" si="5"/>
        <v>35.68405368467529</v>
      </c>
      <c r="I48" s="94"/>
      <c r="J48" s="95"/>
    </row>
    <row r="49" spans="1:10" s="92" customFormat="1" ht="9.75">
      <c r="A49" s="85" t="s">
        <v>82</v>
      </c>
      <c r="B49" s="86">
        <v>546.13</v>
      </c>
      <c r="C49" s="87"/>
      <c r="D49" s="88">
        <f t="shared" si="3"/>
        <v>4.2712447866224576E-05</v>
      </c>
      <c r="E49" s="89"/>
      <c r="F49" s="90">
        <f t="shared" si="4"/>
        <v>1.2123074077870521</v>
      </c>
      <c r="G49" s="79"/>
      <c r="H49" s="90">
        <f t="shared" si="5"/>
        <v>0.05095595030440592</v>
      </c>
      <c r="I49" s="94"/>
      <c r="J49" s="95"/>
    </row>
    <row r="50" spans="1:10" s="92" customFormat="1" ht="9.75">
      <c r="A50" s="85"/>
      <c r="B50" s="86"/>
      <c r="C50" s="87"/>
      <c r="D50" s="88"/>
      <c r="E50" s="89"/>
      <c r="F50" s="90"/>
      <c r="G50" s="79"/>
      <c r="H50" s="90"/>
      <c r="I50" s="94"/>
      <c r="J50" s="95"/>
    </row>
    <row r="51" spans="1:10" s="92" customFormat="1" ht="9.75">
      <c r="A51" s="85"/>
      <c r="B51" s="86"/>
      <c r="C51" s="87"/>
      <c r="D51" s="88"/>
      <c r="E51" s="89"/>
      <c r="F51" s="90"/>
      <c r="G51" s="79"/>
      <c r="H51" s="90"/>
      <c r="I51" s="94"/>
      <c r="J51" s="95"/>
    </row>
    <row r="52" spans="1:9" s="92" customFormat="1" ht="9.75">
      <c r="A52" s="73" t="s">
        <v>83</v>
      </c>
      <c r="B52" s="74"/>
      <c r="C52" s="75"/>
      <c r="D52" s="76"/>
      <c r="E52" s="77"/>
      <c r="F52" s="78">
        <f>SUM(F53:F62)</f>
        <v>3211.226358515809</v>
      </c>
      <c r="G52" s="79"/>
      <c r="H52" s="78">
        <f>SUM(H53:H62)</f>
        <v>134.97491617198182</v>
      </c>
      <c r="I52" s="95"/>
    </row>
    <row r="53" spans="1:10" s="92" customFormat="1" ht="9.75">
      <c r="A53" s="85" t="s">
        <v>84</v>
      </c>
      <c r="B53" s="86">
        <v>1383339.74</v>
      </c>
      <c r="C53" s="87"/>
      <c r="D53" s="88">
        <f aca="true" t="shared" si="6" ref="D53:D62">B53/$B$64</f>
        <v>0.10819003996489236</v>
      </c>
      <c r="E53" s="89"/>
      <c r="F53" s="90">
        <f aca="true" t="shared" si="7" ref="F53:F62">$F$8*D53</f>
        <v>3070.75790432354</v>
      </c>
      <c r="G53" s="79"/>
      <c r="H53" s="90">
        <f aca="true" t="shared" si="8" ref="H53:H62">$H$8*$D53</f>
        <v>129.07071767811658</v>
      </c>
      <c r="I53" s="94"/>
      <c r="J53" s="95"/>
    </row>
    <row r="54" spans="1:10" s="92" customFormat="1" ht="9.75">
      <c r="A54" s="85" t="s">
        <v>85</v>
      </c>
      <c r="B54" s="86">
        <v>1836.39</v>
      </c>
      <c r="C54" s="87"/>
      <c r="D54" s="88">
        <f t="shared" si="6"/>
        <v>0.0001436227860345635</v>
      </c>
      <c r="E54" s="89"/>
      <c r="F54" s="90">
        <f t="shared" si="7"/>
        <v>4.0764455360190155</v>
      </c>
      <c r="G54" s="79"/>
      <c r="H54" s="90">
        <f t="shared" si="8"/>
        <v>0.17134198373923423</v>
      </c>
      <c r="I54" s="82"/>
      <c r="J54" s="91"/>
    </row>
    <row r="55" spans="1:10" s="92" customFormat="1" ht="9.75">
      <c r="A55" s="85" t="s">
        <v>86</v>
      </c>
      <c r="B55" s="86">
        <v>-475249</v>
      </c>
      <c r="C55" s="87"/>
      <c r="D55" s="88">
        <f t="shared" si="6"/>
        <v>-0.037168894102091746</v>
      </c>
      <c r="E55" s="89"/>
      <c r="F55" s="90">
        <f t="shared" si="7"/>
        <v>-1054.96472129967</v>
      </c>
      <c r="G55" s="79"/>
      <c r="H55" s="90">
        <f t="shared" si="8"/>
        <v>-44.34249066379545</v>
      </c>
      <c r="I55" s="82"/>
      <c r="J55" s="91"/>
    </row>
    <row r="56" spans="1:9" s="92" customFormat="1" ht="9.75">
      <c r="A56" s="85" t="s">
        <v>87</v>
      </c>
      <c r="B56" s="86">
        <v>-30.68</v>
      </c>
      <c r="C56" s="87"/>
      <c r="D56" s="88">
        <f t="shared" si="6"/>
        <v>-2.399461484510593E-06</v>
      </c>
      <c r="E56" s="89"/>
      <c r="F56" s="90">
        <f t="shared" si="7"/>
        <v>-0.06810391531486416</v>
      </c>
      <c r="G56" s="79"/>
      <c r="H56" s="90">
        <f t="shared" si="8"/>
        <v>-0.002862557551021137</v>
      </c>
      <c r="I56" s="94"/>
    </row>
    <row r="57" spans="1:9" s="92" customFormat="1" ht="9.75">
      <c r="A57" s="85" t="s">
        <v>88</v>
      </c>
      <c r="B57" s="86">
        <v>1206.9</v>
      </c>
      <c r="C57" s="87"/>
      <c r="D57" s="88">
        <f t="shared" si="6"/>
        <v>9.439081048421886E-05</v>
      </c>
      <c r="E57" s="89"/>
      <c r="F57" s="90">
        <f t="shared" si="7"/>
        <v>2.679094373973584</v>
      </c>
      <c r="G57" s="79"/>
      <c r="H57" s="90">
        <f t="shared" si="8"/>
        <v>0.1126082369076731</v>
      </c>
      <c r="I57" s="94"/>
    </row>
    <row r="58" spans="1:10" s="92" customFormat="1" ht="9.75">
      <c r="A58" s="85" t="s">
        <v>89</v>
      </c>
      <c r="B58" s="86">
        <v>5008.879999999999</v>
      </c>
      <c r="C58" s="87"/>
      <c r="D58" s="88">
        <f t="shared" si="6"/>
        <v>0.00039174102478928995</v>
      </c>
      <c r="E58" s="89"/>
      <c r="F58" s="90">
        <f t="shared" si="7"/>
        <v>11.118785506594417</v>
      </c>
      <c r="G58" s="79"/>
      <c r="H58" s="90">
        <f t="shared" si="8"/>
        <v>0.4673470425736229</v>
      </c>
      <c r="I58" s="82"/>
      <c r="J58" s="95"/>
    </row>
    <row r="59" spans="1:10" s="92" customFormat="1" ht="9.75">
      <c r="A59" s="85" t="s">
        <v>90</v>
      </c>
      <c r="B59" s="86">
        <v>15467.21</v>
      </c>
      <c r="C59" s="87"/>
      <c r="D59" s="88">
        <f t="shared" si="6"/>
        <v>0.0012096797479738293</v>
      </c>
      <c r="E59" s="89"/>
      <c r="F59" s="90">
        <f t="shared" si="7"/>
        <v>34.334340286741195</v>
      </c>
      <c r="G59" s="79"/>
      <c r="H59" s="90">
        <f t="shared" si="8"/>
        <v>1.4431479393327784</v>
      </c>
      <c r="I59" s="82"/>
      <c r="J59" s="95"/>
    </row>
    <row r="60" spans="1:10" s="92" customFormat="1" ht="9.75">
      <c r="A60" s="85" t="s">
        <v>91</v>
      </c>
      <c r="B60" s="86">
        <v>283.22</v>
      </c>
      <c r="C60" s="87"/>
      <c r="D60" s="88">
        <f t="shared" si="6"/>
        <v>2.2150439427740878E-05</v>
      </c>
      <c r="E60" s="89"/>
      <c r="F60" s="90">
        <f t="shared" si="7"/>
        <v>0.6286959222775693</v>
      </c>
      <c r="G60" s="79"/>
      <c r="H60" s="90">
        <f t="shared" si="8"/>
        <v>0.02642547423729487</v>
      </c>
      <c r="I60" s="82"/>
      <c r="J60" s="95"/>
    </row>
    <row r="61" spans="1:10" s="92" customFormat="1" ht="9.75">
      <c r="A61" s="85" t="s">
        <v>92</v>
      </c>
      <c r="B61" s="86">
        <v>31101.629999999997</v>
      </c>
      <c r="C61" s="87"/>
      <c r="D61" s="88">
        <f t="shared" si="6"/>
        <v>0.002432436873875462</v>
      </c>
      <c r="E61" s="89"/>
      <c r="F61" s="90">
        <f t="shared" si="7"/>
        <v>69.03985579120724</v>
      </c>
      <c r="G61" s="79"/>
      <c r="H61" s="90">
        <f t="shared" si="8"/>
        <v>2.9018971905334263</v>
      </c>
      <c r="I61" s="82"/>
      <c r="J61" s="95"/>
    </row>
    <row r="62" spans="1:10" s="92" customFormat="1" ht="9.75">
      <c r="A62" s="85" t="s">
        <v>93</v>
      </c>
      <c r="B62" s="86">
        <v>483654.81</v>
      </c>
      <c r="C62" s="87"/>
      <c r="D62" s="88">
        <f t="shared" si="6"/>
        <v>0.03782630666210198</v>
      </c>
      <c r="E62" s="89"/>
      <c r="F62" s="90">
        <f t="shared" si="7"/>
        <v>1073.6240619904406</v>
      </c>
      <c r="G62" s="79"/>
      <c r="H62" s="90">
        <f t="shared" si="8"/>
        <v>45.126783847887666</v>
      </c>
      <c r="I62" s="82"/>
      <c r="J62" s="95"/>
    </row>
    <row r="63" spans="1:10" s="96" customFormat="1" ht="9.75">
      <c r="A63" s="97"/>
      <c r="B63" s="97"/>
      <c r="C63" s="98"/>
      <c r="E63" s="99"/>
      <c r="F63" s="100"/>
      <c r="G63" s="101"/>
      <c r="H63" s="100"/>
      <c r="I63" s="102"/>
      <c r="J63" s="103"/>
    </row>
    <row r="64" spans="1:10" s="92" customFormat="1" ht="12">
      <c r="A64" s="85" t="s">
        <v>49</v>
      </c>
      <c r="B64" s="104">
        <f>SUM(B9:B62)</f>
        <v>12786202.320000006</v>
      </c>
      <c r="C64" s="105"/>
      <c r="D64" s="106">
        <f>SUM(D10:D62)</f>
        <v>0.9999999999999994</v>
      </c>
      <c r="E64" s="89"/>
      <c r="F64" s="107">
        <f>+F52+F22+F10+F9</f>
        <v>28382.99999999999</v>
      </c>
      <c r="G64" s="79"/>
      <c r="H64" s="107">
        <f>+H52+H22+H10+H9</f>
        <v>1192.9999999999995</v>
      </c>
      <c r="I64" s="51"/>
      <c r="J64" s="95"/>
    </row>
    <row r="65" spans="1:10" s="92" customFormat="1" ht="12">
      <c r="A65" s="50"/>
      <c r="B65" s="108"/>
      <c r="C65" s="108"/>
      <c r="D65" s="109"/>
      <c r="E65" s="110"/>
      <c r="F65" s="111"/>
      <c r="G65" s="112"/>
      <c r="H65" s="111"/>
      <c r="I65" s="113"/>
      <c r="J65" s="114"/>
    </row>
    <row r="66" spans="1:10" s="92" customFormat="1" ht="12">
      <c r="A66" s="115"/>
      <c r="B66" s="116"/>
      <c r="C66" s="117"/>
      <c r="D66" s="118"/>
      <c r="E66" s="119"/>
      <c r="F66" s="111"/>
      <c r="G66" s="112"/>
      <c r="H66" s="111"/>
      <c r="I66" s="113"/>
      <c r="J66" s="114"/>
    </row>
    <row r="67" spans="1:10" s="50" customFormat="1" ht="12">
      <c r="A67" s="115" t="s">
        <v>94</v>
      </c>
      <c r="B67" s="116">
        <f>SUM(B11:B20)</f>
        <v>1264137.15</v>
      </c>
      <c r="C67" s="117"/>
      <c r="D67" s="118"/>
      <c r="E67" s="119"/>
      <c r="F67" s="111">
        <f>+F10</f>
        <v>2806.1502415245673</v>
      </c>
      <c r="G67" s="112"/>
      <c r="H67" s="111">
        <f>+H10</f>
        <v>117.94867484546415</v>
      </c>
      <c r="I67" s="113"/>
      <c r="J67" s="51"/>
    </row>
    <row r="68" spans="1:10" s="50" customFormat="1" ht="15">
      <c r="A68" s="115" t="s">
        <v>95</v>
      </c>
      <c r="B68" s="116">
        <f>SUM(B23:B50)</f>
        <v>10075446.070000002</v>
      </c>
      <c r="C68" s="117"/>
      <c r="D68" s="118"/>
      <c r="E68" s="119"/>
      <c r="F68" s="111">
        <f>+F22</f>
        <v>22365.62339995961</v>
      </c>
      <c r="G68" s="112"/>
      <c r="H68" s="111">
        <f>+H22</f>
        <v>940.0764089825535</v>
      </c>
      <c r="I68" s="113"/>
      <c r="J68" s="120"/>
    </row>
    <row r="69" spans="1:10" ht="15.75" thickBot="1">
      <c r="A69" s="121" t="s">
        <v>96</v>
      </c>
      <c r="B69" s="108">
        <f>SUM(B53:B62)</f>
        <v>1446619.0999999999</v>
      </c>
      <c r="C69" s="108"/>
      <c r="D69" s="122"/>
      <c r="E69" s="110"/>
      <c r="F69" s="111">
        <f>+F52</f>
        <v>3211.226358515809</v>
      </c>
      <c r="G69" s="112"/>
      <c r="H69" s="111">
        <f>+H52</f>
        <v>134.97491617198182</v>
      </c>
      <c r="I69" s="113"/>
      <c r="J69" s="55"/>
    </row>
    <row r="70" spans="1:10" s="54" customFormat="1" ht="15">
      <c r="A70" s="50" t="s">
        <v>49</v>
      </c>
      <c r="B70" s="123">
        <f>SUM(B66:B69)</f>
        <v>12786202.320000002</v>
      </c>
      <c r="C70" s="108"/>
      <c r="D70" s="109"/>
      <c r="E70" s="110"/>
      <c r="F70" s="123">
        <f>SUM(F66:F69)</f>
        <v>28382.999999999985</v>
      </c>
      <c r="G70" s="112"/>
      <c r="H70" s="123">
        <f>SUM(H66:H69)</f>
        <v>1192.9999999999995</v>
      </c>
      <c r="I70" s="113"/>
      <c r="J70" s="55"/>
    </row>
    <row r="71" spans="1:10" s="56" customFormat="1" ht="8.25">
      <c r="A71" s="124"/>
      <c r="B71" s="124"/>
      <c r="C71" s="124"/>
      <c r="D71" s="124"/>
      <c r="E71" s="125"/>
      <c r="F71" s="126">
        <f>ROUND(+F8-F70,0)</f>
        <v>0</v>
      </c>
      <c r="G71" s="127"/>
      <c r="H71" s="126">
        <f>ROUND(+H8-H70,0)</f>
        <v>0</v>
      </c>
      <c r="I71" s="128"/>
      <c r="J71" s="129"/>
    </row>
    <row r="72" spans="1:10" s="54" customFormat="1" ht="15">
      <c r="A72" s="50"/>
      <c r="B72" s="50"/>
      <c r="C72" s="50"/>
      <c r="D72" s="50"/>
      <c r="E72" s="63"/>
      <c r="F72" s="130"/>
      <c r="G72" s="68"/>
      <c r="H72" s="130"/>
      <c r="I72" s="51"/>
      <c r="J72" s="66"/>
    </row>
    <row r="73" spans="1:10" ht="15" customHeight="1">
      <c r="A73" s="50"/>
      <c r="B73" s="50"/>
      <c r="D73" s="50"/>
      <c r="J73" s="66"/>
    </row>
    <row r="74" spans="1:4" ht="15.75" customHeight="1">
      <c r="A74" s="50"/>
      <c r="B74" s="50"/>
      <c r="D74" s="50"/>
    </row>
    <row r="75" spans="1:4" ht="15.75" customHeight="1">
      <c r="A75" s="50"/>
      <c r="B75" s="50"/>
      <c r="D75" s="50"/>
    </row>
    <row r="76" spans="1:11" ht="12">
      <c r="A76" s="50"/>
      <c r="B76" s="50"/>
      <c r="D76" s="50"/>
      <c r="K76" s="113"/>
    </row>
    <row r="77" spans="1:4" ht="12">
      <c r="A77" s="50"/>
      <c r="B77" s="50"/>
      <c r="D77" s="50"/>
    </row>
    <row r="83" spans="1:11" s="130" customFormat="1" ht="12">
      <c r="A83" s="49"/>
      <c r="B83" s="49"/>
      <c r="C83" s="50"/>
      <c r="D83" s="49"/>
      <c r="E83" s="63"/>
      <c r="G83" s="68"/>
      <c r="I83" s="51"/>
      <c r="J83" s="131"/>
      <c r="K83" s="49"/>
    </row>
    <row r="84" spans="1:11" s="130" customFormat="1" ht="12">
      <c r="A84" s="49"/>
      <c r="B84" s="49"/>
      <c r="C84" s="50"/>
      <c r="D84" s="49"/>
      <c r="E84" s="63"/>
      <c r="G84" s="68"/>
      <c r="I84" s="51"/>
      <c r="J84" s="131"/>
      <c r="K84" s="49"/>
    </row>
    <row r="85" spans="1:11" s="130" customFormat="1" ht="12">
      <c r="A85" s="49"/>
      <c r="B85" s="49"/>
      <c r="C85" s="50"/>
      <c r="D85" s="49"/>
      <c r="E85" s="63"/>
      <c r="G85" s="68"/>
      <c r="I85" s="51"/>
      <c r="J85" s="131"/>
      <c r="K85" s="49"/>
    </row>
    <row r="86" spans="1:11" s="130" customFormat="1" ht="12">
      <c r="A86" s="49"/>
      <c r="B86" s="49"/>
      <c r="C86" s="50"/>
      <c r="D86" s="49"/>
      <c r="E86" s="63"/>
      <c r="G86" s="68"/>
      <c r="I86" s="51"/>
      <c r="J86" s="131"/>
      <c r="K86" s="49"/>
    </row>
    <row r="87" spans="1:11" s="130" customFormat="1" ht="12">
      <c r="A87" s="49"/>
      <c r="B87" s="49"/>
      <c r="C87" s="50"/>
      <c r="D87" s="49"/>
      <c r="E87" s="63"/>
      <c r="G87" s="68"/>
      <c r="I87" s="51"/>
      <c r="J87" s="131"/>
      <c r="K87" s="49"/>
    </row>
    <row r="88" spans="1:11" s="130" customFormat="1" ht="12">
      <c r="A88" s="49"/>
      <c r="B88" s="49"/>
      <c r="C88" s="50"/>
      <c r="D88" s="49"/>
      <c r="E88" s="63"/>
      <c r="G88" s="68"/>
      <c r="I88" s="51"/>
      <c r="J88" s="131"/>
      <c r="K88" s="49"/>
    </row>
    <row r="89" spans="1:11" s="130" customFormat="1" ht="12">
      <c r="A89" s="49"/>
      <c r="B89" s="49"/>
      <c r="C89" s="50"/>
      <c r="D89" s="49"/>
      <c r="E89" s="63"/>
      <c r="G89" s="68"/>
      <c r="I89" s="51"/>
      <c r="J89" s="131"/>
      <c r="K89" s="49"/>
    </row>
  </sheetData>
  <sheetProtection/>
  <mergeCells count="4">
    <mergeCell ref="J1:J3"/>
    <mergeCell ref="D2:H2"/>
    <mergeCell ref="D3:H3"/>
    <mergeCell ref="D4:H4"/>
  </mergeCells>
  <printOptions/>
  <pageMargins left="0.7" right="0.45" top="0.4" bottom="0.4" header="0.25" footer="0.25"/>
  <pageSetup fitToHeight="2" horizontalDpi="600" verticalDpi="600" orientation="portrait" scale="73" r:id="rId1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JMY</dc:creator>
  <cp:keywords/>
  <dc:description/>
  <cp:lastModifiedBy>JMY</cp:lastModifiedBy>
  <cp:lastPrinted>2015-02-04T22:43:39Z</cp:lastPrinted>
  <dcterms:created xsi:type="dcterms:W3CDTF">2014-10-22T21:26:51Z</dcterms:created>
  <dcterms:modified xsi:type="dcterms:W3CDTF">2015-02-04T22:44:21Z</dcterms:modified>
  <cp:category/>
  <cp:version/>
  <cp:contentType/>
  <cp:contentStatus/>
</cp:coreProperties>
</file>