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20100" windowHeight="8670" tabRatio="731" activeTab="0"/>
  </bookViews>
  <sheets>
    <sheet name="Staff 1-16" sheetId="1" r:id="rId1"/>
    <sheet name="Item No 16n" sheetId="2" r:id="rId2"/>
    <sheet name="Sheet1" sheetId="3" r:id="rId3"/>
  </sheets>
  <definedNames>
    <definedName name="_xlnm.Print_Area" localSheetId="0">'Staff 1-16'!$A$1:$R$57</definedName>
  </definedNames>
  <calcPr fullCalcOnLoad="1"/>
</workbook>
</file>

<file path=xl/sharedStrings.xml><?xml version="1.0" encoding="utf-8"?>
<sst xmlns="http://schemas.openxmlformats.org/spreadsheetml/2006/main" count="85" uniqueCount="76">
  <si>
    <t>KENTUCKY POWER COMPANY</t>
  </si>
  <si>
    <t>Account Balances</t>
  </si>
  <si>
    <t>13 Month</t>
  </si>
  <si>
    <t>Kentucky</t>
  </si>
  <si>
    <t>Jurisdictional</t>
  </si>
  <si>
    <t>Description</t>
  </si>
  <si>
    <t>Average</t>
  </si>
  <si>
    <t>Amount</t>
  </si>
  <si>
    <t>a.  Plant in service (101)</t>
  </si>
  <si>
    <t>b.  Plant purchased or sold (102)</t>
  </si>
  <si>
    <t>c.  Property held for future use (105)</t>
  </si>
  <si>
    <t>d.  Construction work in progress (107)</t>
  </si>
  <si>
    <t>e.  Completed construction not classified (106)</t>
  </si>
  <si>
    <t>f.  Depreciation reserve (108)</t>
  </si>
  <si>
    <t>g.  Plant acquisition adjustment (114)</t>
  </si>
  <si>
    <t>h.  Amortization of utility plant acquisition adjustment (115)</t>
  </si>
  <si>
    <t>I.  Materials and supplies</t>
  </si>
  <si>
    <t xml:space="preserve">     M&amp;S - Exempt Materials (1540004)</t>
  </si>
  <si>
    <t>j.  Accounts Payable related to Materials and Supplies (154) *</t>
  </si>
  <si>
    <t>k.  Unamortized investment credit - Pre Revenue Act of 1971</t>
  </si>
  <si>
    <t>l.  Unamortized investment credit - Revenue Act of 1971</t>
  </si>
  <si>
    <t>n.  See Item # 16N</t>
  </si>
  <si>
    <t xml:space="preserve">o.  Kentucky Power, as part of the AEP System, is a borrower under the corporate borrowing program, which is used to meet the short-term borrowing needs of its subsidiaries.  As such, it relies on the liquidity available to the AEP System and does not have a minimum cash requirement.
</t>
  </si>
  <si>
    <t>p.  Accounts Payable applicable to Utility Plant in Service (101)</t>
  </si>
  <si>
    <t>q.  Accounts Payable applicable to Prepayments (165) *</t>
  </si>
  <si>
    <t>r.  Accounts Payable applicable to Plant under Constuction (107) *</t>
  </si>
  <si>
    <t>Note:  Items j, q and r are estimated amounts.</t>
  </si>
  <si>
    <t>Balance</t>
  </si>
  <si>
    <t xml:space="preserve">     M&amp;S - Lime and Limestone (1540006)</t>
  </si>
  <si>
    <t xml:space="preserve">     M&amp;S - Urea (1540012)</t>
  </si>
  <si>
    <t xml:space="preserve">     M&amp;S - Regular (1540001)</t>
  </si>
  <si>
    <t xml:space="preserve">     M&amp;S - Transportation Inventory (1540013)</t>
  </si>
  <si>
    <t xml:space="preserve">     M&amp;S - Urea Intransit (1540023)</t>
  </si>
  <si>
    <t xml:space="preserve">     M&amp;S - Lime and Limestone Intransit (1540022)</t>
  </si>
  <si>
    <t>Kentucky Power Company</t>
  </si>
  <si>
    <t>Summary of Customer Deposits - Test Year</t>
  </si>
  <si>
    <t>Line                                             No.</t>
  </si>
  <si>
    <t>Month</t>
  </si>
  <si>
    <t>Receipts</t>
  </si>
  <si>
    <t>Refunds</t>
  </si>
  <si>
    <t>(a)</t>
  </si>
  <si>
    <t>(b)</t>
  </si>
  <si>
    <t>( c)</t>
  </si>
  <si>
    <t>(d)</t>
  </si>
  <si>
    <t>Total L1 through L13</t>
  </si>
  <si>
    <t>Average balance L14/13</t>
  </si>
  <si>
    <t>Amount of deposits received during test year</t>
  </si>
  <si>
    <t>-------</t>
  </si>
  <si>
    <t>--------</t>
  </si>
  <si>
    <t>Amount of deposits refunded during test year</t>
  </si>
  <si>
    <t>Number of deposits on hand end of test year</t>
  </si>
  <si>
    <t>Average amount of deposit (L15,Col.(d)/L18</t>
  </si>
  <si>
    <t>Interest paid during test year</t>
  </si>
  <si>
    <t xml:space="preserve"> </t>
  </si>
  <si>
    <t>Balance Beginning of Test Year September 30, 2013</t>
  </si>
  <si>
    <t>AP</t>
  </si>
  <si>
    <t>1650</t>
  </si>
  <si>
    <t>165001113</t>
  </si>
  <si>
    <t xml:space="preserve">     Taxes (1650002)</t>
  </si>
  <si>
    <t xml:space="preserve">     Sales Taxes (1650011)</t>
  </si>
  <si>
    <t xml:space="preserve">     Use Taxes (1650012)</t>
  </si>
  <si>
    <t>Case No. 2014-00396, Staff 1-16</t>
  </si>
  <si>
    <t>m.  Accumulated Deferred Income Taxes - Federal</t>
  </si>
  <si>
    <t>m.  Accumulated Deferred Income Taxes - State (Mitchell Plant)</t>
  </si>
  <si>
    <t>1st Month-October</t>
  </si>
  <si>
    <t>2nd Month-November</t>
  </si>
  <si>
    <t>3rd Month-December</t>
  </si>
  <si>
    <t>4th Month-January</t>
  </si>
  <si>
    <t>5th Month-February</t>
  </si>
  <si>
    <t>6th Month-March</t>
  </si>
  <si>
    <t>7th Month-April</t>
  </si>
  <si>
    <t>8th Month-May</t>
  </si>
  <si>
    <t>9th Month-June</t>
  </si>
  <si>
    <t>10th MonthJuly</t>
  </si>
  <si>
    <t>11th MonthAugust</t>
  </si>
  <si>
    <t>12th MonthSeptember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</si>
</sst>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5" fontId="2" fillId="0" borderId="0" applyFont="0" applyFill="0" applyBorder="0" applyAlignment="0" applyProtection="0"/>
    <xf numFmtId="15" fontId="2" fillId="0" borderId="0" applyFont="0" applyFill="0" applyBorder="0" applyAlignment="0" applyProtection="0"/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3" fillId="0" borderId="9">
      <alignment horizontal="center"/>
      <protection/>
    </xf>
    <xf numFmtId="0" fontId="3" fillId="0" borderId="9">
      <alignment horizontal="center"/>
      <protection/>
    </xf>
    <xf numFmtId="0" fontId="3" fillId="0" borderId="9">
      <alignment horizontal="center"/>
      <protection/>
    </xf>
    <xf numFmtId="0" fontId="3" fillId="0" borderId="9">
      <alignment horizontal="center"/>
      <protection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33" borderId="0" applyNumberFormat="0" applyFont="0" applyBorder="0" applyAlignment="0" applyProtection="0"/>
    <xf numFmtId="0" fontId="2" fillId="33" borderId="0" applyNumberFormat="0" applyFont="0" applyBorder="0" applyAlignment="0" applyProtection="0"/>
    <xf numFmtId="0" fontId="2" fillId="33" borderId="0" applyNumberFormat="0" applyFont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61">
      <alignment/>
      <protection/>
    </xf>
    <xf numFmtId="40" fontId="2" fillId="0" borderId="0" xfId="44" applyFont="1" applyAlignment="1">
      <alignment/>
    </xf>
    <xf numFmtId="39" fontId="2" fillId="0" borderId="0" xfId="44" applyNumberFormat="1" applyFont="1" applyAlignment="1">
      <alignment/>
    </xf>
    <xf numFmtId="39" fontId="2" fillId="0" borderId="0" xfId="61" applyNumberFormat="1">
      <alignment/>
      <protection/>
    </xf>
    <xf numFmtId="0" fontId="42" fillId="0" borderId="0" xfId="0" applyFont="1" applyAlignment="1">
      <alignment/>
    </xf>
    <xf numFmtId="0" fontId="4" fillId="0" borderId="0" xfId="61" applyFont="1">
      <alignment/>
      <protection/>
    </xf>
    <xf numFmtId="43" fontId="43" fillId="0" borderId="0" xfId="0" applyNumberFormat="1" applyFont="1" applyFill="1" applyAlignment="1">
      <alignment/>
    </xf>
    <xf numFmtId="0" fontId="5" fillId="0" borderId="0" xfId="67" applyFont="1">
      <alignment/>
      <protection/>
    </xf>
    <xf numFmtId="0" fontId="5" fillId="0" borderId="0" xfId="67" applyFont="1" applyAlignment="1">
      <alignment horizontal="center"/>
      <protection/>
    </xf>
    <xf numFmtId="4" fontId="5" fillId="0" borderId="0" xfId="67" applyNumberFormat="1" applyFont="1">
      <alignment/>
      <protection/>
    </xf>
    <xf numFmtId="49" fontId="5" fillId="0" borderId="0" xfId="67" applyNumberFormat="1" applyFont="1" applyAlignment="1">
      <alignment horizontal="center" wrapText="1"/>
      <protection/>
    </xf>
    <xf numFmtId="4" fontId="5" fillId="0" borderId="0" xfId="67" applyNumberFormat="1" applyFont="1" applyAlignment="1">
      <alignment horizontal="center"/>
      <protection/>
    </xf>
    <xf numFmtId="0" fontId="2" fillId="0" borderId="0" xfId="67" applyAlignment="1">
      <alignment horizontal="center"/>
      <protection/>
    </xf>
    <xf numFmtId="4" fontId="2" fillId="0" borderId="0" xfId="67" applyNumberFormat="1" applyAlignment="1">
      <alignment horizontal="center"/>
      <protection/>
    </xf>
    <xf numFmtId="0" fontId="2" fillId="0" borderId="0" xfId="67">
      <alignment/>
      <protection/>
    </xf>
    <xf numFmtId="4" fontId="2" fillId="0" borderId="0" xfId="67" applyNumberFormat="1">
      <alignment/>
      <protection/>
    </xf>
    <xf numFmtId="0" fontId="5" fillId="0" borderId="0" xfId="61" applyFont="1" applyAlignment="1">
      <alignment horizontal="center"/>
      <protection/>
    </xf>
    <xf numFmtId="0" fontId="42" fillId="0" borderId="0" xfId="0" applyFont="1" applyAlignment="1">
      <alignment horizontal="center"/>
    </xf>
    <xf numFmtId="0" fontId="5" fillId="0" borderId="11" xfId="61" applyFont="1" applyBorder="1" applyAlignment="1">
      <alignment horizontal="center"/>
      <protection/>
    </xf>
    <xf numFmtId="17" fontId="5" fillId="0" borderId="11" xfId="61" applyNumberFormat="1" applyFont="1" applyBorder="1" applyAlignment="1">
      <alignment horizontal="center"/>
      <protection/>
    </xf>
    <xf numFmtId="0" fontId="4" fillId="0" borderId="11" xfId="61" applyFont="1" applyBorder="1">
      <alignment/>
      <protection/>
    </xf>
    <xf numFmtId="0" fontId="42" fillId="0" borderId="11" xfId="0" applyFont="1" applyBorder="1" applyAlignment="1">
      <alignment/>
    </xf>
    <xf numFmtId="39" fontId="4" fillId="0" borderId="0" xfId="61" applyNumberFormat="1" applyFont="1">
      <alignment/>
      <protection/>
    </xf>
    <xf numFmtId="39" fontId="4" fillId="0" borderId="0" xfId="61" applyNumberFormat="1" applyFont="1" applyFill="1">
      <alignment/>
      <protection/>
    </xf>
    <xf numFmtId="37" fontId="4" fillId="0" borderId="0" xfId="61" applyNumberFormat="1" applyFont="1">
      <alignment/>
      <protection/>
    </xf>
    <xf numFmtId="0" fontId="4" fillId="0" borderId="0" xfId="61" applyFont="1" applyAlignment="1">
      <alignment horizontal="center"/>
      <protection/>
    </xf>
    <xf numFmtId="40" fontId="4" fillId="0" borderId="0" xfId="44" applyFont="1" applyAlignment="1">
      <alignment/>
    </xf>
    <xf numFmtId="0" fontId="4" fillId="0" borderId="0" xfId="61" applyFont="1" applyFill="1">
      <alignment/>
      <protection/>
    </xf>
    <xf numFmtId="0" fontId="4" fillId="0" borderId="0" xfId="61" applyFont="1" applyBorder="1">
      <alignment/>
      <protection/>
    </xf>
    <xf numFmtId="39" fontId="4" fillId="0" borderId="0" xfId="61" applyNumberFormat="1" applyFont="1" applyBorder="1">
      <alignment/>
      <protection/>
    </xf>
    <xf numFmtId="0" fontId="42" fillId="0" borderId="0" xfId="0" applyFont="1" applyBorder="1" applyAlignment="1">
      <alignment/>
    </xf>
    <xf numFmtId="0" fontId="4" fillId="0" borderId="0" xfId="61" applyFont="1" applyFill="1" applyAlignment="1">
      <alignment vertical="top" wrapText="1"/>
      <protection/>
    </xf>
    <xf numFmtId="40" fontId="4" fillId="0" borderId="0" xfId="44" applyFont="1" applyFill="1" applyAlignment="1">
      <alignment/>
    </xf>
    <xf numFmtId="39" fontId="4" fillId="0" borderId="0" xfId="44" applyNumberFormat="1" applyFont="1" applyFill="1" applyAlignment="1">
      <alignment/>
    </xf>
    <xf numFmtId="37" fontId="4" fillId="0" borderId="0" xfId="44" applyNumberFormat="1" applyFont="1" applyFill="1" applyAlignment="1">
      <alignment/>
    </xf>
    <xf numFmtId="37" fontId="4" fillId="0" borderId="0" xfId="44" applyNumberFormat="1" applyFont="1" applyAlignment="1">
      <alignment/>
    </xf>
    <xf numFmtId="37" fontId="4" fillId="0" borderId="0" xfId="61" applyNumberFormat="1" applyFont="1" applyBorder="1">
      <alignment/>
      <protection/>
    </xf>
    <xf numFmtId="38" fontId="4" fillId="0" borderId="0" xfId="44" applyNumberFormat="1" applyFont="1" applyAlignment="1">
      <alignment/>
    </xf>
    <xf numFmtId="38" fontId="4" fillId="0" borderId="0" xfId="44" applyNumberFormat="1" applyFont="1" applyBorder="1" applyAlignment="1">
      <alignment/>
    </xf>
    <xf numFmtId="38" fontId="4" fillId="0" borderId="0" xfId="61" applyNumberFormat="1" applyFont="1">
      <alignment/>
      <protection/>
    </xf>
    <xf numFmtId="38" fontId="4" fillId="0" borderId="0" xfId="61" applyNumberFormat="1" applyFont="1" applyBorder="1">
      <alignment/>
      <protection/>
    </xf>
    <xf numFmtId="38" fontId="42" fillId="0" borderId="0" xfId="0" applyNumberFormat="1" applyFont="1" applyAlignment="1">
      <alignment/>
    </xf>
    <xf numFmtId="0" fontId="4" fillId="0" borderId="0" xfId="61" applyFont="1" applyFill="1" applyAlignment="1">
      <alignment vertical="top"/>
      <protection/>
    </xf>
    <xf numFmtId="0" fontId="5" fillId="0" borderId="0" xfId="67" applyFont="1" applyAlignment="1">
      <alignment horizontal="center" wrapText="1"/>
      <protection/>
    </xf>
    <xf numFmtId="0" fontId="2" fillId="0" borderId="0" xfId="63">
      <alignment/>
      <protection/>
    </xf>
    <xf numFmtId="40" fontId="2" fillId="0" borderId="0" xfId="63" applyNumberFormat="1">
      <alignment/>
      <protection/>
    </xf>
    <xf numFmtId="39" fontId="2" fillId="0" borderId="0" xfId="63" applyNumberFormat="1">
      <alignment/>
      <protection/>
    </xf>
    <xf numFmtId="0" fontId="2" fillId="0" borderId="0" xfId="63" applyAlignment="1">
      <alignment horizontal="center"/>
      <protection/>
    </xf>
    <xf numFmtId="4" fontId="2" fillId="0" borderId="0" xfId="63" applyNumberFormat="1" applyAlignment="1" quotePrefix="1">
      <alignment horizontal="right"/>
      <protection/>
    </xf>
    <xf numFmtId="39" fontId="4" fillId="0" borderId="0" xfId="63" applyNumberFormat="1" applyFont="1">
      <alignment/>
      <protection/>
    </xf>
    <xf numFmtId="37" fontId="2" fillId="0" borderId="0" xfId="63" applyNumberFormat="1" applyFill="1">
      <alignment/>
      <protection/>
    </xf>
    <xf numFmtId="0" fontId="2" fillId="0" borderId="0" xfId="63" applyFont="1">
      <alignment/>
      <protection/>
    </xf>
    <xf numFmtId="49" fontId="5" fillId="0" borderId="0" xfId="67" applyNumberFormat="1" applyFont="1" applyAlignment="1">
      <alignment horizontal="center"/>
      <protection/>
    </xf>
    <xf numFmtId="49" fontId="2" fillId="0" borderId="0" xfId="67" applyNumberFormat="1" applyAlignment="1">
      <alignment/>
      <protection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urrency" xfId="48"/>
    <cellStyle name="Currency [0]" xfId="49"/>
    <cellStyle name="Currency 2" xfId="50"/>
    <cellStyle name="Currency 2 2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2 4" xfId="64"/>
    <cellStyle name="Normal 3" xfId="65"/>
    <cellStyle name="Normal 3 2" xfId="66"/>
    <cellStyle name="Normal 4" xfId="67"/>
    <cellStyle name="Normal 4 2" xfId="68"/>
    <cellStyle name="Note" xfId="69"/>
    <cellStyle name="Output" xfId="70"/>
    <cellStyle name="Percent" xfId="71"/>
    <cellStyle name="PSChar" xfId="72"/>
    <cellStyle name="PSChar 2" xfId="73"/>
    <cellStyle name="PSChar 2 2" xfId="74"/>
    <cellStyle name="PSChar 2 3" xfId="75"/>
    <cellStyle name="PSDate" xfId="76"/>
    <cellStyle name="PSDate 2" xfId="77"/>
    <cellStyle name="PSDate 3" xfId="78"/>
    <cellStyle name="PSDec" xfId="79"/>
    <cellStyle name="PSDec 2" xfId="80"/>
    <cellStyle name="PSDec 3" xfId="81"/>
    <cellStyle name="PSHeading" xfId="82"/>
    <cellStyle name="PSHeading 2" xfId="83"/>
    <cellStyle name="PSHeading 2 2" xfId="84"/>
    <cellStyle name="PSHeading 3" xfId="85"/>
    <cellStyle name="PSInt" xfId="86"/>
    <cellStyle name="PSInt 2" xfId="87"/>
    <cellStyle name="PSInt 2 2" xfId="88"/>
    <cellStyle name="PSInt 2 3" xfId="89"/>
    <cellStyle name="PSSpacer" xfId="90"/>
    <cellStyle name="PSSpacer 2" xfId="91"/>
    <cellStyle name="PSSpacer 3" xfId="92"/>
    <cellStyle name="Title" xfId="93"/>
    <cellStyle name="Total" xfId="94"/>
    <cellStyle name="Warning Text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workbookViewId="0" topLeftCell="A1">
      <selection activeCell="A10" sqref="A10"/>
    </sheetView>
  </sheetViews>
  <sheetFormatPr defaultColWidth="8.8515625" defaultRowHeight="15"/>
  <cols>
    <col min="1" max="1" width="53.421875" style="5" bestFit="1" customWidth="1"/>
    <col min="2" max="15" width="14.57421875" style="5" bestFit="1" customWidth="1"/>
    <col min="16" max="16" width="1.1484375" style="31" customWidth="1"/>
    <col min="17" max="17" width="15.421875" style="5" bestFit="1" customWidth="1"/>
    <col min="18" max="18" width="1.7109375" style="5" bestFit="1" customWidth="1"/>
    <col min="19" max="19" width="12.00390625" style="5" bestFit="1" customWidth="1"/>
    <col min="20" max="16384" width="8.8515625" style="5" customWidth="1"/>
  </cols>
  <sheetData>
    <row r="1" spans="1:19" ht="14.25">
      <c r="A1" s="17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29"/>
      <c r="Q1" s="6"/>
      <c r="R1" s="6"/>
      <c r="S1" s="6"/>
    </row>
    <row r="2" spans="1:19" ht="14.25">
      <c r="A2" s="18" t="s">
        <v>61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29"/>
      <c r="Q2" s="6"/>
      <c r="R2" s="6"/>
      <c r="S2" s="6"/>
    </row>
    <row r="3" spans="1:19" ht="14.25">
      <c r="A3" s="17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9"/>
      <c r="Q3" s="17" t="s">
        <v>2</v>
      </c>
      <c r="R3" s="6"/>
      <c r="S3" s="6"/>
    </row>
    <row r="4" spans="1:19" ht="14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29"/>
      <c r="Q4" s="17" t="s">
        <v>3</v>
      </c>
      <c r="R4" s="6"/>
      <c r="S4" s="6"/>
    </row>
    <row r="5" spans="1:19" ht="14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7" t="s">
        <v>2</v>
      </c>
      <c r="P5" s="29"/>
      <c r="Q5" s="17" t="s">
        <v>4</v>
      </c>
      <c r="R5" s="6"/>
      <c r="S5" s="6"/>
    </row>
    <row r="6" spans="1:19" ht="14.25">
      <c r="A6" s="19" t="s">
        <v>5</v>
      </c>
      <c r="B6" s="20">
        <v>41518</v>
      </c>
      <c r="C6" s="20">
        <v>41548</v>
      </c>
      <c r="D6" s="20">
        <v>41579</v>
      </c>
      <c r="E6" s="20">
        <v>41609</v>
      </c>
      <c r="F6" s="20">
        <v>41640</v>
      </c>
      <c r="G6" s="20">
        <v>41671</v>
      </c>
      <c r="H6" s="20">
        <v>41699</v>
      </c>
      <c r="I6" s="20">
        <v>41730</v>
      </c>
      <c r="J6" s="20">
        <v>41760</v>
      </c>
      <c r="K6" s="20">
        <v>41791</v>
      </c>
      <c r="L6" s="20">
        <v>41821</v>
      </c>
      <c r="M6" s="20">
        <v>41852</v>
      </c>
      <c r="N6" s="20">
        <v>41883</v>
      </c>
      <c r="O6" s="19" t="s">
        <v>6</v>
      </c>
      <c r="P6" s="29"/>
      <c r="Q6" s="19" t="s">
        <v>7</v>
      </c>
      <c r="R6" s="6"/>
      <c r="S6" s="6"/>
    </row>
    <row r="7" spans="1:19" s="22" customFormat="1" ht="14.25">
      <c r="A7" s="21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9"/>
      <c r="P7" s="29"/>
      <c r="Q7" s="19"/>
      <c r="R7" s="21"/>
      <c r="S7" s="21"/>
    </row>
    <row r="8" spans="1:19" ht="14.25">
      <c r="A8" s="28" t="s">
        <v>8</v>
      </c>
      <c r="B8" s="38">
        <v>1722698177.9199996</v>
      </c>
      <c r="C8" s="38">
        <v>1724523287.6699996</v>
      </c>
      <c r="D8" s="38">
        <v>1723121339.8199997</v>
      </c>
      <c r="E8" s="38">
        <v>2643823159.5899997</v>
      </c>
      <c r="F8" s="38">
        <v>2651282434.17</v>
      </c>
      <c r="G8" s="38">
        <v>2654359912.4300003</v>
      </c>
      <c r="H8" s="38">
        <v>2657760615.57</v>
      </c>
      <c r="I8" s="38">
        <v>2668251211.02</v>
      </c>
      <c r="J8" s="38">
        <v>2672882546.86</v>
      </c>
      <c r="K8" s="38">
        <v>2724174422.13</v>
      </c>
      <c r="L8" s="38">
        <v>2726571048.29</v>
      </c>
      <c r="M8" s="38">
        <v>2728416396.9</v>
      </c>
      <c r="N8" s="38">
        <v>2731720183.92</v>
      </c>
      <c r="O8" s="38">
        <f>ROUND(SUM(B8:N8)/13,2)</f>
        <v>2463814210.48</v>
      </c>
      <c r="P8" s="39"/>
      <c r="Q8" s="38">
        <f>ROUND(O8*0.99,0)</f>
        <v>2439176068</v>
      </c>
      <c r="R8" s="6"/>
      <c r="S8" s="6"/>
    </row>
    <row r="9" spans="1:19" ht="14.25">
      <c r="A9" s="28"/>
      <c r="B9" s="38"/>
      <c r="C9" s="40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/>
      <c r="Q9" s="38"/>
      <c r="R9" s="6"/>
      <c r="S9" s="6"/>
    </row>
    <row r="10" spans="1:19" ht="14.25">
      <c r="A10" s="28" t="s">
        <v>9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f>ROUND(SUM(B10:N10)/13,2)</f>
        <v>0</v>
      </c>
      <c r="P10" s="41"/>
      <c r="Q10" s="40"/>
      <c r="R10" s="6"/>
      <c r="S10" s="6"/>
    </row>
    <row r="11" spans="1:19" ht="14.25">
      <c r="A11" s="2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41"/>
      <c r="Q11" s="40"/>
      <c r="R11" s="6"/>
      <c r="S11" s="6"/>
    </row>
    <row r="12" spans="1:19" ht="14.25">
      <c r="A12" s="28" t="s">
        <v>10</v>
      </c>
      <c r="B12" s="38">
        <v>7405958.73</v>
      </c>
      <c r="C12" s="38">
        <v>7405958.73</v>
      </c>
      <c r="D12" s="38">
        <v>7405958.73</v>
      </c>
      <c r="E12" s="38">
        <v>7405958.73</v>
      </c>
      <c r="F12" s="38">
        <v>7405958.73</v>
      </c>
      <c r="G12" s="38">
        <v>7405958.73</v>
      </c>
      <c r="H12" s="38">
        <v>7405958.73</v>
      </c>
      <c r="I12" s="38">
        <v>7405958.73</v>
      </c>
      <c r="J12" s="38">
        <v>7405958.73</v>
      </c>
      <c r="K12" s="38">
        <v>7405958.73</v>
      </c>
      <c r="L12" s="38">
        <v>7405958.73</v>
      </c>
      <c r="M12" s="38">
        <v>7405958.73</v>
      </c>
      <c r="N12" s="38">
        <v>7405958.73</v>
      </c>
      <c r="O12" s="38">
        <f>ROUND(SUM(B12:N12)/13,2)</f>
        <v>7405958.73</v>
      </c>
      <c r="P12" s="41"/>
      <c r="Q12" s="40">
        <v>626976</v>
      </c>
      <c r="R12" s="6"/>
      <c r="S12" s="6"/>
    </row>
    <row r="13" spans="1:19" ht="14.25">
      <c r="A13" s="2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41"/>
      <c r="Q13" s="40"/>
      <c r="R13" s="6"/>
      <c r="S13" s="6"/>
    </row>
    <row r="14" spans="1:19" ht="14.25">
      <c r="A14" s="28" t="s">
        <v>11</v>
      </c>
      <c r="B14" s="38">
        <v>57588482.208</v>
      </c>
      <c r="C14" s="38">
        <v>55724617.558</v>
      </c>
      <c r="D14" s="38">
        <v>56045464.537999995</v>
      </c>
      <c r="E14" s="38">
        <v>128599148.188</v>
      </c>
      <c r="F14" s="38">
        <v>130707958.308</v>
      </c>
      <c r="G14" s="38">
        <v>135291107.598</v>
      </c>
      <c r="H14" s="38">
        <v>139320819.57799998</v>
      </c>
      <c r="I14" s="38">
        <v>145473711.93499997</v>
      </c>
      <c r="J14" s="38">
        <v>150183144.45499998</v>
      </c>
      <c r="K14" s="38">
        <v>93023177.75499998</v>
      </c>
      <c r="L14" s="38">
        <v>79319866.18499997</v>
      </c>
      <c r="M14" s="38">
        <v>76043985.19499998</v>
      </c>
      <c r="N14" s="38">
        <v>80210717.91499998</v>
      </c>
      <c r="O14" s="38">
        <f>ROUND(SUM(B14:N14)/13,2)</f>
        <v>102117861.65</v>
      </c>
      <c r="P14" s="41"/>
      <c r="Q14" s="40">
        <f>ROUND(O14*79184551/80189406,0)</f>
        <v>100838221</v>
      </c>
      <c r="R14" s="26"/>
      <c r="S14" s="25"/>
    </row>
    <row r="15" spans="1:19" ht="14.25">
      <c r="A15" s="2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41"/>
      <c r="Q15" s="40"/>
      <c r="R15" s="6"/>
      <c r="S15" s="6"/>
    </row>
    <row r="16" spans="1:19" ht="14.25">
      <c r="A16" s="28" t="s">
        <v>12</v>
      </c>
      <c r="B16" s="38">
        <v>55858863.25000001</v>
      </c>
      <c r="C16" s="38">
        <v>63334755.230000004</v>
      </c>
      <c r="D16" s="38">
        <v>67358674.74000001</v>
      </c>
      <c r="E16" s="38">
        <v>71803254.9</v>
      </c>
      <c r="F16" s="38">
        <v>70592531.41000001</v>
      </c>
      <c r="G16" s="38">
        <v>71124824.97000001</v>
      </c>
      <c r="H16" s="38">
        <v>74241506.43</v>
      </c>
      <c r="I16" s="38">
        <v>66137036.510000005</v>
      </c>
      <c r="J16" s="38">
        <v>66057802.86000001</v>
      </c>
      <c r="K16" s="38">
        <v>123826879.89000002</v>
      </c>
      <c r="L16" s="38">
        <v>140178535.04000002</v>
      </c>
      <c r="M16" s="38">
        <v>148741240.13000003</v>
      </c>
      <c r="N16" s="38">
        <v>148935471.08</v>
      </c>
      <c r="O16" s="38">
        <f>ROUND(SUM(B16:N16)/13,2)</f>
        <v>89860875.11</v>
      </c>
      <c r="P16" s="41"/>
      <c r="Q16" s="38">
        <f>ROUND(O16*0.99,0)</f>
        <v>88962266</v>
      </c>
      <c r="R16" s="6"/>
      <c r="S16" s="6"/>
    </row>
    <row r="17" spans="1:19" ht="14.25">
      <c r="A17" s="2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41"/>
      <c r="Q17" s="40"/>
      <c r="R17" s="6"/>
      <c r="S17" s="6"/>
    </row>
    <row r="18" spans="1:19" ht="14.25">
      <c r="A18" s="28" t="s">
        <v>13</v>
      </c>
      <c r="B18" s="38">
        <v>-626987303.5660001</v>
      </c>
      <c r="C18" s="38">
        <v>-628682979.4460001</v>
      </c>
      <c r="D18" s="38">
        <v>-631974513.1860001</v>
      </c>
      <c r="E18" s="38">
        <v>-941819616.0660001</v>
      </c>
      <c r="F18" s="38">
        <v>-946659391.566</v>
      </c>
      <c r="G18" s="38">
        <v>-953184731.286</v>
      </c>
      <c r="H18" s="38">
        <v>-959551073.296</v>
      </c>
      <c r="I18" s="38">
        <v>-965368053.056</v>
      </c>
      <c r="J18" s="38">
        <v>-970739569.806</v>
      </c>
      <c r="K18" s="38">
        <v>-976869198.146</v>
      </c>
      <c r="L18" s="38">
        <v>-983360514.0960001</v>
      </c>
      <c r="M18" s="38">
        <v>-989634853.8560001</v>
      </c>
      <c r="N18" s="38">
        <v>-996414450.246</v>
      </c>
      <c r="O18" s="38">
        <f>ROUND(SUM(B18:N18)/13,2)</f>
        <v>-890095865.2</v>
      </c>
      <c r="P18" s="41"/>
      <c r="Q18" s="40">
        <f>ROUND(O18*1008992734/1020714427,0)</f>
        <v>-879874171</v>
      </c>
      <c r="R18" s="26"/>
      <c r="S18" s="25"/>
    </row>
    <row r="19" spans="1:19" ht="14.25">
      <c r="A19" s="2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41"/>
      <c r="Q19" s="40"/>
      <c r="R19" s="6"/>
      <c r="S19" s="6"/>
    </row>
    <row r="20" spans="1:19" ht="14.25">
      <c r="A20" s="28" t="s">
        <v>14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f>ROUND(SUM(B20:N20)/13,2)</f>
        <v>0</v>
      </c>
      <c r="P20" s="41"/>
      <c r="Q20" s="38">
        <f>ROUND(SUM(D20:P20)/13,2)</f>
        <v>0</v>
      </c>
      <c r="R20" s="6"/>
      <c r="S20" s="6"/>
    </row>
    <row r="21" spans="1:19" ht="14.25">
      <c r="A21" s="28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1"/>
      <c r="Q21" s="42"/>
      <c r="R21" s="6"/>
      <c r="S21" s="6"/>
    </row>
    <row r="22" spans="1:19" ht="14.25">
      <c r="A22" s="28" t="s">
        <v>15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f>ROUND(SUM(B22:N22)/13,2)</f>
        <v>0</v>
      </c>
      <c r="P22" s="41"/>
      <c r="Q22" s="38">
        <f>ROUND(SUM(D22:P22)/13,2)</f>
        <v>0</v>
      </c>
      <c r="R22" s="6"/>
      <c r="S22" s="6"/>
    </row>
    <row r="23" spans="1:19" ht="14.25">
      <c r="A23" s="2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41"/>
      <c r="Q23" s="40"/>
      <c r="R23" s="6"/>
      <c r="S23" s="6"/>
    </row>
    <row r="24" spans="1:19" ht="14.25">
      <c r="A24" s="28" t="s">
        <v>16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40"/>
      <c r="P24" s="41"/>
      <c r="Q24" s="40"/>
      <c r="R24" s="6"/>
      <c r="S24" s="6"/>
    </row>
    <row r="25" spans="1:19" ht="14.25">
      <c r="A25" s="28" t="s">
        <v>30</v>
      </c>
      <c r="B25" s="38">
        <v>11356498.059999999</v>
      </c>
      <c r="C25" s="38">
        <v>11414957.219999999</v>
      </c>
      <c r="D25" s="38">
        <v>11415950.93</v>
      </c>
      <c r="E25" s="38">
        <v>19337043.59</v>
      </c>
      <c r="F25" s="38">
        <v>15485207.21</v>
      </c>
      <c r="G25" s="38">
        <v>19594894.54</v>
      </c>
      <c r="H25" s="38">
        <v>19585006.38</v>
      </c>
      <c r="I25" s="38">
        <v>19684117.459999997</v>
      </c>
      <c r="J25" s="38">
        <v>19595030.419999998</v>
      </c>
      <c r="K25" s="38">
        <v>19317146.319999997</v>
      </c>
      <c r="L25" s="38">
        <v>19258692.469999995</v>
      </c>
      <c r="M25" s="38">
        <v>19099303.089999996</v>
      </c>
      <c r="N25" s="38">
        <v>18874744.269999996</v>
      </c>
      <c r="O25" s="38">
        <f aca="true" t="shared" si="0" ref="O25:O31">ROUND(SUM(B25:N25)/13,2)</f>
        <v>17232199.38</v>
      </c>
      <c r="P25" s="41"/>
      <c r="Q25" s="40">
        <f>ROUND(O25*0.986,0)</f>
        <v>16990949</v>
      </c>
      <c r="R25" s="6"/>
      <c r="S25" s="6"/>
    </row>
    <row r="26" spans="1:19" ht="14.25">
      <c r="A26" s="28" t="s">
        <v>17</v>
      </c>
      <c r="B26" s="38">
        <v>60397.817</v>
      </c>
      <c r="C26" s="38">
        <v>60407.007000000005</v>
      </c>
      <c r="D26" s="38">
        <v>54174.51700000001</v>
      </c>
      <c r="E26" s="38">
        <v>160936.217</v>
      </c>
      <c r="F26" s="38">
        <v>107899.617</v>
      </c>
      <c r="G26" s="38">
        <v>164115.377</v>
      </c>
      <c r="H26" s="38">
        <v>180310.557</v>
      </c>
      <c r="I26" s="38">
        <v>133110.867</v>
      </c>
      <c r="J26" s="38">
        <v>132732.547</v>
      </c>
      <c r="K26" s="38">
        <v>130103.58699999998</v>
      </c>
      <c r="L26" s="38">
        <v>130169.16699999999</v>
      </c>
      <c r="M26" s="38">
        <v>125878.13699999999</v>
      </c>
      <c r="N26" s="38">
        <v>126236.60699999999</v>
      </c>
      <c r="O26" s="38">
        <f t="shared" si="0"/>
        <v>120497.85</v>
      </c>
      <c r="P26" s="41"/>
      <c r="Q26" s="40">
        <f>ROUND(O26*0.986,0)</f>
        <v>118811</v>
      </c>
      <c r="R26" s="6"/>
      <c r="S26" s="6"/>
    </row>
    <row r="27" spans="1:19" ht="14.25">
      <c r="A27" s="28" t="s">
        <v>28</v>
      </c>
      <c r="B27" s="38">
        <v>0</v>
      </c>
      <c r="C27" s="38">
        <v>0</v>
      </c>
      <c r="D27" s="38">
        <v>0</v>
      </c>
      <c r="E27" s="38">
        <v>1785916.27</v>
      </c>
      <c r="F27" s="38">
        <v>1475040.46</v>
      </c>
      <c r="G27" s="38">
        <v>1249443.4</v>
      </c>
      <c r="H27" s="38">
        <v>886210.5399999999</v>
      </c>
      <c r="I27" s="38">
        <v>295558.20999999996</v>
      </c>
      <c r="J27" s="38">
        <v>616682.8899999999</v>
      </c>
      <c r="K27" s="38">
        <v>748776.2199999999</v>
      </c>
      <c r="L27" s="38">
        <v>800352.6999999998</v>
      </c>
      <c r="M27" s="38">
        <v>1153369.98</v>
      </c>
      <c r="N27" s="38">
        <v>1571884.29</v>
      </c>
      <c r="O27" s="38">
        <f t="shared" si="0"/>
        <v>814095</v>
      </c>
      <c r="P27" s="41"/>
      <c r="Q27" s="40">
        <f>ROUND(O27*0.986,0)</f>
        <v>802698</v>
      </c>
      <c r="R27" s="6"/>
      <c r="S27" s="6"/>
    </row>
    <row r="28" spans="1:19" ht="14.25">
      <c r="A28" s="28" t="s">
        <v>29</v>
      </c>
      <c r="B28" s="38">
        <v>194642.17</v>
      </c>
      <c r="C28" s="38">
        <v>191600.29</v>
      </c>
      <c r="D28" s="38">
        <v>242072.86000000002</v>
      </c>
      <c r="E28" s="38">
        <v>262235</v>
      </c>
      <c r="F28" s="38">
        <v>387974.73</v>
      </c>
      <c r="G28" s="38">
        <v>197485.31999999998</v>
      </c>
      <c r="H28" s="38">
        <v>282873.45999999996</v>
      </c>
      <c r="I28" s="38">
        <v>377733.61</v>
      </c>
      <c r="J28" s="38">
        <v>300165.92</v>
      </c>
      <c r="K28" s="38">
        <v>363142.22</v>
      </c>
      <c r="L28" s="38">
        <v>583313.51</v>
      </c>
      <c r="M28" s="38">
        <v>483133.81</v>
      </c>
      <c r="N28" s="38">
        <v>503763.58</v>
      </c>
      <c r="O28" s="38">
        <f t="shared" si="0"/>
        <v>336164.34</v>
      </c>
      <c r="P28" s="41"/>
      <c r="Q28" s="40">
        <f>ROUND(O28*0.986,0)</f>
        <v>331458</v>
      </c>
      <c r="R28" s="6"/>
      <c r="S28" s="6"/>
    </row>
    <row r="29" spans="1:19" ht="14.25">
      <c r="A29" s="28" t="s">
        <v>31</v>
      </c>
      <c r="B29" s="38">
        <v>105238.93</v>
      </c>
      <c r="C29" s="38">
        <v>105238.93</v>
      </c>
      <c r="D29" s="38">
        <v>105238.93</v>
      </c>
      <c r="E29" s="38">
        <v>105238.93</v>
      </c>
      <c r="F29" s="38">
        <v>105238.93</v>
      </c>
      <c r="G29" s="38">
        <v>116652.54</v>
      </c>
      <c r="H29" s="38">
        <v>116652.54</v>
      </c>
      <c r="I29" s="38">
        <v>116652.54</v>
      </c>
      <c r="J29" s="38">
        <v>116652.54</v>
      </c>
      <c r="K29" s="38">
        <v>116652.54</v>
      </c>
      <c r="L29" s="38">
        <v>116652.54</v>
      </c>
      <c r="M29" s="38">
        <v>116652.54</v>
      </c>
      <c r="N29" s="38">
        <v>116652.54</v>
      </c>
      <c r="O29" s="38">
        <f t="shared" si="0"/>
        <v>112262.69</v>
      </c>
      <c r="P29" s="41"/>
      <c r="Q29" s="40">
        <f>ROUND(O29*0.999,0)</f>
        <v>112150</v>
      </c>
      <c r="R29" s="6"/>
      <c r="S29" s="6"/>
    </row>
    <row r="30" spans="1:19" ht="14.25">
      <c r="A30" s="28" t="s">
        <v>33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63723.73</v>
      </c>
      <c r="J30" s="38">
        <v>44662.72</v>
      </c>
      <c r="K30" s="38">
        <v>147001.91999999998</v>
      </c>
      <c r="L30" s="38">
        <v>122413.03999999998</v>
      </c>
      <c r="M30" s="38">
        <v>176184.27999999997</v>
      </c>
      <c r="N30" s="38">
        <v>0</v>
      </c>
      <c r="O30" s="38">
        <f t="shared" si="0"/>
        <v>42614.28</v>
      </c>
      <c r="P30" s="41"/>
      <c r="Q30" s="40">
        <f>ROUND(O30*0.986,0)</f>
        <v>42018</v>
      </c>
      <c r="R30" s="6"/>
      <c r="S30" s="6"/>
    </row>
    <row r="31" spans="1:19" ht="14.25">
      <c r="A31" s="28" t="s">
        <v>32</v>
      </c>
      <c r="B31" s="38">
        <v>938404.4</v>
      </c>
      <c r="C31" s="38">
        <v>1071990.3</v>
      </c>
      <c r="D31" s="38">
        <v>927149.39</v>
      </c>
      <c r="E31" s="38">
        <v>1522958.81</v>
      </c>
      <c r="F31" s="38">
        <v>1846880.12</v>
      </c>
      <c r="G31" s="38">
        <v>1622718.03</v>
      </c>
      <c r="H31" s="38">
        <v>1768469.48</v>
      </c>
      <c r="I31" s="38">
        <v>1337828.17</v>
      </c>
      <c r="J31" s="38">
        <v>1808119.5299999998</v>
      </c>
      <c r="K31" s="38">
        <v>1859128.64</v>
      </c>
      <c r="L31" s="38">
        <v>1037905.9099999999</v>
      </c>
      <c r="M31" s="38">
        <v>1284991.3299999998</v>
      </c>
      <c r="N31" s="38">
        <v>1036552.1999999998</v>
      </c>
      <c r="O31" s="38">
        <f t="shared" si="0"/>
        <v>1389468.95</v>
      </c>
      <c r="P31" s="41"/>
      <c r="Q31" s="40">
        <f>ROUND(O31*0.986,0)</f>
        <v>1370016</v>
      </c>
      <c r="R31" s="6"/>
      <c r="S31" s="6"/>
    </row>
    <row r="32" spans="1:19" ht="14.25">
      <c r="A32" s="2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41"/>
      <c r="Q32" s="40"/>
      <c r="R32" s="6"/>
      <c r="S32" s="6"/>
    </row>
    <row r="33" spans="1:19" ht="14.25">
      <c r="A33" s="28" t="s">
        <v>18</v>
      </c>
      <c r="B33" s="38">
        <v>511301.39999999997</v>
      </c>
      <c r="C33" s="38">
        <v>562117.13</v>
      </c>
      <c r="D33" s="38">
        <v>457277.06000000006</v>
      </c>
      <c r="E33" s="38">
        <v>645520.5900000001</v>
      </c>
      <c r="F33" s="38">
        <v>736018.35</v>
      </c>
      <c r="G33" s="38">
        <v>857891.8</v>
      </c>
      <c r="H33" s="38">
        <v>1110177.7199999997</v>
      </c>
      <c r="I33" s="38">
        <v>1079497.56</v>
      </c>
      <c r="J33" s="38">
        <v>1268552.5699999998</v>
      </c>
      <c r="K33" s="38">
        <v>1979238.24</v>
      </c>
      <c r="L33" s="38">
        <v>1899681.21</v>
      </c>
      <c r="M33" s="38">
        <v>2248364.38</v>
      </c>
      <c r="N33" s="38">
        <v>2238007.43</v>
      </c>
      <c r="O33" s="38">
        <f>ROUND(SUM(B33:N33)/13,2)</f>
        <v>1199511.19</v>
      </c>
      <c r="P33" s="41"/>
      <c r="Q33" s="38">
        <f>ROUND(SUM(D33:P33)/13,2)</f>
        <v>1209210.62</v>
      </c>
      <c r="R33" s="6"/>
      <c r="S33" s="6"/>
    </row>
    <row r="34" spans="1:19" ht="14.25">
      <c r="A34" s="6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41"/>
      <c r="Q34" s="40"/>
      <c r="R34" s="6"/>
      <c r="S34" s="6"/>
    </row>
    <row r="35" spans="1:19" ht="14.25">
      <c r="A35" s="1" t="s">
        <v>19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f>ROUND(SUM(B35:N35)/13,2)</f>
        <v>0</v>
      </c>
      <c r="P35" s="4"/>
      <c r="Q35" s="3">
        <f>ROUND(SUM(D35:P35)/13,2)</f>
        <v>0</v>
      </c>
      <c r="R35" s="6"/>
      <c r="S35" s="6"/>
    </row>
    <row r="36" spans="1:19" ht="14.25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4"/>
      <c r="Q36" s="4"/>
      <c r="R36" s="6"/>
      <c r="S36" s="6"/>
    </row>
    <row r="37" spans="1:19" ht="14.25">
      <c r="A37" s="1" t="s">
        <v>20</v>
      </c>
      <c r="B37" s="3">
        <v>-183252</v>
      </c>
      <c r="C37" s="3">
        <v>-164085</v>
      </c>
      <c r="D37" s="3">
        <v>-144917</v>
      </c>
      <c r="E37" s="3">
        <v>-125747</v>
      </c>
      <c r="F37" s="3">
        <v>-117744</v>
      </c>
      <c r="G37" s="3">
        <v>-109740</v>
      </c>
      <c r="H37" s="3">
        <v>-101737</v>
      </c>
      <c r="I37" s="3">
        <v>-93734</v>
      </c>
      <c r="J37" s="3">
        <v>-85731</v>
      </c>
      <c r="K37" s="3">
        <v>-77728</v>
      </c>
      <c r="L37" s="3">
        <v>-69725</v>
      </c>
      <c r="M37" s="3">
        <v>-61722</v>
      </c>
      <c r="N37" s="3">
        <v>-53719</v>
      </c>
      <c r="O37" s="3">
        <f>ROUND(SUM(B37:N37)/13,2)</f>
        <v>-106890.85</v>
      </c>
      <c r="P37" s="4"/>
      <c r="Q37" s="3">
        <f>ROUND(O37*53128/53719,0)</f>
        <v>-105715</v>
      </c>
      <c r="R37" s="26"/>
      <c r="S37" s="25"/>
    </row>
    <row r="38" spans="1:19" ht="14.25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4"/>
      <c r="Q38" s="4"/>
      <c r="R38" s="6"/>
      <c r="S38" s="6"/>
    </row>
    <row r="39" spans="1:19" ht="14.25">
      <c r="A39" s="1" t="s">
        <v>62</v>
      </c>
      <c r="B39" s="3">
        <f>21448534-25463388-209294522-15243392</f>
        <v>-228552768</v>
      </c>
      <c r="C39" s="3">
        <f>22401260-25332138-210439047-15267303</f>
        <v>-228637228</v>
      </c>
      <c r="D39" s="3">
        <f>22725157-25190958-215637685-16126501</f>
        <v>-234229987</v>
      </c>
      <c r="E39" s="3">
        <f>16185656-86593719-308760451-15566053</f>
        <v>-394734567</v>
      </c>
      <c r="F39" s="3">
        <f>15622381-86462469-308814183-14905031</f>
        <v>-394559302</v>
      </c>
      <c r="G39" s="3">
        <f>16191631-86331219-308974861-16661317</f>
        <v>-395775766</v>
      </c>
      <c r="H39" s="3">
        <f>15056493-86199969-308470131-14447010</f>
        <v>-394060617</v>
      </c>
      <c r="I39" s="3">
        <f>14689452-86068719-308353664-13567063</f>
        <v>-393299994</v>
      </c>
      <c r="J39" s="3">
        <f>15662817-85937469-308234671-13262969</f>
        <v>-391772292</v>
      </c>
      <c r="K39" s="3">
        <f>16579328-85806219-308103151-13278436</f>
        <v>-390608478</v>
      </c>
      <c r="L39" s="3">
        <f>17135357-85674969-307945579-13332756</f>
        <v>-389817947</v>
      </c>
      <c r="M39" s="3">
        <f>16818379-85543719-307795633-12898626</f>
        <v>-389419599</v>
      </c>
      <c r="N39" s="3">
        <f>17089502-85412469-307650137-12631818</f>
        <v>-388604922</v>
      </c>
      <c r="O39" s="3">
        <f>ROUND(SUM(B39:N39)/13,2)</f>
        <v>-354928728.23</v>
      </c>
      <c r="P39" s="4"/>
      <c r="Q39" s="3">
        <f>ROUND(O39*394858880/399250637,0)</f>
        <v>-351024512</v>
      </c>
      <c r="R39" s="26"/>
      <c r="S39" s="25"/>
    </row>
    <row r="40" spans="1:19" ht="14.25">
      <c r="A40" s="1"/>
      <c r="B40" s="2"/>
      <c r="C40" s="2"/>
      <c r="D40" s="2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P40" s="1"/>
      <c r="Q40" s="1"/>
      <c r="R40" s="26"/>
      <c r="S40" s="25"/>
    </row>
    <row r="41" spans="1:19" ht="14.25">
      <c r="A41" s="1" t="s">
        <v>63</v>
      </c>
      <c r="B41" s="3">
        <v>0</v>
      </c>
      <c r="C41" s="3">
        <v>0</v>
      </c>
      <c r="D41" s="3">
        <v>0</v>
      </c>
      <c r="E41" s="3">
        <f>-4723865-6380489</f>
        <v>-11104354</v>
      </c>
      <c r="F41" s="3">
        <f>-4723865-6329529</f>
        <v>-11053394</v>
      </c>
      <c r="G41" s="3">
        <f>-4723865-6278569</f>
        <v>-11002434</v>
      </c>
      <c r="H41" s="3">
        <f>-4723865-6227609</f>
        <v>-10951474</v>
      </c>
      <c r="I41" s="3">
        <f>-4723865-6176649</f>
        <v>-10900514</v>
      </c>
      <c r="J41" s="3">
        <f>-4723865-6176649</f>
        <v>-10900514</v>
      </c>
      <c r="K41" s="3">
        <f>-4723865-6074729</f>
        <v>-10798594</v>
      </c>
      <c r="L41" s="3">
        <f>-4723865-6023769</f>
        <v>-10747634</v>
      </c>
      <c r="M41" s="3">
        <f>-4723865-5972809</f>
        <v>-10696674</v>
      </c>
      <c r="N41" s="3">
        <f>-4723865-5921849</f>
        <v>-10645714</v>
      </c>
      <c r="O41" s="3">
        <f>ROUND(SUM(B41:N41)/13,2)</f>
        <v>-8369330.77</v>
      </c>
      <c r="P41" s="4"/>
      <c r="Q41" s="3">
        <f>ROUND(O41*394858880/399250637,0)</f>
        <v>-8277268</v>
      </c>
      <c r="R41" s="26"/>
      <c r="S41" s="25"/>
    </row>
    <row r="42" spans="1:19" ht="14.25">
      <c r="A42" s="6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41"/>
      <c r="Q42" s="40"/>
      <c r="R42" s="6"/>
      <c r="S42" s="6"/>
    </row>
    <row r="43" spans="1:19" ht="14.25">
      <c r="A43" s="28" t="s">
        <v>21</v>
      </c>
      <c r="B43" s="38"/>
      <c r="C43" s="40"/>
      <c r="D43" s="40"/>
      <c r="E43" s="40"/>
      <c r="F43" s="40"/>
      <c r="G43" s="40"/>
      <c r="H43" s="40"/>
      <c r="I43" s="38"/>
      <c r="J43" s="40"/>
      <c r="K43" s="40"/>
      <c r="L43" s="40"/>
      <c r="M43" s="40"/>
      <c r="N43" s="40"/>
      <c r="O43" s="38"/>
      <c r="P43" s="41"/>
      <c r="Q43" s="40"/>
      <c r="R43" s="6"/>
      <c r="S43" s="6"/>
    </row>
    <row r="44" spans="1:19" ht="14.25">
      <c r="A44" s="6"/>
      <c r="B44" s="38"/>
      <c r="C44" s="40"/>
      <c r="D44" s="40"/>
      <c r="E44" s="40"/>
      <c r="F44" s="40"/>
      <c r="G44" s="40"/>
      <c r="H44" s="40"/>
      <c r="I44" s="38"/>
      <c r="J44" s="40"/>
      <c r="K44" s="40"/>
      <c r="L44" s="40"/>
      <c r="M44" s="40"/>
      <c r="N44" s="40"/>
      <c r="O44" s="40"/>
      <c r="P44" s="41"/>
      <c r="Q44" s="40"/>
      <c r="R44" s="6"/>
      <c r="S44" s="6"/>
    </row>
    <row r="45" spans="1:19" ht="14.25">
      <c r="A45" s="28" t="s">
        <v>22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6"/>
      <c r="N45" s="6"/>
      <c r="O45" s="6"/>
      <c r="P45" s="29"/>
      <c r="Q45" s="6"/>
      <c r="R45" s="6"/>
      <c r="S45" s="6"/>
    </row>
    <row r="46" spans="1:19" ht="14.25">
      <c r="A46" s="32"/>
      <c r="B46" s="32"/>
      <c r="C46" s="32"/>
      <c r="D46" s="32"/>
      <c r="E46" s="32"/>
      <c r="F46" s="32"/>
      <c r="G46" s="32"/>
      <c r="H46" s="28"/>
      <c r="I46" s="33"/>
      <c r="J46" s="28"/>
      <c r="K46" s="28"/>
      <c r="L46" s="28"/>
      <c r="M46" s="6"/>
      <c r="N46" s="6"/>
      <c r="O46" s="6"/>
      <c r="P46" s="29"/>
      <c r="Q46" s="6"/>
      <c r="R46" s="6"/>
      <c r="S46" s="6"/>
    </row>
    <row r="47" spans="1:19" ht="14.25">
      <c r="A47" s="28" t="s">
        <v>23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6">
        <v>0</v>
      </c>
      <c r="N47" s="36">
        <v>0</v>
      </c>
      <c r="O47" s="36">
        <f>ROUND(SUM(B47:N47)/13,2)</f>
        <v>0</v>
      </c>
      <c r="P47" s="37"/>
      <c r="Q47" s="36">
        <v>0</v>
      </c>
      <c r="R47" s="6"/>
      <c r="S47" s="6"/>
    </row>
    <row r="48" spans="1:19" ht="14.25">
      <c r="A48" s="2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6"/>
      <c r="N48" s="36"/>
      <c r="O48" s="36"/>
      <c r="P48" s="37"/>
      <c r="Q48" s="36"/>
      <c r="R48" s="6"/>
      <c r="S48" s="6"/>
    </row>
    <row r="49" spans="1:19" ht="14.25">
      <c r="A49" s="28" t="s">
        <v>24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6"/>
      <c r="N49" s="36"/>
      <c r="P49" s="37"/>
      <c r="R49" s="6"/>
      <c r="S49" s="6"/>
    </row>
    <row r="50" spans="1:19" ht="14.25">
      <c r="A50" s="7" t="s">
        <v>58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1069553.31</v>
      </c>
      <c r="L50" s="35">
        <v>0</v>
      </c>
      <c r="M50" s="36">
        <v>0</v>
      </c>
      <c r="N50" s="36">
        <v>0</v>
      </c>
      <c r="O50" s="36">
        <f>ROUND(SUM(B50:N50)/13,2)</f>
        <v>82273.33</v>
      </c>
      <c r="P50" s="37"/>
      <c r="Q50" s="36">
        <f>ROUND(O50*0.99,0)</f>
        <v>81451</v>
      </c>
      <c r="R50" s="6"/>
      <c r="S50" s="6"/>
    </row>
    <row r="51" spans="1:19" ht="14.25">
      <c r="A51" s="7" t="s">
        <v>59</v>
      </c>
      <c r="B51" s="35">
        <v>-13418.51</v>
      </c>
      <c r="C51" s="35">
        <v>-28294.21</v>
      </c>
      <c r="D51" s="35">
        <v>-5787.02</v>
      </c>
      <c r="E51" s="35">
        <v>-16049.49</v>
      </c>
      <c r="F51" s="35">
        <v>46896.67999999999</v>
      </c>
      <c r="G51" s="35">
        <v>74337.13</v>
      </c>
      <c r="H51" s="35">
        <v>-10863.25</v>
      </c>
      <c r="I51" s="35">
        <v>-17399.44</v>
      </c>
      <c r="J51" s="35">
        <v>-19550.97</v>
      </c>
      <c r="K51" s="35">
        <v>11117.66</v>
      </c>
      <c r="L51" s="35">
        <v>32239.11</v>
      </c>
      <c r="M51" s="36">
        <v>4876.77</v>
      </c>
      <c r="N51" s="36">
        <v>-42997</v>
      </c>
      <c r="O51" s="36">
        <f>ROUND(SUM(B51:N51)/13,2)</f>
        <v>1162.11</v>
      </c>
      <c r="P51" s="37"/>
      <c r="Q51" s="36">
        <f>ROUND(O51*0.99,0)</f>
        <v>1150</v>
      </c>
      <c r="R51" s="6"/>
      <c r="S51" s="6"/>
    </row>
    <row r="52" spans="1:19" ht="14.25">
      <c r="A52" s="7" t="s">
        <v>60</v>
      </c>
      <c r="B52" s="35">
        <v>14001.15</v>
      </c>
      <c r="C52" s="35">
        <v>7694.58</v>
      </c>
      <c r="D52" s="35">
        <v>836.7</v>
      </c>
      <c r="E52" s="35">
        <v>-18940.43</v>
      </c>
      <c r="F52" s="35">
        <v>26872.949999999997</v>
      </c>
      <c r="G52" s="35">
        <v>-29081.23</v>
      </c>
      <c r="H52" s="35">
        <v>-19526.21</v>
      </c>
      <c r="I52" s="35">
        <v>48329.57</v>
      </c>
      <c r="J52" s="35">
        <v>-24256.2</v>
      </c>
      <c r="K52" s="35">
        <v>-11569.65</v>
      </c>
      <c r="L52" s="35">
        <v>7849.12</v>
      </c>
      <c r="M52" s="36">
        <v>-12509.8</v>
      </c>
      <c r="N52" s="36">
        <v>-1286</v>
      </c>
      <c r="O52" s="36">
        <f>ROUND(SUM(B52:N52)/13,2)</f>
        <v>-891.19</v>
      </c>
      <c r="P52" s="37"/>
      <c r="Q52" s="36">
        <f>ROUND(O52*0.99,0)</f>
        <v>-882</v>
      </c>
      <c r="R52" s="6"/>
      <c r="S52" s="6"/>
    </row>
    <row r="53" spans="1:19" ht="14.25">
      <c r="A53" s="28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6"/>
      <c r="N53" s="36"/>
      <c r="O53" s="36"/>
      <c r="P53" s="37"/>
      <c r="Q53" s="25"/>
      <c r="R53" s="6"/>
      <c r="S53" s="6"/>
    </row>
    <row r="54" spans="1:19" ht="14.25">
      <c r="A54" s="28" t="s">
        <v>25</v>
      </c>
      <c r="B54" s="35">
        <v>2717407.3600000003</v>
      </c>
      <c r="C54" s="35">
        <v>4893768.45</v>
      </c>
      <c r="D54" s="35">
        <v>3054878.3399999994</v>
      </c>
      <c r="E54" s="35">
        <v>4921510.850000001</v>
      </c>
      <c r="F54" s="35">
        <v>11887169.99</v>
      </c>
      <c r="G54" s="35">
        <v>9700954.480000002</v>
      </c>
      <c r="H54" s="35">
        <v>8920130.140000002</v>
      </c>
      <c r="I54" s="35">
        <v>6480016.6899999995</v>
      </c>
      <c r="J54" s="35">
        <v>6373283.900000002</v>
      </c>
      <c r="K54" s="35">
        <v>9158662.77</v>
      </c>
      <c r="L54" s="35">
        <v>5731497.989999999</v>
      </c>
      <c r="M54" s="36">
        <v>9076802.299999999</v>
      </c>
      <c r="N54" s="36">
        <v>7197774.599999999</v>
      </c>
      <c r="O54" s="36">
        <f>ROUND(SUM(B54:N54)/13,2)</f>
        <v>6931835.22</v>
      </c>
      <c r="P54" s="37"/>
      <c r="Q54" s="3">
        <f>ROUND(O54*79184551/80189406,0)</f>
        <v>6844972</v>
      </c>
      <c r="R54" s="26"/>
      <c r="S54" s="25"/>
    </row>
    <row r="55" spans="1:19" ht="14.25">
      <c r="A55" s="28"/>
      <c r="B55" s="34"/>
      <c r="C55" s="24"/>
      <c r="D55" s="24"/>
      <c r="E55" s="24"/>
      <c r="F55" s="24"/>
      <c r="G55" s="24"/>
      <c r="H55" s="24"/>
      <c r="I55" s="34"/>
      <c r="J55" s="24"/>
      <c r="K55" s="24"/>
      <c r="L55" s="24"/>
      <c r="M55" s="23"/>
      <c r="N55" s="23"/>
      <c r="O55" s="23"/>
      <c r="P55" s="30"/>
      <c r="Q55" s="6"/>
      <c r="R55" s="6"/>
      <c r="S55" s="6"/>
    </row>
    <row r="56" spans="1:19" ht="14.25">
      <c r="A56" s="6"/>
      <c r="B56" s="27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29"/>
      <c r="Q56" s="6"/>
      <c r="R56" s="6"/>
      <c r="S56" s="6"/>
    </row>
    <row r="57" spans="1:19" ht="14.25">
      <c r="A57" s="6" t="s">
        <v>26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29"/>
      <c r="Q57" s="6"/>
      <c r="R57" s="6"/>
      <c r="S57" s="6"/>
    </row>
    <row r="59" spans="1:19" ht="14.25">
      <c r="A59" s="6"/>
      <c r="B59" s="27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29"/>
      <c r="Q59" s="6"/>
      <c r="R59" s="6"/>
      <c r="S59" s="6"/>
    </row>
    <row r="60" spans="1:19" ht="14.25">
      <c r="A60" s="6"/>
      <c r="B60" s="27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29"/>
      <c r="Q60" s="6"/>
      <c r="R60" s="6"/>
      <c r="S60" s="6"/>
    </row>
    <row r="61" spans="1:19" ht="14.25">
      <c r="A61" s="6"/>
      <c r="B61" s="27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29"/>
      <c r="Q61" s="6"/>
      <c r="R61" s="6"/>
      <c r="S61" s="6"/>
    </row>
    <row r="62" spans="1:19" ht="14.25">
      <c r="A62" s="6"/>
      <c r="B62" s="27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29"/>
      <c r="Q62" s="6"/>
      <c r="R62" s="6"/>
      <c r="S62" s="6"/>
    </row>
    <row r="63" spans="1:19" ht="14.25">
      <c r="A63" s="6"/>
      <c r="B63" s="27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29"/>
      <c r="Q63" s="6"/>
      <c r="R63" s="6"/>
      <c r="S63" s="6"/>
    </row>
    <row r="64" spans="1:19" ht="14.25">
      <c r="A64" s="6"/>
      <c r="B64" s="27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29"/>
      <c r="Q64" s="6"/>
      <c r="R64" s="6"/>
      <c r="S64" s="6"/>
    </row>
    <row r="65" spans="1:19" ht="14.25">
      <c r="A65" s="6"/>
      <c r="B65" s="27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29"/>
      <c r="Q65" s="6"/>
      <c r="R65" s="6"/>
      <c r="S65" s="6"/>
    </row>
    <row r="66" spans="1:19" ht="14.25">
      <c r="A66" s="6"/>
      <c r="B66" s="2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29"/>
      <c r="Q66" s="6"/>
      <c r="R66" s="6"/>
      <c r="S66" s="6"/>
    </row>
    <row r="67" spans="1:19" ht="14.25">
      <c r="A67" s="6"/>
      <c r="B67" s="27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29"/>
      <c r="Q67" s="6"/>
      <c r="R67" s="6"/>
      <c r="S67" s="6"/>
    </row>
    <row r="68" spans="1:19" ht="14.25">
      <c r="A68" s="6"/>
      <c r="B68" s="27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29"/>
      <c r="Q68" s="6"/>
      <c r="R68" s="6"/>
      <c r="S68" s="6"/>
    </row>
    <row r="69" spans="1:19" ht="14.25">
      <c r="A69" s="6"/>
      <c r="B69" s="27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29"/>
      <c r="Q69" s="6"/>
      <c r="R69" s="6"/>
      <c r="S69" s="6"/>
    </row>
    <row r="70" ht="14.25">
      <c r="B70" s="27"/>
    </row>
    <row r="71" ht="14.25">
      <c r="B71" s="27"/>
    </row>
  </sheetData>
  <sheetProtection/>
  <printOptions/>
  <pageMargins left="0.3" right="0.3" top="0.5" bottom="0.3" header="0.3" footer="0.3"/>
  <pageSetup fitToHeight="1" fitToWidth="1" horizontalDpi="600" verticalDpi="600" orientation="landscape" scale="48" r:id="rId1"/>
  <headerFooter>
    <oddHeader>&amp;RKPSC Case No. 2014-00396
Commission Staff's First Set of Data Request
Order Dated November 24, 2014
Item No. 16
Attachment 1        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D34" sqref="D34"/>
    </sheetView>
  </sheetViews>
  <sheetFormatPr defaultColWidth="8.8515625" defaultRowHeight="15"/>
  <cols>
    <col min="1" max="1" width="5.00390625" style="13" bestFit="1" customWidth="1"/>
    <col min="2" max="2" width="46.57421875" style="13" bestFit="1" customWidth="1"/>
    <col min="3" max="3" width="13.28125" style="16" customWidth="1"/>
    <col min="4" max="4" width="12.28125" style="16" customWidth="1"/>
    <col min="5" max="5" width="17.00390625" style="16" customWidth="1"/>
    <col min="6" max="6" width="2.28125" style="15" customWidth="1"/>
    <col min="7" max="16384" width="8.8515625" style="15" customWidth="1"/>
  </cols>
  <sheetData>
    <row r="1" spans="1:5" s="8" customFormat="1" ht="12.75">
      <c r="A1" s="53" t="s">
        <v>34</v>
      </c>
      <c r="B1" s="53"/>
      <c r="C1" s="54"/>
      <c r="D1" s="54"/>
      <c r="E1" s="54"/>
    </row>
    <row r="2" spans="1:5" s="8" customFormat="1" ht="12.75">
      <c r="A2" s="9"/>
      <c r="B2" s="9"/>
      <c r="C2" s="10"/>
      <c r="D2" s="10"/>
      <c r="E2" s="10"/>
    </row>
    <row r="3" spans="1:5" s="8" customFormat="1" ht="12.75">
      <c r="A3" s="53" t="s">
        <v>35</v>
      </c>
      <c r="B3" s="53"/>
      <c r="C3" s="54"/>
      <c r="D3" s="54"/>
      <c r="E3" s="54"/>
    </row>
    <row r="4" spans="1:5" s="8" customFormat="1" ht="12.75">
      <c r="A4" s="9"/>
      <c r="B4" s="9"/>
      <c r="C4" s="10"/>
      <c r="D4" s="10"/>
      <c r="E4" s="10"/>
    </row>
    <row r="5" spans="1:5" s="9" customFormat="1" ht="27" customHeight="1">
      <c r="A5" s="11" t="s">
        <v>36</v>
      </c>
      <c r="B5" s="44" t="s">
        <v>37</v>
      </c>
      <c r="C5" s="12" t="s">
        <v>38</v>
      </c>
      <c r="D5" s="12" t="s">
        <v>39</v>
      </c>
      <c r="E5" s="12" t="s">
        <v>27</v>
      </c>
    </row>
    <row r="6" spans="2:5" s="13" customFormat="1" ht="14.25" customHeight="1">
      <c r="B6" s="13" t="s">
        <v>40</v>
      </c>
      <c r="C6" s="14" t="s">
        <v>41</v>
      </c>
      <c r="D6" s="14" t="s">
        <v>42</v>
      </c>
      <c r="E6" s="14" t="s">
        <v>43</v>
      </c>
    </row>
    <row r="7" spans="3:5" s="13" customFormat="1" ht="12.75">
      <c r="C7" s="14"/>
      <c r="D7" s="14"/>
      <c r="E7" s="14"/>
    </row>
    <row r="8" spans="1:5" ht="12.75">
      <c r="A8" s="48">
        <v>1</v>
      </c>
      <c r="B8" s="52" t="s">
        <v>54</v>
      </c>
      <c r="C8" s="47"/>
      <c r="D8" s="47"/>
      <c r="E8" s="50">
        <v>-23961707.76</v>
      </c>
    </row>
    <row r="9" spans="1:5" ht="12.75">
      <c r="A9" s="48">
        <v>2</v>
      </c>
      <c r="B9" s="45" t="s">
        <v>64</v>
      </c>
      <c r="C9" s="47">
        <v>-415114.8300000001</v>
      </c>
      <c r="D9" s="47">
        <v>346866.63000000006</v>
      </c>
      <c r="E9" s="47">
        <v>-24029955.960000005</v>
      </c>
    </row>
    <row r="10" spans="1:5" ht="12.75">
      <c r="A10" s="48">
        <v>3</v>
      </c>
      <c r="B10" s="45" t="s">
        <v>65</v>
      </c>
      <c r="C10" s="47">
        <v>-518021.62</v>
      </c>
      <c r="D10" s="47">
        <v>246296.08</v>
      </c>
      <c r="E10" s="47">
        <v>-24301681.500000007</v>
      </c>
    </row>
    <row r="11" spans="1:5" ht="12.75">
      <c r="A11" s="48">
        <v>4</v>
      </c>
      <c r="B11" s="45" t="s">
        <v>66</v>
      </c>
      <c r="C11" s="47">
        <v>-335900.20000000007</v>
      </c>
      <c r="D11" s="47">
        <v>267163.1</v>
      </c>
      <c r="E11" s="47">
        <v>-24370418.600000005</v>
      </c>
    </row>
    <row r="12" spans="1:5" ht="12.75">
      <c r="A12" s="48">
        <v>5</v>
      </c>
      <c r="B12" s="45" t="s">
        <v>67</v>
      </c>
      <c r="C12" s="47">
        <v>-353996.99</v>
      </c>
      <c r="D12" s="47">
        <v>370376.94000000006</v>
      </c>
      <c r="E12" s="47">
        <v>-24354038.650000002</v>
      </c>
    </row>
    <row r="13" spans="1:5" ht="12.75">
      <c r="A13" s="48">
        <v>6</v>
      </c>
      <c r="B13" s="45" t="s">
        <v>68</v>
      </c>
      <c r="C13" s="47">
        <v>-503474.95999999996</v>
      </c>
      <c r="D13" s="47">
        <v>275368.98000000004</v>
      </c>
      <c r="E13" s="47">
        <v>-24582144.630000003</v>
      </c>
    </row>
    <row r="14" spans="1:5" ht="12.75">
      <c r="A14" s="48">
        <v>7</v>
      </c>
      <c r="B14" s="45" t="s">
        <v>69</v>
      </c>
      <c r="C14" s="47">
        <v>-397717.93000000005</v>
      </c>
      <c r="D14" s="47">
        <v>384860.65</v>
      </c>
      <c r="E14" s="47">
        <v>-24595001.910000004</v>
      </c>
    </row>
    <row r="15" spans="1:5" ht="12.75">
      <c r="A15" s="48">
        <v>8</v>
      </c>
      <c r="B15" s="45" t="s">
        <v>70</v>
      </c>
      <c r="C15" s="47">
        <v>-513335.03</v>
      </c>
      <c r="D15" s="47">
        <v>597788.82</v>
      </c>
      <c r="E15" s="47">
        <v>-24510548.120000005</v>
      </c>
    </row>
    <row r="16" spans="1:5" ht="12.75">
      <c r="A16" s="48">
        <v>9</v>
      </c>
      <c r="B16" s="45" t="s">
        <v>71</v>
      </c>
      <c r="C16" s="47">
        <v>-611292.0899999999</v>
      </c>
      <c r="D16" s="47">
        <v>694944.4100000001</v>
      </c>
      <c r="E16" s="47">
        <v>-24426895.800000004</v>
      </c>
    </row>
    <row r="17" spans="1:5" ht="12.75">
      <c r="A17" s="48">
        <v>10</v>
      </c>
      <c r="B17" s="45" t="s">
        <v>72</v>
      </c>
      <c r="C17" s="47">
        <v>-632343.39</v>
      </c>
      <c r="D17" s="47">
        <v>397178.4100000001</v>
      </c>
      <c r="E17" s="47">
        <v>-24662060.780000005</v>
      </c>
    </row>
    <row r="18" spans="1:5" ht="12.75">
      <c r="A18" s="48">
        <v>11</v>
      </c>
      <c r="B18" s="45" t="s">
        <v>73</v>
      </c>
      <c r="C18" s="47">
        <v>-678311.4299999999</v>
      </c>
      <c r="D18" s="47">
        <v>449592.86</v>
      </c>
      <c r="E18" s="47">
        <v>-24890779.350000005</v>
      </c>
    </row>
    <row r="19" spans="1:5" ht="12.75">
      <c r="A19" s="48">
        <v>12</v>
      </c>
      <c r="B19" s="45" t="s">
        <v>74</v>
      </c>
      <c r="C19" s="47">
        <v>-630823.7900000002</v>
      </c>
      <c r="D19" s="47">
        <v>435679.22000000003</v>
      </c>
      <c r="E19" s="47">
        <v>-25085923.920000006</v>
      </c>
    </row>
    <row r="20" spans="1:5" ht="12.75">
      <c r="A20" s="48">
        <v>13</v>
      </c>
      <c r="B20" s="45" t="s">
        <v>75</v>
      </c>
      <c r="C20" s="47">
        <v>-547680.7200000002</v>
      </c>
      <c r="D20" s="47">
        <v>373154.75</v>
      </c>
      <c r="E20" s="47">
        <v>-25260449.890000004</v>
      </c>
    </row>
    <row r="21" spans="1:5" ht="12.75">
      <c r="A21" s="48">
        <v>14</v>
      </c>
      <c r="B21" s="45" t="s">
        <v>44</v>
      </c>
      <c r="C21" s="47">
        <v>-6138012.98</v>
      </c>
      <c r="D21" s="47">
        <v>4839270.85</v>
      </c>
      <c r="E21" s="47">
        <v>-319031606.87000006</v>
      </c>
    </row>
    <row r="22" spans="1:5" ht="12.75">
      <c r="A22" s="48">
        <v>15</v>
      </c>
      <c r="B22" s="45" t="s">
        <v>45</v>
      </c>
      <c r="C22" s="47">
        <v>-472154.84461538465</v>
      </c>
      <c r="D22" s="47">
        <v>372251.6038461538</v>
      </c>
      <c r="E22" s="47">
        <v>-24540892.83615385</v>
      </c>
    </row>
    <row r="23" spans="1:5" ht="12.75">
      <c r="A23" s="48">
        <v>16</v>
      </c>
      <c r="B23" s="45" t="s">
        <v>46</v>
      </c>
      <c r="C23" s="47">
        <v>-6138012.98</v>
      </c>
      <c r="D23" s="49" t="s">
        <v>47</v>
      </c>
      <c r="E23" s="49" t="s">
        <v>48</v>
      </c>
    </row>
    <row r="24" spans="1:5" ht="12.75">
      <c r="A24" s="48">
        <v>17</v>
      </c>
      <c r="B24" s="45" t="s">
        <v>49</v>
      </c>
      <c r="C24" s="49" t="s">
        <v>48</v>
      </c>
      <c r="D24" s="47">
        <v>4839270.85</v>
      </c>
      <c r="E24" s="49" t="s">
        <v>47</v>
      </c>
    </row>
    <row r="25" spans="1:5" ht="12.75">
      <c r="A25" s="48">
        <v>18</v>
      </c>
      <c r="B25" s="45" t="s">
        <v>50</v>
      </c>
      <c r="C25" s="49" t="s">
        <v>48</v>
      </c>
      <c r="D25" s="49" t="s">
        <v>48</v>
      </c>
      <c r="E25" s="51">
        <v>334419</v>
      </c>
    </row>
    <row r="26" spans="1:5" ht="12.75">
      <c r="A26" s="48">
        <v>19</v>
      </c>
      <c r="B26" s="45" t="s">
        <v>51</v>
      </c>
      <c r="C26" s="49" t="s">
        <v>48</v>
      </c>
      <c r="D26" s="49" t="s">
        <v>48</v>
      </c>
      <c r="E26" s="47">
        <v>-73.38366790210439</v>
      </c>
    </row>
    <row r="27" spans="1:5" ht="12.75">
      <c r="A27" s="48">
        <v>20</v>
      </c>
      <c r="B27" s="45" t="s">
        <v>52</v>
      </c>
      <c r="C27" s="49" t="s">
        <v>48</v>
      </c>
      <c r="D27" s="49" t="s">
        <v>48</v>
      </c>
      <c r="E27" s="46">
        <v>41927.19000000002</v>
      </c>
    </row>
    <row r="30" ht="12.75" hidden="1"/>
    <row r="33" ht="12.75">
      <c r="D33" s="16" t="s">
        <v>53</v>
      </c>
    </row>
    <row r="49" spans="3:7" ht="12.75">
      <c r="C49" s="16" t="s">
        <v>57</v>
      </c>
      <c r="D49" s="16" t="s">
        <v>56</v>
      </c>
      <c r="F49" s="15" t="s">
        <v>55</v>
      </c>
      <c r="G49" s="15">
        <v>-13418.51</v>
      </c>
    </row>
  </sheetData>
  <sheetProtection/>
  <mergeCells count="2">
    <mergeCell ref="A1:E1"/>
    <mergeCell ref="A3:E3"/>
  </mergeCells>
  <printOptions horizontalCentered="1"/>
  <pageMargins left="0.5" right="0" top="1.75" bottom="0.5" header="0.25" footer="0"/>
  <pageSetup horizontalDpi="600" verticalDpi="600" orientation="portrait" r:id="rId1"/>
  <headerFooter alignWithMargins="0">
    <oddHeader>&amp;RKPSC Case No. 2013-00197
Commission Staff's First Set of Data Request
Dated June 20, 2013
Item No. 16n        
Attachment 1 
Page 2 of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cp:lastPrinted>2014-12-12T13:02:26Z</cp:lastPrinted>
  <dcterms:created xsi:type="dcterms:W3CDTF">2014-12-03T13:58:28Z</dcterms:created>
  <dcterms:modified xsi:type="dcterms:W3CDTF">2015-01-06T14:30:19Z</dcterms:modified>
  <cp:category/>
  <cp:version/>
  <cp:contentType/>
  <cp:contentStatus/>
</cp:coreProperties>
</file>